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omments1.xml" ContentType="application/vnd.openxmlformats-officedocument.spreadsheetml.comments+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5.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1.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2.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3.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4.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5.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6.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7.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4.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5.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6.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7.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8.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9.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0.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1.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2.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3.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4.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5.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fileSharing readOnlyRecommended="1"/>
  <workbookPr filterPrivacy="1" codeName="ThisWorkbook"/>
  <xr:revisionPtr revIDLastSave="0" documentId="13_ncr:1_{6FE0981A-2B87-4D66-90C2-CC87A306E997}" xr6:coauthVersionLast="47" xr6:coauthVersionMax="47" xr10:uidLastSave="{00000000-0000-0000-0000-000000000000}"/>
  <bookViews>
    <workbookView xWindow="-103" yWindow="-103" windowWidth="33120" windowHeight="18000" firstSheet="20" activeTab="20" xr2:uid="{00000000-000D-0000-FFFF-FFFF00000000}"/>
  </bookViews>
  <sheets>
    <sheet name="【供給側予測】生産関数（中間投入なし　成長実現）日銀" sheetId="26" state="hidden" r:id="rId1"/>
    <sheet name="★【内閣府】中長期試算　成長実現ケース" sheetId="37" state="hidden" r:id="rId2"/>
    <sheet name="★【内閣府】中長期試算ベースラインケース" sheetId="38" state="hidden" r:id="rId3"/>
    <sheet name="★図3" sheetId="39" state="hidden" r:id="rId4"/>
    <sheet name="★図4" sheetId="72" state="hidden" r:id="rId5"/>
    <sheet name="★建設投資見通し暦年換算（実質値）" sheetId="48" state="hidden" r:id="rId6"/>
    <sheet name="★建設投資見通し暦年換算（名目値)" sheetId="92" state="hidden" r:id="rId7"/>
    <sheet name="★資本ストック" sheetId="7" state="hidden" r:id="rId8"/>
    <sheet name="★資本稼働率" sheetId="6" state="hidden" r:id="rId9"/>
    <sheet name="★平均労働時間" sheetId="8" state="hidden" r:id="rId10"/>
    <sheet name="★就業者数" sheetId="9" state="hidden" r:id="rId11"/>
    <sheet name="★構造失業率" sheetId="12" state="hidden" r:id="rId12"/>
    <sheet name="★TFP上昇率推計・図5" sheetId="19" state="hidden" r:id="rId13"/>
    <sheet name="★【現状】生産関数（中間投入あり　見通し×付加価値率）" sheetId="25" state="hidden" r:id="rId14"/>
    <sheet name="★【現状】生産関数（中間投入あり　見通し）" sheetId="14" state="hidden" r:id="rId15"/>
    <sheet name="【予測】生産関数（中間投入あり　見通し　成長実現）" sheetId="18" state="hidden" r:id="rId16"/>
    <sheet name="★【供給側予測】生産関数（中間投入あり　見通し　成長実現）" sheetId="27" state="hidden" r:id="rId17"/>
    <sheet name="★【供給側予測】生産関数（中間投入あり　成長実現）" sheetId="20" state="hidden" r:id="rId18"/>
    <sheet name="★平均労働時間 (製造業)" sheetId="22" state="hidden" r:id="rId19"/>
    <sheet name="★図6" sheetId="41" state="hidden" r:id="rId20"/>
    <sheet name="はじめに" sheetId="112" r:id="rId21"/>
    <sheet name="供給側予測（成長実現ケース）" sheetId="81" r:id="rId22"/>
    <sheet name="供給側予測（ベースラインケース)" sheetId="82" r:id="rId23"/>
    <sheet name="★表１" sheetId="40" state="hidden" r:id="rId24"/>
    <sheet name="★PPT用図表（有形固定資産）" sheetId="105" state="hidden" r:id="rId25"/>
    <sheet name="★PPT用図表（無形固定資産）" sheetId="106" state="hidden" r:id="rId26"/>
    <sheet name="★PPT用図表（固定資産）" sheetId="107" state="hidden" r:id="rId27"/>
    <sheet name="★PPT用図表（平均労働時間）" sheetId="102" state="hidden" r:id="rId28"/>
    <sheet name="★PPT用図表（就業者数）" sheetId="103" state="hidden" r:id="rId29"/>
    <sheet name="★PPT用図表（労働時間）" sheetId="104" state="hidden" r:id="rId30"/>
    <sheet name="★PPT用図表（供給側予測）" sheetId="108" state="hidden" r:id="rId31"/>
    <sheet name="★図7" sheetId="42" state="hidden" r:id="rId32"/>
    <sheet name="【供給側予測】生産関数（中間投入なし　ベース）日銀" sheetId="24" state="hidden" r:id="rId33"/>
    <sheet name="★図8" sheetId="44" state="hidden" r:id="rId34"/>
    <sheet name="★固定資本ストック（建物・構築物）図9-12" sheetId="28" state="hidden" r:id="rId35"/>
    <sheet name="共和分検定に使用した変数" sheetId="49" state="hidden" r:id="rId36"/>
    <sheet name="共和分検定（金利ギャップなし）" sheetId="50" state="hidden" r:id="rId37"/>
    <sheet name="★表2　共和分検定（外生変数あり）" sheetId="54" state="hidden" r:id="rId38"/>
    <sheet name="供給側予測（ベースラインケース　就業率維持）" sheetId="83" r:id="rId39"/>
    <sheet name="需要側予測（成長実現ケース）" sheetId="93" r:id="rId40"/>
    <sheet name="需要側予測（ベースラインケース)" sheetId="96" r:id="rId41"/>
    <sheet name="★需要側予測（テスト)" sheetId="97" state="hidden" r:id="rId42"/>
    <sheet name="★PPT用図（需要側）" sheetId="109" state="hidden" r:id="rId43"/>
    <sheet name="★図13　需要側合計" sheetId="56" state="hidden" r:id="rId44"/>
    <sheet name="★表3" sheetId="100" state="hidden" r:id="rId45"/>
    <sheet name="Sheet2" sheetId="101" state="hidden" r:id="rId46"/>
    <sheet name="★図14　民間住宅" sheetId="62" state="hidden" r:id="rId47"/>
    <sheet name="★図15　民間非住宅" sheetId="63" state="hidden" r:id="rId48"/>
    <sheet name="★図16　民間土木" sheetId="64" state="hidden" r:id="rId49"/>
    <sheet name="★図17　公的住宅" sheetId="58" state="hidden" r:id="rId50"/>
    <sheet name="★図18　公的非住宅" sheetId="59" state="hidden" r:id="rId51"/>
    <sheet name="★図19　公的土木" sheetId="60" state="hidden" r:id="rId52"/>
    <sheet name="集計図表" sheetId="110" r:id="rId53"/>
    <sheet name="★図1図20　需給合計" sheetId="71" state="hidden" r:id="rId54"/>
    <sheet name="★記者用予測一覧" sheetId="111" state="hidden" r:id="rId55"/>
    <sheet name="★物価（暦年）" sheetId="98" state="hidden" r:id="rId56"/>
    <sheet name="★物価（四半期)" sheetId="99" state="hidden" r:id="rId57"/>
    <sheet name="表2　共和分検定（金利ギャップあり）" sheetId="52" state="hidden" r:id="rId58"/>
  </sheets>
  <externalReferences>
    <externalReference r:id="rId59"/>
  </externalReferences>
  <definedNames>
    <definedName name="_xlnm._FilterDatabase" localSheetId="11" hidden="1">★構造失業率!$A$1:$J$583</definedName>
    <definedName name="_Order1" hidden="1">255</definedName>
    <definedName name="_xlnm.Database">#REF!</definedName>
    <definedName name="ｄａｔａｂａｓｅ１１">#REF!</definedName>
    <definedName name="g1_kihon_sisan2">#REF!</definedName>
    <definedName name="_xlnm.Print_Area" localSheetId="1">'★【内閣府】中長期試算　成長実現ケース'!$A$1:$AP$25</definedName>
    <definedName name="_xlnm.Print_Area" localSheetId="2">★【内閣府】中長期試算ベースラインケース!$A$1:$AP$25</definedName>
    <definedName name="_xlnm.Print_Area" localSheetId="8">★資本稼働率!$A$1:$Y$662</definedName>
    <definedName name="_xlnm.Print_Area" localSheetId="3">★図3!#REF!</definedName>
    <definedName name="_xlnm.Print_Area" localSheetId="4">★図4!#REF!</definedName>
    <definedName name="_xlnm.Print_Area" localSheetId="33">★図8!$B$1:$V$56</definedName>
    <definedName name="ｓ">#REF!</definedName>
    <definedName name="間接費括り書き">[1]建設補修!$A$1:$D$31</definedName>
    <definedName name="間接費修正">[1]建設補修!$A$1:$FK$305</definedName>
    <definedName name="事務費DB">#REF!</definedName>
    <definedName name="事務費ｄｂ１">#REF!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G48" i="93" l="1"/>
  <c r="EG47" i="93"/>
  <c r="FM46" i="93"/>
  <c r="J26" i="12" l="1"/>
  <c r="P61" i="6"/>
  <c r="D46" i="110"/>
  <c r="D47" i="110"/>
  <c r="D48" i="110"/>
  <c r="D49" i="110"/>
  <c r="D50" i="110"/>
  <c r="D51" i="110"/>
  <c r="D52" i="110"/>
  <c r="D53" i="110"/>
  <c r="D54" i="110"/>
  <c r="D55" i="110"/>
  <c r="D56" i="110"/>
  <c r="D57" i="110"/>
  <c r="D45" i="110"/>
  <c r="C46" i="110"/>
  <c r="C47" i="110"/>
  <c r="C48" i="110"/>
  <c r="C49" i="110"/>
  <c r="C50" i="110"/>
  <c r="C51" i="110"/>
  <c r="C52" i="110"/>
  <c r="C53" i="110"/>
  <c r="C54" i="110"/>
  <c r="C55" i="110"/>
  <c r="C56" i="110"/>
  <c r="C57" i="110"/>
  <c r="C45" i="110"/>
  <c r="B46" i="110"/>
  <c r="B47" i="110"/>
  <c r="B48" i="110"/>
  <c r="B49" i="110"/>
  <c r="B50" i="110"/>
  <c r="B51" i="110"/>
  <c r="B52" i="110"/>
  <c r="B53" i="110"/>
  <c r="B54" i="110"/>
  <c r="B55" i="110"/>
  <c r="B56" i="110"/>
  <c r="B57" i="110"/>
  <c r="B58" i="110"/>
  <c r="B59" i="110"/>
  <c r="B60" i="110"/>
  <c r="B61" i="110"/>
  <c r="B62" i="110"/>
  <c r="B45" i="110"/>
  <c r="C44" i="110"/>
  <c r="D44" i="110" s="1"/>
  <c r="E44" i="110" s="1"/>
  <c r="F44" i="110" s="1"/>
  <c r="G44" i="110" s="1"/>
  <c r="C43" i="110"/>
  <c r="D43" i="110" s="1"/>
  <c r="E43" i="110" s="1"/>
  <c r="F43" i="110" s="1"/>
  <c r="G43" i="110" s="1"/>
  <c r="C42" i="110"/>
  <c r="D42" i="110" s="1"/>
  <c r="E42" i="110" s="1"/>
  <c r="F42" i="110" s="1"/>
  <c r="G42" i="110" s="1"/>
  <c r="C41" i="110"/>
  <c r="D41" i="110" s="1"/>
  <c r="E41" i="110" s="1"/>
  <c r="F41" i="110" s="1"/>
  <c r="G41" i="110" s="1"/>
  <c r="C40" i="110"/>
  <c r="D40" i="110" s="1"/>
  <c r="E40" i="110" s="1"/>
  <c r="F40" i="110" s="1"/>
  <c r="G40" i="110" s="1"/>
  <c r="C39" i="110"/>
  <c r="D39" i="110" s="1"/>
  <c r="E39" i="110" s="1"/>
  <c r="F39" i="110" s="1"/>
  <c r="G39" i="110" s="1"/>
  <c r="C38" i="110"/>
  <c r="D38" i="110" s="1"/>
  <c r="E38" i="110" s="1"/>
  <c r="F38" i="110" s="1"/>
  <c r="G38" i="110" s="1"/>
  <c r="C37" i="110"/>
  <c r="D37" i="110" s="1"/>
  <c r="E37" i="110" s="1"/>
  <c r="F37" i="110" s="1"/>
  <c r="G37" i="110" s="1"/>
  <c r="C36" i="110"/>
  <c r="D36" i="110" s="1"/>
  <c r="E36" i="110" s="1"/>
  <c r="F36" i="110" s="1"/>
  <c r="G36" i="110" s="1"/>
  <c r="C35" i="110"/>
  <c r="D35" i="110" s="1"/>
  <c r="E35" i="110" s="1"/>
  <c r="F35" i="110" s="1"/>
  <c r="G35" i="110" s="1"/>
  <c r="C34" i="110"/>
  <c r="D34" i="110" s="1"/>
  <c r="E34" i="110" s="1"/>
  <c r="F34" i="110" s="1"/>
  <c r="G34" i="110" s="1"/>
  <c r="C33" i="110"/>
  <c r="D33" i="110" s="1"/>
  <c r="E33" i="110" s="1"/>
  <c r="F33" i="110" s="1"/>
  <c r="G33" i="110" s="1"/>
  <c r="C32" i="110"/>
  <c r="D32" i="110" s="1"/>
  <c r="E32" i="110" s="1"/>
  <c r="F32" i="110" s="1"/>
  <c r="G32" i="110" s="1"/>
  <c r="C31" i="110"/>
  <c r="D31" i="110" s="1"/>
  <c r="E31" i="110" s="1"/>
  <c r="F31" i="110" s="1"/>
  <c r="G31" i="110" s="1"/>
  <c r="C30" i="110"/>
  <c r="D30" i="110" s="1"/>
  <c r="E30" i="110" s="1"/>
  <c r="F30" i="110" s="1"/>
  <c r="G30" i="110" s="1"/>
  <c r="C29" i="110"/>
  <c r="D29" i="110" s="1"/>
  <c r="E29" i="110" s="1"/>
  <c r="F29" i="110" s="1"/>
  <c r="G29" i="110" s="1"/>
  <c r="C28" i="110"/>
  <c r="D28" i="110" s="1"/>
  <c r="E28" i="110" s="1"/>
  <c r="F28" i="110" s="1"/>
  <c r="G28" i="110" s="1"/>
  <c r="C27" i="110"/>
  <c r="D27" i="110" s="1"/>
  <c r="E27" i="110" s="1"/>
  <c r="F27" i="110" s="1"/>
  <c r="G27" i="110" s="1"/>
  <c r="C26" i="110"/>
  <c r="D26" i="110" s="1"/>
  <c r="E26" i="110" s="1"/>
  <c r="F26" i="110" s="1"/>
  <c r="G26" i="110" s="1"/>
  <c r="C25" i="110"/>
  <c r="D25" i="110" s="1"/>
  <c r="E25" i="110" s="1"/>
  <c r="F25" i="110" s="1"/>
  <c r="G25" i="110" s="1"/>
  <c r="C24" i="110"/>
  <c r="D24" i="110" s="1"/>
  <c r="E24" i="110" s="1"/>
  <c r="F24" i="110" s="1"/>
  <c r="G24" i="110" s="1"/>
  <c r="C23" i="110"/>
  <c r="D23" i="110" s="1"/>
  <c r="E23" i="110" s="1"/>
  <c r="F23" i="110" s="1"/>
  <c r="G23" i="110" s="1"/>
  <c r="C22" i="110"/>
  <c r="D22" i="110" s="1"/>
  <c r="E22" i="110" s="1"/>
  <c r="F22" i="110" s="1"/>
  <c r="G22" i="110" s="1"/>
  <c r="C21" i="110"/>
  <c r="D21" i="110" s="1"/>
  <c r="E21" i="110" s="1"/>
  <c r="F21" i="110" s="1"/>
  <c r="G21" i="110" s="1"/>
  <c r="C20" i="110"/>
  <c r="D20" i="110" s="1"/>
  <c r="E20" i="110" s="1"/>
  <c r="F20" i="110" s="1"/>
  <c r="G20" i="110" s="1"/>
  <c r="C19" i="110"/>
  <c r="D19" i="110" s="1"/>
  <c r="E19" i="110" s="1"/>
  <c r="F19" i="110" s="1"/>
  <c r="G19" i="110" s="1"/>
  <c r="C18" i="110"/>
  <c r="D18" i="110" s="1"/>
  <c r="E18" i="110" s="1"/>
  <c r="F18" i="110" s="1"/>
  <c r="G18" i="110" s="1"/>
  <c r="C17" i="110"/>
  <c r="D17" i="110" s="1"/>
  <c r="E17" i="110" s="1"/>
  <c r="F17" i="110" s="1"/>
  <c r="G17" i="110" s="1"/>
  <c r="C16" i="110"/>
  <c r="D16" i="110" s="1"/>
  <c r="E16" i="110" s="1"/>
  <c r="F16" i="110" s="1"/>
  <c r="G16" i="110" s="1"/>
  <c r="C15" i="110"/>
  <c r="D15" i="110" s="1"/>
  <c r="E15" i="110" s="1"/>
  <c r="F15" i="110" s="1"/>
  <c r="G15" i="110" s="1"/>
  <c r="C14" i="110"/>
  <c r="D14" i="110" s="1"/>
  <c r="E14" i="110" s="1"/>
  <c r="F14" i="110" s="1"/>
  <c r="G14" i="110" s="1"/>
  <c r="C13" i="110"/>
  <c r="D13" i="110" s="1"/>
  <c r="E13" i="110" s="1"/>
  <c r="F13" i="110" s="1"/>
  <c r="G13" i="110" s="1"/>
  <c r="C12" i="110"/>
  <c r="D12" i="110" s="1"/>
  <c r="E12" i="110" s="1"/>
  <c r="F12" i="110" s="1"/>
  <c r="G12" i="110" s="1"/>
  <c r="C11" i="110"/>
  <c r="D11" i="110" s="1"/>
  <c r="E11" i="110" s="1"/>
  <c r="F11" i="110" s="1"/>
  <c r="G11" i="110" s="1"/>
  <c r="C10" i="110"/>
  <c r="D10" i="110" s="1"/>
  <c r="E10" i="110" s="1"/>
  <c r="F10" i="110" s="1"/>
  <c r="G10" i="110" s="1"/>
  <c r="C9" i="110"/>
  <c r="D9" i="110" s="1"/>
  <c r="E9" i="110" s="1"/>
  <c r="F9" i="110" s="1"/>
  <c r="G9" i="110" s="1"/>
  <c r="C8" i="110"/>
  <c r="D8" i="110" s="1"/>
  <c r="E8" i="110" s="1"/>
  <c r="F8" i="110" s="1"/>
  <c r="G8" i="110" s="1"/>
  <c r="C7" i="110"/>
  <c r="D7" i="110" s="1"/>
  <c r="E7" i="110" s="1"/>
  <c r="F7" i="110" s="1"/>
  <c r="G7" i="110" s="1"/>
  <c r="C6" i="110"/>
  <c r="D6" i="110" s="1"/>
  <c r="E6" i="110" s="1"/>
  <c r="F6" i="110" s="1"/>
  <c r="G6" i="110" s="1"/>
  <c r="C5" i="110"/>
  <c r="D5" i="110" s="1"/>
  <c r="E5" i="110" s="1"/>
  <c r="F5" i="110" s="1"/>
  <c r="G5" i="110" s="1"/>
  <c r="C4" i="110"/>
  <c r="D4" i="110" s="1"/>
  <c r="E4" i="110" s="1"/>
  <c r="F4" i="110" s="1"/>
  <c r="G4" i="110" s="1"/>
  <c r="C3" i="110"/>
  <c r="D3" i="110" s="1"/>
  <c r="E3" i="110" s="1"/>
  <c r="F3" i="110" s="1"/>
  <c r="G3" i="110" s="1"/>
  <c r="C2" i="110"/>
  <c r="D2" i="110" s="1"/>
  <c r="E2" i="110" s="1"/>
  <c r="F2" i="110" s="1"/>
  <c r="G2" i="110" s="1"/>
  <c r="DY58" i="93"/>
  <c r="CA47" i="93"/>
  <c r="AT47" i="93"/>
  <c r="W45" i="81"/>
  <c r="S45" i="81"/>
  <c r="K63" i="83"/>
  <c r="K62" i="83"/>
  <c r="K61" i="83"/>
  <c r="K60" i="83"/>
  <c r="K59" i="83"/>
  <c r="K58" i="83"/>
  <c r="K57" i="83"/>
  <c r="K56" i="83"/>
  <c r="K55" i="83"/>
  <c r="K54" i="83"/>
  <c r="K53" i="83"/>
  <c r="K52" i="83"/>
  <c r="K51" i="83"/>
  <c r="K50" i="83"/>
  <c r="K49" i="83"/>
  <c r="K48" i="83"/>
  <c r="K47" i="83"/>
  <c r="K46" i="83"/>
  <c r="K45" i="83"/>
  <c r="K44" i="83"/>
  <c r="K45" i="81"/>
  <c r="K46" i="81"/>
  <c r="K47" i="81"/>
  <c r="K48" i="81"/>
  <c r="K49" i="81"/>
  <c r="K50" i="81"/>
  <c r="K51" i="81"/>
  <c r="K52" i="81"/>
  <c r="K53" i="81"/>
  <c r="K54" i="81"/>
  <c r="K55" i="81"/>
  <c r="K56" i="81"/>
  <c r="K57" i="81"/>
  <c r="K58" i="81"/>
  <c r="K59" i="81"/>
  <c r="K60" i="81"/>
  <c r="K61" i="81"/>
  <c r="K62" i="81"/>
  <c r="K63" i="81"/>
  <c r="K44" i="81"/>
  <c r="K48" i="82"/>
  <c r="D58" i="82"/>
  <c r="K47" i="82"/>
  <c r="K46" i="82"/>
  <c r="K45" i="82"/>
  <c r="K44" i="82"/>
  <c r="Q44" i="81"/>
  <c r="L43" i="81"/>
  <c r="W43" i="81"/>
  <c r="J54" i="82"/>
  <c r="J55" i="82" s="1"/>
  <c r="J56" i="82" s="1"/>
  <c r="J57" i="82" s="1"/>
  <c r="J49" i="82"/>
  <c r="J50" i="82" s="1"/>
  <c r="J51" i="82" s="1"/>
  <c r="J52" i="82" s="1"/>
  <c r="J44" i="82"/>
  <c r="J45" i="82" s="1"/>
  <c r="J46" i="82" s="1"/>
  <c r="J47" i="82" s="1"/>
  <c r="P43" i="81"/>
  <c r="Q43" i="81" s="1"/>
  <c r="P44" i="81"/>
  <c r="F48" i="81"/>
  <c r="N44" i="81"/>
  <c r="I43" i="81"/>
  <c r="C4" i="105"/>
  <c r="C5" i="105"/>
  <c r="C6" i="105"/>
  <c r="C7" i="105"/>
  <c r="C8" i="105"/>
  <c r="C9" i="105"/>
  <c r="D9" i="105" s="1"/>
  <c r="C10" i="105"/>
  <c r="D10" i="105" s="1"/>
  <c r="C11" i="105"/>
  <c r="D11" i="105" s="1"/>
  <c r="C12" i="105"/>
  <c r="C13" i="105"/>
  <c r="C14" i="105"/>
  <c r="C15" i="105"/>
  <c r="C16" i="105"/>
  <c r="C17" i="105"/>
  <c r="C18" i="105"/>
  <c r="D18" i="105" s="1"/>
  <c r="C19" i="105"/>
  <c r="D19" i="105" s="1"/>
  <c r="C20" i="105"/>
  <c r="C21" i="105"/>
  <c r="C22" i="105"/>
  <c r="C23" i="105"/>
  <c r="C24" i="105"/>
  <c r="C25" i="105"/>
  <c r="D25" i="105" s="1"/>
  <c r="C26" i="105"/>
  <c r="D26" i="105" s="1"/>
  <c r="C27" i="105"/>
  <c r="D27" i="105" s="1"/>
  <c r="C28" i="105"/>
  <c r="C29" i="105"/>
  <c r="C30" i="105"/>
  <c r="C31" i="105"/>
  <c r="C32" i="105"/>
  <c r="C33" i="105"/>
  <c r="D33" i="105" s="1"/>
  <c r="C34" i="105"/>
  <c r="D34" i="105" s="1"/>
  <c r="C35" i="105"/>
  <c r="D35" i="105" s="1"/>
  <c r="C36" i="105"/>
  <c r="C37" i="105"/>
  <c r="C38" i="105"/>
  <c r="C39" i="105"/>
  <c r="C40" i="105"/>
  <c r="C41" i="105"/>
  <c r="D41" i="105" s="1"/>
  <c r="C42" i="105"/>
  <c r="D42" i="105" s="1"/>
  <c r="C3" i="105"/>
  <c r="B4" i="105"/>
  <c r="B5" i="105"/>
  <c r="B6" i="105"/>
  <c r="B7" i="105"/>
  <c r="B8" i="105"/>
  <c r="B9" i="105"/>
  <c r="B10" i="105"/>
  <c r="B11" i="105"/>
  <c r="B12" i="105"/>
  <c r="B13" i="105"/>
  <c r="B14" i="105"/>
  <c r="B15" i="105"/>
  <c r="B16" i="105"/>
  <c r="B17" i="105"/>
  <c r="B18" i="105"/>
  <c r="B19" i="105"/>
  <c r="B20" i="105"/>
  <c r="B21" i="105"/>
  <c r="B22" i="105"/>
  <c r="B23" i="105"/>
  <c r="B24" i="105"/>
  <c r="B25" i="105"/>
  <c r="B26" i="105"/>
  <c r="B27" i="105"/>
  <c r="B28" i="105"/>
  <c r="B29" i="105"/>
  <c r="B30" i="105"/>
  <c r="B31" i="105"/>
  <c r="B32" i="105"/>
  <c r="B33" i="105"/>
  <c r="B34" i="105"/>
  <c r="B35" i="105"/>
  <c r="B36" i="105"/>
  <c r="B37" i="105"/>
  <c r="B38" i="105"/>
  <c r="B39" i="105"/>
  <c r="B40" i="105"/>
  <c r="B41" i="105"/>
  <c r="B42" i="105"/>
  <c r="B3" i="105"/>
  <c r="G4" i="81"/>
  <c r="B3" i="107" s="1"/>
  <c r="L3" i="82"/>
  <c r="C2" i="104" s="1"/>
  <c r="FE47" i="93"/>
  <c r="FE48" i="93"/>
  <c r="FE49" i="93"/>
  <c r="FE50" i="93"/>
  <c r="FE51" i="93"/>
  <c r="FE52" i="93"/>
  <c r="FE53" i="93"/>
  <c r="FE54" i="93"/>
  <c r="FE55" i="93"/>
  <c r="FE56" i="93"/>
  <c r="FE57" i="93"/>
  <c r="B3" i="71"/>
  <c r="C3" i="71"/>
  <c r="D3" i="71" s="1"/>
  <c r="E3" i="71" s="1"/>
  <c r="F3" i="71" s="1"/>
  <c r="G3" i="71" s="1"/>
  <c r="B4" i="71"/>
  <c r="C4" i="71"/>
  <c r="D4" i="71" s="1"/>
  <c r="E4" i="71" s="1"/>
  <c r="F4" i="71" s="1"/>
  <c r="G4" i="71" s="1"/>
  <c r="B5" i="71"/>
  <c r="C5" i="71" s="1"/>
  <c r="D5" i="71" s="1"/>
  <c r="E5" i="71" s="1"/>
  <c r="F5" i="71" s="1"/>
  <c r="G5" i="71" s="1"/>
  <c r="B6" i="71"/>
  <c r="C6" i="71" s="1"/>
  <c r="D6" i="71" s="1"/>
  <c r="E6" i="71" s="1"/>
  <c r="F6" i="71" s="1"/>
  <c r="G6" i="71" s="1"/>
  <c r="B7" i="71"/>
  <c r="C7" i="71"/>
  <c r="D7" i="71"/>
  <c r="E7" i="71" s="1"/>
  <c r="F7" i="71" s="1"/>
  <c r="G7" i="71" s="1"/>
  <c r="B8" i="71"/>
  <c r="C8" i="71"/>
  <c r="D8" i="71" s="1"/>
  <c r="E8" i="71" s="1"/>
  <c r="F8" i="71" s="1"/>
  <c r="G8" i="71" s="1"/>
  <c r="B9" i="71"/>
  <c r="C9" i="71" s="1"/>
  <c r="D9" i="71" s="1"/>
  <c r="E9" i="71" s="1"/>
  <c r="F9" i="71" s="1"/>
  <c r="G9" i="71" s="1"/>
  <c r="B10" i="71"/>
  <c r="C10" i="71" s="1"/>
  <c r="D10" i="71" s="1"/>
  <c r="E10" i="71" s="1"/>
  <c r="F10" i="71" s="1"/>
  <c r="G10" i="71" s="1"/>
  <c r="B11" i="71"/>
  <c r="C11" i="71"/>
  <c r="D11" i="71"/>
  <c r="E11" i="71" s="1"/>
  <c r="F11" i="71" s="1"/>
  <c r="G11" i="71" s="1"/>
  <c r="B12" i="71"/>
  <c r="C12" i="71"/>
  <c r="D12" i="71" s="1"/>
  <c r="E12" i="71" s="1"/>
  <c r="F12" i="71" s="1"/>
  <c r="G12" i="71" s="1"/>
  <c r="B13" i="71"/>
  <c r="C13" i="71" s="1"/>
  <c r="D13" i="71" s="1"/>
  <c r="E13" i="71" s="1"/>
  <c r="F13" i="71" s="1"/>
  <c r="G13" i="71" s="1"/>
  <c r="B14" i="71"/>
  <c r="C14" i="71" s="1"/>
  <c r="D14" i="71" s="1"/>
  <c r="E14" i="71" s="1"/>
  <c r="F14" i="71" s="1"/>
  <c r="G14" i="71" s="1"/>
  <c r="B15" i="71"/>
  <c r="C15" i="71"/>
  <c r="D15" i="71"/>
  <c r="E15" i="71" s="1"/>
  <c r="F15" i="71" s="1"/>
  <c r="G15" i="71" s="1"/>
  <c r="B16" i="71"/>
  <c r="C16" i="71"/>
  <c r="D16" i="71" s="1"/>
  <c r="E16" i="71" s="1"/>
  <c r="F16" i="71" s="1"/>
  <c r="G16" i="71" s="1"/>
  <c r="B17" i="71"/>
  <c r="C17" i="71" s="1"/>
  <c r="D17" i="71" s="1"/>
  <c r="E17" i="71" s="1"/>
  <c r="F17" i="71" s="1"/>
  <c r="G17" i="71" s="1"/>
  <c r="B18" i="71"/>
  <c r="C18" i="71" s="1"/>
  <c r="D18" i="71" s="1"/>
  <c r="E18" i="71" s="1"/>
  <c r="F18" i="71" s="1"/>
  <c r="G18" i="71" s="1"/>
  <c r="B19" i="71"/>
  <c r="C19" i="71"/>
  <c r="D19" i="71"/>
  <c r="E19" i="71" s="1"/>
  <c r="F19" i="71" s="1"/>
  <c r="G19" i="71" s="1"/>
  <c r="B20" i="71"/>
  <c r="C20" i="71"/>
  <c r="D20" i="71" s="1"/>
  <c r="E20" i="71" s="1"/>
  <c r="F20" i="71" s="1"/>
  <c r="G20" i="71" s="1"/>
  <c r="B21" i="71"/>
  <c r="C21" i="71" s="1"/>
  <c r="D21" i="71" s="1"/>
  <c r="E21" i="71" s="1"/>
  <c r="F21" i="71" s="1"/>
  <c r="G21" i="71" s="1"/>
  <c r="B22" i="71"/>
  <c r="C22" i="71" s="1"/>
  <c r="D22" i="71" s="1"/>
  <c r="E22" i="71" s="1"/>
  <c r="F22" i="71" s="1"/>
  <c r="G22" i="71" s="1"/>
  <c r="B23" i="71"/>
  <c r="C23" i="71"/>
  <c r="D23" i="71"/>
  <c r="E23" i="71" s="1"/>
  <c r="F23" i="71" s="1"/>
  <c r="G23" i="71" s="1"/>
  <c r="B24" i="71"/>
  <c r="C24" i="71"/>
  <c r="D24" i="71" s="1"/>
  <c r="E24" i="71" s="1"/>
  <c r="F24" i="71" s="1"/>
  <c r="G24" i="71" s="1"/>
  <c r="B25" i="71"/>
  <c r="C25" i="71" s="1"/>
  <c r="D25" i="71" s="1"/>
  <c r="E25" i="71" s="1"/>
  <c r="F25" i="71" s="1"/>
  <c r="G25" i="71" s="1"/>
  <c r="B26" i="71"/>
  <c r="C26" i="71" s="1"/>
  <c r="D26" i="71" s="1"/>
  <c r="E26" i="71" s="1"/>
  <c r="F26" i="71" s="1"/>
  <c r="G26" i="71" s="1"/>
  <c r="B27" i="71"/>
  <c r="C27" i="71"/>
  <c r="D27" i="71"/>
  <c r="E27" i="71" s="1"/>
  <c r="F27" i="71" s="1"/>
  <c r="G27" i="71" s="1"/>
  <c r="B28" i="71"/>
  <c r="C28" i="71"/>
  <c r="D28" i="71" s="1"/>
  <c r="E28" i="71" s="1"/>
  <c r="F28" i="71" s="1"/>
  <c r="G28" i="71" s="1"/>
  <c r="B29" i="71"/>
  <c r="C29" i="71" s="1"/>
  <c r="D29" i="71" s="1"/>
  <c r="E29" i="71" s="1"/>
  <c r="F29" i="71" s="1"/>
  <c r="G29" i="71" s="1"/>
  <c r="B30" i="71"/>
  <c r="C30" i="71" s="1"/>
  <c r="D30" i="71" s="1"/>
  <c r="E30" i="71" s="1"/>
  <c r="F30" i="71" s="1"/>
  <c r="G30" i="71" s="1"/>
  <c r="B31" i="71"/>
  <c r="C31" i="71"/>
  <c r="D31" i="71"/>
  <c r="E31" i="71" s="1"/>
  <c r="F31" i="71" s="1"/>
  <c r="G31" i="71" s="1"/>
  <c r="B32" i="71"/>
  <c r="C32" i="71"/>
  <c r="D32" i="71" s="1"/>
  <c r="E32" i="71" s="1"/>
  <c r="F32" i="71" s="1"/>
  <c r="G32" i="71" s="1"/>
  <c r="B33" i="71"/>
  <c r="C33" i="71" s="1"/>
  <c r="D33" i="71" s="1"/>
  <c r="E33" i="71" s="1"/>
  <c r="F33" i="71" s="1"/>
  <c r="G33" i="71" s="1"/>
  <c r="B34" i="71"/>
  <c r="C34" i="71" s="1"/>
  <c r="D34" i="71" s="1"/>
  <c r="E34" i="71" s="1"/>
  <c r="F34" i="71" s="1"/>
  <c r="G34" i="71" s="1"/>
  <c r="B35" i="71"/>
  <c r="C35" i="71"/>
  <c r="D35" i="71"/>
  <c r="E35" i="71" s="1"/>
  <c r="F35" i="71" s="1"/>
  <c r="G35" i="71" s="1"/>
  <c r="B36" i="71"/>
  <c r="C36" i="71"/>
  <c r="D36" i="71" s="1"/>
  <c r="E36" i="71" s="1"/>
  <c r="F36" i="71" s="1"/>
  <c r="G36" i="71" s="1"/>
  <c r="B37" i="71"/>
  <c r="C37" i="71" s="1"/>
  <c r="D37" i="71" s="1"/>
  <c r="E37" i="71" s="1"/>
  <c r="F37" i="71" s="1"/>
  <c r="G37" i="71" s="1"/>
  <c r="B38" i="71"/>
  <c r="C38" i="71" s="1"/>
  <c r="D38" i="71" s="1"/>
  <c r="E38" i="71" s="1"/>
  <c r="F38" i="71" s="1"/>
  <c r="G38" i="71" s="1"/>
  <c r="B39" i="71"/>
  <c r="C39" i="71"/>
  <c r="D39" i="71"/>
  <c r="E39" i="71" s="1"/>
  <c r="F39" i="71" s="1"/>
  <c r="G39" i="71" s="1"/>
  <c r="B40" i="71"/>
  <c r="C40" i="71"/>
  <c r="D40" i="71" s="1"/>
  <c r="E40" i="71" s="1"/>
  <c r="F40" i="71" s="1"/>
  <c r="G40" i="71" s="1"/>
  <c r="B41" i="71"/>
  <c r="C41" i="71" s="1"/>
  <c r="D41" i="71" s="1"/>
  <c r="E41" i="71" s="1"/>
  <c r="F41" i="71" s="1"/>
  <c r="G41" i="71" s="1"/>
  <c r="B42" i="71"/>
  <c r="C42" i="71" s="1"/>
  <c r="D42" i="71" s="1"/>
  <c r="E42" i="71" s="1"/>
  <c r="F42" i="71" s="1"/>
  <c r="G42" i="71" s="1"/>
  <c r="B43" i="71"/>
  <c r="C43" i="71"/>
  <c r="D43" i="71"/>
  <c r="E43" i="71" s="1"/>
  <c r="F43" i="71" s="1"/>
  <c r="G43" i="71" s="1"/>
  <c r="B44" i="71"/>
  <c r="C44" i="71"/>
  <c r="D44" i="71" s="1"/>
  <c r="E44" i="71" s="1"/>
  <c r="F44" i="71" s="1"/>
  <c r="G44" i="71" s="1"/>
  <c r="B2" i="71"/>
  <c r="B3" i="108"/>
  <c r="C3" i="108"/>
  <c r="D3" i="108"/>
  <c r="E3" i="108"/>
  <c r="B4" i="108"/>
  <c r="C4" i="108"/>
  <c r="D4" i="108"/>
  <c r="E4" i="108"/>
  <c r="B5" i="108"/>
  <c r="C5" i="108"/>
  <c r="D5" i="108"/>
  <c r="E5" i="108"/>
  <c r="B6" i="108"/>
  <c r="C6" i="108"/>
  <c r="D6" i="108"/>
  <c r="E6" i="108"/>
  <c r="B7" i="108"/>
  <c r="C7" i="108"/>
  <c r="D7" i="108"/>
  <c r="E7" i="108"/>
  <c r="B8" i="108"/>
  <c r="C8" i="108"/>
  <c r="D8" i="108"/>
  <c r="E8" i="108"/>
  <c r="B9" i="108"/>
  <c r="C9" i="108"/>
  <c r="D9" i="108"/>
  <c r="E9" i="108"/>
  <c r="B10" i="108"/>
  <c r="C10" i="108"/>
  <c r="D10" i="108"/>
  <c r="E10" i="108"/>
  <c r="B11" i="108"/>
  <c r="C11" i="108"/>
  <c r="D11" i="108"/>
  <c r="E11" i="108"/>
  <c r="B12" i="108"/>
  <c r="C12" i="108"/>
  <c r="D12" i="108"/>
  <c r="E12" i="108"/>
  <c r="B13" i="108"/>
  <c r="C13" i="108"/>
  <c r="D13" i="108"/>
  <c r="E13" i="108"/>
  <c r="B14" i="108"/>
  <c r="C14" i="108"/>
  <c r="D14" i="108"/>
  <c r="E14" i="108"/>
  <c r="B15" i="108"/>
  <c r="C15" i="108"/>
  <c r="D15" i="108"/>
  <c r="E15" i="108"/>
  <c r="B16" i="108"/>
  <c r="C16" i="108"/>
  <c r="D16" i="108"/>
  <c r="E16" i="108"/>
  <c r="B17" i="108"/>
  <c r="C17" i="108"/>
  <c r="D17" i="108"/>
  <c r="E17" i="108"/>
  <c r="B18" i="108"/>
  <c r="C18" i="108"/>
  <c r="D18" i="108"/>
  <c r="E18" i="108"/>
  <c r="B19" i="108"/>
  <c r="C19" i="108"/>
  <c r="D19" i="108"/>
  <c r="E19" i="108"/>
  <c r="B20" i="108"/>
  <c r="C20" i="108"/>
  <c r="D20" i="108"/>
  <c r="E20" i="108"/>
  <c r="B21" i="108"/>
  <c r="C21" i="108"/>
  <c r="D21" i="108"/>
  <c r="E21" i="108"/>
  <c r="B22" i="108"/>
  <c r="C22" i="108"/>
  <c r="D22" i="108"/>
  <c r="E22" i="108"/>
  <c r="B23" i="108"/>
  <c r="C23" i="108"/>
  <c r="D23" i="108"/>
  <c r="E23" i="108"/>
  <c r="B24" i="108"/>
  <c r="C24" i="108"/>
  <c r="D24" i="108"/>
  <c r="E24" i="108"/>
  <c r="B25" i="108"/>
  <c r="C25" i="108"/>
  <c r="D25" i="108"/>
  <c r="E25" i="108"/>
  <c r="B26" i="108"/>
  <c r="C26" i="108"/>
  <c r="D26" i="108"/>
  <c r="E26" i="108"/>
  <c r="B27" i="108"/>
  <c r="C27" i="108"/>
  <c r="D27" i="108"/>
  <c r="E27" i="108"/>
  <c r="B28" i="108"/>
  <c r="C28" i="108"/>
  <c r="D28" i="108"/>
  <c r="E28" i="108"/>
  <c r="B29" i="108"/>
  <c r="C29" i="108"/>
  <c r="D29" i="108"/>
  <c r="E29" i="108"/>
  <c r="B30" i="108"/>
  <c r="C30" i="108"/>
  <c r="D30" i="108"/>
  <c r="E30" i="108"/>
  <c r="B31" i="108"/>
  <c r="C31" i="108"/>
  <c r="D31" i="108"/>
  <c r="E31" i="108"/>
  <c r="B32" i="108"/>
  <c r="C32" i="108"/>
  <c r="D32" i="108"/>
  <c r="E32" i="108"/>
  <c r="B33" i="108"/>
  <c r="C33" i="108"/>
  <c r="D33" i="108"/>
  <c r="E33" i="108"/>
  <c r="B34" i="108"/>
  <c r="C34" i="108"/>
  <c r="D34" i="108"/>
  <c r="E34" i="108"/>
  <c r="B35" i="108"/>
  <c r="C35" i="108"/>
  <c r="D35" i="108"/>
  <c r="E35" i="108"/>
  <c r="B36" i="108"/>
  <c r="C36" i="108"/>
  <c r="D36" i="108"/>
  <c r="E36" i="108"/>
  <c r="B37" i="108"/>
  <c r="C37" i="108"/>
  <c r="D37" i="108"/>
  <c r="E37" i="108"/>
  <c r="B38" i="108"/>
  <c r="C38" i="108"/>
  <c r="D38" i="108"/>
  <c r="E38" i="108"/>
  <c r="B39" i="108"/>
  <c r="C39" i="108"/>
  <c r="D39" i="108"/>
  <c r="E39" i="108"/>
  <c r="B40" i="108"/>
  <c r="C40" i="108"/>
  <c r="D40" i="108"/>
  <c r="E40" i="108"/>
  <c r="B41" i="108"/>
  <c r="C41" i="108"/>
  <c r="D41" i="108"/>
  <c r="E41" i="108"/>
  <c r="B42" i="108"/>
  <c r="C42" i="108"/>
  <c r="D42" i="108"/>
  <c r="E42" i="108"/>
  <c r="B43" i="108"/>
  <c r="C43" i="108"/>
  <c r="D43" i="108"/>
  <c r="E43" i="108"/>
  <c r="B44" i="108"/>
  <c r="C44" i="108"/>
  <c r="D44" i="108"/>
  <c r="E44" i="108"/>
  <c r="C2" i="108"/>
  <c r="D2" i="108"/>
  <c r="E2" i="108"/>
  <c r="B2" i="108"/>
  <c r="J75" i="108"/>
  <c r="J71" i="108"/>
  <c r="J67" i="108"/>
  <c r="J59" i="83"/>
  <c r="J60" i="83" s="1"/>
  <c r="J61" i="83" s="1"/>
  <c r="J62" i="83" s="1"/>
  <c r="J54" i="83"/>
  <c r="J55" i="83" s="1"/>
  <c r="J56" i="83" s="1"/>
  <c r="J57" i="83" s="1"/>
  <c r="J49" i="83"/>
  <c r="J50" i="83" s="1"/>
  <c r="J51" i="83" s="1"/>
  <c r="J52" i="83" s="1"/>
  <c r="J44" i="83"/>
  <c r="J45" i="83" s="1"/>
  <c r="J46" i="83" s="1"/>
  <c r="J47" i="83" s="1"/>
  <c r="B4" i="106"/>
  <c r="C4" i="106"/>
  <c r="B5" i="106"/>
  <c r="C5" i="106"/>
  <c r="B6" i="106"/>
  <c r="C6" i="106"/>
  <c r="B7" i="106"/>
  <c r="C7" i="106"/>
  <c r="D7" i="106" s="1"/>
  <c r="B8" i="106"/>
  <c r="C8" i="106"/>
  <c r="B9" i="106"/>
  <c r="C9" i="106"/>
  <c r="B10" i="106"/>
  <c r="C10" i="106"/>
  <c r="B11" i="106"/>
  <c r="C11" i="106"/>
  <c r="D11" i="106" s="1"/>
  <c r="B12" i="106"/>
  <c r="C12" i="106"/>
  <c r="B13" i="106"/>
  <c r="C13" i="106"/>
  <c r="B14" i="106"/>
  <c r="C14" i="106"/>
  <c r="B15" i="106"/>
  <c r="C15" i="106"/>
  <c r="D15" i="106" s="1"/>
  <c r="B16" i="106"/>
  <c r="C16" i="106"/>
  <c r="B17" i="106"/>
  <c r="C17" i="106"/>
  <c r="B18" i="106"/>
  <c r="C18" i="106"/>
  <c r="B19" i="106"/>
  <c r="C19" i="106"/>
  <c r="D19" i="106" s="1"/>
  <c r="B20" i="106"/>
  <c r="C20" i="106"/>
  <c r="B21" i="106"/>
  <c r="C21" i="106"/>
  <c r="D21" i="106" s="1"/>
  <c r="B22" i="106"/>
  <c r="C22" i="106"/>
  <c r="B23" i="106"/>
  <c r="C23" i="106"/>
  <c r="D23" i="106" s="1"/>
  <c r="B24" i="106"/>
  <c r="C24" i="106"/>
  <c r="B25" i="106"/>
  <c r="C25" i="106"/>
  <c r="B26" i="106"/>
  <c r="C26" i="106"/>
  <c r="D26" i="106" s="1"/>
  <c r="B27" i="106"/>
  <c r="C27" i="106"/>
  <c r="D27" i="106" s="1"/>
  <c r="B28" i="106"/>
  <c r="C28" i="106"/>
  <c r="B29" i="106"/>
  <c r="C29" i="106"/>
  <c r="B30" i="106"/>
  <c r="C30" i="106"/>
  <c r="B31" i="106"/>
  <c r="C31" i="106"/>
  <c r="D31" i="106" s="1"/>
  <c r="B32" i="106"/>
  <c r="C32" i="106"/>
  <c r="D32" i="106" s="1"/>
  <c r="B33" i="106"/>
  <c r="C33" i="106"/>
  <c r="B34" i="106"/>
  <c r="C34" i="106"/>
  <c r="B35" i="106"/>
  <c r="C35" i="106"/>
  <c r="D35" i="106" s="1"/>
  <c r="B36" i="106"/>
  <c r="C36" i="106"/>
  <c r="B37" i="106"/>
  <c r="C37" i="106"/>
  <c r="D37" i="106" s="1"/>
  <c r="B38" i="106"/>
  <c r="C38" i="106"/>
  <c r="B39" i="106"/>
  <c r="C39" i="106"/>
  <c r="D39" i="106" s="1"/>
  <c r="B40" i="106"/>
  <c r="C40" i="106"/>
  <c r="D40" i="106" s="1"/>
  <c r="B41" i="106"/>
  <c r="C41" i="106"/>
  <c r="B42" i="106"/>
  <c r="C42" i="106"/>
  <c r="B43" i="106"/>
  <c r="C43" i="106"/>
  <c r="C3" i="106"/>
  <c r="B3" i="106"/>
  <c r="D42" i="106"/>
  <c r="D41" i="106"/>
  <c r="D38" i="106"/>
  <c r="D36" i="106"/>
  <c r="D34" i="106"/>
  <c r="D33" i="106"/>
  <c r="D30" i="106"/>
  <c r="D29" i="106"/>
  <c r="D28" i="106"/>
  <c r="D25" i="106"/>
  <c r="D24" i="106"/>
  <c r="D22" i="106"/>
  <c r="D20" i="106"/>
  <c r="D18" i="106"/>
  <c r="D17" i="106"/>
  <c r="D16" i="106"/>
  <c r="D14" i="106"/>
  <c r="D13" i="106"/>
  <c r="D12" i="106"/>
  <c r="D10" i="106"/>
  <c r="D9" i="106"/>
  <c r="D8" i="106"/>
  <c r="D6" i="106"/>
  <c r="D5" i="106"/>
  <c r="D4" i="106"/>
  <c r="D3" i="106"/>
  <c r="D7" i="105"/>
  <c r="D15" i="105"/>
  <c r="D23" i="105"/>
  <c r="D31" i="105"/>
  <c r="D28" i="105"/>
  <c r="D32" i="105"/>
  <c r="D36" i="105"/>
  <c r="D39" i="105"/>
  <c r="D40" i="105"/>
  <c r="D3" i="105"/>
  <c r="D4" i="105"/>
  <c r="D5" i="105"/>
  <c r="D6" i="105"/>
  <c r="D8" i="105"/>
  <c r="D12" i="105"/>
  <c r="D13" i="105"/>
  <c r="D14" i="105"/>
  <c r="D16" i="105"/>
  <c r="D17" i="105"/>
  <c r="D20" i="105"/>
  <c r="D21" i="105"/>
  <c r="D22" i="105"/>
  <c r="D24" i="105"/>
  <c r="D29" i="105"/>
  <c r="D30" i="105"/>
  <c r="D37" i="105"/>
  <c r="D38" i="105"/>
  <c r="D3" i="103"/>
  <c r="D4" i="103"/>
  <c r="E4" i="103" s="1"/>
  <c r="D5" i="103"/>
  <c r="D6" i="103"/>
  <c r="D7" i="103"/>
  <c r="D8" i="103"/>
  <c r="D9" i="103"/>
  <c r="D10" i="103"/>
  <c r="D11" i="103"/>
  <c r="D12" i="103"/>
  <c r="E12" i="103" s="1"/>
  <c r="D13" i="103"/>
  <c r="D14" i="103"/>
  <c r="D15" i="103"/>
  <c r="D16" i="103"/>
  <c r="D17" i="103"/>
  <c r="D18" i="103"/>
  <c r="D19" i="103"/>
  <c r="D20" i="103"/>
  <c r="E20" i="103" s="1"/>
  <c r="D21" i="103"/>
  <c r="D22" i="103"/>
  <c r="D23" i="103"/>
  <c r="D24" i="103"/>
  <c r="D25" i="103"/>
  <c r="D26" i="103"/>
  <c r="D27" i="103"/>
  <c r="D28" i="103"/>
  <c r="E28" i="103" s="1"/>
  <c r="D29" i="103"/>
  <c r="D30" i="103"/>
  <c r="D31" i="103"/>
  <c r="D32" i="103"/>
  <c r="D33" i="103"/>
  <c r="D34" i="103"/>
  <c r="D35" i="103"/>
  <c r="D36" i="103"/>
  <c r="E36" i="103" s="1"/>
  <c r="D37" i="103"/>
  <c r="D38" i="103"/>
  <c r="D39" i="103"/>
  <c r="D40" i="103"/>
  <c r="D41" i="103"/>
  <c r="D42" i="103"/>
  <c r="D2" i="103"/>
  <c r="C3" i="103"/>
  <c r="C4" i="103"/>
  <c r="C5" i="103"/>
  <c r="C6" i="103"/>
  <c r="C7" i="103"/>
  <c r="C8" i="103"/>
  <c r="C9" i="103"/>
  <c r="C10" i="103"/>
  <c r="C11" i="103"/>
  <c r="C12" i="103"/>
  <c r="C13" i="103"/>
  <c r="C14" i="103"/>
  <c r="C15" i="103"/>
  <c r="C16" i="103"/>
  <c r="C17" i="103"/>
  <c r="C18" i="103"/>
  <c r="C19" i="103"/>
  <c r="C20" i="103"/>
  <c r="C21" i="103"/>
  <c r="C22" i="103"/>
  <c r="C23" i="103"/>
  <c r="C24" i="103"/>
  <c r="C25" i="103"/>
  <c r="C26" i="103"/>
  <c r="C27" i="103"/>
  <c r="C28" i="103"/>
  <c r="C29" i="103"/>
  <c r="C30" i="103"/>
  <c r="C31" i="103"/>
  <c r="C32" i="103"/>
  <c r="C33" i="103"/>
  <c r="C34" i="103"/>
  <c r="C35" i="103"/>
  <c r="C36" i="103"/>
  <c r="C37" i="103"/>
  <c r="C38" i="103"/>
  <c r="C39" i="103"/>
  <c r="C40" i="103"/>
  <c r="C41" i="103"/>
  <c r="C42" i="103"/>
  <c r="C47" i="103"/>
  <c r="C52" i="103"/>
  <c r="C57" i="103"/>
  <c r="C62" i="103"/>
  <c r="C2" i="103"/>
  <c r="B3" i="103"/>
  <c r="B4" i="103"/>
  <c r="B5" i="103"/>
  <c r="B6" i="103"/>
  <c r="B7" i="103"/>
  <c r="B8" i="103"/>
  <c r="B9" i="103"/>
  <c r="B10" i="103"/>
  <c r="B11" i="103"/>
  <c r="B12" i="103"/>
  <c r="B13" i="103"/>
  <c r="B14" i="103"/>
  <c r="B15" i="103"/>
  <c r="B16" i="103"/>
  <c r="B17" i="103"/>
  <c r="B18" i="103"/>
  <c r="B19" i="103"/>
  <c r="B20" i="103"/>
  <c r="B21" i="103"/>
  <c r="B22" i="103"/>
  <c r="B23" i="103"/>
  <c r="B24" i="103"/>
  <c r="B25" i="103"/>
  <c r="B26" i="103"/>
  <c r="B27" i="103"/>
  <c r="B28" i="103"/>
  <c r="B29" i="103"/>
  <c r="B30" i="103"/>
  <c r="B31" i="103"/>
  <c r="B32" i="103"/>
  <c r="B33" i="103"/>
  <c r="B34" i="103"/>
  <c r="B35" i="103"/>
  <c r="B36" i="103"/>
  <c r="B37" i="103"/>
  <c r="B38" i="103"/>
  <c r="B39" i="103"/>
  <c r="B40" i="103"/>
  <c r="B41" i="103"/>
  <c r="B42" i="103"/>
  <c r="B2" i="103"/>
  <c r="E41" i="103"/>
  <c r="E40" i="103"/>
  <c r="E39" i="103"/>
  <c r="E38" i="103"/>
  <c r="E37" i="103"/>
  <c r="E35" i="103"/>
  <c r="E33" i="103"/>
  <c r="E32" i="103"/>
  <c r="E31" i="103"/>
  <c r="E30" i="103"/>
  <c r="E29" i="103"/>
  <c r="E27" i="103"/>
  <c r="E25" i="103"/>
  <c r="E24" i="103"/>
  <c r="E23" i="103"/>
  <c r="E22" i="103"/>
  <c r="E21" i="103"/>
  <c r="E19" i="103"/>
  <c r="E17" i="103"/>
  <c r="E16" i="103"/>
  <c r="E15" i="103"/>
  <c r="E14" i="103"/>
  <c r="E13" i="103"/>
  <c r="E11" i="103"/>
  <c r="E9" i="103"/>
  <c r="E8" i="103"/>
  <c r="E7" i="103"/>
  <c r="E6" i="103"/>
  <c r="E5" i="103"/>
  <c r="E3" i="103"/>
  <c r="C3" i="102"/>
  <c r="C4" i="102"/>
  <c r="C5" i="102"/>
  <c r="C6" i="102"/>
  <c r="C7" i="102"/>
  <c r="C8" i="102"/>
  <c r="C9" i="102"/>
  <c r="D9" i="102" s="1"/>
  <c r="E9" i="102" s="1"/>
  <c r="C10" i="102"/>
  <c r="C11" i="102"/>
  <c r="C12" i="102"/>
  <c r="C13" i="102"/>
  <c r="C14" i="102"/>
  <c r="C15" i="102"/>
  <c r="C16" i="102"/>
  <c r="D16" i="102" s="1"/>
  <c r="E16" i="102" s="1"/>
  <c r="C17" i="102"/>
  <c r="C18" i="102"/>
  <c r="C19" i="102"/>
  <c r="C20" i="102"/>
  <c r="C21" i="102"/>
  <c r="C22" i="102"/>
  <c r="C23" i="102"/>
  <c r="C24" i="102"/>
  <c r="D24" i="102" s="1"/>
  <c r="E24" i="102" s="1"/>
  <c r="C25" i="102"/>
  <c r="D25" i="102" s="1"/>
  <c r="E25" i="102" s="1"/>
  <c r="C26" i="102"/>
  <c r="C27" i="102"/>
  <c r="C28" i="102"/>
  <c r="C29" i="102"/>
  <c r="C30" i="102"/>
  <c r="C31" i="102"/>
  <c r="C32" i="102"/>
  <c r="D32" i="102" s="1"/>
  <c r="E32" i="102" s="1"/>
  <c r="C33" i="102"/>
  <c r="D33" i="102" s="1"/>
  <c r="E33" i="102" s="1"/>
  <c r="C34" i="102"/>
  <c r="C35" i="102"/>
  <c r="C36" i="102"/>
  <c r="C37" i="102"/>
  <c r="C38" i="102"/>
  <c r="C39" i="102"/>
  <c r="C40" i="102"/>
  <c r="D40" i="102" s="1"/>
  <c r="E40" i="102" s="1"/>
  <c r="C41" i="102"/>
  <c r="D41" i="102" s="1"/>
  <c r="E41" i="102" s="1"/>
  <c r="C42" i="102"/>
  <c r="C2" i="102"/>
  <c r="B3" i="102"/>
  <c r="B4" i="102"/>
  <c r="B5" i="102"/>
  <c r="B6" i="102"/>
  <c r="B7" i="102"/>
  <c r="B8" i="102"/>
  <c r="B9" i="102"/>
  <c r="B10" i="102"/>
  <c r="B11" i="102"/>
  <c r="B12" i="102"/>
  <c r="B13" i="102"/>
  <c r="B14" i="102"/>
  <c r="B15" i="102"/>
  <c r="B16" i="102"/>
  <c r="B17" i="102"/>
  <c r="B18" i="102"/>
  <c r="B19" i="102"/>
  <c r="B20" i="102"/>
  <c r="B21" i="102"/>
  <c r="B22" i="102"/>
  <c r="B23" i="102"/>
  <c r="B24" i="102"/>
  <c r="B25" i="102"/>
  <c r="B26" i="102"/>
  <c r="B27" i="102"/>
  <c r="B28" i="102"/>
  <c r="B29" i="102"/>
  <c r="B30" i="102"/>
  <c r="B31" i="102"/>
  <c r="B32" i="102"/>
  <c r="B33" i="102"/>
  <c r="B34" i="102"/>
  <c r="B35" i="102"/>
  <c r="B36" i="102"/>
  <c r="B37" i="102"/>
  <c r="B38" i="102"/>
  <c r="B39" i="102"/>
  <c r="B40" i="102"/>
  <c r="B41" i="102"/>
  <c r="B42" i="102"/>
  <c r="B43" i="102"/>
  <c r="B2" i="102"/>
  <c r="D39" i="102"/>
  <c r="E39" i="102" s="1"/>
  <c r="D38" i="102"/>
  <c r="E38" i="102" s="1"/>
  <c r="D37" i="102"/>
  <c r="E37" i="102" s="1"/>
  <c r="D36" i="102"/>
  <c r="E36" i="102" s="1"/>
  <c r="D35" i="102"/>
  <c r="E35" i="102" s="1"/>
  <c r="D31" i="102"/>
  <c r="E31" i="102" s="1"/>
  <c r="D30" i="102"/>
  <c r="E30" i="102" s="1"/>
  <c r="D29" i="102"/>
  <c r="E29" i="102" s="1"/>
  <c r="D28" i="102"/>
  <c r="E28" i="102" s="1"/>
  <c r="D27" i="102"/>
  <c r="E27" i="102" s="1"/>
  <c r="D23" i="102"/>
  <c r="E23" i="102" s="1"/>
  <c r="D22" i="102"/>
  <c r="E22" i="102" s="1"/>
  <c r="D21" i="102"/>
  <c r="E21" i="102" s="1"/>
  <c r="D20" i="102"/>
  <c r="E20" i="102" s="1"/>
  <c r="D19" i="102"/>
  <c r="E19" i="102" s="1"/>
  <c r="D17" i="102"/>
  <c r="E17" i="102" s="1"/>
  <c r="D15" i="102"/>
  <c r="E15" i="102" s="1"/>
  <c r="D14" i="102"/>
  <c r="E14" i="102" s="1"/>
  <c r="D13" i="102"/>
  <c r="E13" i="102" s="1"/>
  <c r="D12" i="102"/>
  <c r="E12" i="102" s="1"/>
  <c r="D11" i="102"/>
  <c r="E11" i="102" s="1"/>
  <c r="D8" i="102"/>
  <c r="E8" i="102" s="1"/>
  <c r="D7" i="102"/>
  <c r="E7" i="102" s="1"/>
  <c r="D6" i="102"/>
  <c r="E6" i="102" s="1"/>
  <c r="D5" i="102"/>
  <c r="E5" i="102" s="1"/>
  <c r="D4" i="102"/>
  <c r="E4" i="102" s="1"/>
  <c r="D3" i="102"/>
  <c r="E3" i="102" s="1"/>
  <c r="D43" i="62"/>
  <c r="D44" i="62"/>
  <c r="E4" i="98"/>
  <c r="F4" i="98"/>
  <c r="U64" i="98"/>
  <c r="U63" i="98"/>
  <c r="U62" i="98"/>
  <c r="U61" i="98"/>
  <c r="U60" i="98"/>
  <c r="U59" i="98"/>
  <c r="U58" i="98"/>
  <c r="U57" i="98"/>
  <c r="U56" i="98"/>
  <c r="U55" i="98"/>
  <c r="U54" i="98"/>
  <c r="U53" i="98"/>
  <c r="U52" i="98"/>
  <c r="U51" i="98"/>
  <c r="U50" i="98"/>
  <c r="U49" i="98"/>
  <c r="U48" i="98"/>
  <c r="U47" i="98"/>
  <c r="U46" i="98"/>
  <c r="U45" i="98"/>
  <c r="U5" i="98"/>
  <c r="U6" i="98"/>
  <c r="U7" i="98"/>
  <c r="U8" i="98"/>
  <c r="U9" i="98"/>
  <c r="U10" i="98"/>
  <c r="U11" i="98"/>
  <c r="U12" i="98"/>
  <c r="U13" i="98"/>
  <c r="U14" i="98"/>
  <c r="U15" i="98"/>
  <c r="U16" i="98"/>
  <c r="U17" i="98"/>
  <c r="U18" i="98"/>
  <c r="U19" i="98"/>
  <c r="U20" i="98"/>
  <c r="U21" i="98"/>
  <c r="U22" i="98"/>
  <c r="U23" i="98"/>
  <c r="U24" i="98"/>
  <c r="U25" i="98"/>
  <c r="U26" i="98"/>
  <c r="U27" i="98"/>
  <c r="U28" i="98"/>
  <c r="U29" i="98"/>
  <c r="U30" i="98"/>
  <c r="U31" i="98"/>
  <c r="U32" i="98"/>
  <c r="U33" i="98"/>
  <c r="U34" i="98"/>
  <c r="U35" i="98"/>
  <c r="U36" i="98"/>
  <c r="U37" i="98"/>
  <c r="U38" i="98"/>
  <c r="U39" i="98"/>
  <c r="U40" i="98"/>
  <c r="U41" i="98"/>
  <c r="U42" i="98"/>
  <c r="U43" i="98"/>
  <c r="U44" i="98"/>
  <c r="U4" i="98"/>
  <c r="S46" i="98"/>
  <c r="S47" i="98"/>
  <c r="S48" i="98"/>
  <c r="S49" i="98"/>
  <c r="S50" i="98"/>
  <c r="S51" i="98"/>
  <c r="S52" i="98"/>
  <c r="S53" i="98"/>
  <c r="S54" i="98"/>
  <c r="S55" i="98"/>
  <c r="S56" i="98"/>
  <c r="S57" i="98"/>
  <c r="S58" i="98"/>
  <c r="S59" i="98"/>
  <c r="S60" i="98"/>
  <c r="S61" i="98"/>
  <c r="S62" i="98"/>
  <c r="S63" i="98"/>
  <c r="S64" i="98"/>
  <c r="S45" i="98"/>
  <c r="CT47" i="93"/>
  <c r="S43" i="81" l="1"/>
  <c r="E42" i="103"/>
  <c r="E34" i="103"/>
  <c r="E26" i="103"/>
  <c r="E18" i="103"/>
  <c r="E10" i="103"/>
  <c r="E2" i="103"/>
  <c r="D42" i="102"/>
  <c r="E42" i="102" s="1"/>
  <c r="D34" i="102"/>
  <c r="E34" i="102" s="1"/>
  <c r="D26" i="102"/>
  <c r="E26" i="102" s="1"/>
  <c r="D18" i="102"/>
  <c r="E18" i="102" s="1"/>
  <c r="D10" i="102"/>
  <c r="E10" i="102" s="1"/>
  <c r="D2" i="102"/>
  <c r="E2" i="102" s="1"/>
  <c r="H66" i="99"/>
  <c r="H67" i="99"/>
  <c r="H68" i="99"/>
  <c r="H69" i="99"/>
  <c r="H70" i="99"/>
  <c r="H71" i="99"/>
  <c r="H72" i="99"/>
  <c r="H73" i="99"/>
  <c r="H74" i="99"/>
  <c r="H75" i="99"/>
  <c r="H76" i="99"/>
  <c r="H77" i="99"/>
  <c r="H78" i="99"/>
  <c r="H79" i="99"/>
  <c r="H80" i="99"/>
  <c r="H81" i="99"/>
  <c r="H82" i="99"/>
  <c r="H83" i="99"/>
  <c r="H84" i="99"/>
  <c r="H85" i="99"/>
  <c r="H86" i="99"/>
  <c r="H87" i="99"/>
  <c r="H88" i="99"/>
  <c r="H89" i="99"/>
  <c r="H90" i="99"/>
  <c r="H91" i="99"/>
  <c r="H92" i="99"/>
  <c r="H93" i="99"/>
  <c r="H94" i="99"/>
  <c r="H95" i="99"/>
  <c r="H96" i="99"/>
  <c r="H97" i="99"/>
  <c r="H98" i="99"/>
  <c r="H99" i="99"/>
  <c r="H100" i="99"/>
  <c r="H101" i="99"/>
  <c r="H102" i="99"/>
  <c r="H103" i="99"/>
  <c r="H104" i="99"/>
  <c r="H105" i="99"/>
  <c r="H106" i="99"/>
  <c r="H107" i="99"/>
  <c r="H108" i="99"/>
  <c r="H109" i="99"/>
  <c r="H110" i="99"/>
  <c r="H111" i="99"/>
  <c r="H112" i="99"/>
  <c r="H113" i="99"/>
  <c r="H114" i="99"/>
  <c r="H115" i="99"/>
  <c r="H116" i="99"/>
  <c r="H117" i="99"/>
  <c r="H118" i="99"/>
  <c r="H119" i="99"/>
  <c r="H120" i="99"/>
  <c r="H121" i="99"/>
  <c r="H122" i="99"/>
  <c r="H123" i="99"/>
  <c r="H124" i="99"/>
  <c r="H125" i="99"/>
  <c r="H126" i="99"/>
  <c r="H127" i="99"/>
  <c r="H128" i="99"/>
  <c r="H129" i="99"/>
  <c r="H131" i="99"/>
  <c r="H132" i="99"/>
  <c r="H133" i="99"/>
  <c r="H134" i="99"/>
  <c r="H135" i="99"/>
  <c r="H136" i="99"/>
  <c r="H137" i="99"/>
  <c r="H138" i="99"/>
  <c r="H139" i="99"/>
  <c r="H140" i="99"/>
  <c r="H141" i="99"/>
  <c r="H142" i="99"/>
  <c r="H143" i="99"/>
  <c r="H144" i="99"/>
  <c r="H145" i="99"/>
  <c r="H146" i="99"/>
  <c r="H147" i="99"/>
  <c r="H148" i="99"/>
  <c r="H149" i="99"/>
  <c r="H150" i="99"/>
  <c r="H151" i="99"/>
  <c r="H152" i="99"/>
  <c r="H153" i="99"/>
  <c r="H154" i="99"/>
  <c r="H155" i="99"/>
  <c r="H156" i="99"/>
  <c r="H157" i="99"/>
  <c r="H158" i="99"/>
  <c r="H159" i="99"/>
  <c r="H160" i="99"/>
  <c r="H161" i="99"/>
  <c r="H162" i="99"/>
  <c r="H163" i="99"/>
  <c r="H164" i="99"/>
  <c r="H165" i="99"/>
  <c r="H166" i="99"/>
  <c r="H167" i="99"/>
  <c r="H168" i="99"/>
  <c r="H169" i="99"/>
  <c r="H170" i="99"/>
  <c r="H130" i="99"/>
  <c r="Q45" i="98"/>
  <c r="O45" i="98"/>
  <c r="Q44" i="98"/>
  <c r="O44" i="98"/>
  <c r="L44" i="98"/>
  <c r="E44" i="98"/>
  <c r="F44" i="98" s="1"/>
  <c r="B44" i="98"/>
  <c r="Q43" i="98"/>
  <c r="O43" i="98"/>
  <c r="L43" i="98"/>
  <c r="E43" i="98"/>
  <c r="F43" i="98" s="1"/>
  <c r="H43" i="98" s="1"/>
  <c r="J43" i="98" s="1"/>
  <c r="B43" i="98"/>
  <c r="Q42" i="98"/>
  <c r="O42" i="98"/>
  <c r="L42" i="98"/>
  <c r="E42" i="98"/>
  <c r="F42" i="98" s="1"/>
  <c r="H42" i="98" s="1"/>
  <c r="J42" i="98" s="1"/>
  <c r="B42" i="98"/>
  <c r="Q41" i="98"/>
  <c r="O41" i="98"/>
  <c r="L41" i="98"/>
  <c r="E41" i="98"/>
  <c r="F41" i="98" s="1"/>
  <c r="H41" i="98" s="1"/>
  <c r="J41" i="98" s="1"/>
  <c r="B41" i="98"/>
  <c r="Q40" i="98"/>
  <c r="O40" i="98"/>
  <c r="L40" i="98"/>
  <c r="E40" i="98"/>
  <c r="F40" i="98" s="1"/>
  <c r="H40" i="98" s="1"/>
  <c r="J40" i="98" s="1"/>
  <c r="B40" i="98"/>
  <c r="Q39" i="98"/>
  <c r="O39" i="98"/>
  <c r="L39" i="98"/>
  <c r="E39" i="98"/>
  <c r="F39" i="98" s="1"/>
  <c r="H39" i="98" s="1"/>
  <c r="J39" i="98" s="1"/>
  <c r="B39" i="98"/>
  <c r="Q38" i="98"/>
  <c r="O38" i="98"/>
  <c r="L38" i="98"/>
  <c r="E38" i="98"/>
  <c r="F38" i="98" s="1"/>
  <c r="H38" i="98" s="1"/>
  <c r="J38" i="98" s="1"/>
  <c r="B38" i="98"/>
  <c r="Q37" i="98"/>
  <c r="O37" i="98"/>
  <c r="L37" i="98"/>
  <c r="E37" i="98"/>
  <c r="F37" i="98" s="1"/>
  <c r="H37" i="98" s="1"/>
  <c r="J37" i="98" s="1"/>
  <c r="B37" i="98"/>
  <c r="Q36" i="98"/>
  <c r="O36" i="98"/>
  <c r="L36" i="98"/>
  <c r="E36" i="98"/>
  <c r="F36" i="98" s="1"/>
  <c r="H36" i="98" s="1"/>
  <c r="J36" i="98" s="1"/>
  <c r="B36" i="98"/>
  <c r="Q35" i="98"/>
  <c r="O35" i="98"/>
  <c r="L35" i="98"/>
  <c r="E35" i="98"/>
  <c r="F35" i="98" s="1"/>
  <c r="H35" i="98" s="1"/>
  <c r="J35" i="98" s="1"/>
  <c r="B35" i="98"/>
  <c r="Q34" i="98"/>
  <c r="O34" i="98"/>
  <c r="L34" i="98"/>
  <c r="E34" i="98"/>
  <c r="F34" i="98" s="1"/>
  <c r="H34" i="98" s="1"/>
  <c r="J34" i="98" s="1"/>
  <c r="B34" i="98"/>
  <c r="Q33" i="98"/>
  <c r="O33" i="98"/>
  <c r="L33" i="98"/>
  <c r="E33" i="98"/>
  <c r="F33" i="98" s="1"/>
  <c r="H33" i="98" s="1"/>
  <c r="J33" i="98" s="1"/>
  <c r="B33" i="98"/>
  <c r="Q32" i="98"/>
  <c r="O32" i="98"/>
  <c r="L32" i="98"/>
  <c r="E32" i="98"/>
  <c r="F32" i="98" s="1"/>
  <c r="H32" i="98" s="1"/>
  <c r="J32" i="98" s="1"/>
  <c r="B32" i="98"/>
  <c r="Q31" i="98"/>
  <c r="O31" i="98"/>
  <c r="L31" i="98"/>
  <c r="E31" i="98"/>
  <c r="F31" i="98" s="1"/>
  <c r="H31" i="98" s="1"/>
  <c r="J31" i="98" s="1"/>
  <c r="B31" i="98"/>
  <c r="Q30" i="98"/>
  <c r="O30" i="98"/>
  <c r="L30" i="98"/>
  <c r="E30" i="98"/>
  <c r="F30" i="98" s="1"/>
  <c r="H30" i="98" s="1"/>
  <c r="J30" i="98" s="1"/>
  <c r="B30" i="98"/>
  <c r="Q29" i="98"/>
  <c r="O29" i="98"/>
  <c r="L29" i="98"/>
  <c r="E29" i="98"/>
  <c r="F29" i="98" s="1"/>
  <c r="H29" i="98" s="1"/>
  <c r="J29" i="98" s="1"/>
  <c r="B29" i="98"/>
  <c r="Q28" i="98"/>
  <c r="O28" i="98"/>
  <c r="L28" i="98"/>
  <c r="E28" i="98"/>
  <c r="F28" i="98" s="1"/>
  <c r="H28" i="98" s="1"/>
  <c r="J28" i="98" s="1"/>
  <c r="B28" i="98"/>
  <c r="Q27" i="98"/>
  <c r="O27" i="98"/>
  <c r="L27" i="98"/>
  <c r="E27" i="98"/>
  <c r="F27" i="98" s="1"/>
  <c r="H27" i="98" s="1"/>
  <c r="J27" i="98" s="1"/>
  <c r="B27" i="98"/>
  <c r="Q26" i="98"/>
  <c r="O26" i="98"/>
  <c r="L26" i="98"/>
  <c r="E26" i="98"/>
  <c r="F26" i="98" s="1"/>
  <c r="H26" i="98" s="1"/>
  <c r="J26" i="98" s="1"/>
  <c r="B26" i="98"/>
  <c r="Q25" i="98"/>
  <c r="O25" i="98"/>
  <c r="L25" i="98"/>
  <c r="E25" i="98"/>
  <c r="F25" i="98" s="1"/>
  <c r="H25" i="98" s="1"/>
  <c r="J25" i="98" s="1"/>
  <c r="B25" i="98"/>
  <c r="Q24" i="98"/>
  <c r="O24" i="98"/>
  <c r="L24" i="98"/>
  <c r="E24" i="98"/>
  <c r="F24" i="98" s="1"/>
  <c r="H24" i="98" s="1"/>
  <c r="J24" i="98" s="1"/>
  <c r="B24" i="98"/>
  <c r="Q23" i="98"/>
  <c r="O23" i="98"/>
  <c r="L23" i="98"/>
  <c r="E23" i="98"/>
  <c r="F23" i="98" s="1"/>
  <c r="H23" i="98" s="1"/>
  <c r="J23" i="98" s="1"/>
  <c r="B23" i="98"/>
  <c r="Q22" i="98"/>
  <c r="O22" i="98"/>
  <c r="L22" i="98"/>
  <c r="E22" i="98"/>
  <c r="F22" i="98" s="1"/>
  <c r="H22" i="98" s="1"/>
  <c r="J22" i="98" s="1"/>
  <c r="B22" i="98"/>
  <c r="Q21" i="98"/>
  <c r="O21" i="98"/>
  <c r="L21" i="98"/>
  <c r="E21" i="98"/>
  <c r="F21" i="98" s="1"/>
  <c r="H21" i="98" s="1"/>
  <c r="J21" i="98" s="1"/>
  <c r="B21" i="98"/>
  <c r="Q20" i="98"/>
  <c r="O20" i="98"/>
  <c r="L20" i="98"/>
  <c r="E20" i="98"/>
  <c r="F20" i="98" s="1"/>
  <c r="H20" i="98" s="1"/>
  <c r="J20" i="98" s="1"/>
  <c r="B20" i="98"/>
  <c r="Q19" i="98"/>
  <c r="O19" i="98"/>
  <c r="L19" i="98"/>
  <c r="E19" i="98"/>
  <c r="F19" i="98" s="1"/>
  <c r="H19" i="98" s="1"/>
  <c r="J19" i="98" s="1"/>
  <c r="B19" i="98"/>
  <c r="Q18" i="98"/>
  <c r="O18" i="98"/>
  <c r="L18" i="98"/>
  <c r="E18" i="98"/>
  <c r="F18" i="98" s="1"/>
  <c r="H18" i="98" s="1"/>
  <c r="J18" i="98" s="1"/>
  <c r="B18" i="98"/>
  <c r="Q17" i="98"/>
  <c r="O17" i="98"/>
  <c r="L17" i="98"/>
  <c r="E17" i="98"/>
  <c r="F17" i="98" s="1"/>
  <c r="H17" i="98" s="1"/>
  <c r="J17" i="98" s="1"/>
  <c r="B17" i="98"/>
  <c r="Q16" i="98"/>
  <c r="O16" i="98"/>
  <c r="L16" i="98"/>
  <c r="E16" i="98"/>
  <c r="F16" i="98" s="1"/>
  <c r="H16" i="98" s="1"/>
  <c r="J16" i="98" s="1"/>
  <c r="B16" i="98"/>
  <c r="Q15" i="98"/>
  <c r="O15" i="98"/>
  <c r="L15" i="98"/>
  <c r="E15" i="98"/>
  <c r="F15" i="98" s="1"/>
  <c r="H15" i="98" s="1"/>
  <c r="J15" i="98" s="1"/>
  <c r="B15" i="98"/>
  <c r="Q14" i="98"/>
  <c r="O14" i="98"/>
  <c r="E14" i="98"/>
  <c r="F14" i="98" s="1"/>
  <c r="H14" i="98" s="1"/>
  <c r="J14" i="98" s="1"/>
  <c r="B14" i="98"/>
  <c r="Q13" i="98"/>
  <c r="O13" i="98"/>
  <c r="E13" i="98"/>
  <c r="F13" i="98" s="1"/>
  <c r="H13" i="98" s="1"/>
  <c r="J13" i="98" s="1"/>
  <c r="B13" i="98"/>
  <c r="Q12" i="98"/>
  <c r="O12" i="98"/>
  <c r="E12" i="98"/>
  <c r="F12" i="98" s="1"/>
  <c r="H12" i="98" s="1"/>
  <c r="J12" i="98" s="1"/>
  <c r="B12" i="98"/>
  <c r="Q11" i="98"/>
  <c r="O11" i="98"/>
  <c r="E11" i="98"/>
  <c r="F11" i="98" s="1"/>
  <c r="H11" i="98" s="1"/>
  <c r="J11" i="98" s="1"/>
  <c r="B11" i="98"/>
  <c r="Q10" i="98"/>
  <c r="O10" i="98"/>
  <c r="E10" i="98"/>
  <c r="F10" i="98" s="1"/>
  <c r="H10" i="98" s="1"/>
  <c r="J10" i="98" s="1"/>
  <c r="B10" i="98"/>
  <c r="O9" i="98"/>
  <c r="E9" i="98"/>
  <c r="F9" i="98" s="1"/>
  <c r="H9" i="98" s="1"/>
  <c r="J9" i="98" s="1"/>
  <c r="B9" i="98"/>
  <c r="O8" i="98"/>
  <c r="E8" i="98"/>
  <c r="F8" i="98" s="1"/>
  <c r="H8" i="98" s="1"/>
  <c r="J8" i="98" s="1"/>
  <c r="B8" i="98"/>
  <c r="O7" i="98"/>
  <c r="E7" i="98"/>
  <c r="F7" i="98" s="1"/>
  <c r="H7" i="98" s="1"/>
  <c r="J7" i="98" s="1"/>
  <c r="B7" i="98"/>
  <c r="O6" i="98"/>
  <c r="E6" i="98"/>
  <c r="F6" i="98" s="1"/>
  <c r="H6" i="98" s="1"/>
  <c r="J6" i="98" s="1"/>
  <c r="B6" i="98"/>
  <c r="O5" i="98"/>
  <c r="E5" i="98"/>
  <c r="F5" i="98" s="1"/>
  <c r="H5" i="98" s="1"/>
  <c r="J5" i="98" s="1"/>
  <c r="B5" i="98"/>
  <c r="H4" i="98"/>
  <c r="J4" i="98" s="1"/>
  <c r="CE47" i="96"/>
  <c r="CC47" i="96"/>
  <c r="CA47" i="96"/>
  <c r="CA48" i="96" s="1"/>
  <c r="CA49" i="96" s="1"/>
  <c r="CE47" i="93"/>
  <c r="CC47" i="93"/>
  <c r="CA48" i="93"/>
  <c r="CA49" i="93" s="1"/>
  <c r="FE55" i="97"/>
  <c r="FE56" i="97"/>
  <c r="FE57" i="97"/>
  <c r="ES55" i="97"/>
  <c r="DR47" i="97"/>
  <c r="DR48" i="97"/>
  <c r="DR49" i="97"/>
  <c r="DR50" i="97"/>
  <c r="DR51" i="97"/>
  <c r="DR52" i="97"/>
  <c r="DR53" i="97"/>
  <c r="DR54" i="97"/>
  <c r="DR55" i="97"/>
  <c r="DR56" i="97"/>
  <c r="DR57" i="97"/>
  <c r="DR58" i="97"/>
  <c r="DR59" i="97"/>
  <c r="DR60" i="97"/>
  <c r="DR61" i="97"/>
  <c r="DR62" i="97"/>
  <c r="DR63" i="97"/>
  <c r="DR64" i="97"/>
  <c r="DR65" i="97"/>
  <c r="DR66" i="97"/>
  <c r="DT47" i="97"/>
  <c r="DT48" i="97"/>
  <c r="DT49" i="97"/>
  <c r="DT50" i="97"/>
  <c r="DT51" i="97"/>
  <c r="DT52" i="97"/>
  <c r="DT53" i="97"/>
  <c r="DT54" i="97"/>
  <c r="DT55" i="97"/>
  <c r="DT56" i="97"/>
  <c r="DT57" i="97"/>
  <c r="DT58" i="97"/>
  <c r="DT59" i="97"/>
  <c r="DT60" i="97"/>
  <c r="DT61" i="97"/>
  <c r="DT62" i="97"/>
  <c r="DT63" i="97"/>
  <c r="DT64" i="97"/>
  <c r="DT65" i="97"/>
  <c r="DT66" i="97"/>
  <c r="DW47" i="97"/>
  <c r="DW48" i="97"/>
  <c r="DW49" i="97"/>
  <c r="DW50" i="97"/>
  <c r="DW51" i="97"/>
  <c r="DW52" i="97"/>
  <c r="DW53" i="97"/>
  <c r="DW54" i="97"/>
  <c r="DW55" i="97"/>
  <c r="DW56" i="97"/>
  <c r="DW57" i="97"/>
  <c r="DW58" i="97"/>
  <c r="DW59" i="97"/>
  <c r="DW60" i="97"/>
  <c r="DW61" i="97"/>
  <c r="DW62" i="97"/>
  <c r="DW63" i="97"/>
  <c r="DW64" i="97"/>
  <c r="DW65" i="97"/>
  <c r="DW66" i="97"/>
  <c r="DY47" i="97"/>
  <c r="DY48" i="97"/>
  <c r="DY49" i="97"/>
  <c r="DY50" i="97"/>
  <c r="DY51" i="97"/>
  <c r="DY52" i="97"/>
  <c r="DY53" i="97"/>
  <c r="DY54" i="97"/>
  <c r="DY55" i="97"/>
  <c r="DY56" i="97"/>
  <c r="DY57" i="97"/>
  <c r="DY58" i="97"/>
  <c r="DY59" i="97"/>
  <c r="DY60" i="97"/>
  <c r="DY61" i="97"/>
  <c r="DY62" i="97"/>
  <c r="DY63" i="97"/>
  <c r="DY64" i="97"/>
  <c r="DY65" i="97"/>
  <c r="DY66" i="97"/>
  <c r="FE48" i="97"/>
  <c r="FE49" i="97"/>
  <c r="FE50" i="97"/>
  <c r="FE51" i="97"/>
  <c r="FE52" i="97"/>
  <c r="FE53" i="97"/>
  <c r="FE54" i="97"/>
  <c r="FE58" i="97"/>
  <c r="FE59" i="97"/>
  <c r="FE60" i="97"/>
  <c r="FE61" i="97"/>
  <c r="FE62" i="97"/>
  <c r="FE63" i="97"/>
  <c r="FE64" i="97"/>
  <c r="FE65" i="97"/>
  <c r="FE66" i="97"/>
  <c r="FG47" i="97"/>
  <c r="FG48" i="97"/>
  <c r="FG49" i="97"/>
  <c r="FG50" i="97"/>
  <c r="FG51" i="97"/>
  <c r="FG52" i="97"/>
  <c r="FG53" i="97"/>
  <c r="FG54" i="97"/>
  <c r="FG55" i="97"/>
  <c r="FG56" i="97"/>
  <c r="FG57" i="97"/>
  <c r="FG58" i="97"/>
  <c r="FG59" i="97"/>
  <c r="FG60" i="97"/>
  <c r="FG61" i="97"/>
  <c r="FG62" i="97"/>
  <c r="FG63" i="97"/>
  <c r="FG64" i="97"/>
  <c r="FG65" i="97"/>
  <c r="FG66" i="97"/>
  <c r="FE47" i="97"/>
  <c r="EF47" i="97"/>
  <c r="CQ60" i="97"/>
  <c r="FH59" i="97"/>
  <c r="FH60" i="97" s="1"/>
  <c r="FH61" i="97" s="1"/>
  <c r="FH58" i="97"/>
  <c r="FF58" i="97"/>
  <c r="FF59" i="97" s="1"/>
  <c r="CQ58" i="97"/>
  <c r="CQ59" i="97" s="1"/>
  <c r="AQ58" i="97"/>
  <c r="AQ59" i="97" s="1"/>
  <c r="AP58" i="97"/>
  <c r="AT58" i="97" s="1"/>
  <c r="AU58" i="97" s="1"/>
  <c r="CT57" i="97"/>
  <c r="CP57" i="97"/>
  <c r="AT57" i="97"/>
  <c r="AP57" i="97"/>
  <c r="ES56" i="97"/>
  <c r="EY56" i="97" s="1"/>
  <c r="CT56" i="97"/>
  <c r="CP56" i="97"/>
  <c r="AP56" i="97"/>
  <c r="AT56" i="97" s="1"/>
  <c r="CV55" i="97"/>
  <c r="CT55" i="97"/>
  <c r="CU55" i="97" s="1"/>
  <c r="CP55" i="97"/>
  <c r="AP55" i="97"/>
  <c r="AT55" i="97" s="1"/>
  <c r="ES54" i="97"/>
  <c r="EY54" i="97" s="1"/>
  <c r="FB54" i="97" s="1"/>
  <c r="CU54" i="97"/>
  <c r="CP54" i="97"/>
  <c r="CT54" i="97" s="1"/>
  <c r="AV54" i="97"/>
  <c r="AT54" i="97"/>
  <c r="AU54" i="97" s="1"/>
  <c r="AP54" i="97"/>
  <c r="EY53" i="97"/>
  <c r="EX53" i="97"/>
  <c r="EW53" i="97"/>
  <c r="ES53" i="97"/>
  <c r="CT53" i="97"/>
  <c r="CP53" i="97"/>
  <c r="AT53" i="97"/>
  <c r="AP53" i="97"/>
  <c r="ES52" i="97"/>
  <c r="CW52" i="97"/>
  <c r="CV52" i="97"/>
  <c r="CU52" i="97"/>
  <c r="CP52" i="97"/>
  <c r="CT52" i="97" s="1"/>
  <c r="AT52" i="97"/>
  <c r="AP52" i="97"/>
  <c r="EZ51" i="97"/>
  <c r="EY51" i="97"/>
  <c r="FB51" i="97" s="1"/>
  <c r="EX51" i="97"/>
  <c r="EW51" i="97"/>
  <c r="ES51" i="97"/>
  <c r="CP51" i="97"/>
  <c r="CT51" i="97" s="1"/>
  <c r="AP51" i="97"/>
  <c r="AT51" i="97" s="1"/>
  <c r="EY50" i="97"/>
  <c r="EX50" i="97"/>
  <c r="EW50" i="97"/>
  <c r="ES50" i="97"/>
  <c r="CP50" i="97"/>
  <c r="CT50" i="97" s="1"/>
  <c r="AU50" i="97"/>
  <c r="AT50" i="97"/>
  <c r="AP50" i="97"/>
  <c r="EX49" i="97"/>
  <c r="ES49" i="97"/>
  <c r="CP49" i="97"/>
  <c r="CT49" i="97" s="1"/>
  <c r="AP49" i="97"/>
  <c r="AT49" i="97" s="1"/>
  <c r="FI48" i="97"/>
  <c r="EY48" i="97"/>
  <c r="EX48" i="97"/>
  <c r="EW48" i="97"/>
  <c r="ES48" i="97"/>
  <c r="CT48" i="97"/>
  <c r="CP48" i="97"/>
  <c r="BU48" i="97"/>
  <c r="BS48" i="97"/>
  <c r="BS49" i="97" s="1"/>
  <c r="AT48" i="97"/>
  <c r="AP48" i="97"/>
  <c r="ES47" i="97"/>
  <c r="CP47" i="97"/>
  <c r="CT47" i="97" s="1"/>
  <c r="BW47" i="97"/>
  <c r="BU47" i="97"/>
  <c r="BS47" i="97"/>
  <c r="AP47" i="97"/>
  <c r="AT47" i="97" s="1"/>
  <c r="FV46" i="97"/>
  <c r="FI46" i="97"/>
  <c r="EZ46" i="97"/>
  <c r="EY46" i="97"/>
  <c r="EX46" i="97"/>
  <c r="FA46" i="97" s="1"/>
  <c r="ES46" i="97"/>
  <c r="EW46" i="97" s="1"/>
  <c r="EH46" i="97"/>
  <c r="EG46" i="97"/>
  <c r="EF46" i="97"/>
  <c r="EE46" i="97"/>
  <c r="ED46" i="97"/>
  <c r="EC46" i="97"/>
  <c r="DY46" i="97"/>
  <c r="DW46" i="97"/>
  <c r="DM46" i="97"/>
  <c r="DL46" i="97"/>
  <c r="DG46" i="97"/>
  <c r="DO46" i="97" s="1"/>
  <c r="DF46" i="97"/>
  <c r="DN46" i="97" s="1"/>
  <c r="DE46" i="97"/>
  <c r="DD46" i="97"/>
  <c r="DC46" i="97"/>
  <c r="DK46" i="97" s="1"/>
  <c r="DB46" i="97"/>
  <c r="DJ46" i="97" s="1"/>
  <c r="CV46" i="97"/>
  <c r="CP46" i="97"/>
  <c r="CM46" i="97"/>
  <c r="CL46" i="97"/>
  <c r="CK46" i="97"/>
  <c r="CJ46" i="97"/>
  <c r="CI46" i="97"/>
  <c r="CU46" i="97" s="1"/>
  <c r="CH46" i="97"/>
  <c r="AX46" i="97"/>
  <c r="AP46" i="97"/>
  <c r="AM46" i="97"/>
  <c r="AY46" i="97" s="1"/>
  <c r="AL46" i="97"/>
  <c r="AK46" i="97"/>
  <c r="AJ46" i="97"/>
  <c r="AI46" i="97"/>
  <c r="AH46" i="97"/>
  <c r="FV45" i="97"/>
  <c r="FI45" i="97"/>
  <c r="EY45" i="97"/>
  <c r="EX45" i="97"/>
  <c r="ES45" i="97"/>
  <c r="EW45" i="97" s="1"/>
  <c r="EH45" i="97"/>
  <c r="EG45" i="97"/>
  <c r="EF45" i="97"/>
  <c r="EE45" i="97"/>
  <c r="ED45" i="97"/>
  <c r="EC45" i="97"/>
  <c r="DY45" i="97"/>
  <c r="DW45" i="97"/>
  <c r="EL45" i="97" s="1"/>
  <c r="DO45" i="97"/>
  <c r="DM45" i="97"/>
  <c r="DG45" i="97"/>
  <c r="DF45" i="97"/>
  <c r="DN45" i="97" s="1"/>
  <c r="DE45" i="97"/>
  <c r="DD45" i="97"/>
  <c r="DL45" i="97" s="1"/>
  <c r="DC45" i="97"/>
  <c r="DK45" i="97" s="1"/>
  <c r="DB45" i="97"/>
  <c r="DJ45" i="97" s="1"/>
  <c r="CV45" i="97"/>
  <c r="CT45" i="97"/>
  <c r="CP45" i="97"/>
  <c r="CM45" i="97"/>
  <c r="CL45" i="97"/>
  <c r="CK45" i="97"/>
  <c r="CJ45" i="97"/>
  <c r="CI45" i="97"/>
  <c r="CH45" i="97"/>
  <c r="AY45" i="97"/>
  <c r="AX45" i="97"/>
  <c r="AV45" i="97"/>
  <c r="AP45" i="97"/>
  <c r="AM45" i="97"/>
  <c r="AL45" i="97"/>
  <c r="AK45" i="97"/>
  <c r="AW46" i="97" s="1"/>
  <c r="AJ45" i="97"/>
  <c r="AI45" i="97"/>
  <c r="AU46" i="97" s="1"/>
  <c r="AH45" i="97"/>
  <c r="AT45" i="97" s="1"/>
  <c r="FV44" i="97"/>
  <c r="FI44" i="97"/>
  <c r="EX44" i="97"/>
  <c r="FA44" i="97" s="1"/>
  <c r="ES44" i="97"/>
  <c r="EH44" i="97"/>
  <c r="EG44" i="97"/>
  <c r="EF44" i="97"/>
  <c r="EE44" i="97"/>
  <c r="ED44" i="97"/>
  <c r="EC44" i="97"/>
  <c r="DY44" i="97"/>
  <c r="DW44" i="97"/>
  <c r="DO44" i="97"/>
  <c r="DM44" i="97"/>
  <c r="DJ44" i="97"/>
  <c r="DG44" i="97"/>
  <c r="DF44" i="97"/>
  <c r="DN44" i="97" s="1"/>
  <c r="DE44" i="97"/>
  <c r="DD44" i="97"/>
  <c r="DL44" i="97" s="1"/>
  <c r="DC44" i="97"/>
  <c r="DK44" i="97" s="1"/>
  <c r="DB44" i="97"/>
  <c r="CV44" i="97"/>
  <c r="CT44" i="97"/>
  <c r="CP44" i="97"/>
  <c r="CM44" i="97"/>
  <c r="CY44" i="97" s="1"/>
  <c r="CL44" i="97"/>
  <c r="CX44" i="97" s="1"/>
  <c r="CK44" i="97"/>
  <c r="CW44" i="97" s="1"/>
  <c r="CJ44" i="97"/>
  <c r="CI44" i="97"/>
  <c r="CH44" i="97"/>
  <c r="AY44" i="97"/>
  <c r="AP44" i="97"/>
  <c r="AM44" i="97"/>
  <c r="AL44" i="97"/>
  <c r="AK44" i="97"/>
  <c r="AW44" i="97" s="1"/>
  <c r="AJ44" i="97"/>
  <c r="AI44" i="97"/>
  <c r="AU44" i="97" s="1"/>
  <c r="AH44" i="97"/>
  <c r="FV43" i="97"/>
  <c r="FI43" i="97"/>
  <c r="EX43" i="97"/>
  <c r="FA43" i="97" s="1"/>
  <c r="ES43" i="97"/>
  <c r="EN43" i="97"/>
  <c r="EM43" i="97"/>
  <c r="EH43" i="97"/>
  <c r="EG43" i="97"/>
  <c r="EF43" i="97"/>
  <c r="EE43" i="97"/>
  <c r="ED43" i="97"/>
  <c r="EC43" i="97"/>
  <c r="DY43" i="97"/>
  <c r="DW43" i="97"/>
  <c r="EL43" i="97" s="1"/>
  <c r="DO43" i="97"/>
  <c r="DM43" i="97"/>
  <c r="DJ43" i="97"/>
  <c r="DG43" i="97"/>
  <c r="DF43" i="97"/>
  <c r="DN43" i="97" s="1"/>
  <c r="DE43" i="97"/>
  <c r="DD43" i="97"/>
  <c r="DL43" i="97" s="1"/>
  <c r="DC43" i="97"/>
  <c r="DK43" i="97" s="1"/>
  <c r="DB43" i="97"/>
  <c r="CX43" i="97"/>
  <c r="CV43" i="97"/>
  <c r="CT43" i="97"/>
  <c r="CP43" i="97"/>
  <c r="CM43" i="97"/>
  <c r="CY43" i="97" s="1"/>
  <c r="CL43" i="97"/>
  <c r="CK43" i="97"/>
  <c r="CJ43" i="97"/>
  <c r="CI43" i="97"/>
  <c r="CH43" i="97"/>
  <c r="AY43" i="97"/>
  <c r="AP43" i="97"/>
  <c r="AM43" i="97"/>
  <c r="AL43" i="97"/>
  <c r="AX43" i="97" s="1"/>
  <c r="AK43" i="97"/>
  <c r="AJ43" i="97"/>
  <c r="AV43" i="97" s="1"/>
  <c r="AI43" i="97"/>
  <c r="AU43" i="97" s="1"/>
  <c r="AH43" i="97"/>
  <c r="AT43" i="97" s="1"/>
  <c r="FV42" i="97"/>
  <c r="FI42" i="97"/>
  <c r="EX42" i="97"/>
  <c r="ES42" i="97"/>
  <c r="EN42" i="97"/>
  <c r="EH42" i="97"/>
  <c r="EG42" i="97"/>
  <c r="EF42" i="97"/>
  <c r="EE42" i="97"/>
  <c r="ED42" i="97"/>
  <c r="EC42" i="97"/>
  <c r="DY42" i="97"/>
  <c r="DW42" i="97"/>
  <c r="DO42" i="97"/>
  <c r="DM42" i="97"/>
  <c r="DK42" i="97"/>
  <c r="DJ42" i="97"/>
  <c r="DJ47" i="97" s="1"/>
  <c r="DG42" i="97"/>
  <c r="DF42" i="97"/>
  <c r="DN42" i="97" s="1"/>
  <c r="DE42" i="97"/>
  <c r="DD42" i="97"/>
  <c r="DL42" i="97" s="1"/>
  <c r="DL47" i="97" s="1"/>
  <c r="DC42" i="97"/>
  <c r="DB42" i="97"/>
  <c r="CY42" i="97"/>
  <c r="CX42" i="97"/>
  <c r="CV42" i="97"/>
  <c r="CT42" i="97"/>
  <c r="CP42" i="97"/>
  <c r="CM42" i="97"/>
  <c r="CL42" i="97"/>
  <c r="CK42" i="97"/>
  <c r="CJ42" i="97"/>
  <c r="CI42" i="97"/>
  <c r="CU42" i="97" s="1"/>
  <c r="CH42" i="97"/>
  <c r="AY42" i="97"/>
  <c r="AP42" i="97"/>
  <c r="AM42" i="97"/>
  <c r="AL42" i="97"/>
  <c r="AK42" i="97"/>
  <c r="AW42" i="97" s="1"/>
  <c r="AJ42" i="97"/>
  <c r="AV42" i="97" s="1"/>
  <c r="AI42" i="97"/>
  <c r="AU42" i="97" s="1"/>
  <c r="AH42" i="97"/>
  <c r="FV41" i="97"/>
  <c r="FI41" i="97"/>
  <c r="ES41" i="97"/>
  <c r="EP41" i="97"/>
  <c r="EO41" i="97"/>
  <c r="EM41" i="97"/>
  <c r="EH41" i="97"/>
  <c r="EG41" i="97"/>
  <c r="EF41" i="97"/>
  <c r="EE41" i="97"/>
  <c r="ED41" i="97"/>
  <c r="EC41" i="97"/>
  <c r="DY41" i="97"/>
  <c r="DW41" i="97"/>
  <c r="EL41" i="97" s="1"/>
  <c r="DO41" i="97"/>
  <c r="DM41" i="97"/>
  <c r="DL41" i="97"/>
  <c r="DK41" i="97"/>
  <c r="DG41" i="97"/>
  <c r="DF41" i="97"/>
  <c r="DN41" i="97" s="1"/>
  <c r="DE41" i="97"/>
  <c r="DD41" i="97"/>
  <c r="DC41" i="97"/>
  <c r="DB41" i="97"/>
  <c r="DJ41" i="97" s="1"/>
  <c r="CY41" i="97"/>
  <c r="CV41" i="97"/>
  <c r="CT41" i="97"/>
  <c r="CP41" i="97"/>
  <c r="CM41" i="97"/>
  <c r="CL41" i="97"/>
  <c r="CK41" i="97"/>
  <c r="CJ41" i="97"/>
  <c r="CI41" i="97"/>
  <c r="CH41" i="97"/>
  <c r="AY41" i="97"/>
  <c r="AP41" i="97"/>
  <c r="AM41" i="97"/>
  <c r="AL41" i="97"/>
  <c r="AX41" i="97" s="1"/>
  <c r="AK41" i="97"/>
  <c r="AW41" i="97" s="1"/>
  <c r="AJ41" i="97"/>
  <c r="AV41" i="97" s="1"/>
  <c r="AI41" i="97"/>
  <c r="AH41" i="97"/>
  <c r="FV40" i="97"/>
  <c r="FI40" i="97"/>
  <c r="ES40" i="97"/>
  <c r="EP40" i="97"/>
  <c r="EN40" i="97"/>
  <c r="EH40" i="97"/>
  <c r="EG40" i="97"/>
  <c r="EF40" i="97"/>
  <c r="EE40" i="97"/>
  <c r="ED40" i="97"/>
  <c r="EC40" i="97"/>
  <c r="DY40" i="97"/>
  <c r="DW40" i="97"/>
  <c r="EL40" i="97" s="1"/>
  <c r="DO40" i="97"/>
  <c r="DM40" i="97"/>
  <c r="DL40" i="97"/>
  <c r="DJ40" i="97"/>
  <c r="DG40" i="97"/>
  <c r="DF40" i="97"/>
  <c r="DN40" i="97" s="1"/>
  <c r="DE40" i="97"/>
  <c r="DD40" i="97"/>
  <c r="DC40" i="97"/>
  <c r="DK40" i="97" s="1"/>
  <c r="DB40" i="97"/>
  <c r="CX40" i="97"/>
  <c r="CV40" i="97"/>
  <c r="CT40" i="97"/>
  <c r="CP40" i="97"/>
  <c r="CM40" i="97"/>
  <c r="CY40" i="97" s="1"/>
  <c r="CL40" i="97"/>
  <c r="CX41" i="97" s="1"/>
  <c r="CK40" i="97"/>
  <c r="CW40" i="97" s="1"/>
  <c r="CJ40" i="97"/>
  <c r="CI40" i="97"/>
  <c r="CH40" i="97"/>
  <c r="AY40" i="97"/>
  <c r="AV40" i="97"/>
  <c r="AU40" i="97"/>
  <c r="AP40" i="97"/>
  <c r="AM40" i="97"/>
  <c r="AL40" i="97"/>
  <c r="AX40" i="97" s="1"/>
  <c r="AK40" i="97"/>
  <c r="AW40" i="97" s="1"/>
  <c r="AJ40" i="97"/>
  <c r="AI40" i="97"/>
  <c r="AU41" i="97" s="1"/>
  <c r="AH40" i="97"/>
  <c r="FV39" i="97"/>
  <c r="FI39" i="97"/>
  <c r="ES39" i="97"/>
  <c r="EP39" i="97"/>
  <c r="EO39" i="97"/>
  <c r="EN39" i="97"/>
  <c r="EM39" i="97"/>
  <c r="EH39" i="97"/>
  <c r="EG39" i="97"/>
  <c r="EF39" i="97"/>
  <c r="EE39" i="97"/>
  <c r="ED39" i="97"/>
  <c r="EC39" i="97"/>
  <c r="DY39" i="97"/>
  <c r="DW39" i="97"/>
  <c r="EL39" i="97" s="1"/>
  <c r="DM39" i="97"/>
  <c r="DL39" i="97"/>
  <c r="DJ39" i="97"/>
  <c r="DG39" i="97"/>
  <c r="DO39" i="97" s="1"/>
  <c r="DF39" i="97"/>
  <c r="DN39" i="97" s="1"/>
  <c r="DE39" i="97"/>
  <c r="DD39" i="97"/>
  <c r="DC39" i="97"/>
  <c r="DK39" i="97" s="1"/>
  <c r="DB39" i="97"/>
  <c r="CX39" i="97"/>
  <c r="CV39" i="97"/>
  <c r="CT39" i="97"/>
  <c r="CP39" i="97"/>
  <c r="CM39" i="97"/>
  <c r="CY39" i="97" s="1"/>
  <c r="CL39" i="97"/>
  <c r="CK39" i="97"/>
  <c r="CJ39" i="97"/>
  <c r="CI39" i="97"/>
  <c r="CU39" i="97" s="1"/>
  <c r="CH39" i="97"/>
  <c r="AY39" i="97"/>
  <c r="AV39" i="97"/>
  <c r="AU39" i="97"/>
  <c r="AP39" i="97"/>
  <c r="AM39" i="97"/>
  <c r="AL39" i="97"/>
  <c r="AX39" i="97" s="1"/>
  <c r="AK39" i="97"/>
  <c r="AW39" i="97" s="1"/>
  <c r="AJ39" i="97"/>
  <c r="AI39" i="97"/>
  <c r="AH39" i="97"/>
  <c r="FV38" i="97"/>
  <c r="FI38" i="97"/>
  <c r="ES38" i="97"/>
  <c r="EP38" i="97"/>
  <c r="EO38" i="97"/>
  <c r="EN38" i="97"/>
  <c r="EM38" i="97"/>
  <c r="EH38" i="97"/>
  <c r="EG38" i="97"/>
  <c r="EF38" i="97"/>
  <c r="EE38" i="97"/>
  <c r="ED38" i="97"/>
  <c r="EC38" i="97"/>
  <c r="DY38" i="97"/>
  <c r="DW38" i="97"/>
  <c r="EL38" i="97" s="1"/>
  <c r="DM38" i="97"/>
  <c r="DL38" i="97"/>
  <c r="DJ38" i="97"/>
  <c r="DG38" i="97"/>
  <c r="DO38" i="97" s="1"/>
  <c r="DF38" i="97"/>
  <c r="DN38" i="97" s="1"/>
  <c r="DE38" i="97"/>
  <c r="DD38" i="97"/>
  <c r="DC38" i="97"/>
  <c r="DK38" i="97" s="1"/>
  <c r="DB38" i="97"/>
  <c r="CX38" i="97"/>
  <c r="CV38" i="97"/>
  <c r="CT38" i="97"/>
  <c r="CP38" i="97"/>
  <c r="CM38" i="97"/>
  <c r="CY38" i="97" s="1"/>
  <c r="CL38" i="97"/>
  <c r="CK38" i="97"/>
  <c r="CJ38" i="97"/>
  <c r="CI38" i="97"/>
  <c r="CU38" i="97" s="1"/>
  <c r="CH38" i="97"/>
  <c r="AY38" i="97"/>
  <c r="AV38" i="97"/>
  <c r="AU38" i="97"/>
  <c r="AP38" i="97"/>
  <c r="AM38" i="97"/>
  <c r="AL38" i="97"/>
  <c r="AX38" i="97" s="1"/>
  <c r="AK38" i="97"/>
  <c r="AW38" i="97" s="1"/>
  <c r="AJ38" i="97"/>
  <c r="AI38" i="97"/>
  <c r="AH38" i="97"/>
  <c r="FV37" i="97"/>
  <c r="FI37" i="97"/>
  <c r="ES37" i="97"/>
  <c r="EP37" i="97"/>
  <c r="EO37" i="97"/>
  <c r="EN37" i="97"/>
  <c r="EM37" i="97"/>
  <c r="EH37" i="97"/>
  <c r="EG37" i="97"/>
  <c r="EF37" i="97"/>
  <c r="EE37" i="97"/>
  <c r="ED37" i="97"/>
  <c r="EC37" i="97"/>
  <c r="DY37" i="97"/>
  <c r="DW37" i="97"/>
  <c r="EL37" i="97" s="1"/>
  <c r="DM37" i="97"/>
  <c r="DL37" i="97"/>
  <c r="DG37" i="97"/>
  <c r="DO37" i="97" s="1"/>
  <c r="DF37" i="97"/>
  <c r="DN37" i="97" s="1"/>
  <c r="DE37" i="97"/>
  <c r="DD37" i="97"/>
  <c r="DC37" i="97"/>
  <c r="DK37" i="97" s="1"/>
  <c r="DB37" i="97"/>
  <c r="DJ37" i="97" s="1"/>
  <c r="CX37" i="97"/>
  <c r="CV37" i="97"/>
  <c r="CT37" i="97"/>
  <c r="CP37" i="97"/>
  <c r="CM37" i="97"/>
  <c r="CY37" i="97" s="1"/>
  <c r="CL37" i="97"/>
  <c r="CK37" i="97"/>
  <c r="CW37" i="97" s="1"/>
  <c r="CJ37" i="97"/>
  <c r="CI37" i="97"/>
  <c r="CH37" i="97"/>
  <c r="AY37" i="97"/>
  <c r="AV37" i="97"/>
  <c r="AU37" i="97"/>
  <c r="AP37" i="97"/>
  <c r="AM37" i="97"/>
  <c r="AL37" i="97"/>
  <c r="AX37" i="97" s="1"/>
  <c r="AK37" i="97"/>
  <c r="AW37" i="97" s="1"/>
  <c r="AJ37" i="97"/>
  <c r="AI37" i="97"/>
  <c r="AH37" i="97"/>
  <c r="FV36" i="97"/>
  <c r="FI36" i="97"/>
  <c r="ES36" i="97"/>
  <c r="EP36" i="97"/>
  <c r="EO36" i="97"/>
  <c r="EN36" i="97"/>
  <c r="EM36" i="97"/>
  <c r="EH36" i="97"/>
  <c r="EG36" i="97"/>
  <c r="EF36" i="97"/>
  <c r="EE36" i="97"/>
  <c r="ED36" i="97"/>
  <c r="EC36" i="97"/>
  <c r="DY36" i="97"/>
  <c r="DW36" i="97"/>
  <c r="EL36" i="97" s="1"/>
  <c r="DM36" i="97"/>
  <c r="DL36" i="97"/>
  <c r="DJ36" i="97"/>
  <c r="DG36" i="97"/>
  <c r="DO36" i="97" s="1"/>
  <c r="DF36" i="97"/>
  <c r="DN36" i="97" s="1"/>
  <c r="DE36" i="97"/>
  <c r="DD36" i="97"/>
  <c r="DC36" i="97"/>
  <c r="DK36" i="97" s="1"/>
  <c r="DB36" i="97"/>
  <c r="CX36" i="97"/>
  <c r="CP36" i="97"/>
  <c r="CM36" i="97"/>
  <c r="CY36" i="97" s="1"/>
  <c r="CL36" i="97"/>
  <c r="CK36" i="97"/>
  <c r="CW36" i="97" s="1"/>
  <c r="CJ36" i="97"/>
  <c r="CI36" i="97"/>
  <c r="CU36" i="97" s="1"/>
  <c r="CH36" i="97"/>
  <c r="AV36" i="97"/>
  <c r="AU36" i="97"/>
  <c r="AP36" i="97"/>
  <c r="AM36" i="97"/>
  <c r="AL36" i="97"/>
  <c r="AX36" i="97" s="1"/>
  <c r="AK36" i="97"/>
  <c r="AW36" i="97" s="1"/>
  <c r="AJ36" i="97"/>
  <c r="AI36" i="97"/>
  <c r="AH36" i="97"/>
  <c r="FV35" i="97"/>
  <c r="FI35" i="97"/>
  <c r="EY35" i="97"/>
  <c r="EW35" i="97"/>
  <c r="ES35" i="97"/>
  <c r="EX35" i="97" s="1"/>
  <c r="EP35" i="97"/>
  <c r="EM35" i="97"/>
  <c r="EL35" i="97"/>
  <c r="EH35" i="97"/>
  <c r="EG35" i="97"/>
  <c r="EF35" i="97"/>
  <c r="EE35" i="97"/>
  <c r="ED35" i="97"/>
  <c r="EC35" i="97"/>
  <c r="DY35" i="97"/>
  <c r="DW35" i="97"/>
  <c r="EO35" i="97" s="1"/>
  <c r="DO35" i="97"/>
  <c r="DN35" i="97"/>
  <c r="DJ35" i="97"/>
  <c r="DG35" i="97"/>
  <c r="DF35" i="97"/>
  <c r="DE35" i="97"/>
  <c r="DM35" i="97" s="1"/>
  <c r="DD35" i="97"/>
  <c r="DL35" i="97" s="1"/>
  <c r="DC35" i="97"/>
  <c r="DK35" i="97" s="1"/>
  <c r="DB35" i="97"/>
  <c r="CW35" i="97"/>
  <c r="CU35" i="97"/>
  <c r="CP35" i="97"/>
  <c r="CM35" i="97"/>
  <c r="CL35" i="97"/>
  <c r="CK35" i="97"/>
  <c r="CJ35" i="97"/>
  <c r="CI35" i="97"/>
  <c r="CH35" i="97"/>
  <c r="AX35" i="97"/>
  <c r="AT35" i="97"/>
  <c r="AP35" i="97"/>
  <c r="AM35" i="97"/>
  <c r="AL35" i="97"/>
  <c r="AK35" i="97"/>
  <c r="AW35" i="97" s="1"/>
  <c r="AJ35" i="97"/>
  <c r="AI35" i="97"/>
  <c r="AH35" i="97"/>
  <c r="FV34" i="97"/>
  <c r="FI34" i="97"/>
  <c r="EY34" i="97"/>
  <c r="EW34" i="97"/>
  <c r="ES34" i="97"/>
  <c r="EX34" i="97" s="1"/>
  <c r="EP34" i="97"/>
  <c r="EM34" i="97"/>
  <c r="EL34" i="97"/>
  <c r="EH34" i="97"/>
  <c r="EG34" i="97"/>
  <c r="EF34" i="97"/>
  <c r="EE34" i="97"/>
  <c r="ED34" i="97"/>
  <c r="EC34" i="97"/>
  <c r="DY34" i="97"/>
  <c r="DW34" i="97"/>
  <c r="EO34" i="97" s="1"/>
  <c r="DN34" i="97"/>
  <c r="DJ34" i="97"/>
  <c r="DG34" i="97"/>
  <c r="DO34" i="97" s="1"/>
  <c r="DF34" i="97"/>
  <c r="DE34" i="97"/>
  <c r="DM34" i="97" s="1"/>
  <c r="DD34" i="97"/>
  <c r="DL34" i="97" s="1"/>
  <c r="DC34" i="97"/>
  <c r="DK34" i="97" s="1"/>
  <c r="DB34" i="97"/>
  <c r="CW34" i="97"/>
  <c r="CU34" i="97"/>
  <c r="CP34" i="97"/>
  <c r="CM34" i="97"/>
  <c r="CY35" i="97" s="1"/>
  <c r="CL34" i="97"/>
  <c r="CX35" i="97" s="1"/>
  <c r="CK34" i="97"/>
  <c r="CJ34" i="97"/>
  <c r="CI34" i="97"/>
  <c r="CH34" i="97"/>
  <c r="CT34" i="97" s="1"/>
  <c r="AX34" i="97"/>
  <c r="AT34" i="97"/>
  <c r="AP34" i="97"/>
  <c r="AM34" i="97"/>
  <c r="AL34" i="97"/>
  <c r="AK34" i="97"/>
  <c r="AW34" i="97" s="1"/>
  <c r="AJ34" i="97"/>
  <c r="AV35" i="97" s="1"/>
  <c r="AI34" i="97"/>
  <c r="AU35" i="97" s="1"/>
  <c r="AH34" i="97"/>
  <c r="FV33" i="97"/>
  <c r="FI33" i="97"/>
  <c r="EY33" i="97"/>
  <c r="EW33" i="97"/>
  <c r="ES33" i="97"/>
  <c r="EX33" i="97" s="1"/>
  <c r="EP33" i="97"/>
  <c r="EM33" i="97"/>
  <c r="EL33" i="97"/>
  <c r="EH33" i="97"/>
  <c r="EG33" i="97"/>
  <c r="EF33" i="97"/>
  <c r="EE33" i="97"/>
  <c r="ED33" i="97"/>
  <c r="EC33" i="97"/>
  <c r="DY33" i="97"/>
  <c r="DW33" i="97"/>
  <c r="EO33" i="97" s="1"/>
  <c r="DO33" i="97"/>
  <c r="DN33" i="97"/>
  <c r="DJ33" i="97"/>
  <c r="DG33" i="97"/>
  <c r="DF33" i="97"/>
  <c r="DE33" i="97"/>
  <c r="DM33" i="97" s="1"/>
  <c r="DD33" i="97"/>
  <c r="DL33" i="97" s="1"/>
  <c r="DC33" i="97"/>
  <c r="DK33" i="97" s="1"/>
  <c r="DB33" i="97"/>
  <c r="CW33" i="97"/>
  <c r="CU33" i="97"/>
  <c r="CP33" i="97"/>
  <c r="CM33" i="97"/>
  <c r="CY34" i="97" s="1"/>
  <c r="CL33" i="97"/>
  <c r="CX34" i="97" s="1"/>
  <c r="CK33" i="97"/>
  <c r="CJ33" i="97"/>
  <c r="CV33" i="97" s="1"/>
  <c r="CI33" i="97"/>
  <c r="CH33" i="97"/>
  <c r="AX33" i="97"/>
  <c r="AT33" i="97"/>
  <c r="AP33" i="97"/>
  <c r="AM33" i="97"/>
  <c r="AY33" i="97" s="1"/>
  <c r="AL33" i="97"/>
  <c r="AK33" i="97"/>
  <c r="AW33" i="97" s="1"/>
  <c r="AJ33" i="97"/>
  <c r="AV34" i="97" s="1"/>
  <c r="AI33" i="97"/>
  <c r="AU34" i="97" s="1"/>
  <c r="AH33" i="97"/>
  <c r="FV32" i="97"/>
  <c r="FI32" i="97"/>
  <c r="EY32" i="97"/>
  <c r="EW32" i="97"/>
  <c r="ES32" i="97"/>
  <c r="EX32" i="97" s="1"/>
  <c r="FA32" i="97" s="1"/>
  <c r="EP32" i="97"/>
  <c r="EM32" i="97"/>
  <c r="EL32" i="97"/>
  <c r="EH32" i="97"/>
  <c r="EG32" i="97"/>
  <c r="EF32" i="97"/>
  <c r="EE32" i="97"/>
  <c r="ED32" i="97"/>
  <c r="EC32" i="97"/>
  <c r="DY32" i="97"/>
  <c r="DW32" i="97"/>
  <c r="EO32" i="97" s="1"/>
  <c r="DN32" i="97"/>
  <c r="DJ32" i="97"/>
  <c r="DG32" i="97"/>
  <c r="DO32" i="97" s="1"/>
  <c r="DF32" i="97"/>
  <c r="DE32" i="97"/>
  <c r="DM32" i="97" s="1"/>
  <c r="DD32" i="97"/>
  <c r="DL32" i="97" s="1"/>
  <c r="DC32" i="97"/>
  <c r="DK32" i="97" s="1"/>
  <c r="DB32" i="97"/>
  <c r="CW32" i="97"/>
  <c r="CU32" i="97"/>
  <c r="CP32" i="97"/>
  <c r="CM32" i="97"/>
  <c r="CY33" i="97" s="1"/>
  <c r="CL32" i="97"/>
  <c r="CX33" i="97" s="1"/>
  <c r="CK32" i="97"/>
  <c r="CJ32" i="97"/>
  <c r="CI32" i="97"/>
  <c r="CH32" i="97"/>
  <c r="CT32" i="97" s="1"/>
  <c r="AX32" i="97"/>
  <c r="AT32" i="97"/>
  <c r="AP32" i="97"/>
  <c r="AM32" i="97"/>
  <c r="AL32" i="97"/>
  <c r="AK32" i="97"/>
  <c r="AW32" i="97" s="1"/>
  <c r="AJ32" i="97"/>
  <c r="AV33" i="97" s="1"/>
  <c r="AI32" i="97"/>
  <c r="AU33" i="97" s="1"/>
  <c r="AH32" i="97"/>
  <c r="FV31" i="97"/>
  <c r="FI31" i="97"/>
  <c r="EY31" i="97"/>
  <c r="EW31" i="97"/>
  <c r="ES31" i="97"/>
  <c r="EX31" i="97" s="1"/>
  <c r="EP31" i="97"/>
  <c r="EM31" i="97"/>
  <c r="EL31" i="97"/>
  <c r="EH31" i="97"/>
  <c r="EG31" i="97"/>
  <c r="EF31" i="97"/>
  <c r="EE31" i="97"/>
  <c r="ED31" i="97"/>
  <c r="EC31" i="97"/>
  <c r="DY31" i="97"/>
  <c r="DW31" i="97"/>
  <c r="EO31" i="97" s="1"/>
  <c r="DO31" i="97"/>
  <c r="DN31" i="97"/>
  <c r="DJ31" i="97"/>
  <c r="DG31" i="97"/>
  <c r="DF31" i="97"/>
  <c r="DE31" i="97"/>
  <c r="DM31" i="97" s="1"/>
  <c r="DD31" i="97"/>
  <c r="DL31" i="97" s="1"/>
  <c r="DC31" i="97"/>
  <c r="DK31" i="97" s="1"/>
  <c r="DB31" i="97"/>
  <c r="CW31" i="97"/>
  <c r="CU31" i="97"/>
  <c r="CP31" i="97"/>
  <c r="CM31" i="97"/>
  <c r="CY32" i="97" s="1"/>
  <c r="CL31" i="97"/>
  <c r="CX32" i="97" s="1"/>
  <c r="CK31" i="97"/>
  <c r="CJ31" i="97"/>
  <c r="CV31" i="97" s="1"/>
  <c r="CI31" i="97"/>
  <c r="CH31" i="97"/>
  <c r="AX31" i="97"/>
  <c r="AT31" i="97"/>
  <c r="AP31" i="97"/>
  <c r="AM31" i="97"/>
  <c r="AY31" i="97" s="1"/>
  <c r="AL31" i="97"/>
  <c r="AK31" i="97"/>
  <c r="AW31" i="97" s="1"/>
  <c r="AJ31" i="97"/>
  <c r="AV32" i="97" s="1"/>
  <c r="AI31" i="97"/>
  <c r="AU32" i="97" s="1"/>
  <c r="AH31" i="97"/>
  <c r="FV30" i="97"/>
  <c r="FI30" i="97"/>
  <c r="EY30" i="97"/>
  <c r="EW30" i="97"/>
  <c r="ES30" i="97"/>
  <c r="EX30" i="97" s="1"/>
  <c r="FA30" i="97" s="1"/>
  <c r="EP30" i="97"/>
  <c r="EM30" i="97"/>
  <c r="EL30" i="97"/>
  <c r="EH30" i="97"/>
  <c r="EG30" i="97"/>
  <c r="EF30" i="97"/>
  <c r="EE30" i="97"/>
  <c r="ED30" i="97"/>
  <c r="EC30" i="97"/>
  <c r="DY30" i="97"/>
  <c r="DW30" i="97"/>
  <c r="EO30" i="97" s="1"/>
  <c r="DN30" i="97"/>
  <c r="DJ30" i="97"/>
  <c r="DG30" i="97"/>
  <c r="DO30" i="97" s="1"/>
  <c r="DF30" i="97"/>
  <c r="DE30" i="97"/>
  <c r="DM30" i="97" s="1"/>
  <c r="DD30" i="97"/>
  <c r="DL30" i="97" s="1"/>
  <c r="DC30" i="97"/>
  <c r="DK30" i="97" s="1"/>
  <c r="DB30" i="97"/>
  <c r="CW30" i="97"/>
  <c r="CU30" i="97"/>
  <c r="CP30" i="97"/>
  <c r="CM30" i="97"/>
  <c r="CY31" i="97" s="1"/>
  <c r="CL30" i="97"/>
  <c r="CX31" i="97" s="1"/>
  <c r="CK30" i="97"/>
  <c r="CJ30" i="97"/>
  <c r="CI30" i="97"/>
  <c r="CH30" i="97"/>
  <c r="CT30" i="97" s="1"/>
  <c r="AX30" i="97"/>
  <c r="AT30" i="97"/>
  <c r="AP30" i="97"/>
  <c r="AM30" i="97"/>
  <c r="AL30" i="97"/>
  <c r="AK30" i="97"/>
  <c r="AJ30" i="97"/>
  <c r="AV31" i="97" s="1"/>
  <c r="AI30" i="97"/>
  <c r="AU31" i="97" s="1"/>
  <c r="AH30" i="97"/>
  <c r="FV29" i="97"/>
  <c r="FI29" i="97"/>
  <c r="EY29" i="97"/>
  <c r="EW29" i="97"/>
  <c r="ES29" i="97"/>
  <c r="EX29" i="97" s="1"/>
  <c r="FA29" i="97" s="1"/>
  <c r="EP29" i="97"/>
  <c r="EM29" i="97"/>
  <c r="EL29" i="97"/>
  <c r="EH29" i="97"/>
  <c r="EG29" i="97"/>
  <c r="EF29" i="97"/>
  <c r="EE29" i="97"/>
  <c r="ED29" i="97"/>
  <c r="EC29" i="97"/>
  <c r="DY29" i="97"/>
  <c r="DW29" i="97"/>
  <c r="EO29" i="97" s="1"/>
  <c r="DO29" i="97"/>
  <c r="DN29" i="97"/>
  <c r="DM29" i="97"/>
  <c r="DJ29" i="97"/>
  <c r="DG29" i="97"/>
  <c r="DF29" i="97"/>
  <c r="DE29" i="97"/>
  <c r="DD29" i="97"/>
  <c r="DL29" i="97" s="1"/>
  <c r="DC29" i="97"/>
  <c r="DK29" i="97" s="1"/>
  <c r="DB29" i="97"/>
  <c r="CU29" i="97"/>
  <c r="CP29" i="97"/>
  <c r="CM29" i="97"/>
  <c r="CY30" i="97" s="1"/>
  <c r="CL29" i="97"/>
  <c r="CX30" i="97" s="1"/>
  <c r="CK29" i="97"/>
  <c r="CJ29" i="97"/>
  <c r="CI29" i="97"/>
  <c r="CH29" i="97"/>
  <c r="CT29" i="97" s="1"/>
  <c r="AP29" i="97"/>
  <c r="AM29" i="97"/>
  <c r="AL29" i="97"/>
  <c r="AK29" i="97"/>
  <c r="AW29" i="97" s="1"/>
  <c r="AJ29" i="97"/>
  <c r="AV30" i="97" s="1"/>
  <c r="AI29" i="97"/>
  <c r="AU30" i="97" s="1"/>
  <c r="AH29" i="97"/>
  <c r="FV28" i="97"/>
  <c r="FI28" i="97"/>
  <c r="EY28" i="97"/>
  <c r="EW28" i="97"/>
  <c r="ES28" i="97"/>
  <c r="EX28" i="97" s="1"/>
  <c r="EP28" i="97"/>
  <c r="EM28" i="97"/>
  <c r="EL28" i="97"/>
  <c r="EH28" i="97"/>
  <c r="EG28" i="97"/>
  <c r="EF28" i="97"/>
  <c r="EE28" i="97"/>
  <c r="ED28" i="97"/>
  <c r="EC28" i="97"/>
  <c r="DY28" i="97"/>
  <c r="DW28" i="97"/>
  <c r="EO28" i="97" s="1"/>
  <c r="DO28" i="97"/>
  <c r="DN28" i="97"/>
  <c r="DM28" i="97"/>
  <c r="DJ28" i="97"/>
  <c r="DG28" i="97"/>
  <c r="DF28" i="97"/>
  <c r="DE28" i="97"/>
  <c r="DD28" i="97"/>
  <c r="DL28" i="97" s="1"/>
  <c r="DC28" i="97"/>
  <c r="DK28" i="97" s="1"/>
  <c r="DB28" i="97"/>
  <c r="CX28" i="97"/>
  <c r="CP28" i="97"/>
  <c r="CM28" i="97"/>
  <c r="CY29" i="97" s="1"/>
  <c r="CL28" i="97"/>
  <c r="CX29" i="97" s="1"/>
  <c r="CK28" i="97"/>
  <c r="CW29" i="97" s="1"/>
  <c r="CJ28" i="97"/>
  <c r="CV28" i="97" s="1"/>
  <c r="CI28" i="97"/>
  <c r="CH28" i="97"/>
  <c r="AP28" i="97"/>
  <c r="AM28" i="97"/>
  <c r="AL28" i="97"/>
  <c r="AX29" i="97" s="1"/>
  <c r="AK28" i="97"/>
  <c r="AJ28" i="97"/>
  <c r="AV29" i="97" s="1"/>
  <c r="AI28" i="97"/>
  <c r="AU29" i="97" s="1"/>
  <c r="AH28" i="97"/>
  <c r="AT29" i="97" s="1"/>
  <c r="FV27" i="97"/>
  <c r="FI27" i="97"/>
  <c r="ES27" i="97"/>
  <c r="EX27" i="97" s="1"/>
  <c r="EH27" i="97"/>
  <c r="EG27" i="97"/>
  <c r="EF27" i="97"/>
  <c r="EE27" i="97"/>
  <c r="ED27" i="97"/>
  <c r="EC27" i="97"/>
  <c r="DY27" i="97"/>
  <c r="DW27" i="97"/>
  <c r="DK27" i="97"/>
  <c r="DJ27" i="97"/>
  <c r="DG27" i="97"/>
  <c r="DO27" i="97" s="1"/>
  <c r="DF27" i="97"/>
  <c r="DN27" i="97" s="1"/>
  <c r="DE27" i="97"/>
  <c r="DM27" i="97" s="1"/>
  <c r="DD27" i="97"/>
  <c r="DL27" i="97" s="1"/>
  <c r="DC27" i="97"/>
  <c r="DB27" i="97"/>
  <c r="CU27" i="97"/>
  <c r="CP27" i="97"/>
  <c r="CM27" i="97"/>
  <c r="CY28" i="97" s="1"/>
  <c r="CL27" i="97"/>
  <c r="CK27" i="97"/>
  <c r="CW28" i="97" s="1"/>
  <c r="CJ27" i="97"/>
  <c r="CV27" i="97" s="1"/>
  <c r="CI27" i="97"/>
  <c r="CU28" i="97" s="1"/>
  <c r="CH27" i="97"/>
  <c r="AP27" i="97"/>
  <c r="AM27" i="97"/>
  <c r="AL27" i="97"/>
  <c r="AX27" i="97" s="1"/>
  <c r="AK27" i="97"/>
  <c r="AJ27" i="97"/>
  <c r="AV28" i="97" s="1"/>
  <c r="AI27" i="97"/>
  <c r="AU28" i="97" s="1"/>
  <c r="AH27" i="97"/>
  <c r="AT28" i="97" s="1"/>
  <c r="FV26" i="97"/>
  <c r="FI26" i="97"/>
  <c r="EY26" i="97"/>
  <c r="FB26" i="97" s="1"/>
  <c r="EW26" i="97"/>
  <c r="ES26" i="97"/>
  <c r="EX26" i="97" s="1"/>
  <c r="FA26" i="97" s="1"/>
  <c r="EM26" i="97"/>
  <c r="EL26" i="97"/>
  <c r="EH26" i="97"/>
  <c r="EG26" i="97"/>
  <c r="EF26" i="97"/>
  <c r="EE26" i="97"/>
  <c r="ED26" i="97"/>
  <c r="EC26" i="97"/>
  <c r="DY26" i="97"/>
  <c r="DW26" i="97"/>
  <c r="EO26" i="97" s="1"/>
  <c r="DO26" i="97"/>
  <c r="DN26" i="97"/>
  <c r="DK26" i="97"/>
  <c r="DJ26" i="97"/>
  <c r="DG26" i="97"/>
  <c r="DF26" i="97"/>
  <c r="DE26" i="97"/>
  <c r="DM26" i="97" s="1"/>
  <c r="DD26" i="97"/>
  <c r="DL26" i="97" s="1"/>
  <c r="DC26" i="97"/>
  <c r="DB26" i="97"/>
  <c r="CU26" i="97"/>
  <c r="CP26" i="97"/>
  <c r="CM26" i="97"/>
  <c r="CY26" i="97" s="1"/>
  <c r="CL26" i="97"/>
  <c r="CX27" i="97" s="1"/>
  <c r="CK26" i="97"/>
  <c r="CW27" i="97" s="1"/>
  <c r="CJ26" i="97"/>
  <c r="CV26" i="97" s="1"/>
  <c r="CI26" i="97"/>
  <c r="CH26" i="97"/>
  <c r="AP26" i="97"/>
  <c r="AM26" i="97"/>
  <c r="AY26" i="97" s="1"/>
  <c r="AL26" i="97"/>
  <c r="AX26" i="97" s="1"/>
  <c r="AK26" i="97"/>
  <c r="AW27" i="97" s="1"/>
  <c r="AJ26" i="97"/>
  <c r="AV26" i="97" s="1"/>
  <c r="AI26" i="97"/>
  <c r="AU27" i="97" s="1"/>
  <c r="AH26" i="97"/>
  <c r="AT27" i="97" s="1"/>
  <c r="FV25" i="97"/>
  <c r="FI25" i="97"/>
  <c r="EY25" i="97"/>
  <c r="FB25" i="97" s="1"/>
  <c r="EW25" i="97"/>
  <c r="ES25" i="97"/>
  <c r="EX25" i="97" s="1"/>
  <c r="EM25" i="97"/>
  <c r="EL25" i="97"/>
  <c r="EH25" i="97"/>
  <c r="EG25" i="97"/>
  <c r="EF25" i="97"/>
  <c r="EE25" i="97"/>
  <c r="ED25" i="97"/>
  <c r="EC25" i="97"/>
  <c r="DY25" i="97"/>
  <c r="DW25" i="97"/>
  <c r="EO25" i="97" s="1"/>
  <c r="DO25" i="97"/>
  <c r="DN25" i="97"/>
  <c r="DK25" i="97"/>
  <c r="DJ25" i="97"/>
  <c r="DG25" i="97"/>
  <c r="DF25" i="97"/>
  <c r="DE25" i="97"/>
  <c r="DM25" i="97" s="1"/>
  <c r="DD25" i="97"/>
  <c r="DL25" i="97" s="1"/>
  <c r="DC25" i="97"/>
  <c r="DB25" i="97"/>
  <c r="CU25" i="97"/>
  <c r="CP25" i="97"/>
  <c r="CM25" i="97"/>
  <c r="CY25" i="97" s="1"/>
  <c r="CL25" i="97"/>
  <c r="CX26" i="97" s="1"/>
  <c r="CK25" i="97"/>
  <c r="CW26" i="97" s="1"/>
  <c r="CJ25" i="97"/>
  <c r="CV25" i="97" s="1"/>
  <c r="CI25" i="97"/>
  <c r="CH25" i="97"/>
  <c r="AP25" i="97"/>
  <c r="AM25" i="97"/>
  <c r="AL25" i="97"/>
  <c r="AX25" i="97" s="1"/>
  <c r="AK25" i="97"/>
  <c r="AW26" i="97" s="1"/>
  <c r="AJ25" i="97"/>
  <c r="AV25" i="97" s="1"/>
  <c r="AI25" i="97"/>
  <c r="AU26" i="97" s="1"/>
  <c r="AH25" i="97"/>
  <c r="AT26" i="97" s="1"/>
  <c r="FV24" i="97"/>
  <c r="FI24" i="97"/>
  <c r="EY24" i="97"/>
  <c r="FB24" i="97" s="1"/>
  <c r="EW24" i="97"/>
  <c r="ES24" i="97"/>
  <c r="EX24" i="97" s="1"/>
  <c r="FA24" i="97" s="1"/>
  <c r="EM24" i="97"/>
  <c r="EL24" i="97"/>
  <c r="EH24" i="97"/>
  <c r="EG24" i="97"/>
  <c r="EF24" i="97"/>
  <c r="EE24" i="97"/>
  <c r="ED24" i="97"/>
  <c r="EC24" i="97"/>
  <c r="DY24" i="97"/>
  <c r="DW24" i="97"/>
  <c r="EO24" i="97" s="1"/>
  <c r="DO24" i="97"/>
  <c r="DN24" i="97"/>
  <c r="DK24" i="97"/>
  <c r="DJ24" i="97"/>
  <c r="DG24" i="97"/>
  <c r="DF24" i="97"/>
  <c r="DE24" i="97"/>
  <c r="DM24" i="97" s="1"/>
  <c r="DD24" i="97"/>
  <c r="DL24" i="97" s="1"/>
  <c r="DC24" i="97"/>
  <c r="DB24" i="97"/>
  <c r="CU24" i="97"/>
  <c r="CP24" i="97"/>
  <c r="CM24" i="97"/>
  <c r="CY24" i="97" s="1"/>
  <c r="CL24" i="97"/>
  <c r="CX25" i="97" s="1"/>
  <c r="CK24" i="97"/>
  <c r="CW25" i="97" s="1"/>
  <c r="CJ24" i="97"/>
  <c r="CV24" i="97" s="1"/>
  <c r="CI24" i="97"/>
  <c r="CH24" i="97"/>
  <c r="CT24" i="97" s="1"/>
  <c r="AP24" i="97"/>
  <c r="AM24" i="97"/>
  <c r="AY24" i="97" s="1"/>
  <c r="AL24" i="97"/>
  <c r="AX24" i="97" s="1"/>
  <c r="AK24" i="97"/>
  <c r="AW25" i="97" s="1"/>
  <c r="AJ24" i="97"/>
  <c r="AV24" i="97" s="1"/>
  <c r="AI24" i="97"/>
  <c r="AU25" i="97" s="1"/>
  <c r="AH24" i="97"/>
  <c r="AT25" i="97" s="1"/>
  <c r="FV23" i="97"/>
  <c r="FI23" i="97"/>
  <c r="EY23" i="97"/>
  <c r="FB23" i="97" s="1"/>
  <c r="EW23" i="97"/>
  <c r="FL24" i="97" s="1"/>
  <c r="ES23" i="97"/>
  <c r="EX23" i="97" s="1"/>
  <c r="EM23" i="97"/>
  <c r="EL23" i="97"/>
  <c r="EH23" i="97"/>
  <c r="EG23" i="97"/>
  <c r="EF23" i="97"/>
  <c r="EE23" i="97"/>
  <c r="ED23" i="97"/>
  <c r="EC23" i="97"/>
  <c r="DY23" i="97"/>
  <c r="DW23" i="97"/>
  <c r="EO23" i="97" s="1"/>
  <c r="DO23" i="97"/>
  <c r="DN23" i="97"/>
  <c r="DK23" i="97"/>
  <c r="DJ23" i="97"/>
  <c r="DG23" i="97"/>
  <c r="DF23" i="97"/>
  <c r="DE23" i="97"/>
  <c r="DM23" i="97" s="1"/>
  <c r="DD23" i="97"/>
  <c r="DL23" i="97" s="1"/>
  <c r="DC23" i="97"/>
  <c r="DB23" i="97"/>
  <c r="CU23" i="97"/>
  <c r="CP23" i="97"/>
  <c r="CM23" i="97"/>
  <c r="CY23" i="97" s="1"/>
  <c r="CL23" i="97"/>
  <c r="CX24" i="97" s="1"/>
  <c r="CK23" i="97"/>
  <c r="CW24" i="97" s="1"/>
  <c r="CJ23" i="97"/>
  <c r="CV23" i="97" s="1"/>
  <c r="CI23" i="97"/>
  <c r="CH23" i="97"/>
  <c r="AP23" i="97"/>
  <c r="AM23" i="97"/>
  <c r="AL23" i="97"/>
  <c r="AX23" i="97" s="1"/>
  <c r="AK23" i="97"/>
  <c r="AW24" i="97" s="1"/>
  <c r="AJ23" i="97"/>
  <c r="AV23" i="97" s="1"/>
  <c r="AI23" i="97"/>
  <c r="AU24" i="97" s="1"/>
  <c r="AH23" i="97"/>
  <c r="AT24" i="97" s="1"/>
  <c r="FV22" i="97"/>
  <c r="FI22" i="97"/>
  <c r="EY22" i="97"/>
  <c r="FB22" i="97" s="1"/>
  <c r="EW22" i="97"/>
  <c r="ES22" i="97"/>
  <c r="EX22" i="97" s="1"/>
  <c r="EM22" i="97"/>
  <c r="EL22" i="97"/>
  <c r="EH22" i="97"/>
  <c r="EG22" i="97"/>
  <c r="EF22" i="97"/>
  <c r="EE22" i="97"/>
  <c r="ED22" i="97"/>
  <c r="EC22" i="97"/>
  <c r="DY22" i="97"/>
  <c r="DW22" i="97"/>
  <c r="EO22" i="97" s="1"/>
  <c r="DO22" i="97"/>
  <c r="DN22" i="97"/>
  <c r="DK22" i="97"/>
  <c r="DJ22" i="97"/>
  <c r="DG22" i="97"/>
  <c r="DF22" i="97"/>
  <c r="DE22" i="97"/>
  <c r="DM22" i="97" s="1"/>
  <c r="DD22" i="97"/>
  <c r="DL22" i="97" s="1"/>
  <c r="DC22" i="97"/>
  <c r="DB22" i="97"/>
  <c r="CX22" i="97"/>
  <c r="CU22" i="97"/>
  <c r="CP22" i="97"/>
  <c r="CM22" i="97"/>
  <c r="CY22" i="97" s="1"/>
  <c r="CL22" i="97"/>
  <c r="CX23" i="97" s="1"/>
  <c r="CK22" i="97"/>
  <c r="CW23" i="97" s="1"/>
  <c r="CJ22" i="97"/>
  <c r="CV22" i="97" s="1"/>
  <c r="CI22" i="97"/>
  <c r="CH22" i="97"/>
  <c r="AU22" i="97"/>
  <c r="AP22" i="97"/>
  <c r="AM22" i="97"/>
  <c r="AL22" i="97"/>
  <c r="AX22" i="97" s="1"/>
  <c r="AK22" i="97"/>
  <c r="AW23" i="97" s="1"/>
  <c r="AJ22" i="97"/>
  <c r="AV22" i="97" s="1"/>
  <c r="AI22" i="97"/>
  <c r="AU23" i="97" s="1"/>
  <c r="AH22" i="97"/>
  <c r="AT23" i="97" s="1"/>
  <c r="FV21" i="97"/>
  <c r="FI21" i="97"/>
  <c r="EY21" i="97"/>
  <c r="FB21" i="97" s="1"/>
  <c r="EW21" i="97"/>
  <c r="FL22" i="97" s="1"/>
  <c r="ES21" i="97"/>
  <c r="EX21" i="97" s="1"/>
  <c r="EM21" i="97"/>
  <c r="EL21" i="97"/>
  <c r="EH21" i="97"/>
  <c r="EG21" i="97"/>
  <c r="EF21" i="97"/>
  <c r="EE21" i="97"/>
  <c r="ED21" i="97"/>
  <c r="EC21" i="97"/>
  <c r="DY21" i="97"/>
  <c r="DW21" i="97"/>
  <c r="EO21" i="97" s="1"/>
  <c r="DO21" i="97"/>
  <c r="DN21" i="97"/>
  <c r="DK21" i="97"/>
  <c r="DJ21" i="97"/>
  <c r="DG21" i="97"/>
  <c r="DF21" i="97"/>
  <c r="DE21" i="97"/>
  <c r="DM21" i="97" s="1"/>
  <c r="DD21" i="97"/>
  <c r="DL21" i="97" s="1"/>
  <c r="DC21" i="97"/>
  <c r="DB21" i="97"/>
  <c r="CX21" i="97"/>
  <c r="CU21" i="97"/>
  <c r="CP21" i="97"/>
  <c r="CM21" i="97"/>
  <c r="CY21" i="97" s="1"/>
  <c r="CL21" i="97"/>
  <c r="CK21" i="97"/>
  <c r="CW22" i="97" s="1"/>
  <c r="CJ21" i="97"/>
  <c r="CV21" i="97" s="1"/>
  <c r="CI21" i="97"/>
  <c r="CH21" i="97"/>
  <c r="AU21" i="97"/>
  <c r="AP21" i="97"/>
  <c r="AM21" i="97"/>
  <c r="AL21" i="97"/>
  <c r="AX21" i="97" s="1"/>
  <c r="AK21" i="97"/>
  <c r="AW22" i="97" s="1"/>
  <c r="AJ21" i="97"/>
  <c r="AV21" i="97" s="1"/>
  <c r="AI21" i="97"/>
  <c r="AH21" i="97"/>
  <c r="AT22" i="97" s="1"/>
  <c r="FV20" i="97"/>
  <c r="FI20" i="97"/>
  <c r="EY20" i="97"/>
  <c r="FB20" i="97" s="1"/>
  <c r="EW20" i="97"/>
  <c r="ES20" i="97"/>
  <c r="EX20" i="97" s="1"/>
  <c r="FA20" i="97" s="1"/>
  <c r="EM20" i="97"/>
  <c r="EL20" i="97"/>
  <c r="EH20" i="97"/>
  <c r="EG20" i="97"/>
  <c r="EF20" i="97"/>
  <c r="EE20" i="97"/>
  <c r="ED20" i="97"/>
  <c r="EC20" i="97"/>
  <c r="DY20" i="97"/>
  <c r="DW20" i="97"/>
  <c r="EO20" i="97" s="1"/>
  <c r="DO20" i="97"/>
  <c r="DE20" i="97"/>
  <c r="DM20" i="97" s="1"/>
  <c r="CP20" i="97"/>
  <c r="CM20" i="97"/>
  <c r="CL20" i="97"/>
  <c r="CK20" i="97"/>
  <c r="CW21" i="97" s="1"/>
  <c r="CJ20" i="97"/>
  <c r="CV20" i="97" s="1"/>
  <c r="CI20" i="97"/>
  <c r="CH20" i="97"/>
  <c r="CT20" i="97" s="1"/>
  <c r="AP20" i="97"/>
  <c r="AM20" i="97"/>
  <c r="AL20" i="97"/>
  <c r="AX20" i="97" s="1"/>
  <c r="AK20" i="97"/>
  <c r="AW21" i="97" s="1"/>
  <c r="AJ20" i="97"/>
  <c r="AI20" i="97"/>
  <c r="AH20" i="97"/>
  <c r="AT21" i="97" s="1"/>
  <c r="FV19" i="97"/>
  <c r="FI19" i="97"/>
  <c r="EY19" i="97"/>
  <c r="FB19" i="97" s="1"/>
  <c r="EW19" i="97"/>
  <c r="FL20" i="97" s="1"/>
  <c r="ES19" i="97"/>
  <c r="EX19" i="97" s="1"/>
  <c r="EL19" i="97"/>
  <c r="EH19" i="97"/>
  <c r="EC19" i="97"/>
  <c r="DY19" i="97"/>
  <c r="DW19" i="97"/>
  <c r="DE19" i="97"/>
  <c r="DM19" i="97" s="1"/>
  <c r="CP19" i="97"/>
  <c r="CK19" i="97"/>
  <c r="CW20" i="97" s="1"/>
  <c r="CJ19" i="97"/>
  <c r="CV19" i="97" s="1"/>
  <c r="CH19" i="97"/>
  <c r="CE19" i="97"/>
  <c r="CD19" i="97"/>
  <c r="CC19" i="97"/>
  <c r="CB19" i="97"/>
  <c r="CA19" i="97"/>
  <c r="BZ19" i="97"/>
  <c r="BW19" i="97"/>
  <c r="CM19" i="97" s="1"/>
  <c r="BV19" i="97"/>
  <c r="BU19" i="97"/>
  <c r="EF19" i="97" s="1"/>
  <c r="BT19" i="97"/>
  <c r="EE19" i="97" s="1"/>
  <c r="BS19" i="97"/>
  <c r="ED19" i="97" s="1"/>
  <c r="BR19" i="97"/>
  <c r="AP19" i="97"/>
  <c r="AL19" i="97"/>
  <c r="AK19" i="97"/>
  <c r="AW20" i="97" s="1"/>
  <c r="AI19" i="97"/>
  <c r="AE19" i="97"/>
  <c r="DG20" i="97" s="1"/>
  <c r="AD19" i="97"/>
  <c r="DF20" i="97" s="1"/>
  <c r="DN20" i="97" s="1"/>
  <c r="AC19" i="97"/>
  <c r="AB19" i="97"/>
  <c r="DD20" i="97" s="1"/>
  <c r="DL20" i="97" s="1"/>
  <c r="AA19" i="97"/>
  <c r="DC20" i="97" s="1"/>
  <c r="DK20" i="97" s="1"/>
  <c r="Z19" i="97"/>
  <c r="DB20" i="97" s="1"/>
  <c r="DJ20" i="97" s="1"/>
  <c r="W19" i="97"/>
  <c r="V19" i="97"/>
  <c r="EO19" i="97" s="1"/>
  <c r="U19" i="97"/>
  <c r="EN19" i="97" s="1"/>
  <c r="T19" i="97"/>
  <c r="EM19" i="97" s="1"/>
  <c r="FL19" i="97" s="1"/>
  <c r="S19" i="97"/>
  <c r="R19" i="97"/>
  <c r="EK19" i="97" s="1"/>
  <c r="FV18" i="97"/>
  <c r="FI18" i="97"/>
  <c r="EY18" i="97"/>
  <c r="FB18" i="97" s="1"/>
  <c r="EW18" i="97"/>
  <c r="ES18" i="97"/>
  <c r="EX18" i="97" s="1"/>
  <c r="FA18" i="97" s="1"/>
  <c r="EL18" i="97"/>
  <c r="EH18" i="97"/>
  <c r="EC18" i="97"/>
  <c r="DY18" i="97"/>
  <c r="DW18" i="97"/>
  <c r="DE18" i="97"/>
  <c r="DM18" i="97" s="1"/>
  <c r="CP18" i="97"/>
  <c r="CK18" i="97"/>
  <c r="CW19" i="97" s="1"/>
  <c r="CJ18" i="97"/>
  <c r="CV18" i="97" s="1"/>
  <c r="CH18" i="97"/>
  <c r="CT18" i="97" s="1"/>
  <c r="CE18" i="97"/>
  <c r="CD18" i="97"/>
  <c r="CC18" i="97"/>
  <c r="CB18" i="97"/>
  <c r="CA18" i="97"/>
  <c r="BZ18" i="97"/>
  <c r="BW18" i="97"/>
  <c r="CM18" i="97" s="1"/>
  <c r="BV18" i="97"/>
  <c r="BU18" i="97"/>
  <c r="EF18" i="97" s="1"/>
  <c r="BT18" i="97"/>
  <c r="EE18" i="97" s="1"/>
  <c r="BS18" i="97"/>
  <c r="ED18" i="97" s="1"/>
  <c r="BR18" i="97"/>
  <c r="AP18" i="97"/>
  <c r="AL18" i="97"/>
  <c r="AX19" i="97" s="1"/>
  <c r="AK18" i="97"/>
  <c r="AW18" i="97" s="1"/>
  <c r="AI18" i="97"/>
  <c r="AE18" i="97"/>
  <c r="DG19" i="97" s="1"/>
  <c r="DO19" i="97" s="1"/>
  <c r="AD18" i="97"/>
  <c r="DF18" i="97" s="1"/>
  <c r="DN18" i="97" s="1"/>
  <c r="AC18" i="97"/>
  <c r="AB18" i="97"/>
  <c r="DD18" i="97" s="1"/>
  <c r="DL18" i="97" s="1"/>
  <c r="AA18" i="97"/>
  <c r="DC18" i="97" s="1"/>
  <c r="DK18" i="97" s="1"/>
  <c r="Z18" i="97"/>
  <c r="DB18" i="97" s="1"/>
  <c r="DJ18" i="97" s="1"/>
  <c r="W18" i="97"/>
  <c r="V18" i="97"/>
  <c r="EO18" i="97" s="1"/>
  <c r="U18" i="97"/>
  <c r="EN18" i="97" s="1"/>
  <c r="T18" i="97"/>
  <c r="EM18" i="97" s="1"/>
  <c r="FL18" i="97" s="1"/>
  <c r="S18" i="97"/>
  <c r="R18" i="97"/>
  <c r="EK18" i="97" s="1"/>
  <c r="FV17" i="97"/>
  <c r="FI17" i="97"/>
  <c r="EY17" i="97"/>
  <c r="FB17" i="97" s="1"/>
  <c r="EW17" i="97"/>
  <c r="ES17" i="97"/>
  <c r="EX17" i="97" s="1"/>
  <c r="EL17" i="97"/>
  <c r="EH17" i="97"/>
  <c r="DY17" i="97"/>
  <c r="DW17" i="97"/>
  <c r="DE17" i="97"/>
  <c r="DM17" i="97" s="1"/>
  <c r="CP17" i="97"/>
  <c r="CJ17" i="97"/>
  <c r="CV17" i="97" s="1"/>
  <c r="CH17" i="97"/>
  <c r="CE17" i="97"/>
  <c r="CD17" i="97"/>
  <c r="CC17" i="97"/>
  <c r="CB17" i="97"/>
  <c r="CA17" i="97"/>
  <c r="BZ17" i="97"/>
  <c r="BW17" i="97"/>
  <c r="CM17" i="97" s="1"/>
  <c r="CY17" i="97" s="1"/>
  <c r="BV17" i="97"/>
  <c r="BU17" i="97"/>
  <c r="CK17" i="97" s="1"/>
  <c r="BT17" i="97"/>
  <c r="EE17" i="97" s="1"/>
  <c r="BS17" i="97"/>
  <c r="ED17" i="97" s="1"/>
  <c r="BR17" i="97"/>
  <c r="EC17" i="97" s="1"/>
  <c r="AP17" i="97"/>
  <c r="AK17" i="97"/>
  <c r="AW17" i="97" s="1"/>
  <c r="AI17" i="97"/>
  <c r="AE17" i="97"/>
  <c r="DG18" i="97" s="1"/>
  <c r="DO18" i="97" s="1"/>
  <c r="AD17" i="97"/>
  <c r="DF17" i="97" s="1"/>
  <c r="DN17" i="97" s="1"/>
  <c r="AC17" i="97"/>
  <c r="AB17" i="97"/>
  <c r="DD17" i="97" s="1"/>
  <c r="DL17" i="97" s="1"/>
  <c r="AA17" i="97"/>
  <c r="DC17" i="97" s="1"/>
  <c r="DK17" i="97" s="1"/>
  <c r="Z17" i="97"/>
  <c r="DB17" i="97" s="1"/>
  <c r="DJ17" i="97" s="1"/>
  <c r="W17" i="97"/>
  <c r="V17" i="97"/>
  <c r="EO17" i="97" s="1"/>
  <c r="U17" i="97"/>
  <c r="EN17" i="97" s="1"/>
  <c r="T17" i="97"/>
  <c r="EM17" i="97" s="1"/>
  <c r="FL17" i="97" s="1"/>
  <c r="S17" i="97"/>
  <c r="R17" i="97"/>
  <c r="EK17" i="97" s="1"/>
  <c r="FV16" i="97"/>
  <c r="FI16" i="97"/>
  <c r="EY16" i="97"/>
  <c r="FB16" i="97" s="1"/>
  <c r="EW16" i="97"/>
  <c r="ES16" i="97"/>
  <c r="EX16" i="97" s="1"/>
  <c r="FA16" i="97" s="1"/>
  <c r="EL16" i="97"/>
  <c r="EH16" i="97"/>
  <c r="DY16" i="97"/>
  <c r="DW16" i="97"/>
  <c r="DO16" i="97"/>
  <c r="DE16" i="97"/>
  <c r="DM16" i="97" s="1"/>
  <c r="CP16" i="97"/>
  <c r="CJ16" i="97"/>
  <c r="CV16" i="97" s="1"/>
  <c r="CH16" i="97"/>
  <c r="CE16" i="97"/>
  <c r="CD16" i="97"/>
  <c r="CC16" i="97"/>
  <c r="CB16" i="97"/>
  <c r="CA16" i="97"/>
  <c r="BZ16" i="97"/>
  <c r="BW16" i="97"/>
  <c r="CM16" i="97" s="1"/>
  <c r="BV16" i="97"/>
  <c r="BU16" i="97"/>
  <c r="CK16" i="97" s="1"/>
  <c r="BT16" i="97"/>
  <c r="EE16" i="97" s="1"/>
  <c r="BS16" i="97"/>
  <c r="ED16" i="97" s="1"/>
  <c r="BR16" i="97"/>
  <c r="EC16" i="97" s="1"/>
  <c r="AP16" i="97"/>
  <c r="AK16" i="97"/>
  <c r="AW16" i="97" s="1"/>
  <c r="AI16" i="97"/>
  <c r="AE16" i="97"/>
  <c r="DG17" i="97" s="1"/>
  <c r="DO17" i="97" s="1"/>
  <c r="AD16" i="97"/>
  <c r="DF16" i="97" s="1"/>
  <c r="DN16" i="97" s="1"/>
  <c r="AC16" i="97"/>
  <c r="AB16" i="97"/>
  <c r="DD16" i="97" s="1"/>
  <c r="DL16" i="97" s="1"/>
  <c r="AA16" i="97"/>
  <c r="DC16" i="97" s="1"/>
  <c r="DK16" i="97" s="1"/>
  <c r="Z16" i="97"/>
  <c r="DB16" i="97" s="1"/>
  <c r="DJ16" i="97" s="1"/>
  <c r="W16" i="97"/>
  <c r="V16" i="97"/>
  <c r="EO16" i="97" s="1"/>
  <c r="U16" i="97"/>
  <c r="EN16" i="97" s="1"/>
  <c r="T16" i="97"/>
  <c r="EM16" i="97" s="1"/>
  <c r="FL16" i="97" s="1"/>
  <c r="S16" i="97"/>
  <c r="R16" i="97"/>
  <c r="EK16" i="97" s="1"/>
  <c r="FV15" i="97"/>
  <c r="FI15" i="97"/>
  <c r="EY15" i="97"/>
  <c r="FB15" i="97" s="1"/>
  <c r="EW15" i="97"/>
  <c r="ES15" i="97"/>
  <c r="EX15" i="97" s="1"/>
  <c r="EL15" i="97"/>
  <c r="EH15" i="97"/>
  <c r="DY15" i="97"/>
  <c r="DW15" i="97"/>
  <c r="DE15" i="97"/>
  <c r="DM15" i="97" s="1"/>
  <c r="CP15" i="97"/>
  <c r="CJ15" i="97"/>
  <c r="CH15" i="97"/>
  <c r="CE15" i="97"/>
  <c r="CD15" i="97"/>
  <c r="CC15" i="97"/>
  <c r="CB15" i="97"/>
  <c r="CA15" i="97"/>
  <c r="BZ15" i="97"/>
  <c r="BW15" i="97"/>
  <c r="CM15" i="97" s="1"/>
  <c r="CY15" i="97" s="1"/>
  <c r="BV15" i="97"/>
  <c r="BU15" i="97"/>
  <c r="CK15" i="97" s="1"/>
  <c r="BT15" i="97"/>
  <c r="EE15" i="97" s="1"/>
  <c r="BS15" i="97"/>
  <c r="ED15" i="97" s="1"/>
  <c r="BR15" i="97"/>
  <c r="EC15" i="97" s="1"/>
  <c r="AP15" i="97"/>
  <c r="AK15" i="97"/>
  <c r="AI15" i="97"/>
  <c r="AE15" i="97"/>
  <c r="DG16" i="97" s="1"/>
  <c r="AD15" i="97"/>
  <c r="DF15" i="97" s="1"/>
  <c r="DN15" i="97" s="1"/>
  <c r="AC15" i="97"/>
  <c r="AB15" i="97"/>
  <c r="DD15" i="97" s="1"/>
  <c r="DL15" i="97" s="1"/>
  <c r="AA15" i="97"/>
  <c r="DC15" i="97" s="1"/>
  <c r="DK15" i="97" s="1"/>
  <c r="Z15" i="97"/>
  <c r="DB15" i="97" s="1"/>
  <c r="DJ15" i="97" s="1"/>
  <c r="W15" i="97"/>
  <c r="V15" i="97"/>
  <c r="EO15" i="97" s="1"/>
  <c r="U15" i="97"/>
  <c r="EN15" i="97" s="1"/>
  <c r="T15" i="97"/>
  <c r="EM15" i="97" s="1"/>
  <c r="FL15" i="97" s="1"/>
  <c r="S15" i="97"/>
  <c r="R15" i="97"/>
  <c r="EK15" i="97" s="1"/>
  <c r="FV14" i="97"/>
  <c r="FI14" i="97"/>
  <c r="EY14" i="97"/>
  <c r="FB14" i="97" s="1"/>
  <c r="EW14" i="97"/>
  <c r="ES14" i="97"/>
  <c r="EX14" i="97" s="1"/>
  <c r="FA14" i="97" s="1"/>
  <c r="EL14" i="97"/>
  <c r="EH14" i="97"/>
  <c r="DY14" i="97"/>
  <c r="DW14" i="97"/>
  <c r="DE14" i="97"/>
  <c r="DM14" i="97" s="1"/>
  <c r="DC14" i="97"/>
  <c r="DK14" i="97" s="1"/>
  <c r="CP14" i="97"/>
  <c r="CH14" i="97"/>
  <c r="CE14" i="97"/>
  <c r="CD14" i="97"/>
  <c r="CC14" i="97"/>
  <c r="CB14" i="97"/>
  <c r="CA14" i="97"/>
  <c r="BZ14" i="97"/>
  <c r="BW14" i="97"/>
  <c r="CM14" i="97" s="1"/>
  <c r="BV14" i="97"/>
  <c r="BU14" i="97"/>
  <c r="CK14" i="97" s="1"/>
  <c r="BT14" i="97"/>
  <c r="EE14" i="97" s="1"/>
  <c r="BS14" i="97"/>
  <c r="ED14" i="97" s="1"/>
  <c r="BR14" i="97"/>
  <c r="EC14" i="97" s="1"/>
  <c r="AP14" i="97"/>
  <c r="AI14" i="97"/>
  <c r="AE14" i="97"/>
  <c r="DG15" i="97" s="1"/>
  <c r="DO15" i="97" s="1"/>
  <c r="AD14" i="97"/>
  <c r="DF14" i="97" s="1"/>
  <c r="DN14" i="97" s="1"/>
  <c r="AC14" i="97"/>
  <c r="AB14" i="97"/>
  <c r="DD14" i="97" s="1"/>
  <c r="DL14" i="97" s="1"/>
  <c r="AA14" i="97"/>
  <c r="Z14" i="97"/>
  <c r="DB14" i="97" s="1"/>
  <c r="DJ14" i="97" s="1"/>
  <c r="W14" i="97"/>
  <c r="V14" i="97"/>
  <c r="EO14" i="97" s="1"/>
  <c r="U14" i="97"/>
  <c r="EN14" i="97" s="1"/>
  <c r="T14" i="97"/>
  <c r="EM14" i="97" s="1"/>
  <c r="FL14" i="97" s="1"/>
  <c r="S14" i="97"/>
  <c r="R14" i="97"/>
  <c r="EK14" i="97" s="1"/>
  <c r="FV13" i="97"/>
  <c r="FI13" i="97"/>
  <c r="EY13" i="97"/>
  <c r="FB13" i="97" s="1"/>
  <c r="EW13" i="97"/>
  <c r="ES13" i="97"/>
  <c r="EX13" i="97" s="1"/>
  <c r="EL13" i="97"/>
  <c r="EH13" i="97"/>
  <c r="EF13" i="97"/>
  <c r="DY13" i="97"/>
  <c r="DW13" i="97"/>
  <c r="CP13" i="97"/>
  <c r="CH13" i="97"/>
  <c r="CE13" i="97"/>
  <c r="CD13" i="97"/>
  <c r="CC13" i="97"/>
  <c r="CB13" i="97"/>
  <c r="CA13" i="97"/>
  <c r="BZ13" i="97"/>
  <c r="BW13" i="97"/>
  <c r="CM13" i="97" s="1"/>
  <c r="BV13" i="97"/>
  <c r="BU13" i="97"/>
  <c r="CK13" i="97" s="1"/>
  <c r="BT13" i="97"/>
  <c r="EE13" i="97" s="1"/>
  <c r="BS13" i="97"/>
  <c r="ED13" i="97" s="1"/>
  <c r="BR13" i="97"/>
  <c r="EC13" i="97" s="1"/>
  <c r="AP13" i="97"/>
  <c r="AI13" i="97"/>
  <c r="AE13" i="97"/>
  <c r="DG13" i="97" s="1"/>
  <c r="DO13" i="97" s="1"/>
  <c r="AD13" i="97"/>
  <c r="DF13" i="97" s="1"/>
  <c r="DN13" i="97" s="1"/>
  <c r="AC13" i="97"/>
  <c r="AB13" i="97"/>
  <c r="DD13" i="97" s="1"/>
  <c r="DL13" i="97" s="1"/>
  <c r="AA13" i="97"/>
  <c r="Z13" i="97"/>
  <c r="DB13" i="97" s="1"/>
  <c r="DJ13" i="97" s="1"/>
  <c r="W13" i="97"/>
  <c r="V13" i="97"/>
  <c r="EO13" i="97" s="1"/>
  <c r="U13" i="97"/>
  <c r="EN13" i="97" s="1"/>
  <c r="T13" i="97"/>
  <c r="EM13" i="97" s="1"/>
  <c r="S13" i="97"/>
  <c r="R13" i="97"/>
  <c r="EK13" i="97" s="1"/>
  <c r="FV12" i="97"/>
  <c r="FA12" i="97"/>
  <c r="EY12" i="97"/>
  <c r="FB12" i="97" s="1"/>
  <c r="ES12" i="97"/>
  <c r="EX12" i="97" s="1"/>
  <c r="EN12" i="97"/>
  <c r="ED12" i="97"/>
  <c r="DY12" i="97"/>
  <c r="DW12" i="97"/>
  <c r="CP12" i="97"/>
  <c r="CL12" i="97"/>
  <c r="CE12" i="97"/>
  <c r="CD12" i="97"/>
  <c r="CC12" i="97"/>
  <c r="CB12" i="97"/>
  <c r="CJ12" i="97" s="1"/>
  <c r="CA12" i="97"/>
  <c r="BZ12" i="97"/>
  <c r="BW12" i="97"/>
  <c r="EH12" i="97" s="1"/>
  <c r="BV12" i="97"/>
  <c r="EG12" i="97" s="1"/>
  <c r="BU12" i="97"/>
  <c r="EF12" i="97" s="1"/>
  <c r="BT12" i="97"/>
  <c r="EE12" i="97" s="1"/>
  <c r="BS12" i="97"/>
  <c r="CI12" i="97" s="1"/>
  <c r="BR12" i="97"/>
  <c r="AP12" i="97"/>
  <c r="AM12" i="97"/>
  <c r="AY12" i="97" s="1"/>
  <c r="AK12" i="97"/>
  <c r="AE12" i="97"/>
  <c r="AD12" i="97"/>
  <c r="DF12" i="97" s="1"/>
  <c r="DN12" i="97" s="1"/>
  <c r="AC12" i="97"/>
  <c r="DE12" i="97" s="1"/>
  <c r="DM12" i="97" s="1"/>
  <c r="AB12" i="97"/>
  <c r="DD12" i="97" s="1"/>
  <c r="DL12" i="97" s="1"/>
  <c r="AA12" i="97"/>
  <c r="Z12" i="97"/>
  <c r="DB12" i="97" s="1"/>
  <c r="DJ12" i="97" s="1"/>
  <c r="W12" i="97"/>
  <c r="EP12" i="97" s="1"/>
  <c r="V12" i="97"/>
  <c r="EO12" i="97" s="1"/>
  <c r="U12" i="97"/>
  <c r="T12" i="97"/>
  <c r="AJ12" i="97" s="1"/>
  <c r="S12" i="97"/>
  <c r="R12" i="97"/>
  <c r="EK12" i="97" s="1"/>
  <c r="FV11" i="97"/>
  <c r="EY11" i="97"/>
  <c r="EX11" i="97"/>
  <c r="FA11" i="97" s="1"/>
  <c r="EW11" i="97"/>
  <c r="ES11" i="97"/>
  <c r="EH11" i="97"/>
  <c r="EF11" i="97"/>
  <c r="DY11" i="97"/>
  <c r="DW11" i="97"/>
  <c r="CP11" i="97"/>
  <c r="CH11" i="97"/>
  <c r="CE11" i="97"/>
  <c r="CD11" i="97"/>
  <c r="CC11" i="97"/>
  <c r="CB11" i="97"/>
  <c r="CA11" i="97"/>
  <c r="BZ11" i="97"/>
  <c r="BW11" i="97"/>
  <c r="CM11" i="97" s="1"/>
  <c r="BV11" i="97"/>
  <c r="BU11" i="97"/>
  <c r="CK11" i="97" s="1"/>
  <c r="BT11" i="97"/>
  <c r="BS11" i="97"/>
  <c r="ED11" i="97" s="1"/>
  <c r="BR11" i="97"/>
  <c r="EC11" i="97" s="1"/>
  <c r="AP11" i="97"/>
  <c r="AI11" i="97"/>
  <c r="AE11" i="97"/>
  <c r="AD11" i="97"/>
  <c r="DF11" i="97" s="1"/>
  <c r="DN11" i="97" s="1"/>
  <c r="AC11" i="97"/>
  <c r="AB11" i="97"/>
  <c r="DD11" i="97" s="1"/>
  <c r="DL11" i="97" s="1"/>
  <c r="AA11" i="97"/>
  <c r="Z11" i="97"/>
  <c r="DB11" i="97" s="1"/>
  <c r="DJ11" i="97" s="1"/>
  <c r="W11" i="97"/>
  <c r="AM11" i="97" s="1"/>
  <c r="V11" i="97"/>
  <c r="EO11" i="97" s="1"/>
  <c r="U11" i="97"/>
  <c r="T11" i="97"/>
  <c r="EM11" i="97" s="1"/>
  <c r="S11" i="97"/>
  <c r="EL11" i="97" s="1"/>
  <c r="R11" i="97"/>
  <c r="EK11" i="97" s="1"/>
  <c r="FV10" i="97"/>
  <c r="FA10" i="97"/>
  <c r="EY10" i="97"/>
  <c r="FB10" i="97" s="1"/>
  <c r="ES10" i="97"/>
  <c r="EX10" i="97" s="1"/>
  <c r="EN10" i="97"/>
  <c r="EL10" i="97"/>
  <c r="ED10" i="97"/>
  <c r="DY10" i="97"/>
  <c r="DW10" i="97"/>
  <c r="CP10" i="97"/>
  <c r="CL10" i="97"/>
  <c r="CE10" i="97"/>
  <c r="CD10" i="97"/>
  <c r="CC10" i="97"/>
  <c r="CB10" i="97"/>
  <c r="CJ10" i="97" s="1"/>
  <c r="CA10" i="97"/>
  <c r="BZ10" i="97"/>
  <c r="BW10" i="97"/>
  <c r="EH10" i="97" s="1"/>
  <c r="BV10" i="97"/>
  <c r="EG10" i="97" s="1"/>
  <c r="BU10" i="97"/>
  <c r="EF10" i="97" s="1"/>
  <c r="BT10" i="97"/>
  <c r="EE10" i="97" s="1"/>
  <c r="BS10" i="97"/>
  <c r="CI10" i="97" s="1"/>
  <c r="BR10" i="97"/>
  <c r="AP10" i="97"/>
  <c r="AM10" i="97"/>
  <c r="AH10" i="97"/>
  <c r="AE10" i="97"/>
  <c r="AD10" i="97"/>
  <c r="DF10" i="97" s="1"/>
  <c r="DN10" i="97" s="1"/>
  <c r="AC10" i="97"/>
  <c r="DE10" i="97" s="1"/>
  <c r="DM10" i="97" s="1"/>
  <c r="AB10" i="97"/>
  <c r="AA10" i="97"/>
  <c r="DC10" i="97" s="1"/>
  <c r="DK10" i="97" s="1"/>
  <c r="Z10" i="97"/>
  <c r="W10" i="97"/>
  <c r="EP10" i="97" s="1"/>
  <c r="V10" i="97"/>
  <c r="EO10" i="97" s="1"/>
  <c r="U10" i="97"/>
  <c r="T10" i="97"/>
  <c r="AJ10" i="97" s="1"/>
  <c r="S10" i="97"/>
  <c r="R10" i="97"/>
  <c r="EK10" i="97" s="1"/>
  <c r="FV9" i="97"/>
  <c r="EY9" i="97"/>
  <c r="EX9" i="97"/>
  <c r="EW9" i="97"/>
  <c r="ES9" i="97"/>
  <c r="EP9" i="97"/>
  <c r="EH9" i="97"/>
  <c r="EF9" i="97"/>
  <c r="DY9" i="97"/>
  <c r="DW9" i="97"/>
  <c r="DM9" i="97"/>
  <c r="DE9" i="97"/>
  <c r="DC9" i="97"/>
  <c r="DK9" i="97" s="1"/>
  <c r="CP9" i="97"/>
  <c r="CK9" i="97"/>
  <c r="CH9" i="97"/>
  <c r="CE9" i="97"/>
  <c r="CD9" i="97"/>
  <c r="CC9" i="97"/>
  <c r="CB9" i="97"/>
  <c r="CA9" i="97"/>
  <c r="BZ9" i="97"/>
  <c r="BW9" i="97"/>
  <c r="CM9" i="97" s="1"/>
  <c r="BV9" i="97"/>
  <c r="BU9" i="97"/>
  <c r="BT9" i="97"/>
  <c r="BS9" i="97"/>
  <c r="ED9" i="97" s="1"/>
  <c r="BR9" i="97"/>
  <c r="EC9" i="97" s="1"/>
  <c r="AP9" i="97"/>
  <c r="AL9" i="97"/>
  <c r="AI9" i="97"/>
  <c r="AE9" i="97"/>
  <c r="DG9" i="97" s="1"/>
  <c r="DO9" i="97" s="1"/>
  <c r="AD9" i="97"/>
  <c r="AC9" i="97"/>
  <c r="AB9" i="97"/>
  <c r="DD9" i="97" s="1"/>
  <c r="DL9" i="97" s="1"/>
  <c r="AA9" i="97"/>
  <c r="Z9" i="97"/>
  <c r="DB9" i="97" s="1"/>
  <c r="DJ9" i="97" s="1"/>
  <c r="W9" i="97"/>
  <c r="V9" i="97"/>
  <c r="EO9" i="97" s="1"/>
  <c r="U9" i="97"/>
  <c r="T9" i="97"/>
  <c r="EM9" i="97" s="1"/>
  <c r="S9" i="97"/>
  <c r="EL9" i="97" s="1"/>
  <c r="R9" i="97"/>
  <c r="EK9" i="97" s="1"/>
  <c r="FV8" i="97"/>
  <c r="EY8" i="97"/>
  <c r="ES8" i="97"/>
  <c r="EX8" i="97" s="1"/>
  <c r="EN8" i="97"/>
  <c r="EL8" i="97"/>
  <c r="ED8" i="97"/>
  <c r="DY8" i="97"/>
  <c r="DW8" i="97"/>
  <c r="DK8" i="97"/>
  <c r="CP8" i="97"/>
  <c r="CL8" i="97"/>
  <c r="CJ8" i="97"/>
  <c r="CE8" i="97"/>
  <c r="CD8" i="97"/>
  <c r="CC8" i="97"/>
  <c r="CB8" i="97"/>
  <c r="CA8" i="97"/>
  <c r="BZ8" i="97"/>
  <c r="BW8" i="97"/>
  <c r="EH8" i="97" s="1"/>
  <c r="BV8" i="97"/>
  <c r="EG8" i="97" s="1"/>
  <c r="BU8" i="97"/>
  <c r="EF8" i="97" s="1"/>
  <c r="BT8" i="97"/>
  <c r="EE8" i="97" s="1"/>
  <c r="BS8" i="97"/>
  <c r="CI8" i="97" s="1"/>
  <c r="BR8" i="97"/>
  <c r="AP8" i="97"/>
  <c r="AM8" i="97"/>
  <c r="AK8" i="97"/>
  <c r="AH8" i="97"/>
  <c r="AE8" i="97"/>
  <c r="AD8" i="97"/>
  <c r="DF8" i="97" s="1"/>
  <c r="DN8" i="97" s="1"/>
  <c r="AC8" i="97"/>
  <c r="DE8" i="97" s="1"/>
  <c r="DM8" i="97" s="1"/>
  <c r="AB8" i="97"/>
  <c r="DD8" i="97" s="1"/>
  <c r="DL8" i="97" s="1"/>
  <c r="AA8" i="97"/>
  <c r="DC8" i="97" s="1"/>
  <c r="Z8" i="97"/>
  <c r="DB8" i="97" s="1"/>
  <c r="DJ8" i="97" s="1"/>
  <c r="W8" i="97"/>
  <c r="EP8" i="97" s="1"/>
  <c r="V8" i="97"/>
  <c r="EO8" i="97" s="1"/>
  <c r="U8" i="97"/>
  <c r="T8" i="97"/>
  <c r="AJ8" i="97" s="1"/>
  <c r="S8" i="97"/>
  <c r="R8" i="97"/>
  <c r="EK8" i="97" s="1"/>
  <c r="FV7" i="97"/>
  <c r="EW7" i="97"/>
  <c r="ES7" i="97"/>
  <c r="EY7" i="97" s="1"/>
  <c r="EH7" i="97"/>
  <c r="EF7" i="97"/>
  <c r="DY7" i="97"/>
  <c r="DW7" i="97"/>
  <c r="DM7" i="97"/>
  <c r="DE7" i="97"/>
  <c r="DC7" i="97"/>
  <c r="DK7" i="97" s="1"/>
  <c r="CP7" i="97"/>
  <c r="CH7" i="97"/>
  <c r="CE7" i="97"/>
  <c r="CD7" i="97"/>
  <c r="CC7" i="97"/>
  <c r="CB7" i="97"/>
  <c r="CA7" i="97"/>
  <c r="BZ7" i="97"/>
  <c r="BW7" i="97"/>
  <c r="CM7" i="97" s="1"/>
  <c r="BV7" i="97"/>
  <c r="BU7" i="97"/>
  <c r="CK7" i="97" s="1"/>
  <c r="BT7" i="97"/>
  <c r="BS7" i="97"/>
  <c r="ED7" i="97" s="1"/>
  <c r="BR7" i="97"/>
  <c r="EC7" i="97" s="1"/>
  <c r="AP7" i="97"/>
  <c r="AI7" i="97"/>
  <c r="AE7" i="97"/>
  <c r="DG7" i="97" s="1"/>
  <c r="DO7" i="97" s="1"/>
  <c r="AD7" i="97"/>
  <c r="AC7" i="97"/>
  <c r="AB7" i="97"/>
  <c r="DD7" i="97" s="1"/>
  <c r="DL7" i="97" s="1"/>
  <c r="AA7" i="97"/>
  <c r="Z7" i="97"/>
  <c r="DB7" i="97" s="1"/>
  <c r="DJ7" i="97" s="1"/>
  <c r="W7" i="97"/>
  <c r="AM7" i="97" s="1"/>
  <c r="V7" i="97"/>
  <c r="EO7" i="97" s="1"/>
  <c r="U7" i="97"/>
  <c r="T7" i="97"/>
  <c r="EM7" i="97" s="1"/>
  <c r="S7" i="97"/>
  <c r="EL7" i="97" s="1"/>
  <c r="R7" i="97"/>
  <c r="EK7" i="97" s="1"/>
  <c r="FV6" i="97"/>
  <c r="EX6" i="97"/>
  <c r="ES6" i="97"/>
  <c r="EG6" i="97"/>
  <c r="DY6" i="97"/>
  <c r="DW6" i="97"/>
  <c r="EK6" i="97" s="1"/>
  <c r="CE6" i="97"/>
  <c r="CD6" i="97"/>
  <c r="CL6" i="97" s="1"/>
  <c r="CC6" i="97"/>
  <c r="CB6" i="97"/>
  <c r="CA6" i="97"/>
  <c r="BZ6" i="97"/>
  <c r="BW6" i="97"/>
  <c r="EH6" i="97" s="1"/>
  <c r="BV6" i="97"/>
  <c r="BU6" i="97"/>
  <c r="EF6" i="97" s="1"/>
  <c r="BT6" i="97"/>
  <c r="BS6" i="97"/>
  <c r="ED6" i="97" s="1"/>
  <c r="BR6" i="97"/>
  <c r="AH6" i="97"/>
  <c r="AE6" i="97"/>
  <c r="AD6" i="97"/>
  <c r="AC6" i="97"/>
  <c r="AB6" i="97"/>
  <c r="AA6" i="97"/>
  <c r="Z6" i="97"/>
  <c r="W6" i="97"/>
  <c r="V6" i="97"/>
  <c r="U6" i="97"/>
  <c r="T6" i="97"/>
  <c r="S6" i="97"/>
  <c r="R6" i="97"/>
  <c r="G70" i="60"/>
  <c r="G66" i="60"/>
  <c r="C43" i="60"/>
  <c r="D43" i="60" s="1"/>
  <c r="B3" i="60"/>
  <c r="C3" i="60" s="1"/>
  <c r="D3" i="60" s="1"/>
  <c r="B4" i="60"/>
  <c r="C4" i="60" s="1"/>
  <c r="D4" i="60" s="1"/>
  <c r="B5" i="60"/>
  <c r="C5" i="60" s="1"/>
  <c r="D5" i="60" s="1"/>
  <c r="B6" i="60"/>
  <c r="C6" i="60" s="1"/>
  <c r="D6" i="60" s="1"/>
  <c r="B7" i="60"/>
  <c r="C7" i="60" s="1"/>
  <c r="D7" i="60" s="1"/>
  <c r="B8" i="60"/>
  <c r="C8" i="60" s="1"/>
  <c r="D8" i="60" s="1"/>
  <c r="B9" i="60"/>
  <c r="C9" i="60" s="1"/>
  <c r="D9" i="60" s="1"/>
  <c r="B10" i="60"/>
  <c r="C10" i="60" s="1"/>
  <c r="D10" i="60" s="1"/>
  <c r="B11" i="60"/>
  <c r="C11" i="60" s="1"/>
  <c r="D11" i="60" s="1"/>
  <c r="B12" i="60"/>
  <c r="C12" i="60" s="1"/>
  <c r="D12" i="60" s="1"/>
  <c r="B13" i="60"/>
  <c r="C13" i="60" s="1"/>
  <c r="D13" i="60" s="1"/>
  <c r="B14" i="60"/>
  <c r="C14" i="60" s="1"/>
  <c r="D14" i="60" s="1"/>
  <c r="B15" i="60"/>
  <c r="C15" i="60" s="1"/>
  <c r="D15" i="60" s="1"/>
  <c r="B16" i="60"/>
  <c r="C16" i="60" s="1"/>
  <c r="D16" i="60" s="1"/>
  <c r="B17" i="60"/>
  <c r="C17" i="60" s="1"/>
  <c r="D17" i="60" s="1"/>
  <c r="B18" i="60"/>
  <c r="C18" i="60" s="1"/>
  <c r="D18" i="60" s="1"/>
  <c r="B19" i="60"/>
  <c r="C19" i="60" s="1"/>
  <c r="D19" i="60" s="1"/>
  <c r="B20" i="60"/>
  <c r="C20" i="60" s="1"/>
  <c r="D20" i="60" s="1"/>
  <c r="B21" i="60"/>
  <c r="C21" i="60" s="1"/>
  <c r="D21" i="60" s="1"/>
  <c r="B22" i="60"/>
  <c r="C22" i="60" s="1"/>
  <c r="D22" i="60" s="1"/>
  <c r="B23" i="60"/>
  <c r="C23" i="60" s="1"/>
  <c r="D23" i="60" s="1"/>
  <c r="B24" i="60"/>
  <c r="C24" i="60" s="1"/>
  <c r="D24" i="60" s="1"/>
  <c r="B25" i="60"/>
  <c r="C25" i="60" s="1"/>
  <c r="D25" i="60" s="1"/>
  <c r="B26" i="60"/>
  <c r="C26" i="60" s="1"/>
  <c r="D26" i="60" s="1"/>
  <c r="B27" i="60"/>
  <c r="C27" i="60" s="1"/>
  <c r="D27" i="60" s="1"/>
  <c r="B28" i="60"/>
  <c r="C28" i="60" s="1"/>
  <c r="D28" i="60" s="1"/>
  <c r="B29" i="60"/>
  <c r="C29" i="60" s="1"/>
  <c r="D29" i="60" s="1"/>
  <c r="B30" i="60"/>
  <c r="C30" i="60" s="1"/>
  <c r="D30" i="60" s="1"/>
  <c r="B31" i="60"/>
  <c r="C31" i="60" s="1"/>
  <c r="D31" i="60" s="1"/>
  <c r="B32" i="60"/>
  <c r="C32" i="60" s="1"/>
  <c r="D32" i="60" s="1"/>
  <c r="B33" i="60"/>
  <c r="C33" i="60" s="1"/>
  <c r="D33" i="60" s="1"/>
  <c r="B34" i="60"/>
  <c r="C34" i="60" s="1"/>
  <c r="D34" i="60" s="1"/>
  <c r="B35" i="60"/>
  <c r="C35" i="60" s="1"/>
  <c r="D35" i="60" s="1"/>
  <c r="B36" i="60"/>
  <c r="C36" i="60" s="1"/>
  <c r="D36" i="60" s="1"/>
  <c r="B37" i="60"/>
  <c r="C37" i="60" s="1"/>
  <c r="D37" i="60" s="1"/>
  <c r="B38" i="60"/>
  <c r="C38" i="60" s="1"/>
  <c r="D38" i="60" s="1"/>
  <c r="B39" i="60"/>
  <c r="C39" i="60" s="1"/>
  <c r="D39" i="60" s="1"/>
  <c r="B40" i="60"/>
  <c r="C40" i="60" s="1"/>
  <c r="D40" i="60" s="1"/>
  <c r="B41" i="60"/>
  <c r="C41" i="60" s="1"/>
  <c r="D41" i="60" s="1"/>
  <c r="B42" i="60"/>
  <c r="C42" i="60" s="1"/>
  <c r="D42" i="60" s="1"/>
  <c r="B2" i="60"/>
  <c r="H70" i="59"/>
  <c r="H66" i="59"/>
  <c r="C43" i="59"/>
  <c r="D43" i="59"/>
  <c r="B3" i="59"/>
  <c r="C3" i="59" s="1"/>
  <c r="D3" i="59" s="1"/>
  <c r="B4" i="59"/>
  <c r="C4" i="59"/>
  <c r="D4" i="59" s="1"/>
  <c r="B5" i="59"/>
  <c r="C5" i="59" s="1"/>
  <c r="D5" i="59" s="1"/>
  <c r="B6" i="59"/>
  <c r="C6" i="59" s="1"/>
  <c r="D6" i="59" s="1"/>
  <c r="B7" i="59"/>
  <c r="C7" i="59" s="1"/>
  <c r="D7" i="59" s="1"/>
  <c r="B8" i="59"/>
  <c r="C8" i="59" s="1"/>
  <c r="D8" i="59" s="1"/>
  <c r="B9" i="59"/>
  <c r="C9" i="59" s="1"/>
  <c r="D9" i="59" s="1"/>
  <c r="B10" i="59"/>
  <c r="C10" i="59" s="1"/>
  <c r="D10" i="59" s="1"/>
  <c r="B11" i="59"/>
  <c r="C11" i="59" s="1"/>
  <c r="D11" i="59" s="1"/>
  <c r="B12" i="59"/>
  <c r="C12" i="59" s="1"/>
  <c r="D12" i="59" s="1"/>
  <c r="B13" i="59"/>
  <c r="C13" i="59" s="1"/>
  <c r="D13" i="59" s="1"/>
  <c r="B14" i="59"/>
  <c r="C14" i="59" s="1"/>
  <c r="D14" i="59" s="1"/>
  <c r="B15" i="59"/>
  <c r="C15" i="59" s="1"/>
  <c r="D15" i="59" s="1"/>
  <c r="B16" i="59"/>
  <c r="C16" i="59" s="1"/>
  <c r="D16" i="59" s="1"/>
  <c r="B17" i="59"/>
  <c r="C17" i="59" s="1"/>
  <c r="D17" i="59" s="1"/>
  <c r="B18" i="59"/>
  <c r="C18" i="59" s="1"/>
  <c r="D18" i="59" s="1"/>
  <c r="B19" i="59"/>
  <c r="C19" i="59" s="1"/>
  <c r="D19" i="59" s="1"/>
  <c r="B20" i="59"/>
  <c r="C20" i="59" s="1"/>
  <c r="D20" i="59" s="1"/>
  <c r="B21" i="59"/>
  <c r="C21" i="59" s="1"/>
  <c r="D21" i="59" s="1"/>
  <c r="B22" i="59"/>
  <c r="C22" i="59" s="1"/>
  <c r="D22" i="59" s="1"/>
  <c r="B23" i="59"/>
  <c r="C23" i="59" s="1"/>
  <c r="D23" i="59" s="1"/>
  <c r="B24" i="59"/>
  <c r="C24" i="59" s="1"/>
  <c r="D24" i="59" s="1"/>
  <c r="B25" i="59"/>
  <c r="C25" i="59" s="1"/>
  <c r="D25" i="59" s="1"/>
  <c r="B26" i="59"/>
  <c r="C26" i="59" s="1"/>
  <c r="D26" i="59" s="1"/>
  <c r="B27" i="59"/>
  <c r="C27" i="59" s="1"/>
  <c r="D27" i="59" s="1"/>
  <c r="B28" i="59"/>
  <c r="C28" i="59" s="1"/>
  <c r="D28" i="59" s="1"/>
  <c r="B29" i="59"/>
  <c r="C29" i="59" s="1"/>
  <c r="D29" i="59" s="1"/>
  <c r="B30" i="59"/>
  <c r="C30" i="59" s="1"/>
  <c r="D30" i="59" s="1"/>
  <c r="B31" i="59"/>
  <c r="C31" i="59" s="1"/>
  <c r="D31" i="59" s="1"/>
  <c r="B32" i="59"/>
  <c r="C32" i="59" s="1"/>
  <c r="D32" i="59" s="1"/>
  <c r="B33" i="59"/>
  <c r="C33" i="59" s="1"/>
  <c r="D33" i="59" s="1"/>
  <c r="B34" i="59"/>
  <c r="C34" i="59" s="1"/>
  <c r="D34" i="59" s="1"/>
  <c r="B35" i="59"/>
  <c r="C35" i="59" s="1"/>
  <c r="D35" i="59" s="1"/>
  <c r="B36" i="59"/>
  <c r="C36" i="59" s="1"/>
  <c r="D36" i="59" s="1"/>
  <c r="B37" i="59"/>
  <c r="C37" i="59" s="1"/>
  <c r="D37" i="59" s="1"/>
  <c r="B38" i="59"/>
  <c r="C38" i="59" s="1"/>
  <c r="D38" i="59" s="1"/>
  <c r="B39" i="59"/>
  <c r="C39" i="59" s="1"/>
  <c r="D39" i="59" s="1"/>
  <c r="B40" i="59"/>
  <c r="C40" i="59" s="1"/>
  <c r="D40" i="59" s="1"/>
  <c r="B41" i="59"/>
  <c r="C41" i="59" s="1"/>
  <c r="D41" i="59" s="1"/>
  <c r="B42" i="59"/>
  <c r="C42" i="59" s="1"/>
  <c r="D42" i="59" s="1"/>
  <c r="B2" i="59"/>
  <c r="H70" i="58"/>
  <c r="H66" i="58"/>
  <c r="C43" i="58"/>
  <c r="D43" i="58" s="1"/>
  <c r="B3" i="58"/>
  <c r="C3" i="58" s="1"/>
  <c r="D3" i="58" s="1"/>
  <c r="B4" i="58"/>
  <c r="C4" i="58" s="1"/>
  <c r="D4" i="58" s="1"/>
  <c r="B5" i="58"/>
  <c r="C5" i="58"/>
  <c r="D5" i="58" s="1"/>
  <c r="B6" i="58"/>
  <c r="C6" i="58" s="1"/>
  <c r="D6" i="58" s="1"/>
  <c r="B7" i="58"/>
  <c r="C7" i="58" s="1"/>
  <c r="D7" i="58" s="1"/>
  <c r="B8" i="58"/>
  <c r="C8" i="58" s="1"/>
  <c r="D8" i="58" s="1"/>
  <c r="B9" i="58"/>
  <c r="C9" i="58" s="1"/>
  <c r="D9" i="58" s="1"/>
  <c r="B10" i="58"/>
  <c r="C10" i="58" s="1"/>
  <c r="D10" i="58" s="1"/>
  <c r="B11" i="58"/>
  <c r="C11" i="58" s="1"/>
  <c r="D11" i="58" s="1"/>
  <c r="B12" i="58"/>
  <c r="C12" i="58"/>
  <c r="D12" i="58" s="1"/>
  <c r="B13" i="58"/>
  <c r="C13" i="58" s="1"/>
  <c r="D13" i="58" s="1"/>
  <c r="B14" i="58"/>
  <c r="C14" i="58" s="1"/>
  <c r="D14" i="58" s="1"/>
  <c r="B15" i="58"/>
  <c r="C15" i="58" s="1"/>
  <c r="D15" i="58" s="1"/>
  <c r="B16" i="58"/>
  <c r="C16" i="58" s="1"/>
  <c r="D16" i="58" s="1"/>
  <c r="B17" i="58"/>
  <c r="C17" i="58" s="1"/>
  <c r="D17" i="58" s="1"/>
  <c r="B18" i="58"/>
  <c r="C18" i="58" s="1"/>
  <c r="D18" i="58" s="1"/>
  <c r="B19" i="58"/>
  <c r="C19" i="58" s="1"/>
  <c r="D19" i="58" s="1"/>
  <c r="B20" i="58"/>
  <c r="C20" i="58" s="1"/>
  <c r="D20" i="58" s="1"/>
  <c r="B21" i="58"/>
  <c r="C21" i="58" s="1"/>
  <c r="D21" i="58" s="1"/>
  <c r="B22" i="58"/>
  <c r="C22" i="58" s="1"/>
  <c r="D22" i="58" s="1"/>
  <c r="B23" i="58"/>
  <c r="C23" i="58" s="1"/>
  <c r="D23" i="58" s="1"/>
  <c r="B24" i="58"/>
  <c r="C24" i="58" s="1"/>
  <c r="D24" i="58" s="1"/>
  <c r="B25" i="58"/>
  <c r="C25" i="58" s="1"/>
  <c r="D25" i="58" s="1"/>
  <c r="B26" i="58"/>
  <c r="C26" i="58" s="1"/>
  <c r="D26" i="58" s="1"/>
  <c r="B27" i="58"/>
  <c r="C27" i="58" s="1"/>
  <c r="D27" i="58" s="1"/>
  <c r="B28" i="58"/>
  <c r="C28" i="58" s="1"/>
  <c r="D28" i="58" s="1"/>
  <c r="B29" i="58"/>
  <c r="C29" i="58" s="1"/>
  <c r="D29" i="58" s="1"/>
  <c r="B30" i="58"/>
  <c r="C30" i="58" s="1"/>
  <c r="D30" i="58" s="1"/>
  <c r="B31" i="58"/>
  <c r="C31" i="58" s="1"/>
  <c r="D31" i="58" s="1"/>
  <c r="B32" i="58"/>
  <c r="C32" i="58" s="1"/>
  <c r="D32" i="58" s="1"/>
  <c r="B33" i="58"/>
  <c r="C33" i="58" s="1"/>
  <c r="D33" i="58" s="1"/>
  <c r="B34" i="58"/>
  <c r="C34" i="58" s="1"/>
  <c r="D34" i="58" s="1"/>
  <c r="B35" i="58"/>
  <c r="C35" i="58" s="1"/>
  <c r="D35" i="58" s="1"/>
  <c r="B36" i="58"/>
  <c r="C36" i="58" s="1"/>
  <c r="D36" i="58" s="1"/>
  <c r="B37" i="58"/>
  <c r="C37" i="58" s="1"/>
  <c r="D37" i="58" s="1"/>
  <c r="B38" i="58"/>
  <c r="C38" i="58" s="1"/>
  <c r="D38" i="58" s="1"/>
  <c r="B39" i="58"/>
  <c r="C39" i="58" s="1"/>
  <c r="D39" i="58" s="1"/>
  <c r="B40" i="58"/>
  <c r="C40" i="58" s="1"/>
  <c r="D40" i="58" s="1"/>
  <c r="B41" i="58"/>
  <c r="C41" i="58" s="1"/>
  <c r="D41" i="58" s="1"/>
  <c r="B42" i="58"/>
  <c r="C42" i="58" s="1"/>
  <c r="D42" i="58" s="1"/>
  <c r="B2" i="58"/>
  <c r="G74" i="64"/>
  <c r="G70" i="64"/>
  <c r="C43" i="64"/>
  <c r="D43" i="64"/>
  <c r="B3" i="64"/>
  <c r="C3" i="64" s="1"/>
  <c r="D3" i="64" s="1"/>
  <c r="B4" i="64"/>
  <c r="C4" i="64" s="1"/>
  <c r="D4" i="64" s="1"/>
  <c r="B5" i="64"/>
  <c r="C5" i="64" s="1"/>
  <c r="D5" i="64" s="1"/>
  <c r="B6" i="64"/>
  <c r="C6" i="64" s="1"/>
  <c r="D6" i="64" s="1"/>
  <c r="B7" i="64"/>
  <c r="C7" i="64" s="1"/>
  <c r="D7" i="64" s="1"/>
  <c r="B8" i="64"/>
  <c r="C8" i="64" s="1"/>
  <c r="D8" i="64" s="1"/>
  <c r="B9" i="64"/>
  <c r="C9" i="64" s="1"/>
  <c r="D9" i="64" s="1"/>
  <c r="B10" i="64"/>
  <c r="C10" i="64" s="1"/>
  <c r="D10" i="64" s="1"/>
  <c r="B11" i="64"/>
  <c r="C11" i="64" s="1"/>
  <c r="D11" i="64" s="1"/>
  <c r="B12" i="64"/>
  <c r="C12" i="64" s="1"/>
  <c r="D12" i="64" s="1"/>
  <c r="B13" i="64"/>
  <c r="C13" i="64" s="1"/>
  <c r="D13" i="64" s="1"/>
  <c r="B14" i="64"/>
  <c r="C14" i="64" s="1"/>
  <c r="D14" i="64" s="1"/>
  <c r="B15" i="64"/>
  <c r="C15" i="64" s="1"/>
  <c r="D15" i="64" s="1"/>
  <c r="B16" i="64"/>
  <c r="C16" i="64" s="1"/>
  <c r="D16" i="64" s="1"/>
  <c r="B17" i="64"/>
  <c r="C17" i="64" s="1"/>
  <c r="D17" i="64" s="1"/>
  <c r="B18" i="64"/>
  <c r="C18" i="64" s="1"/>
  <c r="D18" i="64" s="1"/>
  <c r="B19" i="64"/>
  <c r="C19" i="64" s="1"/>
  <c r="D19" i="64" s="1"/>
  <c r="B20" i="64"/>
  <c r="C20" i="64" s="1"/>
  <c r="D20" i="64" s="1"/>
  <c r="B21" i="64"/>
  <c r="C21" i="64" s="1"/>
  <c r="D21" i="64" s="1"/>
  <c r="B22" i="64"/>
  <c r="C22" i="64" s="1"/>
  <c r="D22" i="64" s="1"/>
  <c r="B23" i="64"/>
  <c r="C23" i="64" s="1"/>
  <c r="D23" i="64" s="1"/>
  <c r="B24" i="64"/>
  <c r="C24" i="64" s="1"/>
  <c r="D24" i="64" s="1"/>
  <c r="B25" i="64"/>
  <c r="C25" i="64" s="1"/>
  <c r="D25" i="64" s="1"/>
  <c r="B26" i="64"/>
  <c r="C26" i="64" s="1"/>
  <c r="D26" i="64" s="1"/>
  <c r="B27" i="64"/>
  <c r="C27" i="64" s="1"/>
  <c r="D27" i="64" s="1"/>
  <c r="B28" i="64"/>
  <c r="C28" i="64" s="1"/>
  <c r="D28" i="64" s="1"/>
  <c r="B29" i="64"/>
  <c r="C29" i="64" s="1"/>
  <c r="D29" i="64" s="1"/>
  <c r="B30" i="64"/>
  <c r="C30" i="64" s="1"/>
  <c r="D30" i="64" s="1"/>
  <c r="B31" i="64"/>
  <c r="C31" i="64" s="1"/>
  <c r="D31" i="64" s="1"/>
  <c r="B32" i="64"/>
  <c r="C32" i="64" s="1"/>
  <c r="D32" i="64" s="1"/>
  <c r="B33" i="64"/>
  <c r="C33" i="64" s="1"/>
  <c r="D33" i="64" s="1"/>
  <c r="B34" i="64"/>
  <c r="C34" i="64" s="1"/>
  <c r="D34" i="64" s="1"/>
  <c r="B35" i="64"/>
  <c r="C35" i="64" s="1"/>
  <c r="D35" i="64" s="1"/>
  <c r="B36" i="64"/>
  <c r="C36" i="64" s="1"/>
  <c r="D36" i="64" s="1"/>
  <c r="B37" i="64"/>
  <c r="C37" i="64" s="1"/>
  <c r="D37" i="64" s="1"/>
  <c r="B38" i="64"/>
  <c r="C38" i="64" s="1"/>
  <c r="D38" i="64" s="1"/>
  <c r="B39" i="64"/>
  <c r="C39" i="64" s="1"/>
  <c r="D39" i="64" s="1"/>
  <c r="B40" i="64"/>
  <c r="C40" i="64" s="1"/>
  <c r="D40" i="64" s="1"/>
  <c r="B41" i="64"/>
  <c r="C41" i="64" s="1"/>
  <c r="D41" i="64" s="1"/>
  <c r="B42" i="64"/>
  <c r="C42" i="64"/>
  <c r="D42" i="64" s="1"/>
  <c r="B2" i="64"/>
  <c r="B3" i="63"/>
  <c r="B4" i="63"/>
  <c r="B5" i="63"/>
  <c r="B6" i="63"/>
  <c r="B7" i="63"/>
  <c r="B8" i="63"/>
  <c r="B9" i="63"/>
  <c r="B10" i="63"/>
  <c r="B11" i="63"/>
  <c r="B12" i="63"/>
  <c r="B13" i="63"/>
  <c r="B14" i="63"/>
  <c r="B15" i="63"/>
  <c r="B16" i="63"/>
  <c r="B17" i="63"/>
  <c r="B18" i="63"/>
  <c r="B19" i="63"/>
  <c r="B20" i="63"/>
  <c r="B21" i="63"/>
  <c r="B22" i="63"/>
  <c r="B23" i="63"/>
  <c r="B24" i="63"/>
  <c r="B25" i="63"/>
  <c r="B26" i="63"/>
  <c r="B27" i="63"/>
  <c r="B28" i="63"/>
  <c r="B29" i="63"/>
  <c r="B30" i="63"/>
  <c r="B31" i="63"/>
  <c r="B32" i="63"/>
  <c r="B33" i="63"/>
  <c r="B34" i="63"/>
  <c r="B35" i="63"/>
  <c r="B36" i="63"/>
  <c r="B37" i="63"/>
  <c r="B38" i="63"/>
  <c r="B39" i="63"/>
  <c r="B40" i="63"/>
  <c r="B41" i="63"/>
  <c r="B42" i="63"/>
  <c r="B2" i="63"/>
  <c r="B42" i="62"/>
  <c r="C42" i="62" s="1"/>
  <c r="D42" i="62" s="1"/>
  <c r="B41" i="62"/>
  <c r="C41" i="62" s="1"/>
  <c r="D41" i="62" s="1"/>
  <c r="B40" i="62"/>
  <c r="C40" i="62" s="1"/>
  <c r="D40" i="62" s="1"/>
  <c r="B39" i="62"/>
  <c r="B38" i="62"/>
  <c r="B37" i="62"/>
  <c r="C37" i="62" s="1"/>
  <c r="D37" i="62" s="1"/>
  <c r="B36" i="62"/>
  <c r="C36" i="62" s="1"/>
  <c r="D36" i="62" s="1"/>
  <c r="B35" i="62"/>
  <c r="C35" i="62" s="1"/>
  <c r="D35" i="62" s="1"/>
  <c r="B34" i="62"/>
  <c r="C34" i="62" s="1"/>
  <c r="D34" i="62" s="1"/>
  <c r="B33" i="62"/>
  <c r="C33" i="62" s="1"/>
  <c r="D33" i="62" s="1"/>
  <c r="B32" i="62"/>
  <c r="B31" i="62"/>
  <c r="B30" i="62"/>
  <c r="B29" i="62"/>
  <c r="C29" i="62" s="1"/>
  <c r="D29" i="62" s="1"/>
  <c r="B28" i="62"/>
  <c r="C28" i="62" s="1"/>
  <c r="D28" i="62" s="1"/>
  <c r="B27" i="62"/>
  <c r="C27" i="62" s="1"/>
  <c r="D27" i="62" s="1"/>
  <c r="B26" i="62"/>
  <c r="C26" i="62" s="1"/>
  <c r="D26" i="62" s="1"/>
  <c r="B25" i="62"/>
  <c r="B24" i="62"/>
  <c r="C24" i="62" s="1"/>
  <c r="D24" i="62" s="1"/>
  <c r="B23" i="62"/>
  <c r="B22" i="62"/>
  <c r="C22" i="62" s="1"/>
  <c r="D22" i="62" s="1"/>
  <c r="B21" i="62"/>
  <c r="C21" i="62" s="1"/>
  <c r="D21" i="62" s="1"/>
  <c r="B20" i="62"/>
  <c r="C20" i="62" s="1"/>
  <c r="D20" i="62" s="1"/>
  <c r="B19" i="62"/>
  <c r="C19" i="62" s="1"/>
  <c r="D19" i="62" s="1"/>
  <c r="B18" i="62"/>
  <c r="C18" i="62" s="1"/>
  <c r="D18" i="62" s="1"/>
  <c r="B17" i="62"/>
  <c r="B16" i="62"/>
  <c r="B15" i="62"/>
  <c r="C15" i="62" s="1"/>
  <c r="D15" i="62" s="1"/>
  <c r="B14" i="62"/>
  <c r="B13" i="62"/>
  <c r="C13" i="62" s="1"/>
  <c r="D13" i="62" s="1"/>
  <c r="B12" i="62"/>
  <c r="C12" i="62" s="1"/>
  <c r="D12" i="62" s="1"/>
  <c r="B11" i="62"/>
  <c r="C11" i="62" s="1"/>
  <c r="D11" i="62" s="1"/>
  <c r="B10" i="62"/>
  <c r="C10" i="62" s="1"/>
  <c r="D10" i="62" s="1"/>
  <c r="B9" i="62"/>
  <c r="B8" i="62"/>
  <c r="C8" i="62" s="1"/>
  <c r="D8" i="62" s="1"/>
  <c r="B7" i="62"/>
  <c r="C7" i="62" s="1"/>
  <c r="D7" i="62" s="1"/>
  <c r="B6" i="62"/>
  <c r="C6" i="62" s="1"/>
  <c r="D6" i="62" s="1"/>
  <c r="B5" i="62"/>
  <c r="C5" i="62" s="1"/>
  <c r="D5" i="62" s="1"/>
  <c r="B4" i="62"/>
  <c r="C4" i="62" s="1"/>
  <c r="D4" i="62" s="1"/>
  <c r="B3" i="62"/>
  <c r="C3" i="62" s="1"/>
  <c r="D3" i="62" s="1"/>
  <c r="B2" i="62"/>
  <c r="C2" i="62" s="1"/>
  <c r="D2" i="62" s="1"/>
  <c r="AT6" i="48"/>
  <c r="I74" i="63"/>
  <c r="I78" i="63"/>
  <c r="I76" i="62"/>
  <c r="I72" i="62"/>
  <c r="J67" i="42"/>
  <c r="J71" i="42"/>
  <c r="J75" i="42"/>
  <c r="C9" i="62"/>
  <c r="D9" i="62" s="1"/>
  <c r="C43" i="62"/>
  <c r="C14" i="62"/>
  <c r="D14" i="62" s="1"/>
  <c r="C16" i="62"/>
  <c r="D16" i="62" s="1"/>
  <c r="C17" i="62"/>
  <c r="D17" i="62" s="1"/>
  <c r="C23" i="62"/>
  <c r="D23" i="62" s="1"/>
  <c r="C25" i="62"/>
  <c r="D25" i="62" s="1"/>
  <c r="C30" i="62"/>
  <c r="D30" i="62" s="1"/>
  <c r="C31" i="62"/>
  <c r="D31" i="62" s="1"/>
  <c r="C32" i="62"/>
  <c r="D32" i="62" s="1"/>
  <c r="C38" i="62"/>
  <c r="D38" i="62" s="1"/>
  <c r="C39" i="62"/>
  <c r="D39" i="62" s="1"/>
  <c r="B44" i="56"/>
  <c r="B44" i="109" s="1"/>
  <c r="B43" i="56"/>
  <c r="B43" i="109" s="1"/>
  <c r="FF58" i="96"/>
  <c r="FF59" i="96" s="1"/>
  <c r="ES66" i="96"/>
  <c r="EY66" i="96" s="1"/>
  <c r="DY66" i="96"/>
  <c r="DW66" i="96"/>
  <c r="DT66" i="96"/>
  <c r="DR66" i="96"/>
  <c r="ES65" i="96"/>
  <c r="EX65" i="96" s="1"/>
  <c r="DY65" i="96"/>
  <c r="DW65" i="96"/>
  <c r="DT65" i="96"/>
  <c r="DR65" i="96"/>
  <c r="ES64" i="96"/>
  <c r="EY64" i="96" s="1"/>
  <c r="DY64" i="96"/>
  <c r="DW64" i="96"/>
  <c r="DT64" i="96"/>
  <c r="DR64" i="96"/>
  <c r="ES63" i="96"/>
  <c r="EY63" i="96" s="1"/>
  <c r="DY63" i="96"/>
  <c r="DW63" i="96"/>
  <c r="DT63" i="96"/>
  <c r="DR63" i="96"/>
  <c r="ES62" i="96"/>
  <c r="EY62" i="96" s="1"/>
  <c r="DY62" i="96"/>
  <c r="DW62" i="96"/>
  <c r="DT62" i="96"/>
  <c r="DR62" i="96"/>
  <c r="ES61" i="96"/>
  <c r="EY61" i="96" s="1"/>
  <c r="DY61" i="96"/>
  <c r="DW61" i="96"/>
  <c r="DT61" i="96"/>
  <c r="DR61" i="96"/>
  <c r="ES60" i="96"/>
  <c r="EY60" i="96" s="1"/>
  <c r="DY60" i="96"/>
  <c r="DW60" i="96"/>
  <c r="DT60" i="96"/>
  <c r="DR60" i="96"/>
  <c r="ES59" i="96"/>
  <c r="EY59" i="96" s="1"/>
  <c r="DY59" i="96"/>
  <c r="DW59" i="96"/>
  <c r="DT59" i="96"/>
  <c r="DR59" i="96"/>
  <c r="FH58" i="96"/>
  <c r="FG58" i="96" s="1"/>
  <c r="ES58" i="96"/>
  <c r="EY58" i="96" s="1"/>
  <c r="DY58" i="96"/>
  <c r="DW58" i="96"/>
  <c r="DT58" i="96"/>
  <c r="DR58" i="96"/>
  <c r="FG57" i="96"/>
  <c r="FE57" i="96"/>
  <c r="ES57" i="96"/>
  <c r="EX57" i="96" s="1"/>
  <c r="DY57" i="96"/>
  <c r="DW57" i="96"/>
  <c r="DT57" i="96"/>
  <c r="DR57" i="96"/>
  <c r="CQ58" i="96"/>
  <c r="CQ59" i="96" s="1"/>
  <c r="CQ60" i="96" s="1"/>
  <c r="CP57" i="96"/>
  <c r="CT57" i="96" s="1"/>
  <c r="AP57" i="96"/>
  <c r="AT57" i="96" s="1"/>
  <c r="AU57" i="96" s="1"/>
  <c r="FG56" i="96"/>
  <c r="FE56" i="96"/>
  <c r="ES56" i="96"/>
  <c r="EY56" i="96" s="1"/>
  <c r="DY56" i="96"/>
  <c r="DW56" i="96"/>
  <c r="DT56" i="96"/>
  <c r="DR56" i="96"/>
  <c r="CP56" i="96"/>
  <c r="CT56" i="96" s="1"/>
  <c r="CU56" i="96" s="1"/>
  <c r="AQ58" i="96"/>
  <c r="AP56" i="96"/>
  <c r="AT56" i="96" s="1"/>
  <c r="FG55" i="96"/>
  <c r="FE55" i="96"/>
  <c r="ES55" i="96"/>
  <c r="EW55" i="96" s="1"/>
  <c r="DY55" i="96"/>
  <c r="DW55" i="96"/>
  <c r="DT55" i="96"/>
  <c r="DR55" i="96"/>
  <c r="CP55" i="96"/>
  <c r="CT55" i="96" s="1"/>
  <c r="AP55" i="96"/>
  <c r="AT55" i="96" s="1"/>
  <c r="FG54" i="96"/>
  <c r="FE54" i="96"/>
  <c r="ES54" i="96"/>
  <c r="EW54" i="96" s="1"/>
  <c r="DY54" i="96"/>
  <c r="DW54" i="96"/>
  <c r="DT54" i="96"/>
  <c r="DR54" i="96"/>
  <c r="CP54" i="96"/>
  <c r="CT54" i="96" s="1"/>
  <c r="AP54" i="96"/>
  <c r="AT54" i="96" s="1"/>
  <c r="AU54" i="96" s="1"/>
  <c r="FG53" i="96"/>
  <c r="FE53" i="96"/>
  <c r="ES53" i="96"/>
  <c r="EX53" i="96" s="1"/>
  <c r="DY53" i="96"/>
  <c r="DW53" i="96"/>
  <c r="DT53" i="96"/>
  <c r="DR53" i="96"/>
  <c r="CP53" i="96"/>
  <c r="CT53" i="96" s="1"/>
  <c r="AP53" i="96"/>
  <c r="AT53" i="96" s="1"/>
  <c r="FG52" i="96"/>
  <c r="FE52" i="96"/>
  <c r="FI52" i="96" s="1"/>
  <c r="ES52" i="96"/>
  <c r="EX52" i="96" s="1"/>
  <c r="DY52" i="96"/>
  <c r="DW52" i="96"/>
  <c r="DT52" i="96"/>
  <c r="DR52" i="96"/>
  <c r="CP52" i="96"/>
  <c r="CT52" i="96" s="1"/>
  <c r="AP52" i="96"/>
  <c r="AT52" i="96" s="1"/>
  <c r="AU52" i="96" s="1"/>
  <c r="FG51" i="96"/>
  <c r="FE51" i="96"/>
  <c r="ES51" i="96"/>
  <c r="EX51" i="96" s="1"/>
  <c r="DY51" i="96"/>
  <c r="DW51" i="96"/>
  <c r="DT51" i="96"/>
  <c r="DR51" i="96"/>
  <c r="CP51" i="96"/>
  <c r="CT51" i="96" s="1"/>
  <c r="AP51" i="96"/>
  <c r="AT51" i="96" s="1"/>
  <c r="AU51" i="96" s="1"/>
  <c r="FG50" i="96"/>
  <c r="FE50" i="96"/>
  <c r="ES50" i="96"/>
  <c r="EX50" i="96" s="1"/>
  <c r="DY50" i="96"/>
  <c r="DW50" i="96"/>
  <c r="DT50" i="96"/>
  <c r="DR50" i="96"/>
  <c r="CP50" i="96"/>
  <c r="CT50" i="96" s="1"/>
  <c r="AP50" i="96"/>
  <c r="AT50" i="96" s="1"/>
  <c r="AU50" i="96" s="1"/>
  <c r="AV50" i="96" s="1"/>
  <c r="AW50" i="96" s="1"/>
  <c r="AX50" i="96" s="1"/>
  <c r="FG49" i="96"/>
  <c r="FE49" i="96"/>
  <c r="ES49" i="96"/>
  <c r="EW49" i="96" s="1"/>
  <c r="DY49" i="96"/>
  <c r="DW49" i="96"/>
  <c r="DT49" i="96"/>
  <c r="DR49" i="96"/>
  <c r="CP49" i="96"/>
  <c r="CT49" i="96" s="1"/>
  <c r="AP49" i="96"/>
  <c r="AT49" i="96" s="1"/>
  <c r="FG48" i="96"/>
  <c r="FE48" i="96"/>
  <c r="ES48" i="96"/>
  <c r="DY48" i="96"/>
  <c r="DW48" i="96"/>
  <c r="DT48" i="96"/>
  <c r="DR48" i="96"/>
  <c r="CP48" i="96"/>
  <c r="CT48" i="96" s="1"/>
  <c r="AP48" i="96"/>
  <c r="AT48" i="96" s="1"/>
  <c r="FG47" i="96"/>
  <c r="FE47" i="96"/>
  <c r="FI47" i="96" s="1"/>
  <c r="ES47" i="96"/>
  <c r="EW47" i="96" s="1"/>
  <c r="DY47" i="96"/>
  <c r="DW47" i="96"/>
  <c r="DT47" i="96"/>
  <c r="DR47" i="96"/>
  <c r="CT47" i="96"/>
  <c r="AT47" i="96"/>
  <c r="FV46" i="96"/>
  <c r="FI46" i="96"/>
  <c r="ES46" i="96"/>
  <c r="EX46" i="96" s="1"/>
  <c r="EH46" i="96"/>
  <c r="EG46" i="96"/>
  <c r="EF46" i="96"/>
  <c r="EE46" i="96"/>
  <c r="ED46" i="96"/>
  <c r="EC46" i="96"/>
  <c r="DY46" i="96"/>
  <c r="DW46" i="96"/>
  <c r="EO46" i="96" s="1"/>
  <c r="DG46" i="96"/>
  <c r="DO46" i="96" s="1"/>
  <c r="DF46" i="96"/>
  <c r="DN46" i="96" s="1"/>
  <c r="DE46" i="96"/>
  <c r="DM46" i="96" s="1"/>
  <c r="DD46" i="96"/>
  <c r="DL46" i="96" s="1"/>
  <c r="DC46" i="96"/>
  <c r="DK46" i="96" s="1"/>
  <c r="DB46" i="96"/>
  <c r="DJ46" i="96" s="1"/>
  <c r="CM46" i="96"/>
  <c r="CL46" i="96"/>
  <c r="CK46" i="96"/>
  <c r="CJ46" i="96"/>
  <c r="CI46" i="96"/>
  <c r="CH46" i="96"/>
  <c r="AM46" i="96"/>
  <c r="AL46" i="96"/>
  <c r="AK46" i="96"/>
  <c r="AJ46" i="96"/>
  <c r="AI46" i="96"/>
  <c r="AH46" i="96"/>
  <c r="FV45" i="96"/>
  <c r="FI45" i="96"/>
  <c r="ES45" i="96"/>
  <c r="EY45" i="96" s="1"/>
  <c r="EH45" i="96"/>
  <c r="EG45" i="96"/>
  <c r="EF45" i="96"/>
  <c r="EE45" i="96"/>
  <c r="ED45" i="96"/>
  <c r="EC45" i="96"/>
  <c r="DY45" i="96"/>
  <c r="DW45" i="96"/>
  <c r="DG45" i="96"/>
  <c r="DO45" i="96" s="1"/>
  <c r="DF45" i="96"/>
  <c r="DN45" i="96" s="1"/>
  <c r="DE45" i="96"/>
  <c r="DM45" i="96" s="1"/>
  <c r="DD45" i="96"/>
  <c r="DL45" i="96" s="1"/>
  <c r="DC45" i="96"/>
  <c r="DK45" i="96" s="1"/>
  <c r="DB45" i="96"/>
  <c r="DJ45" i="96" s="1"/>
  <c r="CM45" i="96"/>
  <c r="CL45" i="96"/>
  <c r="CK45" i="96"/>
  <c r="CJ45" i="96"/>
  <c r="CI45" i="96"/>
  <c r="CH45" i="96"/>
  <c r="AM45" i="96"/>
  <c r="AL45" i="96"/>
  <c r="AK45" i="96"/>
  <c r="AJ45" i="96"/>
  <c r="AI45" i="96"/>
  <c r="AH45" i="96"/>
  <c r="FV44" i="96"/>
  <c r="FI44" i="96"/>
  <c r="ES44" i="96"/>
  <c r="EY44" i="96" s="1"/>
  <c r="EH44" i="96"/>
  <c r="EG44" i="96"/>
  <c r="EF44" i="96"/>
  <c r="EE44" i="96"/>
  <c r="ED44" i="96"/>
  <c r="EC44" i="96"/>
  <c r="DY44" i="96"/>
  <c r="DW44" i="96"/>
  <c r="EL44" i="96" s="1"/>
  <c r="DG44" i="96"/>
  <c r="DO44" i="96" s="1"/>
  <c r="DF44" i="96"/>
  <c r="DN44" i="96" s="1"/>
  <c r="DE44" i="96"/>
  <c r="DM44" i="96" s="1"/>
  <c r="DD44" i="96"/>
  <c r="DL44" i="96" s="1"/>
  <c r="DC44" i="96"/>
  <c r="DK44" i="96" s="1"/>
  <c r="DB44" i="96"/>
  <c r="DJ44" i="96" s="1"/>
  <c r="CM44" i="96"/>
  <c r="CL44" i="96"/>
  <c r="CK44" i="96"/>
  <c r="CJ44" i="96"/>
  <c r="CI44" i="96"/>
  <c r="CH44" i="96"/>
  <c r="AM44" i="96"/>
  <c r="AL44" i="96"/>
  <c r="AK44" i="96"/>
  <c r="AJ44" i="96"/>
  <c r="AI44" i="96"/>
  <c r="AH44" i="96"/>
  <c r="FV43" i="96"/>
  <c r="FI43" i="96"/>
  <c r="ES43" i="96"/>
  <c r="EY43" i="96" s="1"/>
  <c r="EH43" i="96"/>
  <c r="EG43" i="96"/>
  <c r="EF43" i="96"/>
  <c r="EE43" i="96"/>
  <c r="ED43" i="96"/>
  <c r="EC43" i="96"/>
  <c r="DY43" i="96"/>
  <c r="DW43" i="96"/>
  <c r="EO43" i="96" s="1"/>
  <c r="DG43" i="96"/>
  <c r="DO43" i="96" s="1"/>
  <c r="DF43" i="96"/>
  <c r="DN43" i="96" s="1"/>
  <c r="DE43" i="96"/>
  <c r="DM43" i="96" s="1"/>
  <c r="DD43" i="96"/>
  <c r="DL43" i="96" s="1"/>
  <c r="DC43" i="96"/>
  <c r="DK43" i="96" s="1"/>
  <c r="DB43" i="96"/>
  <c r="DJ43" i="96" s="1"/>
  <c r="CM43" i="96"/>
  <c r="CL43" i="96"/>
  <c r="CK43" i="96"/>
  <c r="CJ43" i="96"/>
  <c r="CI43" i="96"/>
  <c r="CH43" i="96"/>
  <c r="AM43" i="96"/>
  <c r="AL43" i="96"/>
  <c r="AK43" i="96"/>
  <c r="AJ43" i="96"/>
  <c r="AI43" i="96"/>
  <c r="AH43" i="96"/>
  <c r="FV42" i="96"/>
  <c r="FI42" i="96"/>
  <c r="ES42" i="96"/>
  <c r="EX42" i="96" s="1"/>
  <c r="EH42" i="96"/>
  <c r="EG42" i="96"/>
  <c r="EF42" i="96"/>
  <c r="EE42" i="96"/>
  <c r="ED42" i="96"/>
  <c r="EC42" i="96"/>
  <c r="DY42" i="96"/>
  <c r="DW42" i="96"/>
  <c r="EK42" i="96" s="1"/>
  <c r="DG42" i="96"/>
  <c r="DO42" i="96" s="1"/>
  <c r="DF42" i="96"/>
  <c r="DN42" i="96" s="1"/>
  <c r="DE42" i="96"/>
  <c r="DM42" i="96" s="1"/>
  <c r="DD42" i="96"/>
  <c r="DL42" i="96" s="1"/>
  <c r="DC42" i="96"/>
  <c r="DK42" i="96" s="1"/>
  <c r="DB42" i="96"/>
  <c r="DJ42" i="96" s="1"/>
  <c r="CM42" i="96"/>
  <c r="CL42" i="96"/>
  <c r="CK42" i="96"/>
  <c r="CJ42" i="96"/>
  <c r="CI42" i="96"/>
  <c r="CH42" i="96"/>
  <c r="AM42" i="96"/>
  <c r="AL42" i="96"/>
  <c r="AK42" i="96"/>
  <c r="AJ42" i="96"/>
  <c r="AI42" i="96"/>
  <c r="AH42" i="96"/>
  <c r="FV41" i="96"/>
  <c r="FI41" i="96"/>
  <c r="ES41" i="96"/>
  <c r="EY41" i="96" s="1"/>
  <c r="EH41" i="96"/>
  <c r="EG41" i="96"/>
  <c r="EF41" i="96"/>
  <c r="EE41" i="96"/>
  <c r="ED41" i="96"/>
  <c r="EC41" i="96"/>
  <c r="DY41" i="96"/>
  <c r="DW41" i="96"/>
  <c r="EM41" i="96" s="1"/>
  <c r="DG41" i="96"/>
  <c r="DO41" i="96" s="1"/>
  <c r="DF41" i="96"/>
  <c r="DN41" i="96" s="1"/>
  <c r="DE41" i="96"/>
  <c r="DM41" i="96" s="1"/>
  <c r="DD41" i="96"/>
  <c r="DL41" i="96" s="1"/>
  <c r="DC41" i="96"/>
  <c r="DK41" i="96" s="1"/>
  <c r="DB41" i="96"/>
  <c r="DJ41" i="96" s="1"/>
  <c r="CM41" i="96"/>
  <c r="CL41" i="96"/>
  <c r="CK41" i="96"/>
  <c r="CJ41" i="96"/>
  <c r="CI41" i="96"/>
  <c r="CH41" i="96"/>
  <c r="AM41" i="96"/>
  <c r="AL41" i="96"/>
  <c r="AK41" i="96"/>
  <c r="AJ41" i="96"/>
  <c r="AI41" i="96"/>
  <c r="AH41" i="96"/>
  <c r="FV40" i="96"/>
  <c r="FI40" i="96"/>
  <c r="ES40" i="96"/>
  <c r="EY40" i="96" s="1"/>
  <c r="EH40" i="96"/>
  <c r="EG40" i="96"/>
  <c r="EF40" i="96"/>
  <c r="EE40" i="96"/>
  <c r="ED40" i="96"/>
  <c r="EC40" i="96"/>
  <c r="DY40" i="96"/>
  <c r="DW40" i="96"/>
  <c r="DG40" i="96"/>
  <c r="DO40" i="96" s="1"/>
  <c r="DF40" i="96"/>
  <c r="DN40" i="96" s="1"/>
  <c r="DE40" i="96"/>
  <c r="DM40" i="96" s="1"/>
  <c r="DD40" i="96"/>
  <c r="DL40" i="96" s="1"/>
  <c r="DC40" i="96"/>
  <c r="DK40" i="96" s="1"/>
  <c r="DB40" i="96"/>
  <c r="DJ40" i="96" s="1"/>
  <c r="CM40" i="96"/>
  <c r="CL40" i="96"/>
  <c r="CK40" i="96"/>
  <c r="CJ40" i="96"/>
  <c r="CI40" i="96"/>
  <c r="CH40" i="96"/>
  <c r="AM40" i="96"/>
  <c r="AL40" i="96"/>
  <c r="AK40" i="96"/>
  <c r="AJ40" i="96"/>
  <c r="AI40" i="96"/>
  <c r="AH40" i="96"/>
  <c r="FV39" i="96"/>
  <c r="FI39" i="96"/>
  <c r="ES39" i="96"/>
  <c r="EW39" i="96" s="1"/>
  <c r="EH39" i="96"/>
  <c r="EG39" i="96"/>
  <c r="EF39" i="96"/>
  <c r="EE39" i="96"/>
  <c r="ED39" i="96"/>
  <c r="EC39" i="96"/>
  <c r="DY39" i="96"/>
  <c r="DW39" i="96"/>
  <c r="DG39" i="96"/>
  <c r="DO39" i="96" s="1"/>
  <c r="DF39" i="96"/>
  <c r="DN39" i="96" s="1"/>
  <c r="DE39" i="96"/>
  <c r="DM39" i="96" s="1"/>
  <c r="DD39" i="96"/>
  <c r="DL39" i="96" s="1"/>
  <c r="DC39" i="96"/>
  <c r="DK39" i="96" s="1"/>
  <c r="DB39" i="96"/>
  <c r="DJ39" i="96" s="1"/>
  <c r="CM39" i="96"/>
  <c r="CL39" i="96"/>
  <c r="CK39" i="96"/>
  <c r="CJ39" i="96"/>
  <c r="CI39" i="96"/>
  <c r="CH39" i="96"/>
  <c r="AM39" i="96"/>
  <c r="AL39" i="96"/>
  <c r="AX40" i="96" s="1"/>
  <c r="AK39" i="96"/>
  <c r="AJ39" i="96"/>
  <c r="AV40" i="96" s="1"/>
  <c r="AI39" i="96"/>
  <c r="AH39" i="96"/>
  <c r="FV38" i="96"/>
  <c r="FI38" i="96"/>
  <c r="ES38" i="96"/>
  <c r="EH38" i="96"/>
  <c r="EG38" i="96"/>
  <c r="EF38" i="96"/>
  <c r="EE38" i="96"/>
  <c r="ED38" i="96"/>
  <c r="EC38" i="96"/>
  <c r="DY38" i="96"/>
  <c r="DW38" i="96"/>
  <c r="EK38" i="96" s="1"/>
  <c r="DG38" i="96"/>
  <c r="DO38" i="96" s="1"/>
  <c r="DF38" i="96"/>
  <c r="DN38" i="96" s="1"/>
  <c r="DE38" i="96"/>
  <c r="DM38" i="96" s="1"/>
  <c r="DD38" i="96"/>
  <c r="DL38" i="96" s="1"/>
  <c r="DC38" i="96"/>
  <c r="DK38" i="96" s="1"/>
  <c r="DB38" i="96"/>
  <c r="DJ38" i="96" s="1"/>
  <c r="CM38" i="96"/>
  <c r="CL38" i="96"/>
  <c r="CK38" i="96"/>
  <c r="CW39" i="96" s="1"/>
  <c r="CJ38" i="96"/>
  <c r="CI38" i="96"/>
  <c r="CH38" i="96"/>
  <c r="AM38" i="96"/>
  <c r="AL38" i="96"/>
  <c r="AK38" i="96"/>
  <c r="AJ38" i="96"/>
  <c r="AI38" i="96"/>
  <c r="AH38" i="96"/>
  <c r="FV37" i="96"/>
  <c r="FI37" i="96"/>
  <c r="ES37" i="96"/>
  <c r="EW37" i="96" s="1"/>
  <c r="EH37" i="96"/>
  <c r="EG37" i="96"/>
  <c r="EF37" i="96"/>
  <c r="EE37" i="96"/>
  <c r="ED37" i="96"/>
  <c r="EC37" i="96"/>
  <c r="DY37" i="96"/>
  <c r="DW37" i="96"/>
  <c r="EO37" i="96" s="1"/>
  <c r="DG37" i="96"/>
  <c r="DO37" i="96" s="1"/>
  <c r="DF37" i="96"/>
  <c r="DN37" i="96" s="1"/>
  <c r="DE37" i="96"/>
  <c r="DM37" i="96" s="1"/>
  <c r="DD37" i="96"/>
  <c r="DL37" i="96" s="1"/>
  <c r="DC37" i="96"/>
  <c r="DK37" i="96" s="1"/>
  <c r="DB37" i="96"/>
  <c r="DJ37" i="96" s="1"/>
  <c r="CM37" i="96"/>
  <c r="CL37" i="96"/>
  <c r="CK37" i="96"/>
  <c r="CJ37" i="96"/>
  <c r="CI37" i="96"/>
  <c r="CH37" i="96"/>
  <c r="CT38" i="96" s="1"/>
  <c r="AM37" i="96"/>
  <c r="AL37" i="96"/>
  <c r="AK37" i="96"/>
  <c r="AJ37" i="96"/>
  <c r="AI37" i="96"/>
  <c r="AH37" i="96"/>
  <c r="FV36" i="96"/>
  <c r="FI36" i="96"/>
  <c r="ES36" i="96"/>
  <c r="EY36" i="96" s="1"/>
  <c r="EH36" i="96"/>
  <c r="EG36" i="96"/>
  <c r="EF36" i="96"/>
  <c r="EE36" i="96"/>
  <c r="ED36" i="96"/>
  <c r="EC36" i="96"/>
  <c r="DY36" i="96"/>
  <c r="DW36" i="96"/>
  <c r="EO36" i="96" s="1"/>
  <c r="DG36" i="96"/>
  <c r="DO36" i="96" s="1"/>
  <c r="DF36" i="96"/>
  <c r="DN36" i="96" s="1"/>
  <c r="DE36" i="96"/>
  <c r="DM36" i="96" s="1"/>
  <c r="DD36" i="96"/>
  <c r="DL36" i="96" s="1"/>
  <c r="DC36" i="96"/>
  <c r="DK36" i="96" s="1"/>
  <c r="DB36" i="96"/>
  <c r="DJ36" i="96" s="1"/>
  <c r="CM36" i="96"/>
  <c r="CY37" i="96" s="1"/>
  <c r="CL36" i="96"/>
  <c r="CK36" i="96"/>
  <c r="CJ36" i="96"/>
  <c r="CI36" i="96"/>
  <c r="CH36" i="96"/>
  <c r="AM36" i="96"/>
  <c r="AL36" i="96"/>
  <c r="AK36" i="96"/>
  <c r="AJ36" i="96"/>
  <c r="AI36" i="96"/>
  <c r="AH36" i="96"/>
  <c r="FV35" i="96"/>
  <c r="FI35" i="96"/>
  <c r="ES35" i="96"/>
  <c r="EY35" i="96" s="1"/>
  <c r="EH35" i="96"/>
  <c r="EG35" i="96"/>
  <c r="EF35" i="96"/>
  <c r="EE35" i="96"/>
  <c r="ED35" i="96"/>
  <c r="EC35" i="96"/>
  <c r="DY35" i="96"/>
  <c r="DW35" i="96"/>
  <c r="EP35" i="96" s="1"/>
  <c r="DG35" i="96"/>
  <c r="DO35" i="96" s="1"/>
  <c r="DF35" i="96"/>
  <c r="DN35" i="96" s="1"/>
  <c r="DE35" i="96"/>
  <c r="DM35" i="96" s="1"/>
  <c r="DD35" i="96"/>
  <c r="DL35" i="96" s="1"/>
  <c r="DC35" i="96"/>
  <c r="DK35" i="96" s="1"/>
  <c r="DB35" i="96"/>
  <c r="DJ35" i="96" s="1"/>
  <c r="CM35" i="96"/>
  <c r="CL35" i="96"/>
  <c r="CK35" i="96"/>
  <c r="CJ35" i="96"/>
  <c r="CI35" i="96"/>
  <c r="CH35" i="96"/>
  <c r="AM35" i="96"/>
  <c r="AL35" i="96"/>
  <c r="AK35" i="96"/>
  <c r="AJ35" i="96"/>
  <c r="AI35" i="96"/>
  <c r="AH35" i="96"/>
  <c r="AT36" i="96" s="1"/>
  <c r="FV34" i="96"/>
  <c r="FI34" i="96"/>
  <c r="ES34" i="96"/>
  <c r="EH34" i="96"/>
  <c r="EG34" i="96"/>
  <c r="EF34" i="96"/>
  <c r="EE34" i="96"/>
  <c r="ED34" i="96"/>
  <c r="EC34" i="96"/>
  <c r="DY34" i="96"/>
  <c r="DW34" i="96"/>
  <c r="EP34" i="96" s="1"/>
  <c r="DG34" i="96"/>
  <c r="DO34" i="96" s="1"/>
  <c r="DF34" i="96"/>
  <c r="DN34" i="96" s="1"/>
  <c r="DE34" i="96"/>
  <c r="DM34" i="96" s="1"/>
  <c r="DD34" i="96"/>
  <c r="DL34" i="96" s="1"/>
  <c r="DC34" i="96"/>
  <c r="DK34" i="96" s="1"/>
  <c r="DB34" i="96"/>
  <c r="DJ34" i="96" s="1"/>
  <c r="CM34" i="96"/>
  <c r="CL34" i="96"/>
  <c r="CK34" i="96"/>
  <c r="CW35" i="96" s="1"/>
  <c r="CJ34" i="96"/>
  <c r="CI34" i="96"/>
  <c r="CH34" i="96"/>
  <c r="AM34" i="96"/>
  <c r="AL34" i="96"/>
  <c r="AK34" i="96"/>
  <c r="AJ34" i="96"/>
  <c r="AI34" i="96"/>
  <c r="AU35" i="96" s="1"/>
  <c r="AH34" i="96"/>
  <c r="FV33" i="96"/>
  <c r="FI33" i="96"/>
  <c r="ES33" i="96"/>
  <c r="EH33" i="96"/>
  <c r="EG33" i="96"/>
  <c r="EF33" i="96"/>
  <c r="EE33" i="96"/>
  <c r="ED33" i="96"/>
  <c r="EC33" i="96"/>
  <c r="DY33" i="96"/>
  <c r="DW33" i="96"/>
  <c r="EK33" i="96" s="1"/>
  <c r="DG33" i="96"/>
  <c r="DO33" i="96" s="1"/>
  <c r="DF33" i="96"/>
  <c r="DN33" i="96" s="1"/>
  <c r="DE33" i="96"/>
  <c r="DM33" i="96" s="1"/>
  <c r="DD33" i="96"/>
  <c r="DL33" i="96" s="1"/>
  <c r="DC33" i="96"/>
  <c r="DK33" i="96" s="1"/>
  <c r="DB33" i="96"/>
  <c r="DJ33" i="96" s="1"/>
  <c r="CM33" i="96"/>
  <c r="CL33" i="96"/>
  <c r="CK33" i="96"/>
  <c r="CJ33" i="96"/>
  <c r="CI33" i="96"/>
  <c r="CH33" i="96"/>
  <c r="AM33" i="96"/>
  <c r="AL33" i="96"/>
  <c r="AK33" i="96"/>
  <c r="AJ33" i="96"/>
  <c r="AV34" i="96" s="1"/>
  <c r="AI33" i="96"/>
  <c r="AH33" i="96"/>
  <c r="FV32" i="96"/>
  <c r="FI32" i="96"/>
  <c r="ES32" i="96"/>
  <c r="EY32" i="96" s="1"/>
  <c r="EH32" i="96"/>
  <c r="EG32" i="96"/>
  <c r="EF32" i="96"/>
  <c r="EE32" i="96"/>
  <c r="ED32" i="96"/>
  <c r="EC32" i="96"/>
  <c r="DY32" i="96"/>
  <c r="DW32" i="96"/>
  <c r="DG32" i="96"/>
  <c r="DO32" i="96" s="1"/>
  <c r="DF32" i="96"/>
  <c r="DN32" i="96" s="1"/>
  <c r="DE32" i="96"/>
  <c r="DM32" i="96" s="1"/>
  <c r="DD32" i="96"/>
  <c r="DL32" i="96" s="1"/>
  <c r="DC32" i="96"/>
  <c r="DK32" i="96" s="1"/>
  <c r="DB32" i="96"/>
  <c r="DJ32" i="96" s="1"/>
  <c r="CM32" i="96"/>
  <c r="CL32" i="96"/>
  <c r="CK32" i="96"/>
  <c r="CJ32" i="96"/>
  <c r="CI32" i="96"/>
  <c r="CU33" i="96" s="1"/>
  <c r="CH32" i="96"/>
  <c r="AM32" i="96"/>
  <c r="AL32" i="96"/>
  <c r="AK32" i="96"/>
  <c r="AW33" i="96" s="1"/>
  <c r="AJ32" i="96"/>
  <c r="AI32" i="96"/>
  <c r="AH32" i="96"/>
  <c r="FV31" i="96"/>
  <c r="FI31" i="96"/>
  <c r="ES31" i="96"/>
  <c r="EW31" i="96" s="1"/>
  <c r="EH31" i="96"/>
  <c r="EG31" i="96"/>
  <c r="EF31" i="96"/>
  <c r="EE31" i="96"/>
  <c r="ED31" i="96"/>
  <c r="EC31" i="96"/>
  <c r="DY31" i="96"/>
  <c r="DW31" i="96"/>
  <c r="EK31" i="96" s="1"/>
  <c r="DG31" i="96"/>
  <c r="DO31" i="96" s="1"/>
  <c r="DF31" i="96"/>
  <c r="DN31" i="96" s="1"/>
  <c r="DE31" i="96"/>
  <c r="DM31" i="96" s="1"/>
  <c r="DD31" i="96"/>
  <c r="DL31" i="96" s="1"/>
  <c r="DC31" i="96"/>
  <c r="DK31" i="96" s="1"/>
  <c r="DB31" i="96"/>
  <c r="DJ31" i="96" s="1"/>
  <c r="CM31" i="96"/>
  <c r="CL31" i="96"/>
  <c r="CK31" i="96"/>
  <c r="CJ31" i="96"/>
  <c r="CI31" i="96"/>
  <c r="CH31" i="96"/>
  <c r="AM31" i="96"/>
  <c r="AL31" i="96"/>
  <c r="AK31" i="96"/>
  <c r="AJ31" i="96"/>
  <c r="AI31" i="96"/>
  <c r="AH31" i="96"/>
  <c r="FV30" i="96"/>
  <c r="FI30" i="96"/>
  <c r="ES30" i="96"/>
  <c r="EX30" i="96" s="1"/>
  <c r="EH30" i="96"/>
  <c r="EG30" i="96"/>
  <c r="EF30" i="96"/>
  <c r="EE30" i="96"/>
  <c r="ED30" i="96"/>
  <c r="EC30" i="96"/>
  <c r="DY30" i="96"/>
  <c r="DW30" i="96"/>
  <c r="EK30" i="96" s="1"/>
  <c r="DG30" i="96"/>
  <c r="DO30" i="96" s="1"/>
  <c r="DF30" i="96"/>
  <c r="DN30" i="96" s="1"/>
  <c r="DE30" i="96"/>
  <c r="DM30" i="96" s="1"/>
  <c r="DD30" i="96"/>
  <c r="DL30" i="96" s="1"/>
  <c r="DC30" i="96"/>
  <c r="DK30" i="96" s="1"/>
  <c r="DB30" i="96"/>
  <c r="DJ30" i="96" s="1"/>
  <c r="CM30" i="96"/>
  <c r="CL30" i="96"/>
  <c r="CK30" i="96"/>
  <c r="CJ30" i="96"/>
  <c r="CI30" i="96"/>
  <c r="CH30" i="96"/>
  <c r="AM30" i="96"/>
  <c r="AY31" i="96" s="1"/>
  <c r="AL30" i="96"/>
  <c r="AK30" i="96"/>
  <c r="AJ30" i="96"/>
  <c r="AI30" i="96"/>
  <c r="AH30" i="96"/>
  <c r="FV29" i="96"/>
  <c r="FI29" i="96"/>
  <c r="ES29" i="96"/>
  <c r="EW29" i="96" s="1"/>
  <c r="EH29" i="96"/>
  <c r="EG29" i="96"/>
  <c r="EF29" i="96"/>
  <c r="EE29" i="96"/>
  <c r="ED29" i="96"/>
  <c r="EC29" i="96"/>
  <c r="DY29" i="96"/>
  <c r="DW29" i="96"/>
  <c r="EL29" i="96" s="1"/>
  <c r="DG29" i="96"/>
  <c r="DO29" i="96" s="1"/>
  <c r="DF29" i="96"/>
  <c r="DN29" i="96" s="1"/>
  <c r="DE29" i="96"/>
  <c r="DM29" i="96" s="1"/>
  <c r="DD29" i="96"/>
  <c r="DL29" i="96" s="1"/>
  <c r="DC29" i="96"/>
  <c r="DK29" i="96" s="1"/>
  <c r="DB29" i="96"/>
  <c r="DJ29" i="96" s="1"/>
  <c r="CM29" i="96"/>
  <c r="CL29" i="96"/>
  <c r="CK29" i="96"/>
  <c r="CJ29" i="96"/>
  <c r="CI29" i="96"/>
  <c r="CH29" i="96"/>
  <c r="CT30" i="96" s="1"/>
  <c r="AM29" i="96"/>
  <c r="AL29" i="96"/>
  <c r="AK29" i="96"/>
  <c r="AJ29" i="96"/>
  <c r="AI29" i="96"/>
  <c r="AH29" i="96"/>
  <c r="FV28" i="96"/>
  <c r="FI28" i="96"/>
  <c r="ES28" i="96"/>
  <c r="EX28" i="96" s="1"/>
  <c r="EH28" i="96"/>
  <c r="EG28" i="96"/>
  <c r="EF28" i="96"/>
  <c r="EE28" i="96"/>
  <c r="ED28" i="96"/>
  <c r="EC28" i="96"/>
  <c r="DY28" i="96"/>
  <c r="DW28" i="96"/>
  <c r="EO28" i="96" s="1"/>
  <c r="DG28" i="96"/>
  <c r="DO28" i="96" s="1"/>
  <c r="DF28" i="96"/>
  <c r="DN28" i="96" s="1"/>
  <c r="DE28" i="96"/>
  <c r="DM28" i="96" s="1"/>
  <c r="DD28" i="96"/>
  <c r="DL28" i="96" s="1"/>
  <c r="DC28" i="96"/>
  <c r="DK28" i="96" s="1"/>
  <c r="DB28" i="96"/>
  <c r="DJ28" i="96" s="1"/>
  <c r="CM28" i="96"/>
  <c r="CL28" i="96"/>
  <c r="CK28" i="96"/>
  <c r="CJ28" i="96"/>
  <c r="CV29" i="96" s="1"/>
  <c r="CI28" i="96"/>
  <c r="CH28" i="96"/>
  <c r="AM28" i="96"/>
  <c r="AL28" i="96"/>
  <c r="AK28" i="96"/>
  <c r="AJ28" i="96"/>
  <c r="AI28" i="96"/>
  <c r="AH28" i="96"/>
  <c r="FV27" i="96"/>
  <c r="FI27" i="96"/>
  <c r="ES27" i="96"/>
  <c r="EY27" i="96" s="1"/>
  <c r="EH27" i="96"/>
  <c r="EG27" i="96"/>
  <c r="EF27" i="96"/>
  <c r="EE27" i="96"/>
  <c r="ED27" i="96"/>
  <c r="EC27" i="96"/>
  <c r="DY27" i="96"/>
  <c r="DW27" i="96"/>
  <c r="EN27" i="96" s="1"/>
  <c r="DG27" i="96"/>
  <c r="DO27" i="96" s="1"/>
  <c r="DF27" i="96"/>
  <c r="DN27" i="96" s="1"/>
  <c r="DE27" i="96"/>
  <c r="DM27" i="96" s="1"/>
  <c r="DD27" i="96"/>
  <c r="DL27" i="96" s="1"/>
  <c r="DC27" i="96"/>
  <c r="DK27" i="96" s="1"/>
  <c r="DB27" i="96"/>
  <c r="DJ27" i="96" s="1"/>
  <c r="CM27" i="96"/>
  <c r="CL27" i="96"/>
  <c r="CK27" i="96"/>
  <c r="CJ27" i="96"/>
  <c r="CI27" i="96"/>
  <c r="CH27" i="96"/>
  <c r="CT28" i="96" s="1"/>
  <c r="AM27" i="96"/>
  <c r="AL27" i="96"/>
  <c r="AK27" i="96"/>
  <c r="AJ27" i="96"/>
  <c r="AI27" i="96"/>
  <c r="AH27" i="96"/>
  <c r="AT28" i="96" s="1"/>
  <c r="FV26" i="96"/>
  <c r="FI26" i="96"/>
  <c r="ES26" i="96"/>
  <c r="EY26" i="96" s="1"/>
  <c r="EH26" i="96"/>
  <c r="EG26" i="96"/>
  <c r="EF26" i="96"/>
  <c r="EE26" i="96"/>
  <c r="ED26" i="96"/>
  <c r="EC26" i="96"/>
  <c r="DY26" i="96"/>
  <c r="DW26" i="96"/>
  <c r="EN26" i="96" s="1"/>
  <c r="DG26" i="96"/>
  <c r="DO26" i="96" s="1"/>
  <c r="DF26" i="96"/>
  <c r="DN26" i="96" s="1"/>
  <c r="DE26" i="96"/>
  <c r="DM26" i="96" s="1"/>
  <c r="DD26" i="96"/>
  <c r="DL26" i="96" s="1"/>
  <c r="DC26" i="96"/>
  <c r="DK26" i="96" s="1"/>
  <c r="DB26" i="96"/>
  <c r="DJ26" i="96" s="1"/>
  <c r="CM26" i="96"/>
  <c r="CL26" i="96"/>
  <c r="CK26" i="96"/>
  <c r="CJ26" i="96"/>
  <c r="CI26" i="96"/>
  <c r="CH26" i="96"/>
  <c r="AM26" i="96"/>
  <c r="AL26" i="96"/>
  <c r="AK26" i="96"/>
  <c r="AJ26" i="96"/>
  <c r="AI26" i="96"/>
  <c r="AH26" i="96"/>
  <c r="FV25" i="96"/>
  <c r="FI25" i="96"/>
  <c r="ES25" i="96"/>
  <c r="EY25" i="96" s="1"/>
  <c r="EH25" i="96"/>
  <c r="EG25" i="96"/>
  <c r="EF25" i="96"/>
  <c r="EE25" i="96"/>
  <c r="ED25" i="96"/>
  <c r="EC25" i="96"/>
  <c r="DY25" i="96"/>
  <c r="DW25" i="96"/>
  <c r="EN25" i="96" s="1"/>
  <c r="DG25" i="96"/>
  <c r="DO25" i="96" s="1"/>
  <c r="DF25" i="96"/>
  <c r="DN25" i="96" s="1"/>
  <c r="DE25" i="96"/>
  <c r="DM25" i="96" s="1"/>
  <c r="DD25" i="96"/>
  <c r="DL25" i="96" s="1"/>
  <c r="DC25" i="96"/>
  <c r="DK25" i="96" s="1"/>
  <c r="DB25" i="96"/>
  <c r="DJ25" i="96" s="1"/>
  <c r="CM25" i="96"/>
  <c r="CL25" i="96"/>
  <c r="CK25" i="96"/>
  <c r="CJ25" i="96"/>
  <c r="CI25" i="96"/>
  <c r="CH25" i="96"/>
  <c r="AM25" i="96"/>
  <c r="AL25" i="96"/>
  <c r="AK25" i="96"/>
  <c r="AJ25" i="96"/>
  <c r="AI25" i="96"/>
  <c r="AH25" i="96"/>
  <c r="FV24" i="96"/>
  <c r="FI24" i="96"/>
  <c r="ES24" i="96"/>
  <c r="EX24" i="96" s="1"/>
  <c r="EH24" i="96"/>
  <c r="EG24" i="96"/>
  <c r="EF24" i="96"/>
  <c r="EE24" i="96"/>
  <c r="ED24" i="96"/>
  <c r="EC24" i="96"/>
  <c r="DY24" i="96"/>
  <c r="DW24" i="96"/>
  <c r="EK24" i="96" s="1"/>
  <c r="DG24" i="96"/>
  <c r="DO24" i="96" s="1"/>
  <c r="DF24" i="96"/>
  <c r="DN24" i="96" s="1"/>
  <c r="DE24" i="96"/>
  <c r="DM24" i="96" s="1"/>
  <c r="DD24" i="96"/>
  <c r="DL24" i="96" s="1"/>
  <c r="DC24" i="96"/>
  <c r="DK24" i="96" s="1"/>
  <c r="DB24" i="96"/>
  <c r="DJ24" i="96" s="1"/>
  <c r="CM24" i="96"/>
  <c r="CL24" i="96"/>
  <c r="CK24" i="96"/>
  <c r="CJ24" i="96"/>
  <c r="CI24" i="96"/>
  <c r="CH24" i="96"/>
  <c r="AM24" i="96"/>
  <c r="AL24" i="96"/>
  <c r="AK24" i="96"/>
  <c r="AJ24" i="96"/>
  <c r="AI24" i="96"/>
  <c r="AH24" i="96"/>
  <c r="FV23" i="96"/>
  <c r="FI23" i="96"/>
  <c r="ES23" i="96"/>
  <c r="EY23" i="96" s="1"/>
  <c r="EH23" i="96"/>
  <c r="EG23" i="96"/>
  <c r="EF23" i="96"/>
  <c r="EE23" i="96"/>
  <c r="ED23" i="96"/>
  <c r="EC23" i="96"/>
  <c r="DY23" i="96"/>
  <c r="DW23" i="96"/>
  <c r="EP23" i="96" s="1"/>
  <c r="DG23" i="96"/>
  <c r="DO23" i="96" s="1"/>
  <c r="DF23" i="96"/>
  <c r="DN23" i="96" s="1"/>
  <c r="DE23" i="96"/>
  <c r="DM23" i="96" s="1"/>
  <c r="DD23" i="96"/>
  <c r="DL23" i="96" s="1"/>
  <c r="DC23" i="96"/>
  <c r="DK23" i="96" s="1"/>
  <c r="DB23" i="96"/>
  <c r="DJ23" i="96" s="1"/>
  <c r="CM23" i="96"/>
  <c r="CL23" i="96"/>
  <c r="CK23" i="96"/>
  <c r="CJ23" i="96"/>
  <c r="CI23" i="96"/>
  <c r="CH23" i="96"/>
  <c r="AM23" i="96"/>
  <c r="AL23" i="96"/>
  <c r="AK23" i="96"/>
  <c r="AJ23" i="96"/>
  <c r="AI23" i="96"/>
  <c r="AH23" i="96"/>
  <c r="FV22" i="96"/>
  <c r="FI22" i="96"/>
  <c r="ES22" i="96"/>
  <c r="EY22" i="96" s="1"/>
  <c r="EH22" i="96"/>
  <c r="EG22" i="96"/>
  <c r="EF22" i="96"/>
  <c r="EE22" i="96"/>
  <c r="ED22" i="96"/>
  <c r="EC22" i="96"/>
  <c r="DY22" i="96"/>
  <c r="DW22" i="96"/>
  <c r="EN22" i="96" s="1"/>
  <c r="DG22" i="96"/>
  <c r="DO22" i="96" s="1"/>
  <c r="DF22" i="96"/>
  <c r="DN22" i="96" s="1"/>
  <c r="DE22" i="96"/>
  <c r="DM22" i="96" s="1"/>
  <c r="DD22" i="96"/>
  <c r="DL22" i="96" s="1"/>
  <c r="DC22" i="96"/>
  <c r="DK22" i="96" s="1"/>
  <c r="DB22" i="96"/>
  <c r="DJ22" i="96" s="1"/>
  <c r="CM22" i="96"/>
  <c r="CL22" i="96"/>
  <c r="CK22" i="96"/>
  <c r="CJ22" i="96"/>
  <c r="CI22" i="96"/>
  <c r="CH22" i="96"/>
  <c r="AM22" i="96"/>
  <c r="AL22" i="96"/>
  <c r="AK22" i="96"/>
  <c r="AJ22" i="96"/>
  <c r="AI22" i="96"/>
  <c r="AH22" i="96"/>
  <c r="FV21" i="96"/>
  <c r="FI21" i="96"/>
  <c r="ES21" i="96"/>
  <c r="EX21" i="96" s="1"/>
  <c r="EH21" i="96"/>
  <c r="EG21" i="96"/>
  <c r="EF21" i="96"/>
  <c r="EE21" i="96"/>
  <c r="ED21" i="96"/>
  <c r="EC21" i="96"/>
  <c r="DY21" i="96"/>
  <c r="DW21" i="96"/>
  <c r="EO21" i="96" s="1"/>
  <c r="DG21" i="96"/>
  <c r="DO21" i="96" s="1"/>
  <c r="DF21" i="96"/>
  <c r="DN21" i="96" s="1"/>
  <c r="DE21" i="96"/>
  <c r="DM21" i="96" s="1"/>
  <c r="DD21" i="96"/>
  <c r="DL21" i="96" s="1"/>
  <c r="DC21" i="96"/>
  <c r="DK21" i="96" s="1"/>
  <c r="DB21" i="96"/>
  <c r="DJ21" i="96" s="1"/>
  <c r="CM21" i="96"/>
  <c r="CL21" i="96"/>
  <c r="CK21" i="96"/>
  <c r="CJ21" i="96"/>
  <c r="CI21" i="96"/>
  <c r="CH21" i="96"/>
  <c r="AM21" i="96"/>
  <c r="AL21" i="96"/>
  <c r="AK21" i="96"/>
  <c r="AJ21" i="96"/>
  <c r="AI21" i="96"/>
  <c r="AH21" i="96"/>
  <c r="FV20" i="96"/>
  <c r="FI20" i="96"/>
  <c r="ES20" i="96"/>
  <c r="EW20" i="96" s="1"/>
  <c r="EH20" i="96"/>
  <c r="EG20" i="96"/>
  <c r="EF20" i="96"/>
  <c r="EE20" i="96"/>
  <c r="ED20" i="96"/>
  <c r="EC20" i="96"/>
  <c r="DY20" i="96"/>
  <c r="DW20" i="96"/>
  <c r="CM20" i="96"/>
  <c r="CL20" i="96"/>
  <c r="CK20" i="96"/>
  <c r="CJ20" i="96"/>
  <c r="CI20" i="96"/>
  <c r="CH20" i="96"/>
  <c r="AM20" i="96"/>
  <c r="AL20" i="96"/>
  <c r="AK20" i="96"/>
  <c r="AJ20" i="96"/>
  <c r="AI20" i="96"/>
  <c r="AH20" i="96"/>
  <c r="FV19" i="96"/>
  <c r="FI19" i="96"/>
  <c r="ES19" i="96"/>
  <c r="EX19" i="96" s="1"/>
  <c r="DY19" i="96"/>
  <c r="DW19" i="96"/>
  <c r="CE19" i="96"/>
  <c r="CD19" i="96"/>
  <c r="CC19" i="96"/>
  <c r="CB19" i="96"/>
  <c r="CA19" i="96"/>
  <c r="BZ19" i="96"/>
  <c r="BW19" i="96"/>
  <c r="EH19" i="96" s="1"/>
  <c r="BV19" i="96"/>
  <c r="EG19" i="96" s="1"/>
  <c r="BU19" i="96"/>
  <c r="EF19" i="96" s="1"/>
  <c r="BT19" i="96"/>
  <c r="EE19" i="96" s="1"/>
  <c r="BS19" i="96"/>
  <c r="BR19" i="96"/>
  <c r="EC19" i="96" s="1"/>
  <c r="AE19" i="96"/>
  <c r="DG20" i="96" s="1"/>
  <c r="DO20" i="96" s="1"/>
  <c r="AD19" i="96"/>
  <c r="AC19" i="96"/>
  <c r="DE20" i="96" s="1"/>
  <c r="DM20" i="96" s="1"/>
  <c r="AB19" i="96"/>
  <c r="DD20" i="96" s="1"/>
  <c r="DL20" i="96" s="1"/>
  <c r="AA19" i="96"/>
  <c r="Z19" i="96"/>
  <c r="DB20" i="96" s="1"/>
  <c r="DJ20" i="96" s="1"/>
  <c r="W19" i="96"/>
  <c r="V19" i="96"/>
  <c r="U19" i="96"/>
  <c r="T19" i="96"/>
  <c r="S19" i="96"/>
  <c r="R19" i="96"/>
  <c r="EK19" i="96" s="1"/>
  <c r="FV18" i="96"/>
  <c r="FI18" i="96"/>
  <c r="ES18" i="96"/>
  <c r="EX18" i="96" s="1"/>
  <c r="DY18" i="96"/>
  <c r="DW18" i="96"/>
  <c r="CE18" i="96"/>
  <c r="CD18" i="96"/>
  <c r="CC18" i="96"/>
  <c r="CB18" i="96"/>
  <c r="CA18" i="96"/>
  <c r="BZ18" i="96"/>
  <c r="BW18" i="96"/>
  <c r="EH18" i="96" s="1"/>
  <c r="BV18" i="96"/>
  <c r="EG18" i="96" s="1"/>
  <c r="BU18" i="96"/>
  <c r="EF18" i="96" s="1"/>
  <c r="BT18" i="96"/>
  <c r="EE18" i="96" s="1"/>
  <c r="BS18" i="96"/>
  <c r="ED18" i="96" s="1"/>
  <c r="BR18" i="96"/>
  <c r="EC18" i="96" s="1"/>
  <c r="AE18" i="96"/>
  <c r="AD18" i="96"/>
  <c r="AC18" i="96"/>
  <c r="AB18" i="96"/>
  <c r="AA18" i="96"/>
  <c r="Z18" i="96"/>
  <c r="W18" i="96"/>
  <c r="V18" i="96"/>
  <c r="U18" i="96"/>
  <c r="T18" i="96"/>
  <c r="S18" i="96"/>
  <c r="R18" i="96"/>
  <c r="FV17" i="96"/>
  <c r="FI17" i="96"/>
  <c r="ES17" i="96"/>
  <c r="EW17" i="96" s="1"/>
  <c r="DY17" i="96"/>
  <c r="DW17" i="96"/>
  <c r="CE17" i="96"/>
  <c r="CD17" i="96"/>
  <c r="CC17" i="96"/>
  <c r="CB17" i="96"/>
  <c r="CA17" i="96"/>
  <c r="BZ17" i="96"/>
  <c r="BW17" i="96"/>
  <c r="EH17" i="96" s="1"/>
  <c r="BV17" i="96"/>
  <c r="EG17" i="96" s="1"/>
  <c r="BU17" i="96"/>
  <c r="BT17" i="96"/>
  <c r="BS17" i="96"/>
  <c r="ED17" i="96" s="1"/>
  <c r="BR17" i="96"/>
  <c r="AE17" i="96"/>
  <c r="AD17" i="96"/>
  <c r="AC17" i="96"/>
  <c r="AB17" i="96"/>
  <c r="AA17" i="96"/>
  <c r="Z17" i="96"/>
  <c r="W17" i="96"/>
  <c r="V17" i="96"/>
  <c r="U17" i="96"/>
  <c r="T17" i="96"/>
  <c r="AJ17" i="96" s="1"/>
  <c r="S17" i="96"/>
  <c r="R17" i="96"/>
  <c r="FV16" i="96"/>
  <c r="FI16" i="96"/>
  <c r="ES16" i="96"/>
  <c r="EY16" i="96" s="1"/>
  <c r="DY16" i="96"/>
  <c r="DW16" i="96"/>
  <c r="CE16" i="96"/>
  <c r="CD16" i="96"/>
  <c r="CC16" i="96"/>
  <c r="CB16" i="96"/>
  <c r="CA16" i="96"/>
  <c r="BZ16" i="96"/>
  <c r="BW16" i="96"/>
  <c r="BV16" i="96"/>
  <c r="EG16" i="96" s="1"/>
  <c r="BU16" i="96"/>
  <c r="EF16" i="96" s="1"/>
  <c r="BT16" i="96"/>
  <c r="BS16" i="96"/>
  <c r="BR16" i="96"/>
  <c r="AE16" i="96"/>
  <c r="AD16" i="96"/>
  <c r="AC16" i="96"/>
  <c r="AB16" i="96"/>
  <c r="AA16" i="96"/>
  <c r="Z16" i="96"/>
  <c r="W16" i="96"/>
  <c r="V16" i="96"/>
  <c r="U16" i="96"/>
  <c r="T16" i="96"/>
  <c r="S16" i="96"/>
  <c r="R16" i="96"/>
  <c r="FV15" i="96"/>
  <c r="FI15" i="96"/>
  <c r="ES15" i="96"/>
  <c r="EY15" i="96" s="1"/>
  <c r="DY15" i="96"/>
  <c r="DW15" i="96"/>
  <c r="CE15" i="96"/>
  <c r="CD15" i="96"/>
  <c r="CC15" i="96"/>
  <c r="CB15" i="96"/>
  <c r="CA15" i="96"/>
  <c r="BZ15" i="96"/>
  <c r="BW15" i="96"/>
  <c r="BV15" i="96"/>
  <c r="EG15" i="96" s="1"/>
  <c r="BU15" i="96"/>
  <c r="BT15" i="96"/>
  <c r="BS15" i="96"/>
  <c r="BR15" i="96"/>
  <c r="EC15" i="96" s="1"/>
  <c r="AE15" i="96"/>
  <c r="AD15" i="96"/>
  <c r="AC15" i="96"/>
  <c r="AB15" i="96"/>
  <c r="AA15" i="96"/>
  <c r="Z15" i="96"/>
  <c r="W15" i="96"/>
  <c r="V15" i="96"/>
  <c r="U15" i="96"/>
  <c r="T15" i="96"/>
  <c r="S15" i="96"/>
  <c r="R15" i="96"/>
  <c r="FV14" i="96"/>
  <c r="FI14" i="96"/>
  <c r="ES14" i="96"/>
  <c r="DY14" i="96"/>
  <c r="DW14" i="96"/>
  <c r="CE14" i="96"/>
  <c r="CD14" i="96"/>
  <c r="CC14" i="96"/>
  <c r="CB14" i="96"/>
  <c r="CA14" i="96"/>
  <c r="BZ14" i="96"/>
  <c r="BW14" i="96"/>
  <c r="EH14" i="96" s="1"/>
  <c r="BV14" i="96"/>
  <c r="BU14" i="96"/>
  <c r="BT14" i="96"/>
  <c r="BS14" i="96"/>
  <c r="BR14" i="96"/>
  <c r="EC14" i="96" s="1"/>
  <c r="AE14" i="96"/>
  <c r="AD14" i="96"/>
  <c r="AC14" i="96"/>
  <c r="AB14" i="96"/>
  <c r="AA14" i="96"/>
  <c r="Z14" i="96"/>
  <c r="W14" i="96"/>
  <c r="V14" i="96"/>
  <c r="U14" i="96"/>
  <c r="T14" i="96"/>
  <c r="S14" i="96"/>
  <c r="EL14" i="96" s="1"/>
  <c r="R14" i="96"/>
  <c r="EK14" i="96" s="1"/>
  <c r="FV13" i="96"/>
  <c r="FI13" i="96"/>
  <c r="ES13" i="96"/>
  <c r="EY13" i="96" s="1"/>
  <c r="DY13" i="96"/>
  <c r="DW13" i="96"/>
  <c r="CE13" i="96"/>
  <c r="CD13" i="96"/>
  <c r="CC13" i="96"/>
  <c r="CB13" i="96"/>
  <c r="CA13" i="96"/>
  <c r="BZ13" i="96"/>
  <c r="BW13" i="96"/>
  <c r="BV13" i="96"/>
  <c r="BU13" i="96"/>
  <c r="BT13" i="96"/>
  <c r="CJ13" i="96" s="1"/>
  <c r="BS13" i="96"/>
  <c r="ED13" i="96" s="1"/>
  <c r="BR13" i="96"/>
  <c r="EC13" i="96" s="1"/>
  <c r="AE13" i="96"/>
  <c r="AD13" i="96"/>
  <c r="AC13" i="96"/>
  <c r="AB13" i="96"/>
  <c r="AA13" i="96"/>
  <c r="Z13" i="96"/>
  <c r="W13" i="96"/>
  <c r="V13" i="96"/>
  <c r="AL13" i="96" s="1"/>
  <c r="U13" i="96"/>
  <c r="T13" i="96"/>
  <c r="S13" i="96"/>
  <c r="R13" i="96"/>
  <c r="FV12" i="96"/>
  <c r="ES12" i="96"/>
  <c r="EX12" i="96" s="1"/>
  <c r="DY12" i="96"/>
  <c r="DW12" i="96"/>
  <c r="CE12" i="96"/>
  <c r="CD12" i="96"/>
  <c r="CC12" i="96"/>
  <c r="CB12" i="96"/>
  <c r="CA12" i="96"/>
  <c r="BZ12" i="96"/>
  <c r="BW12" i="96"/>
  <c r="EH12" i="96" s="1"/>
  <c r="BV12" i="96"/>
  <c r="BU12" i="96"/>
  <c r="EF12" i="96" s="1"/>
  <c r="BT12" i="96"/>
  <c r="EE12" i="96" s="1"/>
  <c r="BS12" i="96"/>
  <c r="BR12" i="96"/>
  <c r="EC12" i="96" s="1"/>
  <c r="AE12" i="96"/>
  <c r="DG13" i="96" s="1"/>
  <c r="DO13" i="96" s="1"/>
  <c r="AD12" i="96"/>
  <c r="AC12" i="96"/>
  <c r="AB12" i="96"/>
  <c r="AA12" i="96"/>
  <c r="Z12" i="96"/>
  <c r="W12" i="96"/>
  <c r="V12" i="96"/>
  <c r="U12" i="96"/>
  <c r="T12" i="96"/>
  <c r="S12" i="96"/>
  <c r="R12" i="96"/>
  <c r="EK12" i="96" s="1"/>
  <c r="FV11" i="96"/>
  <c r="ES11" i="96"/>
  <c r="EX11" i="96" s="1"/>
  <c r="DY11" i="96"/>
  <c r="DW11" i="96"/>
  <c r="CE11" i="96"/>
  <c r="CD11" i="96"/>
  <c r="CC11" i="96"/>
  <c r="CB11" i="96"/>
  <c r="CA11" i="96"/>
  <c r="BZ11" i="96"/>
  <c r="BW11" i="96"/>
  <c r="BV11" i="96"/>
  <c r="EG11" i="96" s="1"/>
  <c r="BU11" i="96"/>
  <c r="BT11" i="96"/>
  <c r="EE11" i="96" s="1"/>
  <c r="BS11" i="96"/>
  <c r="ED11" i="96" s="1"/>
  <c r="BR11" i="96"/>
  <c r="EC11" i="96" s="1"/>
  <c r="AE11" i="96"/>
  <c r="AD11" i="96"/>
  <c r="AC11" i="96"/>
  <c r="AB11" i="96"/>
  <c r="AA11" i="96"/>
  <c r="Z11" i="96"/>
  <c r="W11" i="96"/>
  <c r="V11" i="96"/>
  <c r="U11" i="96"/>
  <c r="T11" i="96"/>
  <c r="S11" i="96"/>
  <c r="R11" i="96"/>
  <c r="FV10" i="96"/>
  <c r="ES10" i="96"/>
  <c r="EW10" i="96" s="1"/>
  <c r="DY10" i="96"/>
  <c r="DW10" i="96"/>
  <c r="CE10" i="96"/>
  <c r="CD10" i="96"/>
  <c r="CC10" i="96"/>
  <c r="CB10" i="96"/>
  <c r="CA10" i="96"/>
  <c r="BZ10" i="96"/>
  <c r="BW10" i="96"/>
  <c r="EH10" i="96" s="1"/>
  <c r="BV10" i="96"/>
  <c r="EG10" i="96" s="1"/>
  <c r="BU10" i="96"/>
  <c r="BT10" i="96"/>
  <c r="EE10" i="96" s="1"/>
  <c r="BS10" i="96"/>
  <c r="BR10" i="96"/>
  <c r="AE10" i="96"/>
  <c r="AD10" i="96"/>
  <c r="AC10" i="96"/>
  <c r="DE11" i="96" s="1"/>
  <c r="DM11" i="96" s="1"/>
  <c r="AB10" i="96"/>
  <c r="AA10" i="96"/>
  <c r="Z10" i="96"/>
  <c r="W10" i="96"/>
  <c r="V10" i="96"/>
  <c r="U10" i="96"/>
  <c r="T10" i="96"/>
  <c r="S10" i="96"/>
  <c r="R10" i="96"/>
  <c r="FV9" i="96"/>
  <c r="ES9" i="96"/>
  <c r="EW9" i="96" s="1"/>
  <c r="DY9" i="96"/>
  <c r="DW9" i="96"/>
  <c r="CE9" i="96"/>
  <c r="CD9" i="96"/>
  <c r="CC9" i="96"/>
  <c r="CB9" i="96"/>
  <c r="CA9" i="96"/>
  <c r="BZ9" i="96"/>
  <c r="BW9" i="96"/>
  <c r="EH9" i="96" s="1"/>
  <c r="BV9" i="96"/>
  <c r="BU9" i="96"/>
  <c r="EF9" i="96" s="1"/>
  <c r="BT9" i="96"/>
  <c r="BS9" i="96"/>
  <c r="BR9" i="96"/>
  <c r="AE9" i="96"/>
  <c r="AD9" i="96"/>
  <c r="AC9" i="96"/>
  <c r="AB9" i="96"/>
  <c r="AA9" i="96"/>
  <c r="Z9" i="96"/>
  <c r="W9" i="96"/>
  <c r="V9" i="96"/>
  <c r="U9" i="96"/>
  <c r="T9" i="96"/>
  <c r="S9" i="96"/>
  <c r="R9" i="96"/>
  <c r="EK9" i="96" s="1"/>
  <c r="FV8" i="96"/>
  <c r="ES8" i="96"/>
  <c r="EY8" i="96" s="1"/>
  <c r="DY8" i="96"/>
  <c r="DW8" i="96"/>
  <c r="CE8" i="96"/>
  <c r="CD8" i="96"/>
  <c r="CC8" i="96"/>
  <c r="CB8" i="96"/>
  <c r="CA8" i="96"/>
  <c r="BZ8" i="96"/>
  <c r="BW8" i="96"/>
  <c r="EH8" i="96" s="1"/>
  <c r="BV8" i="96"/>
  <c r="BU8" i="96"/>
  <c r="BT8" i="96"/>
  <c r="EE8" i="96" s="1"/>
  <c r="BS8" i="96"/>
  <c r="ED8" i="96" s="1"/>
  <c r="BR8" i="96"/>
  <c r="EC8" i="96" s="1"/>
  <c r="AE8" i="96"/>
  <c r="AD8" i="96"/>
  <c r="AC8" i="96"/>
  <c r="AB8" i="96"/>
  <c r="AA8" i="96"/>
  <c r="Z8" i="96"/>
  <c r="W8" i="96"/>
  <c r="V8" i="96"/>
  <c r="U8" i="96"/>
  <c r="T8" i="96"/>
  <c r="EM8" i="96" s="1"/>
  <c r="S8" i="96"/>
  <c r="R8" i="96"/>
  <c r="FV7" i="96"/>
  <c r="ES7" i="96"/>
  <c r="DY7" i="96"/>
  <c r="DW7" i="96"/>
  <c r="CE7" i="96"/>
  <c r="CD7" i="96"/>
  <c r="CC7" i="96"/>
  <c r="CB7" i="96"/>
  <c r="CA7" i="96"/>
  <c r="BZ7" i="96"/>
  <c r="BW7" i="96"/>
  <c r="EH7" i="96" s="1"/>
  <c r="BV7" i="96"/>
  <c r="BU7" i="96"/>
  <c r="EF7" i="96" s="1"/>
  <c r="BT7" i="96"/>
  <c r="BS7" i="96"/>
  <c r="BR7" i="96"/>
  <c r="AE7" i="96"/>
  <c r="AD7" i="96"/>
  <c r="AC7" i="96"/>
  <c r="AB7" i="96"/>
  <c r="AA7" i="96"/>
  <c r="Z7" i="96"/>
  <c r="W7" i="96"/>
  <c r="V7" i="96"/>
  <c r="U7" i="96"/>
  <c r="T7" i="96"/>
  <c r="S7" i="96"/>
  <c r="R7" i="96"/>
  <c r="FV6" i="96"/>
  <c r="ES6" i="96"/>
  <c r="EY6" i="96" s="1"/>
  <c r="DY6" i="96"/>
  <c r="DW6" i="96"/>
  <c r="CE6" i="96"/>
  <c r="CD6" i="96"/>
  <c r="CC6" i="96"/>
  <c r="CB6" i="96"/>
  <c r="CA6" i="96"/>
  <c r="BZ6" i="96"/>
  <c r="BW6" i="96"/>
  <c r="EH6" i="96" s="1"/>
  <c r="BV6" i="96"/>
  <c r="EG6" i="96" s="1"/>
  <c r="BU6" i="96"/>
  <c r="EF6" i="96" s="1"/>
  <c r="BT6" i="96"/>
  <c r="BS6" i="96"/>
  <c r="ED6" i="96" s="1"/>
  <c r="BR6" i="96"/>
  <c r="AE6" i="96"/>
  <c r="AD6" i="96"/>
  <c r="AC6" i="96"/>
  <c r="AB6" i="96"/>
  <c r="AA6" i="96"/>
  <c r="Z6" i="96"/>
  <c r="W6" i="96"/>
  <c r="V6" i="96"/>
  <c r="U6" i="96"/>
  <c r="T6" i="96"/>
  <c r="S6" i="96"/>
  <c r="R6" i="96"/>
  <c r="AH6" i="96" s="1"/>
  <c r="FV7" i="93"/>
  <c r="B3" i="56" s="1"/>
  <c r="B3" i="109" s="1"/>
  <c r="FV8" i="93"/>
  <c r="B4" i="56" s="1"/>
  <c r="B4" i="109" s="1"/>
  <c r="FV9" i="93"/>
  <c r="B5" i="56" s="1"/>
  <c r="B5" i="109" s="1"/>
  <c r="FV10" i="93"/>
  <c r="B6" i="56" s="1"/>
  <c r="B6" i="109" s="1"/>
  <c r="FV11" i="93"/>
  <c r="B7" i="56" s="1"/>
  <c r="B7" i="109" s="1"/>
  <c r="FV12" i="93"/>
  <c r="B8" i="56" s="1"/>
  <c r="B8" i="109" s="1"/>
  <c r="FV13" i="93"/>
  <c r="B9" i="56" s="1"/>
  <c r="B9" i="109" s="1"/>
  <c r="FV14" i="93"/>
  <c r="B10" i="56" s="1"/>
  <c r="B10" i="109" s="1"/>
  <c r="FV15" i="93"/>
  <c r="B11" i="56" s="1"/>
  <c r="B11" i="109" s="1"/>
  <c r="FV16" i="93"/>
  <c r="B12" i="56" s="1"/>
  <c r="B12" i="109" s="1"/>
  <c r="FV17" i="93"/>
  <c r="B13" i="56" s="1"/>
  <c r="B13" i="109" s="1"/>
  <c r="FV18" i="93"/>
  <c r="B14" i="56" s="1"/>
  <c r="B14" i="109" s="1"/>
  <c r="FV19" i="93"/>
  <c r="B15" i="56" s="1"/>
  <c r="B15" i="109" s="1"/>
  <c r="FV20" i="93"/>
  <c r="B16" i="56" s="1"/>
  <c r="B16" i="109" s="1"/>
  <c r="FV21" i="93"/>
  <c r="B17" i="56" s="1"/>
  <c r="B17" i="109" s="1"/>
  <c r="FV22" i="93"/>
  <c r="B18" i="56" s="1"/>
  <c r="B18" i="109" s="1"/>
  <c r="FV23" i="93"/>
  <c r="B19" i="56" s="1"/>
  <c r="B19" i="109" s="1"/>
  <c r="FV24" i="93"/>
  <c r="B20" i="56" s="1"/>
  <c r="B20" i="109" s="1"/>
  <c r="FV25" i="93"/>
  <c r="B21" i="56" s="1"/>
  <c r="B21" i="109" s="1"/>
  <c r="FV26" i="93"/>
  <c r="B22" i="56" s="1"/>
  <c r="B22" i="109" s="1"/>
  <c r="FV27" i="93"/>
  <c r="B23" i="56" s="1"/>
  <c r="B23" i="109" s="1"/>
  <c r="FV28" i="93"/>
  <c r="B24" i="56" s="1"/>
  <c r="B24" i="109" s="1"/>
  <c r="FV29" i="93"/>
  <c r="B25" i="56" s="1"/>
  <c r="B25" i="109" s="1"/>
  <c r="FV30" i="93"/>
  <c r="B26" i="56" s="1"/>
  <c r="B26" i="109" s="1"/>
  <c r="FV31" i="93"/>
  <c r="B27" i="56" s="1"/>
  <c r="B27" i="109" s="1"/>
  <c r="FV32" i="93"/>
  <c r="B28" i="56" s="1"/>
  <c r="B28" i="109" s="1"/>
  <c r="FV33" i="93"/>
  <c r="B29" i="56" s="1"/>
  <c r="B29" i="109" s="1"/>
  <c r="FV34" i="93"/>
  <c r="B30" i="56" s="1"/>
  <c r="B30" i="109" s="1"/>
  <c r="FV35" i="93"/>
  <c r="B31" i="56" s="1"/>
  <c r="B31" i="109" s="1"/>
  <c r="FV36" i="93"/>
  <c r="B32" i="56" s="1"/>
  <c r="B32" i="109" s="1"/>
  <c r="FV37" i="93"/>
  <c r="B33" i="56" s="1"/>
  <c r="B33" i="109" s="1"/>
  <c r="FV38" i="93"/>
  <c r="B34" i="56" s="1"/>
  <c r="B34" i="109" s="1"/>
  <c r="FV39" i="93"/>
  <c r="B35" i="56" s="1"/>
  <c r="B35" i="109" s="1"/>
  <c r="FV40" i="93"/>
  <c r="B36" i="56" s="1"/>
  <c r="B36" i="109" s="1"/>
  <c r="FV41" i="93"/>
  <c r="B37" i="56" s="1"/>
  <c r="B37" i="109" s="1"/>
  <c r="FV42" i="93"/>
  <c r="B38" i="56" s="1"/>
  <c r="B38" i="109" s="1"/>
  <c r="FV43" i="93"/>
  <c r="B39" i="56" s="1"/>
  <c r="B39" i="109" s="1"/>
  <c r="FV44" i="93"/>
  <c r="B40" i="56" s="1"/>
  <c r="B40" i="109" s="1"/>
  <c r="FV45" i="93"/>
  <c r="B41" i="56" s="1"/>
  <c r="B41" i="109" s="1"/>
  <c r="FV46" i="93"/>
  <c r="B42" i="56" s="1"/>
  <c r="B42" i="109" s="1"/>
  <c r="FV6" i="93"/>
  <c r="B2" i="56" s="1"/>
  <c r="B2" i="109" s="1"/>
  <c r="CU47" i="93"/>
  <c r="CV47" i="93" s="1"/>
  <c r="CW47" i="93" s="1"/>
  <c r="CX47" i="93" s="1"/>
  <c r="CY47" i="93" s="1"/>
  <c r="AU47" i="93"/>
  <c r="AV47" i="93" s="1"/>
  <c r="AW47" i="93" s="1"/>
  <c r="AX47" i="93" s="1"/>
  <c r="AY47" i="93" s="1"/>
  <c r="AP55" i="93"/>
  <c r="AP54" i="93"/>
  <c r="AT54" i="93" s="1"/>
  <c r="AP53" i="93"/>
  <c r="AP52" i="93"/>
  <c r="AT52" i="93" s="1"/>
  <c r="AP51" i="93"/>
  <c r="AT51" i="93" s="1"/>
  <c r="AP50" i="93"/>
  <c r="AT50" i="93" s="1"/>
  <c r="AP49" i="93"/>
  <c r="AT49" i="93" s="1"/>
  <c r="AP48" i="93"/>
  <c r="AT48" i="93" s="1"/>
  <c r="CP49" i="93"/>
  <c r="CT49" i="93" s="1"/>
  <c r="CU49" i="93" s="1"/>
  <c r="CV49" i="93" s="1"/>
  <c r="CW49" i="93" s="1"/>
  <c r="CX49" i="93" s="1"/>
  <c r="CY49" i="93" s="1"/>
  <c r="CP50" i="93"/>
  <c r="CT50" i="93" s="1"/>
  <c r="CU50" i="93" s="1"/>
  <c r="CV50" i="93" s="1"/>
  <c r="CW50" i="93" s="1"/>
  <c r="CX50" i="93" s="1"/>
  <c r="CY50" i="93" s="1"/>
  <c r="CP51" i="93"/>
  <c r="CT51" i="93" s="1"/>
  <c r="CU51" i="93" s="1"/>
  <c r="CV51" i="93" s="1"/>
  <c r="CW51" i="93" s="1"/>
  <c r="CX51" i="93" s="1"/>
  <c r="CY51" i="93" s="1"/>
  <c r="CP52" i="93"/>
  <c r="CT52" i="93" s="1"/>
  <c r="CU52" i="93" s="1"/>
  <c r="CV52" i="93" s="1"/>
  <c r="CW52" i="93" s="1"/>
  <c r="CX52" i="93" s="1"/>
  <c r="CY52" i="93" s="1"/>
  <c r="CP53" i="93"/>
  <c r="CT53" i="93" s="1"/>
  <c r="CU53" i="93" s="1"/>
  <c r="CV53" i="93" s="1"/>
  <c r="CW53" i="93" s="1"/>
  <c r="CX53" i="93" s="1"/>
  <c r="CY53" i="93" s="1"/>
  <c r="CP54" i="93"/>
  <c r="CT54" i="93" s="1"/>
  <c r="CU54" i="93" s="1"/>
  <c r="CV54" i="93" s="1"/>
  <c r="CW54" i="93" s="1"/>
  <c r="CX54" i="93" s="1"/>
  <c r="CY54" i="93" s="1"/>
  <c r="CP55" i="93"/>
  <c r="CT55" i="93" s="1"/>
  <c r="CU55" i="93" s="1"/>
  <c r="CV55" i="93" s="1"/>
  <c r="CW55" i="93" s="1"/>
  <c r="CX55" i="93" s="1"/>
  <c r="CY55" i="93" s="1"/>
  <c r="CP48" i="93"/>
  <c r="CT48" i="93" s="1"/>
  <c r="CU48" i="93" s="1"/>
  <c r="CV48" i="93" s="1"/>
  <c r="CW48" i="93" s="1"/>
  <c r="CX48" i="93" s="1"/>
  <c r="CY48" i="93" s="1"/>
  <c r="CP56" i="93"/>
  <c r="CT56" i="93" s="1"/>
  <c r="CU56" i="93" s="1"/>
  <c r="CV56" i="93" s="1"/>
  <c r="CW56" i="93" s="1"/>
  <c r="CX56" i="93" s="1"/>
  <c r="CY56" i="93" s="1"/>
  <c r="ES47" i="93"/>
  <c r="EX47" i="93" s="1"/>
  <c r="ES48" i="93"/>
  <c r="EX48" i="93" s="1"/>
  <c r="ES49" i="93"/>
  <c r="EW49" i="93" s="1"/>
  <c r="ES50" i="93"/>
  <c r="EY50" i="93" s="1"/>
  <c r="ES51" i="93"/>
  <c r="EY51" i="93" s="1"/>
  <c r="ES52" i="93"/>
  <c r="EX52" i="93" s="1"/>
  <c r="ES53" i="93"/>
  <c r="EW53" i="93" s="1"/>
  <c r="ES54" i="93"/>
  <c r="EW54" i="93" s="1"/>
  <c r="ES55" i="93"/>
  <c r="EW55" i="93" s="1"/>
  <c r="ES56" i="93"/>
  <c r="EW56" i="93" s="1"/>
  <c r="ES57" i="93"/>
  <c r="EX57" i="93" s="1"/>
  <c r="ES58" i="93"/>
  <c r="EW58" i="93" s="1"/>
  <c r="ES59" i="93"/>
  <c r="EW59" i="93" s="1"/>
  <c r="ES60" i="93"/>
  <c r="EW60" i="93" s="1"/>
  <c r="ES61" i="93"/>
  <c r="EW61" i="93" s="1"/>
  <c r="ES62" i="93"/>
  <c r="EW62" i="93" s="1"/>
  <c r="ES63" i="93"/>
  <c r="EX63" i="93" s="1"/>
  <c r="ES64" i="93"/>
  <c r="EW64" i="93" s="1"/>
  <c r="ES65" i="93"/>
  <c r="EW65" i="93" s="1"/>
  <c r="ES66" i="93"/>
  <c r="EW66" i="93" s="1"/>
  <c r="FH58" i="93"/>
  <c r="FG58" i="93" s="1"/>
  <c r="FF58" i="93"/>
  <c r="FG57" i="93"/>
  <c r="FG56" i="93"/>
  <c r="FG55" i="93"/>
  <c r="FG54" i="93"/>
  <c r="FG53" i="93"/>
  <c r="FG52" i="93"/>
  <c r="FG51" i="93"/>
  <c r="FG50" i="93"/>
  <c r="FG49" i="93"/>
  <c r="FG48" i="93"/>
  <c r="FG47" i="93"/>
  <c r="DY66" i="93"/>
  <c r="DY65" i="93"/>
  <c r="DY64" i="93"/>
  <c r="DY63" i="93"/>
  <c r="DY62" i="93"/>
  <c r="DY61" i="93"/>
  <c r="DY60" i="93"/>
  <c r="DY59" i="93"/>
  <c r="DY57" i="93"/>
  <c r="DY56" i="93"/>
  <c r="DY55" i="93"/>
  <c r="DY54" i="93"/>
  <c r="DY53" i="93"/>
  <c r="DY52" i="93"/>
  <c r="DY51" i="93"/>
  <c r="DY50" i="93"/>
  <c r="DY49" i="93"/>
  <c r="DY48" i="93"/>
  <c r="DY47" i="93"/>
  <c r="DW66" i="93"/>
  <c r="DW65" i="93"/>
  <c r="DW64" i="93"/>
  <c r="DW63" i="93"/>
  <c r="DW62" i="93"/>
  <c r="DW61" i="93"/>
  <c r="DW60" i="93"/>
  <c r="DW59" i="93"/>
  <c r="DW58" i="93"/>
  <c r="DW57" i="93"/>
  <c r="DW56" i="93"/>
  <c r="DW55" i="93"/>
  <c r="DW54" i="93"/>
  <c r="DW53" i="93"/>
  <c r="DW52" i="93"/>
  <c r="DW51" i="93"/>
  <c r="DW50" i="93"/>
  <c r="DW49" i="93"/>
  <c r="DW48" i="93"/>
  <c r="DW47" i="93"/>
  <c r="DT66" i="93"/>
  <c r="DT65" i="93"/>
  <c r="DT64" i="93"/>
  <c r="DT63" i="93"/>
  <c r="DT62" i="93"/>
  <c r="DT61" i="93"/>
  <c r="DT60" i="93"/>
  <c r="DT59" i="93"/>
  <c r="DT58" i="93"/>
  <c r="DT57" i="93"/>
  <c r="DT56" i="93"/>
  <c r="DT55" i="93"/>
  <c r="DT54" i="93"/>
  <c r="DT53" i="93"/>
  <c r="DT52" i="93"/>
  <c r="DT51" i="93"/>
  <c r="DT50" i="93"/>
  <c r="DT49" i="93"/>
  <c r="DT48" i="93"/>
  <c r="DT47" i="93"/>
  <c r="DR48" i="93"/>
  <c r="DR49" i="93"/>
  <c r="DR50" i="93"/>
  <c r="DR51" i="93"/>
  <c r="DR52" i="93"/>
  <c r="DR53" i="93"/>
  <c r="DR54" i="93"/>
  <c r="DR55" i="93"/>
  <c r="DR56" i="93"/>
  <c r="DR57" i="93"/>
  <c r="DR58" i="93"/>
  <c r="DR59" i="93"/>
  <c r="DR60" i="93"/>
  <c r="DR61" i="93"/>
  <c r="DR62" i="93"/>
  <c r="DR63" i="93"/>
  <c r="DR64" i="93"/>
  <c r="DR65" i="93"/>
  <c r="DR66" i="93"/>
  <c r="DR47" i="93"/>
  <c r="FI46" i="93"/>
  <c r="ES46" i="93"/>
  <c r="EY46" i="93" s="1"/>
  <c r="EH46" i="93"/>
  <c r="EG46" i="93"/>
  <c r="EF46" i="93"/>
  <c r="EE46" i="93"/>
  <c r="ED46" i="93"/>
  <c r="EC46" i="93"/>
  <c r="DY46" i="93"/>
  <c r="DW46" i="93"/>
  <c r="EK46" i="93" s="1"/>
  <c r="DG46" i="93"/>
  <c r="DO46" i="93" s="1"/>
  <c r="DF46" i="93"/>
  <c r="DN46" i="93" s="1"/>
  <c r="DE46" i="93"/>
  <c r="DM46" i="93" s="1"/>
  <c r="DD46" i="93"/>
  <c r="DL46" i="93" s="1"/>
  <c r="DC46" i="93"/>
  <c r="DK46" i="93" s="1"/>
  <c r="DB46" i="93"/>
  <c r="DJ46" i="93" s="1"/>
  <c r="CM46" i="93"/>
  <c r="CL46" i="93"/>
  <c r="CK46" i="93"/>
  <c r="CJ46" i="93"/>
  <c r="CI46" i="93"/>
  <c r="CH46" i="93"/>
  <c r="AM46" i="93"/>
  <c r="AL46" i="93"/>
  <c r="AK46" i="93"/>
  <c r="AJ46" i="93"/>
  <c r="AI46" i="93"/>
  <c r="AH46" i="93"/>
  <c r="FI45" i="93"/>
  <c r="ES45" i="93"/>
  <c r="EY45" i="93" s="1"/>
  <c r="EH45" i="93"/>
  <c r="EG45" i="93"/>
  <c r="EF45" i="93"/>
  <c r="EE45" i="93"/>
  <c r="ED45" i="93"/>
  <c r="EC45" i="93"/>
  <c r="DY45" i="93"/>
  <c r="DW45" i="93"/>
  <c r="EL45" i="93" s="1"/>
  <c r="DG45" i="93"/>
  <c r="DO45" i="93" s="1"/>
  <c r="DF45" i="93"/>
  <c r="DN45" i="93" s="1"/>
  <c r="DE45" i="93"/>
  <c r="DM45" i="93" s="1"/>
  <c r="DD45" i="93"/>
  <c r="DL45" i="93" s="1"/>
  <c r="DC45" i="93"/>
  <c r="DK45" i="93" s="1"/>
  <c r="DB45" i="93"/>
  <c r="DJ45" i="93" s="1"/>
  <c r="CM45" i="93"/>
  <c r="CL45" i="93"/>
  <c r="CK45" i="93"/>
  <c r="CJ45" i="93"/>
  <c r="CI45" i="93"/>
  <c r="CH45" i="93"/>
  <c r="AM45" i="93"/>
  <c r="AL45" i="93"/>
  <c r="AK45" i="93"/>
  <c r="AJ45" i="93"/>
  <c r="AI45" i="93"/>
  <c r="AH45" i="93"/>
  <c r="FI44" i="93"/>
  <c r="ES44" i="93"/>
  <c r="EH44" i="93"/>
  <c r="EG44" i="93"/>
  <c r="EF44" i="93"/>
  <c r="EE44" i="93"/>
  <c r="ED44" i="93"/>
  <c r="EC44" i="93"/>
  <c r="DY44" i="93"/>
  <c r="DW44" i="93"/>
  <c r="EM44" i="93" s="1"/>
  <c r="DG44" i="93"/>
  <c r="DO44" i="93" s="1"/>
  <c r="DF44" i="93"/>
  <c r="DN44" i="93" s="1"/>
  <c r="DE44" i="93"/>
  <c r="DM44" i="93" s="1"/>
  <c r="DD44" i="93"/>
  <c r="DL44" i="93" s="1"/>
  <c r="DC44" i="93"/>
  <c r="DK44" i="93" s="1"/>
  <c r="DB44" i="93"/>
  <c r="DJ44" i="93" s="1"/>
  <c r="CM44" i="93"/>
  <c r="CL44" i="93"/>
  <c r="CK44" i="93"/>
  <c r="CJ44" i="93"/>
  <c r="CI44" i="93"/>
  <c r="CH44" i="93"/>
  <c r="AM44" i="93"/>
  <c r="AL44" i="93"/>
  <c r="AK44" i="93"/>
  <c r="AJ44" i="93"/>
  <c r="AI44" i="93"/>
  <c r="AH44" i="93"/>
  <c r="FI43" i="93"/>
  <c r="ES43" i="93"/>
  <c r="EW43" i="93" s="1"/>
  <c r="EH43" i="93"/>
  <c r="EG43" i="93"/>
  <c r="EF43" i="93"/>
  <c r="EE43" i="93"/>
  <c r="ED43" i="93"/>
  <c r="EC43" i="93"/>
  <c r="DY43" i="93"/>
  <c r="DW43" i="93"/>
  <c r="EM43" i="93" s="1"/>
  <c r="DG43" i="93"/>
  <c r="DO43" i="93" s="1"/>
  <c r="DF43" i="93"/>
  <c r="DN43" i="93" s="1"/>
  <c r="DE43" i="93"/>
  <c r="DM43" i="93" s="1"/>
  <c r="DD43" i="93"/>
  <c r="DL43" i="93" s="1"/>
  <c r="DC43" i="93"/>
  <c r="DK43" i="93" s="1"/>
  <c r="DB43" i="93"/>
  <c r="DJ43" i="93" s="1"/>
  <c r="CM43" i="93"/>
  <c r="CL43" i="93"/>
  <c r="CK43" i="93"/>
  <c r="CJ43" i="93"/>
  <c r="CI43" i="93"/>
  <c r="CH43" i="93"/>
  <c r="AM43" i="93"/>
  <c r="AL43" i="93"/>
  <c r="AK43" i="93"/>
  <c r="AJ43" i="93"/>
  <c r="AI43" i="93"/>
  <c r="AH43" i="93"/>
  <c r="FI42" i="93"/>
  <c r="ES42" i="93"/>
  <c r="EY42" i="93" s="1"/>
  <c r="EH42" i="93"/>
  <c r="EG42" i="93"/>
  <c r="EF42" i="93"/>
  <c r="EE42" i="93"/>
  <c r="ED42" i="93"/>
  <c r="EC42" i="93"/>
  <c r="DY42" i="93"/>
  <c r="DW42" i="93"/>
  <c r="EP42" i="93" s="1"/>
  <c r="DG42" i="93"/>
  <c r="DO42" i="93" s="1"/>
  <c r="DF42" i="93"/>
  <c r="DN42" i="93" s="1"/>
  <c r="DE42" i="93"/>
  <c r="DM42" i="93" s="1"/>
  <c r="DD42" i="93"/>
  <c r="DL42" i="93" s="1"/>
  <c r="DL47" i="93" s="1"/>
  <c r="DL48" i="93" s="1"/>
  <c r="DL49" i="93" s="1"/>
  <c r="DL50" i="93" s="1"/>
  <c r="DL51" i="93" s="1"/>
  <c r="DL52" i="93" s="1"/>
  <c r="DL53" i="93" s="1"/>
  <c r="DL54" i="93" s="1"/>
  <c r="DL55" i="93" s="1"/>
  <c r="DL56" i="93" s="1"/>
  <c r="DL57" i="93" s="1"/>
  <c r="DL58" i="93" s="1"/>
  <c r="DL59" i="93" s="1"/>
  <c r="DL60" i="93" s="1"/>
  <c r="DL61" i="93" s="1"/>
  <c r="DL62" i="93" s="1"/>
  <c r="DL63" i="93" s="1"/>
  <c r="DL64" i="93" s="1"/>
  <c r="DL65" i="93" s="1"/>
  <c r="DL66" i="93" s="1"/>
  <c r="DC42" i="93"/>
  <c r="DK42" i="93" s="1"/>
  <c r="DB42" i="93"/>
  <c r="DJ42" i="93" s="1"/>
  <c r="CM42" i="93"/>
  <c r="CL42" i="93"/>
  <c r="CK42" i="93"/>
  <c r="CJ42" i="93"/>
  <c r="CI42" i="93"/>
  <c r="CH42" i="93"/>
  <c r="AM42" i="93"/>
  <c r="AL42" i="93"/>
  <c r="AK42" i="93"/>
  <c r="AJ42" i="93"/>
  <c r="AI42" i="93"/>
  <c r="AH42" i="93"/>
  <c r="FI41" i="93"/>
  <c r="ES41" i="93"/>
  <c r="EY41" i="93" s="1"/>
  <c r="EH41" i="93"/>
  <c r="EG41" i="93"/>
  <c r="EF41" i="93"/>
  <c r="EE41" i="93"/>
  <c r="ED41" i="93"/>
  <c r="EC41" i="93"/>
  <c r="DY41" i="93"/>
  <c r="DW41" i="93"/>
  <c r="EN41" i="93" s="1"/>
  <c r="DG41" i="93"/>
  <c r="DO41" i="93" s="1"/>
  <c r="DF41" i="93"/>
  <c r="DN41" i="93" s="1"/>
  <c r="DE41" i="93"/>
  <c r="DM41" i="93" s="1"/>
  <c r="DD41" i="93"/>
  <c r="DL41" i="93" s="1"/>
  <c r="DC41" i="93"/>
  <c r="DK41" i="93" s="1"/>
  <c r="DB41" i="93"/>
  <c r="DJ41" i="93" s="1"/>
  <c r="CM41" i="93"/>
  <c r="CL41" i="93"/>
  <c r="CK41" i="93"/>
  <c r="CJ41" i="93"/>
  <c r="CI41" i="93"/>
  <c r="CH41" i="93"/>
  <c r="AM41" i="93"/>
  <c r="AL41" i="93"/>
  <c r="AK41" i="93"/>
  <c r="AJ41" i="93"/>
  <c r="AV41" i="93" s="1"/>
  <c r="AI41" i="93"/>
  <c r="AH41" i="93"/>
  <c r="FI40" i="93"/>
  <c r="ES40" i="93"/>
  <c r="EY40" i="93" s="1"/>
  <c r="EH40" i="93"/>
  <c r="EG40" i="93"/>
  <c r="EF40" i="93"/>
  <c r="EE40" i="93"/>
  <c r="ED40" i="93"/>
  <c r="EC40" i="93"/>
  <c r="DY40" i="93"/>
  <c r="DW40" i="93"/>
  <c r="EP40" i="93" s="1"/>
  <c r="DG40" i="93"/>
  <c r="DO40" i="93" s="1"/>
  <c r="DF40" i="93"/>
  <c r="DN40" i="93" s="1"/>
  <c r="DE40" i="93"/>
  <c r="DM40" i="93" s="1"/>
  <c r="DD40" i="93"/>
  <c r="DL40" i="93" s="1"/>
  <c r="DC40" i="93"/>
  <c r="DK40" i="93" s="1"/>
  <c r="DB40" i="93"/>
  <c r="DJ40" i="93" s="1"/>
  <c r="CM40" i="93"/>
  <c r="CL40" i="93"/>
  <c r="CK40" i="93"/>
  <c r="CJ40" i="93"/>
  <c r="CI40" i="93"/>
  <c r="CH40" i="93"/>
  <c r="AM40" i="93"/>
  <c r="AL40" i="93"/>
  <c r="AK40" i="93"/>
  <c r="AJ40" i="93"/>
  <c r="AI40" i="93"/>
  <c r="AH40" i="93"/>
  <c r="FI39" i="93"/>
  <c r="ES39" i="93"/>
  <c r="EY39" i="93" s="1"/>
  <c r="EH39" i="93"/>
  <c r="EG39" i="93"/>
  <c r="EF39" i="93"/>
  <c r="EE39" i="93"/>
  <c r="ED39" i="93"/>
  <c r="EC39" i="93"/>
  <c r="DY39" i="93"/>
  <c r="DW39" i="93"/>
  <c r="EM39" i="93" s="1"/>
  <c r="DG39" i="93"/>
  <c r="DO39" i="93" s="1"/>
  <c r="DF39" i="93"/>
  <c r="DN39" i="93" s="1"/>
  <c r="DE39" i="93"/>
  <c r="DM39" i="93" s="1"/>
  <c r="DD39" i="93"/>
  <c r="DL39" i="93" s="1"/>
  <c r="DC39" i="93"/>
  <c r="DK39" i="93" s="1"/>
  <c r="DB39" i="93"/>
  <c r="DJ39" i="93" s="1"/>
  <c r="CM39" i="93"/>
  <c r="CL39" i="93"/>
  <c r="CK39" i="93"/>
  <c r="CJ39" i="93"/>
  <c r="CI39" i="93"/>
  <c r="CH39" i="93"/>
  <c r="AM39" i="93"/>
  <c r="AL39" i="93"/>
  <c r="AK39" i="93"/>
  <c r="AJ39" i="93"/>
  <c r="AI39" i="93"/>
  <c r="AH39" i="93"/>
  <c r="FI38" i="93"/>
  <c r="ES38" i="93"/>
  <c r="EY38" i="93" s="1"/>
  <c r="EH38" i="93"/>
  <c r="EG38" i="93"/>
  <c r="EF38" i="93"/>
  <c r="EE38" i="93"/>
  <c r="ED38" i="93"/>
  <c r="EC38" i="93"/>
  <c r="DY38" i="93"/>
  <c r="DW38" i="93"/>
  <c r="EK38" i="93" s="1"/>
  <c r="DG38" i="93"/>
  <c r="DO38" i="93" s="1"/>
  <c r="DF38" i="93"/>
  <c r="DN38" i="93" s="1"/>
  <c r="DE38" i="93"/>
  <c r="DM38" i="93" s="1"/>
  <c r="DD38" i="93"/>
  <c r="DL38" i="93" s="1"/>
  <c r="DC38" i="93"/>
  <c r="DK38" i="93" s="1"/>
  <c r="DB38" i="93"/>
  <c r="DJ38" i="93" s="1"/>
  <c r="CM38" i="93"/>
  <c r="CL38" i="93"/>
  <c r="CK38" i="93"/>
  <c r="CJ38" i="93"/>
  <c r="CI38" i="93"/>
  <c r="CH38" i="93"/>
  <c r="AM38" i="93"/>
  <c r="AL38" i="93"/>
  <c r="AK38" i="93"/>
  <c r="AJ38" i="93"/>
  <c r="AI38" i="93"/>
  <c r="AH38" i="93"/>
  <c r="FI37" i="93"/>
  <c r="ES37" i="93"/>
  <c r="EW37" i="93" s="1"/>
  <c r="EH37" i="93"/>
  <c r="EG37" i="93"/>
  <c r="EF37" i="93"/>
  <c r="EE37" i="93"/>
  <c r="ED37" i="93"/>
  <c r="EC37" i="93"/>
  <c r="DY37" i="93"/>
  <c r="DW37" i="93"/>
  <c r="EM37" i="93" s="1"/>
  <c r="DG37" i="93"/>
  <c r="DO37" i="93" s="1"/>
  <c r="DF37" i="93"/>
  <c r="DN37" i="93" s="1"/>
  <c r="DE37" i="93"/>
  <c r="DM37" i="93" s="1"/>
  <c r="DD37" i="93"/>
  <c r="DL37" i="93" s="1"/>
  <c r="DC37" i="93"/>
  <c r="DK37" i="93" s="1"/>
  <c r="DB37" i="93"/>
  <c r="DJ37" i="93" s="1"/>
  <c r="CM37" i="93"/>
  <c r="CL37" i="93"/>
  <c r="CK37" i="93"/>
  <c r="CJ37" i="93"/>
  <c r="CI37" i="93"/>
  <c r="CH37" i="93"/>
  <c r="AM37" i="93"/>
  <c r="AL37" i="93"/>
  <c r="AK37" i="93"/>
  <c r="AJ37" i="93"/>
  <c r="AI37" i="93"/>
  <c r="AH37" i="93"/>
  <c r="FI36" i="93"/>
  <c r="ES36" i="93"/>
  <c r="EY36" i="93" s="1"/>
  <c r="EH36" i="93"/>
  <c r="EG36" i="93"/>
  <c r="EF36" i="93"/>
  <c r="EE36" i="93"/>
  <c r="ED36" i="93"/>
  <c r="EC36" i="93"/>
  <c r="DY36" i="93"/>
  <c r="DW36" i="93"/>
  <c r="EM36" i="93" s="1"/>
  <c r="DG36" i="93"/>
  <c r="DO36" i="93" s="1"/>
  <c r="DF36" i="93"/>
  <c r="DN36" i="93" s="1"/>
  <c r="DE36" i="93"/>
  <c r="DM36" i="93" s="1"/>
  <c r="DD36" i="93"/>
  <c r="DL36" i="93" s="1"/>
  <c r="DC36" i="93"/>
  <c r="DK36" i="93" s="1"/>
  <c r="DB36" i="93"/>
  <c r="DJ36" i="93" s="1"/>
  <c r="CM36" i="93"/>
  <c r="CL36" i="93"/>
  <c r="CK36" i="93"/>
  <c r="CJ36" i="93"/>
  <c r="CI36" i="93"/>
  <c r="CH36" i="93"/>
  <c r="AM36" i="93"/>
  <c r="AL36" i="93"/>
  <c r="AK36" i="93"/>
  <c r="AJ36" i="93"/>
  <c r="AI36" i="93"/>
  <c r="AH36" i="93"/>
  <c r="FI35" i="93"/>
  <c r="ES35" i="93"/>
  <c r="EW35" i="93" s="1"/>
  <c r="EH35" i="93"/>
  <c r="EG35" i="93"/>
  <c r="EF35" i="93"/>
  <c r="EE35" i="93"/>
  <c r="ED35" i="93"/>
  <c r="EC35" i="93"/>
  <c r="DY35" i="93"/>
  <c r="DW35" i="93"/>
  <c r="EM35" i="93" s="1"/>
  <c r="DG35" i="93"/>
  <c r="DO35" i="93" s="1"/>
  <c r="DF35" i="93"/>
  <c r="DN35" i="93" s="1"/>
  <c r="DE35" i="93"/>
  <c r="DM35" i="93" s="1"/>
  <c r="DD35" i="93"/>
  <c r="DL35" i="93" s="1"/>
  <c r="DC35" i="93"/>
  <c r="DK35" i="93" s="1"/>
  <c r="DB35" i="93"/>
  <c r="DJ35" i="93" s="1"/>
  <c r="CM35" i="93"/>
  <c r="CL35" i="93"/>
  <c r="CK35" i="93"/>
  <c r="CJ35" i="93"/>
  <c r="CI35" i="93"/>
  <c r="CH35" i="93"/>
  <c r="AM35" i="93"/>
  <c r="AL35" i="93"/>
  <c r="AK35" i="93"/>
  <c r="AJ35" i="93"/>
  <c r="AI35" i="93"/>
  <c r="AH35" i="93"/>
  <c r="FI34" i="93"/>
  <c r="ES34" i="93"/>
  <c r="EW34" i="93" s="1"/>
  <c r="EH34" i="93"/>
  <c r="EG34" i="93"/>
  <c r="EF34" i="93"/>
  <c r="EE34" i="93"/>
  <c r="ED34" i="93"/>
  <c r="EC34" i="93"/>
  <c r="DY34" i="93"/>
  <c r="DW34" i="93"/>
  <c r="EP34" i="93" s="1"/>
  <c r="DG34" i="93"/>
  <c r="DO34" i="93" s="1"/>
  <c r="DF34" i="93"/>
  <c r="DN34" i="93" s="1"/>
  <c r="DE34" i="93"/>
  <c r="DM34" i="93" s="1"/>
  <c r="DD34" i="93"/>
  <c r="DL34" i="93" s="1"/>
  <c r="DC34" i="93"/>
  <c r="DK34" i="93" s="1"/>
  <c r="DB34" i="93"/>
  <c r="DJ34" i="93" s="1"/>
  <c r="CM34" i="93"/>
  <c r="CL34" i="93"/>
  <c r="CK34" i="93"/>
  <c r="CJ34" i="93"/>
  <c r="CI34" i="93"/>
  <c r="CH34" i="93"/>
  <c r="AM34" i="93"/>
  <c r="AL34" i="93"/>
  <c r="AK34" i="93"/>
  <c r="AJ34" i="93"/>
  <c r="AI34" i="93"/>
  <c r="AH34" i="93"/>
  <c r="FI33" i="93"/>
  <c r="ES33" i="93"/>
  <c r="EY33" i="93" s="1"/>
  <c r="EH33" i="93"/>
  <c r="EG33" i="93"/>
  <c r="EF33" i="93"/>
  <c r="EE33" i="93"/>
  <c r="ED33" i="93"/>
  <c r="EC33" i="93"/>
  <c r="DY33" i="93"/>
  <c r="DW33" i="93"/>
  <c r="EN33" i="93" s="1"/>
  <c r="DG33" i="93"/>
  <c r="DO33" i="93" s="1"/>
  <c r="DF33" i="93"/>
  <c r="DN33" i="93" s="1"/>
  <c r="DE33" i="93"/>
  <c r="DM33" i="93" s="1"/>
  <c r="DD33" i="93"/>
  <c r="DL33" i="93" s="1"/>
  <c r="DC33" i="93"/>
  <c r="DK33" i="93" s="1"/>
  <c r="DB33" i="93"/>
  <c r="DJ33" i="93" s="1"/>
  <c r="CM33" i="93"/>
  <c r="CL33" i="93"/>
  <c r="CK33" i="93"/>
  <c r="CJ33" i="93"/>
  <c r="CI33" i="93"/>
  <c r="CH33" i="93"/>
  <c r="AM33" i="93"/>
  <c r="AL33" i="93"/>
  <c r="AK33" i="93"/>
  <c r="AJ33" i="93"/>
  <c r="AI33" i="93"/>
  <c r="AH33" i="93"/>
  <c r="FI32" i="93"/>
  <c r="ES32" i="93"/>
  <c r="EH32" i="93"/>
  <c r="EG32" i="93"/>
  <c r="EF32" i="93"/>
  <c r="EE32" i="93"/>
  <c r="ED32" i="93"/>
  <c r="EC32" i="93"/>
  <c r="DY32" i="93"/>
  <c r="DW32" i="93"/>
  <c r="EP32" i="93" s="1"/>
  <c r="DG32" i="93"/>
  <c r="DO32" i="93" s="1"/>
  <c r="DF32" i="93"/>
  <c r="DN32" i="93" s="1"/>
  <c r="DE32" i="93"/>
  <c r="DM32" i="93" s="1"/>
  <c r="DD32" i="93"/>
  <c r="DL32" i="93" s="1"/>
  <c r="DC32" i="93"/>
  <c r="DK32" i="93" s="1"/>
  <c r="DB32" i="93"/>
  <c r="DJ32" i="93" s="1"/>
  <c r="CM32" i="93"/>
  <c r="CL32" i="93"/>
  <c r="CK32" i="93"/>
  <c r="CJ32" i="93"/>
  <c r="CI32" i="93"/>
  <c r="CH32" i="93"/>
  <c r="AM32" i="93"/>
  <c r="AL32" i="93"/>
  <c r="AK32" i="93"/>
  <c r="AJ32" i="93"/>
  <c r="AI32" i="93"/>
  <c r="AH32" i="93"/>
  <c r="FI31" i="93"/>
  <c r="ES31" i="93"/>
  <c r="EY31" i="93" s="1"/>
  <c r="EH31" i="93"/>
  <c r="EG31" i="93"/>
  <c r="EF31" i="93"/>
  <c r="EE31" i="93"/>
  <c r="ED31" i="93"/>
  <c r="EC31" i="93"/>
  <c r="DY31" i="93"/>
  <c r="DW31" i="93"/>
  <c r="EN31" i="93" s="1"/>
  <c r="DG31" i="93"/>
  <c r="DO31" i="93" s="1"/>
  <c r="DF31" i="93"/>
  <c r="DN31" i="93" s="1"/>
  <c r="DE31" i="93"/>
  <c r="DM31" i="93" s="1"/>
  <c r="DD31" i="93"/>
  <c r="DL31" i="93" s="1"/>
  <c r="DC31" i="93"/>
  <c r="DK31" i="93" s="1"/>
  <c r="DB31" i="93"/>
  <c r="DJ31" i="93" s="1"/>
  <c r="CM31" i="93"/>
  <c r="CL31" i="93"/>
  <c r="CK31" i="93"/>
  <c r="CJ31" i="93"/>
  <c r="CI31" i="93"/>
  <c r="CH31" i="93"/>
  <c r="AM31" i="93"/>
  <c r="AL31" i="93"/>
  <c r="AK31" i="93"/>
  <c r="AJ31" i="93"/>
  <c r="AI31" i="93"/>
  <c r="AH31" i="93"/>
  <c r="FI30" i="93"/>
  <c r="ES30" i="93"/>
  <c r="EH30" i="93"/>
  <c r="EG30" i="93"/>
  <c r="EF30" i="93"/>
  <c r="EE30" i="93"/>
  <c r="ED30" i="93"/>
  <c r="EC30" i="93"/>
  <c r="DY30" i="93"/>
  <c r="DW30" i="93"/>
  <c r="EN30" i="93" s="1"/>
  <c r="DG30" i="93"/>
  <c r="DO30" i="93" s="1"/>
  <c r="DF30" i="93"/>
  <c r="DN30" i="93" s="1"/>
  <c r="DE30" i="93"/>
  <c r="DM30" i="93" s="1"/>
  <c r="DD30" i="93"/>
  <c r="DL30" i="93" s="1"/>
  <c r="DC30" i="93"/>
  <c r="DK30" i="93" s="1"/>
  <c r="DB30" i="93"/>
  <c r="DJ30" i="93" s="1"/>
  <c r="CM30" i="93"/>
  <c r="CL30" i="93"/>
  <c r="CK30" i="93"/>
  <c r="CJ30" i="93"/>
  <c r="CI30" i="93"/>
  <c r="CH30" i="93"/>
  <c r="AM30" i="93"/>
  <c r="AL30" i="93"/>
  <c r="AK30" i="93"/>
  <c r="AJ30" i="93"/>
  <c r="AI30" i="93"/>
  <c r="AH30" i="93"/>
  <c r="FI29" i="93"/>
  <c r="ES29" i="93"/>
  <c r="EW29" i="93" s="1"/>
  <c r="EH29" i="93"/>
  <c r="EG29" i="93"/>
  <c r="EF29" i="93"/>
  <c r="EE29" i="93"/>
  <c r="ED29" i="93"/>
  <c r="EC29" i="93"/>
  <c r="DY29" i="93"/>
  <c r="DW29" i="93"/>
  <c r="EL29" i="93" s="1"/>
  <c r="DG29" i="93"/>
  <c r="DO29" i="93" s="1"/>
  <c r="DF29" i="93"/>
  <c r="DN29" i="93" s="1"/>
  <c r="DE29" i="93"/>
  <c r="DM29" i="93" s="1"/>
  <c r="DD29" i="93"/>
  <c r="DL29" i="93" s="1"/>
  <c r="DC29" i="93"/>
  <c r="DK29" i="93" s="1"/>
  <c r="DB29" i="93"/>
  <c r="DJ29" i="93" s="1"/>
  <c r="CM29" i="93"/>
  <c r="CL29" i="93"/>
  <c r="CK29" i="93"/>
  <c r="CJ29" i="93"/>
  <c r="CI29" i="93"/>
  <c r="CH29" i="93"/>
  <c r="AM29" i="93"/>
  <c r="AL29" i="93"/>
  <c r="AK29" i="93"/>
  <c r="AJ29" i="93"/>
  <c r="AI29" i="93"/>
  <c r="AH29" i="93"/>
  <c r="FI28" i="93"/>
  <c r="ES28" i="93"/>
  <c r="EH28" i="93"/>
  <c r="EG28" i="93"/>
  <c r="EF28" i="93"/>
  <c r="EE28" i="93"/>
  <c r="ED28" i="93"/>
  <c r="EC28" i="93"/>
  <c r="DY28" i="93"/>
  <c r="DW28" i="93"/>
  <c r="EM28" i="93" s="1"/>
  <c r="DG28" i="93"/>
  <c r="DO28" i="93" s="1"/>
  <c r="DF28" i="93"/>
  <c r="DN28" i="93" s="1"/>
  <c r="DE28" i="93"/>
  <c r="DM28" i="93" s="1"/>
  <c r="DD28" i="93"/>
  <c r="DL28" i="93" s="1"/>
  <c r="DC28" i="93"/>
  <c r="DK28" i="93" s="1"/>
  <c r="DB28" i="93"/>
  <c r="DJ28" i="93" s="1"/>
  <c r="CM28" i="93"/>
  <c r="CL28" i="93"/>
  <c r="CK28" i="93"/>
  <c r="CJ28" i="93"/>
  <c r="CI28" i="93"/>
  <c r="CH28" i="93"/>
  <c r="AM28" i="93"/>
  <c r="AL28" i="93"/>
  <c r="AK28" i="93"/>
  <c r="AJ28" i="93"/>
  <c r="AI28" i="93"/>
  <c r="AH28" i="93"/>
  <c r="FI27" i="93"/>
  <c r="ES27" i="93"/>
  <c r="EX27" i="93" s="1"/>
  <c r="EH27" i="93"/>
  <c r="EG27" i="93"/>
  <c r="EF27" i="93"/>
  <c r="EE27" i="93"/>
  <c r="ED27" i="93"/>
  <c r="EC27" i="93"/>
  <c r="DY27" i="93"/>
  <c r="DW27" i="93"/>
  <c r="EP27" i="93" s="1"/>
  <c r="DG27" i="93"/>
  <c r="DO27" i="93" s="1"/>
  <c r="DF27" i="93"/>
  <c r="DN27" i="93" s="1"/>
  <c r="DE27" i="93"/>
  <c r="DM27" i="93" s="1"/>
  <c r="DD27" i="93"/>
  <c r="DL27" i="93" s="1"/>
  <c r="DC27" i="93"/>
  <c r="DK27" i="93" s="1"/>
  <c r="DB27" i="93"/>
  <c r="DJ27" i="93" s="1"/>
  <c r="CM27" i="93"/>
  <c r="CL27" i="93"/>
  <c r="CK27" i="93"/>
  <c r="CJ27" i="93"/>
  <c r="CI27" i="93"/>
  <c r="CH27" i="93"/>
  <c r="AM27" i="93"/>
  <c r="AL27" i="93"/>
  <c r="AK27" i="93"/>
  <c r="AJ27" i="93"/>
  <c r="AI27" i="93"/>
  <c r="AH27" i="93"/>
  <c r="FI26" i="93"/>
  <c r="ES26" i="93"/>
  <c r="EW26" i="93" s="1"/>
  <c r="EH26" i="93"/>
  <c r="EG26" i="93"/>
  <c r="EF26" i="93"/>
  <c r="EE26" i="93"/>
  <c r="ED26" i="93"/>
  <c r="EC26" i="93"/>
  <c r="DY26" i="93"/>
  <c r="DW26" i="93"/>
  <c r="EN26" i="93" s="1"/>
  <c r="DG26" i="93"/>
  <c r="DO26" i="93" s="1"/>
  <c r="DF26" i="93"/>
  <c r="DN26" i="93" s="1"/>
  <c r="DE26" i="93"/>
  <c r="DM26" i="93" s="1"/>
  <c r="DD26" i="93"/>
  <c r="DL26" i="93" s="1"/>
  <c r="DC26" i="93"/>
  <c r="DK26" i="93" s="1"/>
  <c r="DB26" i="93"/>
  <c r="DJ26" i="93" s="1"/>
  <c r="CM26" i="93"/>
  <c r="CL26" i="93"/>
  <c r="CK26" i="93"/>
  <c r="CJ26" i="93"/>
  <c r="CI26" i="93"/>
  <c r="CH26" i="93"/>
  <c r="AM26" i="93"/>
  <c r="AL26" i="93"/>
  <c r="AK26" i="93"/>
  <c r="AJ26" i="93"/>
  <c r="AI26" i="93"/>
  <c r="AH26" i="93"/>
  <c r="FI25" i="93"/>
  <c r="ES25" i="93"/>
  <c r="EY25" i="93" s="1"/>
  <c r="EH25" i="93"/>
  <c r="EG25" i="93"/>
  <c r="EF25" i="93"/>
  <c r="EE25" i="93"/>
  <c r="ED25" i="93"/>
  <c r="EC25" i="93"/>
  <c r="DY25" i="93"/>
  <c r="DW25" i="93"/>
  <c r="EO25" i="93" s="1"/>
  <c r="DG25" i="93"/>
  <c r="DO25" i="93" s="1"/>
  <c r="DF25" i="93"/>
  <c r="DN25" i="93" s="1"/>
  <c r="DE25" i="93"/>
  <c r="DM25" i="93" s="1"/>
  <c r="DD25" i="93"/>
  <c r="DL25" i="93" s="1"/>
  <c r="DC25" i="93"/>
  <c r="DK25" i="93" s="1"/>
  <c r="DB25" i="93"/>
  <c r="DJ25" i="93" s="1"/>
  <c r="CM25" i="93"/>
  <c r="CL25" i="93"/>
  <c r="CK25" i="93"/>
  <c r="CJ25" i="93"/>
  <c r="CI25" i="93"/>
  <c r="CH25" i="93"/>
  <c r="AM25" i="93"/>
  <c r="AL25" i="93"/>
  <c r="AK25" i="93"/>
  <c r="AJ25" i="93"/>
  <c r="AI25" i="93"/>
  <c r="AH25" i="93"/>
  <c r="FI24" i="93"/>
  <c r="ES24" i="93"/>
  <c r="EX24" i="93" s="1"/>
  <c r="EH24" i="93"/>
  <c r="EG24" i="93"/>
  <c r="EF24" i="93"/>
  <c r="EE24" i="93"/>
  <c r="ED24" i="93"/>
  <c r="EC24" i="93"/>
  <c r="DY24" i="93"/>
  <c r="DW24" i="93"/>
  <c r="EM24" i="93" s="1"/>
  <c r="DG24" i="93"/>
  <c r="DO24" i="93" s="1"/>
  <c r="DF24" i="93"/>
  <c r="DN24" i="93" s="1"/>
  <c r="DE24" i="93"/>
  <c r="DM24" i="93" s="1"/>
  <c r="DD24" i="93"/>
  <c r="DL24" i="93" s="1"/>
  <c r="DC24" i="93"/>
  <c r="DK24" i="93" s="1"/>
  <c r="DB24" i="93"/>
  <c r="DJ24" i="93" s="1"/>
  <c r="CM24" i="93"/>
  <c r="CL24" i="93"/>
  <c r="CK24" i="93"/>
  <c r="CJ24" i="93"/>
  <c r="CI24" i="93"/>
  <c r="CH24" i="93"/>
  <c r="AM24" i="93"/>
  <c r="AL24" i="93"/>
  <c r="AK24" i="93"/>
  <c r="AJ24" i="93"/>
  <c r="AI24" i="93"/>
  <c r="AH24" i="93"/>
  <c r="FI23" i="93"/>
  <c r="ES23" i="93"/>
  <c r="EY23" i="93" s="1"/>
  <c r="EH23" i="93"/>
  <c r="EG23" i="93"/>
  <c r="EF23" i="93"/>
  <c r="EE23" i="93"/>
  <c r="ED23" i="93"/>
  <c r="EC23" i="93"/>
  <c r="DY23" i="93"/>
  <c r="DW23" i="93"/>
  <c r="EL23" i="93" s="1"/>
  <c r="DG23" i="93"/>
  <c r="DO23" i="93" s="1"/>
  <c r="DF23" i="93"/>
  <c r="DN23" i="93" s="1"/>
  <c r="DE23" i="93"/>
  <c r="DM23" i="93" s="1"/>
  <c r="DD23" i="93"/>
  <c r="DL23" i="93" s="1"/>
  <c r="DC23" i="93"/>
  <c r="DK23" i="93" s="1"/>
  <c r="DB23" i="93"/>
  <c r="DJ23" i="93" s="1"/>
  <c r="CM23" i="93"/>
  <c r="CL23" i="93"/>
  <c r="CK23" i="93"/>
  <c r="CJ23" i="93"/>
  <c r="CI23" i="93"/>
  <c r="CH23" i="93"/>
  <c r="AM23" i="93"/>
  <c r="AL23" i="93"/>
  <c r="AK23" i="93"/>
  <c r="AJ23" i="93"/>
  <c r="AI23" i="93"/>
  <c r="AH23" i="93"/>
  <c r="FI22" i="93"/>
  <c r="ES22" i="93"/>
  <c r="EX22" i="93" s="1"/>
  <c r="EH22" i="93"/>
  <c r="EG22" i="93"/>
  <c r="EF22" i="93"/>
  <c r="EE22" i="93"/>
  <c r="ED22" i="93"/>
  <c r="EC22" i="93"/>
  <c r="DY22" i="93"/>
  <c r="DW22" i="93"/>
  <c r="EM22" i="93" s="1"/>
  <c r="DG22" i="93"/>
  <c r="DO22" i="93" s="1"/>
  <c r="DF22" i="93"/>
  <c r="DN22" i="93" s="1"/>
  <c r="DE22" i="93"/>
  <c r="DM22" i="93" s="1"/>
  <c r="DD22" i="93"/>
  <c r="DL22" i="93" s="1"/>
  <c r="DC22" i="93"/>
  <c r="DK22" i="93" s="1"/>
  <c r="DB22" i="93"/>
  <c r="DJ22" i="93" s="1"/>
  <c r="CM22" i="93"/>
  <c r="CL22" i="93"/>
  <c r="CK22" i="93"/>
  <c r="CJ22" i="93"/>
  <c r="CI22" i="93"/>
  <c r="CH22" i="93"/>
  <c r="AM22" i="93"/>
  <c r="AL22" i="93"/>
  <c r="AK22" i="93"/>
  <c r="AJ22" i="93"/>
  <c r="AI22" i="93"/>
  <c r="AH22" i="93"/>
  <c r="FI21" i="93"/>
  <c r="ES21" i="93"/>
  <c r="EY21" i="93" s="1"/>
  <c r="EH21" i="93"/>
  <c r="EG21" i="93"/>
  <c r="EF21" i="93"/>
  <c r="EE21" i="93"/>
  <c r="ED21" i="93"/>
  <c r="EC21" i="93"/>
  <c r="DY21" i="93"/>
  <c r="DW21" i="93"/>
  <c r="EN21" i="93" s="1"/>
  <c r="DG21" i="93"/>
  <c r="DO21" i="93" s="1"/>
  <c r="DF21" i="93"/>
  <c r="DN21" i="93" s="1"/>
  <c r="DE21" i="93"/>
  <c r="DM21" i="93" s="1"/>
  <c r="DD21" i="93"/>
  <c r="DL21" i="93" s="1"/>
  <c r="DC21" i="93"/>
  <c r="DK21" i="93" s="1"/>
  <c r="DB21" i="93"/>
  <c r="DJ21" i="93" s="1"/>
  <c r="CM21" i="93"/>
  <c r="CL21" i="93"/>
  <c r="CK21" i="93"/>
  <c r="CJ21" i="93"/>
  <c r="CI21" i="93"/>
  <c r="CH21" i="93"/>
  <c r="AM21" i="93"/>
  <c r="AL21" i="93"/>
  <c r="AK21" i="93"/>
  <c r="AJ21" i="93"/>
  <c r="AI21" i="93"/>
  <c r="AH21" i="93"/>
  <c r="FI20" i="93"/>
  <c r="ES20" i="93"/>
  <c r="EX20" i="93" s="1"/>
  <c r="EH20" i="93"/>
  <c r="EG20" i="93"/>
  <c r="EF20" i="93"/>
  <c r="EE20" i="93"/>
  <c r="ED20" i="93"/>
  <c r="EC20" i="93"/>
  <c r="DY20" i="93"/>
  <c r="DW20" i="93"/>
  <c r="CM20" i="93"/>
  <c r="CL20" i="93"/>
  <c r="CK20" i="93"/>
  <c r="CJ20" i="93"/>
  <c r="CI20" i="93"/>
  <c r="CH20" i="93"/>
  <c r="AM20" i="93"/>
  <c r="AL20" i="93"/>
  <c r="AK20" i="93"/>
  <c r="AJ20" i="93"/>
  <c r="AI20" i="93"/>
  <c r="AH20" i="93"/>
  <c r="FI19" i="93"/>
  <c r="ES19" i="93"/>
  <c r="EY19" i="93" s="1"/>
  <c r="DY19" i="93"/>
  <c r="DW19" i="93"/>
  <c r="CE19" i="93"/>
  <c r="CD19" i="93"/>
  <c r="CC19" i="93"/>
  <c r="CB19" i="93"/>
  <c r="CA19" i="93"/>
  <c r="BZ19" i="93"/>
  <c r="BW19" i="93"/>
  <c r="BV19" i="93"/>
  <c r="BU19" i="93"/>
  <c r="EF19" i="93" s="1"/>
  <c r="BT19" i="93"/>
  <c r="EE19" i="93" s="1"/>
  <c r="BS19" i="93"/>
  <c r="ED19" i="93" s="1"/>
  <c r="BR19" i="93"/>
  <c r="AE19" i="93"/>
  <c r="DG20" i="93" s="1"/>
  <c r="DO20" i="93" s="1"/>
  <c r="AD19" i="93"/>
  <c r="DF20" i="93" s="1"/>
  <c r="DN20" i="93" s="1"/>
  <c r="AC19" i="93"/>
  <c r="AB19" i="93"/>
  <c r="AA19" i="93"/>
  <c r="Z19" i="93"/>
  <c r="DB20" i="93" s="1"/>
  <c r="DJ20" i="93" s="1"/>
  <c r="W19" i="93"/>
  <c r="V19" i="93"/>
  <c r="U19" i="93"/>
  <c r="T19" i="93"/>
  <c r="S19" i="93"/>
  <c r="R19" i="93"/>
  <c r="FI18" i="93"/>
  <c r="ES18" i="93"/>
  <c r="EX18" i="93" s="1"/>
  <c r="DY18" i="93"/>
  <c r="DW18" i="93"/>
  <c r="CE18" i="93"/>
  <c r="CD18" i="93"/>
  <c r="CC18" i="93"/>
  <c r="CB18" i="93"/>
  <c r="CA18" i="93"/>
  <c r="BZ18" i="93"/>
  <c r="BW18" i="93"/>
  <c r="EH18" i="93" s="1"/>
  <c r="BV18" i="93"/>
  <c r="BU18" i="93"/>
  <c r="EF18" i="93" s="1"/>
  <c r="BT18" i="93"/>
  <c r="BS18" i="93"/>
  <c r="BR18" i="93"/>
  <c r="AE18" i="93"/>
  <c r="AD18" i="93"/>
  <c r="AC18" i="93"/>
  <c r="AB18" i="93"/>
  <c r="AA18" i="93"/>
  <c r="Z18" i="93"/>
  <c r="W18" i="93"/>
  <c r="V18" i="93"/>
  <c r="U18" i="93"/>
  <c r="T18" i="93"/>
  <c r="S18" i="93"/>
  <c r="R18" i="93"/>
  <c r="FI17" i="93"/>
  <c r="ES17" i="93"/>
  <c r="EW17" i="93" s="1"/>
  <c r="DY17" i="93"/>
  <c r="DW17" i="93"/>
  <c r="CE17" i="93"/>
  <c r="CD17" i="93"/>
  <c r="CC17" i="93"/>
  <c r="CB17" i="93"/>
  <c r="CA17" i="93"/>
  <c r="BZ17" i="93"/>
  <c r="BW17" i="93"/>
  <c r="BV17" i="93"/>
  <c r="BU17" i="93"/>
  <c r="EF17" i="93" s="1"/>
  <c r="BT17" i="93"/>
  <c r="BS17" i="93"/>
  <c r="BR17" i="93"/>
  <c r="AE17" i="93"/>
  <c r="AD17" i="93"/>
  <c r="AC17" i="93"/>
  <c r="AB17" i="93"/>
  <c r="AA17" i="93"/>
  <c r="Z17" i="93"/>
  <c r="W17" i="93"/>
  <c r="V17" i="93"/>
  <c r="U17" i="93"/>
  <c r="T17" i="93"/>
  <c r="S17" i="93"/>
  <c r="R17" i="93"/>
  <c r="FI16" i="93"/>
  <c r="ES16" i="93"/>
  <c r="DY16" i="93"/>
  <c r="DW16" i="93"/>
  <c r="CE16" i="93"/>
  <c r="CD16" i="93"/>
  <c r="CC16" i="93"/>
  <c r="CB16" i="93"/>
  <c r="CA16" i="93"/>
  <c r="BZ16" i="93"/>
  <c r="BW16" i="93"/>
  <c r="BV16" i="93"/>
  <c r="EG16" i="93" s="1"/>
  <c r="BU16" i="93"/>
  <c r="EF16" i="93" s="1"/>
  <c r="BT16" i="93"/>
  <c r="BS16" i="93"/>
  <c r="ED16" i="93" s="1"/>
  <c r="BR16" i="93"/>
  <c r="AE16" i="93"/>
  <c r="AD16" i="93"/>
  <c r="AC16" i="93"/>
  <c r="AB16" i="93"/>
  <c r="AA16" i="93"/>
  <c r="Z16" i="93"/>
  <c r="W16" i="93"/>
  <c r="V16" i="93"/>
  <c r="U16" i="93"/>
  <c r="T16" i="93"/>
  <c r="S16" i="93"/>
  <c r="R16" i="93"/>
  <c r="FI15" i="93"/>
  <c r="ES15" i="93"/>
  <c r="EY15" i="93" s="1"/>
  <c r="DY15" i="93"/>
  <c r="DW15" i="93"/>
  <c r="CE15" i="93"/>
  <c r="CD15" i="93"/>
  <c r="CC15" i="93"/>
  <c r="CB15" i="93"/>
  <c r="CA15" i="93"/>
  <c r="BZ15" i="93"/>
  <c r="BW15" i="93"/>
  <c r="BV15" i="93"/>
  <c r="EG15" i="93" s="1"/>
  <c r="BU15" i="93"/>
  <c r="EF15" i="93" s="1"/>
  <c r="BT15" i="93"/>
  <c r="BS15" i="93"/>
  <c r="ED15" i="93" s="1"/>
  <c r="BR15" i="93"/>
  <c r="AE15" i="93"/>
  <c r="AD15" i="93"/>
  <c r="AC15" i="93"/>
  <c r="AB15" i="93"/>
  <c r="AA15" i="93"/>
  <c r="Z15" i="93"/>
  <c r="W15" i="93"/>
  <c r="V15" i="93"/>
  <c r="U15" i="93"/>
  <c r="T15" i="93"/>
  <c r="S15" i="93"/>
  <c r="R15" i="93"/>
  <c r="FI14" i="93"/>
  <c r="ES14" i="93"/>
  <c r="EW14" i="93" s="1"/>
  <c r="DY14" i="93"/>
  <c r="DW14" i="93"/>
  <c r="CE14" i="93"/>
  <c r="CD14" i="93"/>
  <c r="CC14" i="93"/>
  <c r="CB14" i="93"/>
  <c r="CA14" i="93"/>
  <c r="BZ14" i="93"/>
  <c r="BW14" i="93"/>
  <c r="BV14" i="93"/>
  <c r="EG14" i="93" s="1"/>
  <c r="BU14" i="93"/>
  <c r="BT14" i="93"/>
  <c r="BS14" i="93"/>
  <c r="ED14" i="93" s="1"/>
  <c r="BR14" i="93"/>
  <c r="EC14" i="93" s="1"/>
  <c r="AE14" i="93"/>
  <c r="AD14" i="93"/>
  <c r="AC14" i="93"/>
  <c r="AB14" i="93"/>
  <c r="AA14" i="93"/>
  <c r="Z14" i="93"/>
  <c r="W14" i="93"/>
  <c r="V14" i="93"/>
  <c r="U14" i="93"/>
  <c r="T14" i="93"/>
  <c r="S14" i="93"/>
  <c r="R14" i="93"/>
  <c r="FI13" i="93"/>
  <c r="ES13" i="93"/>
  <c r="EX13" i="93" s="1"/>
  <c r="DY13" i="93"/>
  <c r="DW13" i="93"/>
  <c r="CE13" i="93"/>
  <c r="CD13" i="93"/>
  <c r="CC13" i="93"/>
  <c r="CB13" i="93"/>
  <c r="CA13" i="93"/>
  <c r="BZ13" i="93"/>
  <c r="BW13" i="93"/>
  <c r="BV13" i="93"/>
  <c r="BU13" i="93"/>
  <c r="BT13" i="93"/>
  <c r="EE13" i="93" s="1"/>
  <c r="BS13" i="93"/>
  <c r="BR13" i="93"/>
  <c r="EC13" i="93" s="1"/>
  <c r="AE13" i="93"/>
  <c r="AD13" i="93"/>
  <c r="AC13" i="93"/>
  <c r="AB13" i="93"/>
  <c r="AA13" i="93"/>
  <c r="Z13" i="93"/>
  <c r="W13" i="93"/>
  <c r="V13" i="93"/>
  <c r="U13" i="93"/>
  <c r="T13" i="93"/>
  <c r="S13" i="93"/>
  <c r="R13" i="93"/>
  <c r="EK13" i="93" s="1"/>
  <c r="ES12" i="93"/>
  <c r="EW12" i="93" s="1"/>
  <c r="DY12" i="93"/>
  <c r="DW12" i="93"/>
  <c r="CE12" i="93"/>
  <c r="CD12" i="93"/>
  <c r="CC12" i="93"/>
  <c r="CB12" i="93"/>
  <c r="CA12" i="93"/>
  <c r="BZ12" i="93"/>
  <c r="BW12" i="93"/>
  <c r="BV12" i="93"/>
  <c r="BU12" i="93"/>
  <c r="BT12" i="93"/>
  <c r="EE12" i="93" s="1"/>
  <c r="BS12" i="93"/>
  <c r="BR12" i="93"/>
  <c r="EC12" i="93" s="1"/>
  <c r="AE12" i="93"/>
  <c r="AD12" i="93"/>
  <c r="AC12" i="93"/>
  <c r="AB12" i="93"/>
  <c r="AA12" i="93"/>
  <c r="Z12" i="93"/>
  <c r="W12" i="93"/>
  <c r="V12" i="93"/>
  <c r="U12" i="93"/>
  <c r="T12" i="93"/>
  <c r="S12" i="93"/>
  <c r="R12" i="93"/>
  <c r="EK12" i="93" s="1"/>
  <c r="ES11" i="93"/>
  <c r="DY11" i="93"/>
  <c r="DW11" i="93"/>
  <c r="CE11" i="93"/>
  <c r="CD11" i="93"/>
  <c r="CC11" i="93"/>
  <c r="CB11" i="93"/>
  <c r="CA11" i="93"/>
  <c r="BZ11" i="93"/>
  <c r="BW11" i="93"/>
  <c r="BV11" i="93"/>
  <c r="EG11" i="93" s="1"/>
  <c r="BU11" i="93"/>
  <c r="EF11" i="93" s="1"/>
  <c r="BT11" i="93"/>
  <c r="EE11" i="93" s="1"/>
  <c r="BS11" i="93"/>
  <c r="BR11" i="93"/>
  <c r="EC11" i="93" s="1"/>
  <c r="AE11" i="93"/>
  <c r="AD11" i="93"/>
  <c r="AC11" i="93"/>
  <c r="AB11" i="93"/>
  <c r="AA11" i="93"/>
  <c r="Z11" i="93"/>
  <c r="W11" i="93"/>
  <c r="V11" i="93"/>
  <c r="U11" i="93"/>
  <c r="T11" i="93"/>
  <c r="S11" i="93"/>
  <c r="R11" i="93"/>
  <c r="ES10" i="93"/>
  <c r="EW10" i="93" s="1"/>
  <c r="DY10" i="93"/>
  <c r="DW10" i="93"/>
  <c r="CE10" i="93"/>
  <c r="CD10" i="93"/>
  <c r="CC10" i="93"/>
  <c r="CB10" i="93"/>
  <c r="CA10" i="93"/>
  <c r="BZ10" i="93"/>
  <c r="BW10" i="93"/>
  <c r="EH10" i="93" s="1"/>
  <c r="BV10" i="93"/>
  <c r="BU10" i="93"/>
  <c r="EF10" i="93" s="1"/>
  <c r="BT10" i="93"/>
  <c r="BS10" i="93"/>
  <c r="ED10" i="93" s="1"/>
  <c r="BR10" i="93"/>
  <c r="EC10" i="93" s="1"/>
  <c r="AE10" i="93"/>
  <c r="AD10" i="93"/>
  <c r="AC10" i="93"/>
  <c r="AB10" i="93"/>
  <c r="AA10" i="93"/>
  <c r="Z10" i="93"/>
  <c r="W10" i="93"/>
  <c r="V10" i="93"/>
  <c r="U10" i="93"/>
  <c r="T10" i="93"/>
  <c r="S10" i="93"/>
  <c r="R10" i="93"/>
  <c r="ES9" i="93"/>
  <c r="EX9" i="93" s="1"/>
  <c r="DY9" i="93"/>
  <c r="DW9" i="93"/>
  <c r="CE9" i="93"/>
  <c r="CD9" i="93"/>
  <c r="CC9" i="93"/>
  <c r="CB9" i="93"/>
  <c r="CA9" i="93"/>
  <c r="BZ9" i="93"/>
  <c r="BW9" i="93"/>
  <c r="EH9" i="93" s="1"/>
  <c r="BV9" i="93"/>
  <c r="BU9" i="93"/>
  <c r="EF9" i="93" s="1"/>
  <c r="BT9" i="93"/>
  <c r="EE9" i="93" s="1"/>
  <c r="BS9" i="93"/>
  <c r="ED9" i="93" s="1"/>
  <c r="BR9" i="93"/>
  <c r="AE9" i="93"/>
  <c r="AD9" i="93"/>
  <c r="AC9" i="93"/>
  <c r="AB9" i="93"/>
  <c r="AA9" i="93"/>
  <c r="Z9" i="93"/>
  <c r="W9" i="93"/>
  <c r="V9" i="93"/>
  <c r="U9" i="93"/>
  <c r="T9" i="93"/>
  <c r="S9" i="93"/>
  <c r="R9" i="93"/>
  <c r="ES8" i="93"/>
  <c r="DY8" i="93"/>
  <c r="DW8" i="93"/>
  <c r="CE8" i="93"/>
  <c r="CD8" i="93"/>
  <c r="CC8" i="93"/>
  <c r="CB8" i="93"/>
  <c r="CA8" i="93"/>
  <c r="BZ8" i="93"/>
  <c r="BW8" i="93"/>
  <c r="BV8" i="93"/>
  <c r="EG8" i="93" s="1"/>
  <c r="BU8" i="93"/>
  <c r="EF8" i="93" s="1"/>
  <c r="BT8" i="93"/>
  <c r="EE8" i="93" s="1"/>
  <c r="BS8" i="93"/>
  <c r="BR8" i="93"/>
  <c r="AE8" i="93"/>
  <c r="AD8" i="93"/>
  <c r="AC8" i="93"/>
  <c r="AB8" i="93"/>
  <c r="AA8" i="93"/>
  <c r="Z8" i="93"/>
  <c r="W8" i="93"/>
  <c r="V8" i="93"/>
  <c r="U8" i="93"/>
  <c r="T8" i="93"/>
  <c r="S8" i="93"/>
  <c r="R8" i="93"/>
  <c r="ES7" i="93"/>
  <c r="DY7" i="93"/>
  <c r="DW7" i="93"/>
  <c r="CE7" i="93"/>
  <c r="CD7" i="93"/>
  <c r="CC7" i="93"/>
  <c r="CB7" i="93"/>
  <c r="CA7" i="93"/>
  <c r="BZ7" i="93"/>
  <c r="BW7" i="93"/>
  <c r="EH7" i="93" s="1"/>
  <c r="BV7" i="93"/>
  <c r="EG7" i="93" s="1"/>
  <c r="BU7" i="93"/>
  <c r="EF7" i="93" s="1"/>
  <c r="BT7" i="93"/>
  <c r="BS7" i="93"/>
  <c r="BR7" i="93"/>
  <c r="AE7" i="93"/>
  <c r="AD7" i="93"/>
  <c r="AC7" i="93"/>
  <c r="AB7" i="93"/>
  <c r="AA7" i="93"/>
  <c r="Z7" i="93"/>
  <c r="W7" i="93"/>
  <c r="V7" i="93"/>
  <c r="U7" i="93"/>
  <c r="T7" i="93"/>
  <c r="S7" i="93"/>
  <c r="R7" i="93"/>
  <c r="ES6" i="93"/>
  <c r="EX6" i="93" s="1"/>
  <c r="DY6" i="93"/>
  <c r="DW6" i="93"/>
  <c r="CE6" i="93"/>
  <c r="CD6" i="93"/>
  <c r="CC6" i="93"/>
  <c r="CB6" i="93"/>
  <c r="CA6" i="93"/>
  <c r="BZ6" i="93"/>
  <c r="BW6" i="93"/>
  <c r="EH6" i="93" s="1"/>
  <c r="BV6" i="93"/>
  <c r="BU6" i="93"/>
  <c r="EF6" i="93" s="1"/>
  <c r="BT6" i="93"/>
  <c r="BS6" i="93"/>
  <c r="BR6" i="93"/>
  <c r="EC6" i="93" s="1"/>
  <c r="AE6" i="93"/>
  <c r="AD6" i="93"/>
  <c r="AC6" i="93"/>
  <c r="AB6" i="93"/>
  <c r="AA6" i="93"/>
  <c r="Z6" i="93"/>
  <c r="W6" i="93"/>
  <c r="V6" i="93"/>
  <c r="U6" i="93"/>
  <c r="T6" i="93"/>
  <c r="S6" i="93"/>
  <c r="R6" i="93"/>
  <c r="FM30" i="96" l="1"/>
  <c r="FM46" i="96"/>
  <c r="FM29" i="96"/>
  <c r="FM42" i="96"/>
  <c r="FM17" i="96"/>
  <c r="FM28" i="96"/>
  <c r="FM44" i="96"/>
  <c r="AI13" i="96"/>
  <c r="CI14" i="96"/>
  <c r="AH15" i="96"/>
  <c r="CJ17" i="96"/>
  <c r="AT22" i="96"/>
  <c r="CY23" i="96"/>
  <c r="AU25" i="96"/>
  <c r="CU27" i="96"/>
  <c r="CX41" i="96"/>
  <c r="EO9" i="96"/>
  <c r="EP9" i="96"/>
  <c r="CT23" i="96"/>
  <c r="AU24" i="96"/>
  <c r="EN6" i="96"/>
  <c r="AK12" i="96"/>
  <c r="EO10" i="96"/>
  <c r="EO12" i="96"/>
  <c r="EL9" i="96"/>
  <c r="EP12" i="96"/>
  <c r="AV23" i="96"/>
  <c r="CY26" i="96"/>
  <c r="CY34" i="96"/>
  <c r="CW36" i="96"/>
  <c r="EN7" i="96"/>
  <c r="EN9" i="96"/>
  <c r="CV27" i="96"/>
  <c r="EL12" i="96"/>
  <c r="EL18" i="96"/>
  <c r="AH8" i="96"/>
  <c r="CL8" i="96"/>
  <c r="EM18" i="96"/>
  <c r="CI19" i="96"/>
  <c r="CU20" i="96" s="1"/>
  <c r="AU30" i="96"/>
  <c r="AW38" i="96"/>
  <c r="CY42" i="96"/>
  <c r="AW25" i="96"/>
  <c r="AY34" i="96"/>
  <c r="AW36" i="96"/>
  <c r="CW44" i="96"/>
  <c r="EO18" i="96"/>
  <c r="AK8" i="96"/>
  <c r="EW12" i="96"/>
  <c r="EP18" i="96"/>
  <c r="CT39" i="96"/>
  <c r="EY42" i="96"/>
  <c r="FB43" i="96" s="1"/>
  <c r="DO47" i="93"/>
  <c r="DO48" i="93" s="1"/>
  <c r="DO49" i="93" s="1"/>
  <c r="DO50" i="93" s="1"/>
  <c r="DO51" i="93" s="1"/>
  <c r="DO52" i="93" s="1"/>
  <c r="DO53" i="93" s="1"/>
  <c r="DO54" i="93" s="1"/>
  <c r="DO55" i="93" s="1"/>
  <c r="DO56" i="93" s="1"/>
  <c r="DO57" i="93" s="1"/>
  <c r="DO58" i="93" s="1"/>
  <c r="DO59" i="93" s="1"/>
  <c r="DO60" i="93" s="1"/>
  <c r="DO61" i="93" s="1"/>
  <c r="DO62" i="93" s="1"/>
  <c r="DO63" i="93" s="1"/>
  <c r="DO64" i="93" s="1"/>
  <c r="DO65" i="93" s="1"/>
  <c r="DO66" i="93" s="1"/>
  <c r="AT53" i="93"/>
  <c r="AU53" i="93" s="1"/>
  <c r="AV53" i="93" s="1"/>
  <c r="AW53" i="93" s="1"/>
  <c r="AX53" i="93" s="1"/>
  <c r="AY53" i="93" s="1"/>
  <c r="EW32" i="96"/>
  <c r="EZ32" i="96" s="1"/>
  <c r="CT33" i="96"/>
  <c r="AX24" i="96"/>
  <c r="AV26" i="96"/>
  <c r="CX35" i="96"/>
  <c r="CV37" i="96"/>
  <c r="CY28" i="96"/>
  <c r="CK14" i="96"/>
  <c r="AJ15" i="96"/>
  <c r="AK18" i="96"/>
  <c r="CX27" i="96"/>
  <c r="CV23" i="96"/>
  <c r="AW27" i="96"/>
  <c r="AV41" i="96"/>
  <c r="AM6" i="96"/>
  <c r="AY7" i="96" s="1"/>
  <c r="CL7" i="96"/>
  <c r="AL8" i="96"/>
  <c r="CL9" i="96"/>
  <c r="CK13" i="96"/>
  <c r="AM15" i="96"/>
  <c r="AK17" i="96"/>
  <c r="EL19" i="96"/>
  <c r="AX21" i="96"/>
  <c r="CU30" i="96"/>
  <c r="AX32" i="96"/>
  <c r="AT40" i="96"/>
  <c r="AY42" i="96"/>
  <c r="DK47" i="96"/>
  <c r="DK48" i="96" s="1"/>
  <c r="DK49" i="96" s="1"/>
  <c r="DK50" i="96" s="1"/>
  <c r="DK51" i="96" s="1"/>
  <c r="DK52" i="96" s="1"/>
  <c r="DK53" i="96" s="1"/>
  <c r="DK54" i="96" s="1"/>
  <c r="DK55" i="96" s="1"/>
  <c r="DK56" i="96" s="1"/>
  <c r="DK57" i="96" s="1"/>
  <c r="DK58" i="96" s="1"/>
  <c r="DK59" i="96" s="1"/>
  <c r="DK60" i="96" s="1"/>
  <c r="DK61" i="96" s="1"/>
  <c r="DK62" i="96" s="1"/>
  <c r="DK63" i="96" s="1"/>
  <c r="DK64" i="96" s="1"/>
  <c r="DK65" i="96" s="1"/>
  <c r="DK66" i="96" s="1"/>
  <c r="EY49" i="96"/>
  <c r="AM10" i="96"/>
  <c r="AI11" i="96"/>
  <c r="AH13" i="96"/>
  <c r="CM16" i="96"/>
  <c r="EW23" i="96"/>
  <c r="FM23" i="96" s="1"/>
  <c r="AT25" i="96"/>
  <c r="AX38" i="96"/>
  <c r="CV46" i="96"/>
  <c r="FB64" i="96"/>
  <c r="CA50" i="96"/>
  <c r="CA51" i="96" s="1"/>
  <c r="CA52" i="96" s="1"/>
  <c r="DB9" i="96"/>
  <c r="DJ9" i="96" s="1"/>
  <c r="DB11" i="96"/>
  <c r="DJ11" i="96" s="1"/>
  <c r="EO14" i="96"/>
  <c r="EP17" i="96"/>
  <c r="EN19" i="96"/>
  <c r="AW31" i="96"/>
  <c r="AU34" i="96"/>
  <c r="CW34" i="96"/>
  <c r="AT44" i="96"/>
  <c r="AW44" i="96"/>
  <c r="CY40" i="96"/>
  <c r="EP38" i="96"/>
  <c r="DD8" i="96"/>
  <c r="DL8" i="96" s="1"/>
  <c r="CH9" i="96"/>
  <c r="AH10" i="96"/>
  <c r="CH16" i="96"/>
  <c r="DC18" i="96"/>
  <c r="DK18" i="96" s="1"/>
  <c r="EP19" i="96"/>
  <c r="AU21" i="96"/>
  <c r="AT24" i="96"/>
  <c r="EY46" i="96"/>
  <c r="FB46" i="96" s="1"/>
  <c r="AX29" i="96"/>
  <c r="DG7" i="96"/>
  <c r="DO7" i="96" s="1"/>
  <c r="EN31" i="96"/>
  <c r="AT55" i="93"/>
  <c r="AU55" i="93" s="1"/>
  <c r="AV55" i="93" s="1"/>
  <c r="AW55" i="93" s="1"/>
  <c r="AX55" i="93" s="1"/>
  <c r="AY55" i="93" s="1"/>
  <c r="AU48" i="93"/>
  <c r="AV48" i="93" s="1"/>
  <c r="AW48" i="93" s="1"/>
  <c r="AX48" i="93" s="1"/>
  <c r="AY48" i="93" s="1"/>
  <c r="AU54" i="93"/>
  <c r="AV54" i="93" s="1"/>
  <c r="AW54" i="93" s="1"/>
  <c r="AX54" i="93" s="1"/>
  <c r="AY54" i="93" s="1"/>
  <c r="AU49" i="93"/>
  <c r="AV49" i="93" s="1"/>
  <c r="AW49" i="93" s="1"/>
  <c r="AX49" i="93" s="1"/>
  <c r="AY49" i="93" s="1"/>
  <c r="AU50" i="93"/>
  <c r="AV50" i="93" s="1"/>
  <c r="AW50" i="93" s="1"/>
  <c r="AX50" i="93" s="1"/>
  <c r="AY50" i="93" s="1"/>
  <c r="AU52" i="93"/>
  <c r="AV52" i="93" s="1"/>
  <c r="AW52" i="93" s="1"/>
  <c r="AX52" i="93" s="1"/>
  <c r="AY52" i="93" s="1"/>
  <c r="AE47" i="93"/>
  <c r="FE58" i="93"/>
  <c r="FI58" i="93" s="1"/>
  <c r="H44" i="98"/>
  <c r="G39" i="98"/>
  <c r="I39" i="98" s="1"/>
  <c r="G5" i="98"/>
  <c r="I5" i="98" s="1"/>
  <c r="G31" i="98"/>
  <c r="I31" i="98" s="1"/>
  <c r="G25" i="98"/>
  <c r="I25" i="98" s="1"/>
  <c r="G15" i="98"/>
  <c r="I15" i="98" s="1"/>
  <c r="G8" i="98"/>
  <c r="I8" i="98" s="1"/>
  <c r="G29" i="98"/>
  <c r="I29" i="98" s="1"/>
  <c r="G37" i="98"/>
  <c r="I37" i="98" s="1"/>
  <c r="G13" i="98"/>
  <c r="I13" i="98" s="1"/>
  <c r="G26" i="98"/>
  <c r="I26" i="98" s="1"/>
  <c r="G16" i="98"/>
  <c r="I16" i="98" s="1"/>
  <c r="G18" i="98"/>
  <c r="I18" i="98" s="1"/>
  <c r="G24" i="98"/>
  <c r="I24" i="98" s="1"/>
  <c r="G17" i="98"/>
  <c r="I17" i="98" s="1"/>
  <c r="G11" i="98"/>
  <c r="I11" i="98" s="1"/>
  <c r="G23" i="98"/>
  <c r="I23" i="98" s="1"/>
  <c r="G12" i="98"/>
  <c r="I12" i="98" s="1"/>
  <c r="G14" i="98"/>
  <c r="I14" i="98" s="1"/>
  <c r="G20" i="98"/>
  <c r="I20" i="98" s="1"/>
  <c r="G6" i="98"/>
  <c r="I6" i="98" s="1"/>
  <c r="G22" i="98"/>
  <c r="I22" i="98" s="1"/>
  <c r="G21" i="98"/>
  <c r="I21" i="98" s="1"/>
  <c r="G41" i="98"/>
  <c r="I41" i="98" s="1"/>
  <c r="G42" i="98"/>
  <c r="I42" i="98" s="1"/>
  <c r="G28" i="98"/>
  <c r="I28" i="98" s="1"/>
  <c r="G27" i="98"/>
  <c r="I27" i="98" s="1"/>
  <c r="G44" i="98"/>
  <c r="G43" i="98"/>
  <c r="I43" i="98" s="1"/>
  <c r="G19" i="98"/>
  <c r="I19" i="98" s="1"/>
  <c r="G33" i="98"/>
  <c r="I33" i="98" s="1"/>
  <c r="G34" i="98"/>
  <c r="I34" i="98" s="1"/>
  <c r="G36" i="98"/>
  <c r="I36" i="98" s="1"/>
  <c r="G35" i="98"/>
  <c r="I35" i="98" s="1"/>
  <c r="G10" i="98"/>
  <c r="I10" i="98" s="1"/>
  <c r="G9" i="98"/>
  <c r="I9" i="98" s="1"/>
  <c r="G7" i="98"/>
  <c r="I7" i="98" s="1"/>
  <c r="G32" i="98"/>
  <c r="I32" i="98" s="1"/>
  <c r="G40" i="98"/>
  <c r="I40" i="98" s="1"/>
  <c r="G30" i="98"/>
  <c r="I30" i="98" s="1"/>
  <c r="G38" i="98"/>
  <c r="I38" i="98" s="1"/>
  <c r="CE48" i="96"/>
  <c r="CE49" i="96" s="1"/>
  <c r="CC48" i="96"/>
  <c r="CC49" i="96" s="1"/>
  <c r="CE48" i="93"/>
  <c r="CE49" i="93" s="1"/>
  <c r="CC48" i="93"/>
  <c r="CC49" i="93" s="1"/>
  <c r="CA50" i="93"/>
  <c r="ES57" i="97"/>
  <c r="EY57" i="97" s="1"/>
  <c r="FB57" i="97" s="1"/>
  <c r="EW56" i="97"/>
  <c r="FI50" i="97"/>
  <c r="EP7" i="97"/>
  <c r="DD10" i="97"/>
  <c r="DL10" i="97" s="1"/>
  <c r="EN11" i="97"/>
  <c r="AK11" i="97"/>
  <c r="DG11" i="97"/>
  <c r="DO11" i="97" s="1"/>
  <c r="DG12" i="97"/>
  <c r="DO12" i="97" s="1"/>
  <c r="FB11" i="97"/>
  <c r="AU13" i="97"/>
  <c r="CY13" i="97"/>
  <c r="FA15" i="97"/>
  <c r="FA17" i="97"/>
  <c r="EZ18" i="97"/>
  <c r="FK18" i="97"/>
  <c r="CY20" i="97"/>
  <c r="EZ20" i="97"/>
  <c r="CT22" i="97"/>
  <c r="AY23" i="97"/>
  <c r="EZ24" i="97"/>
  <c r="FA25" i="97"/>
  <c r="AY28" i="97"/>
  <c r="EZ32" i="97"/>
  <c r="FL32" i="97"/>
  <c r="FL33" i="97"/>
  <c r="EE6" i="97"/>
  <c r="CJ6" i="97"/>
  <c r="EL6" i="97"/>
  <c r="CV8" i="97"/>
  <c r="AI10" i="97"/>
  <c r="AU10" i="97" s="1"/>
  <c r="CH10" i="97"/>
  <c r="CT10" i="97" s="1"/>
  <c r="EC10" i="97"/>
  <c r="CL11" i="97"/>
  <c r="CX11" i="97" s="1"/>
  <c r="EG11" i="97"/>
  <c r="DC12" i="97"/>
  <c r="DK12" i="97" s="1"/>
  <c r="DC13" i="97"/>
  <c r="DK13" i="97" s="1"/>
  <c r="AM13" i="97"/>
  <c r="AY13" i="97" s="1"/>
  <c r="EP13" i="97"/>
  <c r="FA13" i="97"/>
  <c r="CW14" i="97"/>
  <c r="EZ15" i="97"/>
  <c r="FK15" i="97"/>
  <c r="CW16" i="97"/>
  <c r="EZ17" i="97"/>
  <c r="FK17" i="97"/>
  <c r="AU20" i="97"/>
  <c r="AU19" i="97"/>
  <c r="FM22" i="97"/>
  <c r="EZ25" i="97"/>
  <c r="FB28" i="97"/>
  <c r="EE11" i="97"/>
  <c r="CJ11" i="97"/>
  <c r="CV11" i="97" s="1"/>
  <c r="CL13" i="97"/>
  <c r="CX13" i="97" s="1"/>
  <c r="EG13" i="97"/>
  <c r="AM15" i="97"/>
  <c r="AY15" i="97" s="1"/>
  <c r="EP15" i="97"/>
  <c r="EM6" i="97"/>
  <c r="AJ6" i="97"/>
  <c r="AY8" i="97"/>
  <c r="DG10" i="97"/>
  <c r="DO10" i="97" s="1"/>
  <c r="AY11" i="97"/>
  <c r="CH12" i="97"/>
  <c r="CT12" i="97" s="1"/>
  <c r="EC12" i="97"/>
  <c r="DE13" i="97"/>
  <c r="DM13" i="97" s="1"/>
  <c r="CL14" i="97"/>
  <c r="CX14" i="97" s="1"/>
  <c r="EG14" i="97"/>
  <c r="FM14" i="97" s="1"/>
  <c r="CT14" i="97"/>
  <c r="AU16" i="97"/>
  <c r="CL16" i="97"/>
  <c r="EG16" i="97"/>
  <c r="FM16" i="97" s="1"/>
  <c r="CT16" i="97"/>
  <c r="AU18" i="97"/>
  <c r="AM19" i="97"/>
  <c r="AY19" i="97" s="1"/>
  <c r="EP19" i="97"/>
  <c r="CL19" i="97"/>
  <c r="EG19" i="97"/>
  <c r="FM19" i="97" s="1"/>
  <c r="CT19" i="97"/>
  <c r="AY21" i="97"/>
  <c r="FA21" i="97"/>
  <c r="CT23" i="97"/>
  <c r="FM23" i="97"/>
  <c r="FL23" i="97"/>
  <c r="AY25" i="97"/>
  <c r="EZ26" i="97"/>
  <c r="CW9" i="97"/>
  <c r="FM39" i="97"/>
  <c r="EN6" i="97"/>
  <c r="DF7" i="97"/>
  <c r="DN7" i="97" s="1"/>
  <c r="EE7" i="97"/>
  <c r="CJ7" i="97"/>
  <c r="CV7" i="97" s="1"/>
  <c r="DF9" i="97"/>
  <c r="DN9" i="97" s="1"/>
  <c r="AI12" i="97"/>
  <c r="AU12" i="97" s="1"/>
  <c r="EL12" i="97"/>
  <c r="CU12" i="97"/>
  <c r="AU14" i="97"/>
  <c r="CY14" i="97"/>
  <c r="AM16" i="97"/>
  <c r="EP16" i="97"/>
  <c r="CY16" i="97"/>
  <c r="AM18" i="97"/>
  <c r="EP18" i="97"/>
  <c r="CL18" i="97"/>
  <c r="CX18" i="97" s="1"/>
  <c r="EG18" i="97"/>
  <c r="FM18" i="97" s="1"/>
  <c r="CY19" i="97"/>
  <c r="FM20" i="97"/>
  <c r="EZ21" i="97"/>
  <c r="FM24" i="97"/>
  <c r="EZ30" i="97"/>
  <c r="FL30" i="97"/>
  <c r="FL31" i="97"/>
  <c r="EO6" i="97"/>
  <c r="AL6" i="97"/>
  <c r="EN7" i="97"/>
  <c r="AK7" i="97"/>
  <c r="EN9" i="97"/>
  <c r="AK9" i="97"/>
  <c r="AW9" i="97" s="1"/>
  <c r="EE9" i="97"/>
  <c r="CJ9" i="97"/>
  <c r="CV9" i="97" s="1"/>
  <c r="DC11" i="97"/>
  <c r="DK11" i="97" s="1"/>
  <c r="EP11" i="97"/>
  <c r="AV12" i="97"/>
  <c r="AM14" i="97"/>
  <c r="AY14" i="97" s="1"/>
  <c r="EP14" i="97"/>
  <c r="CY18" i="97"/>
  <c r="CT25" i="97"/>
  <c r="FM25" i="97"/>
  <c r="FL25" i="97"/>
  <c r="AY27" i="97"/>
  <c r="CV36" i="97"/>
  <c r="CV35" i="97"/>
  <c r="CT13" i="97"/>
  <c r="EZ19" i="97"/>
  <c r="FK19" i="97"/>
  <c r="EZ23" i="97"/>
  <c r="EP6" i="97"/>
  <c r="EC6" i="97"/>
  <c r="CH6" i="97"/>
  <c r="CT7" i="97" s="1"/>
  <c r="CL7" i="97"/>
  <c r="CX7" i="97" s="1"/>
  <c r="EG7" i="97"/>
  <c r="AI8" i="97"/>
  <c r="AU8" i="97" s="1"/>
  <c r="CH8" i="97"/>
  <c r="CT8" i="97" s="1"/>
  <c r="EC8" i="97"/>
  <c r="FA9" i="97"/>
  <c r="AK10" i="97"/>
  <c r="DE11" i="97"/>
  <c r="DM11" i="97" s="1"/>
  <c r="EZ14" i="97"/>
  <c r="FK14" i="97"/>
  <c r="CW15" i="97"/>
  <c r="EZ16" i="97"/>
  <c r="FK16" i="97"/>
  <c r="CW18" i="97"/>
  <c r="CW17" i="97"/>
  <c r="CT21" i="97"/>
  <c r="AY22" i="97"/>
  <c r="FA22" i="97"/>
  <c r="CT26" i="97"/>
  <c r="FM26" i="97"/>
  <c r="FL26" i="97"/>
  <c r="EZ34" i="97"/>
  <c r="FL34" i="97"/>
  <c r="FL35" i="97"/>
  <c r="CV15" i="97"/>
  <c r="AM17" i="97"/>
  <c r="AY17" i="97" s="1"/>
  <c r="EP17" i="97"/>
  <c r="EY6" i="97"/>
  <c r="FB7" i="97" s="1"/>
  <c r="EW6" i="97"/>
  <c r="EZ7" i="97" s="1"/>
  <c r="AV8" i="97"/>
  <c r="DG8" i="97"/>
  <c r="DO8" i="97" s="1"/>
  <c r="FB8" i="97"/>
  <c r="AM9" i="97"/>
  <c r="AY9" i="97" s="1"/>
  <c r="CL9" i="97"/>
  <c r="CX9" i="97" s="1"/>
  <c r="EG9" i="97"/>
  <c r="CT9" i="97"/>
  <c r="FB9" i="97"/>
  <c r="DB10" i="97"/>
  <c r="DJ10" i="97" s="1"/>
  <c r="CX10" i="97"/>
  <c r="AW12" i="97"/>
  <c r="CW13" i="97"/>
  <c r="AU15" i="97"/>
  <c r="CL15" i="97"/>
  <c r="EG15" i="97"/>
  <c r="FM15" i="97" s="1"/>
  <c r="CT15" i="97"/>
  <c r="AU17" i="97"/>
  <c r="CL17" i="97"/>
  <c r="CX17" i="97" s="1"/>
  <c r="EG17" i="97"/>
  <c r="FM17" i="97" s="1"/>
  <c r="CT17" i="97"/>
  <c r="FA19" i="97"/>
  <c r="FM21" i="97"/>
  <c r="FL21" i="97"/>
  <c r="EZ22" i="97"/>
  <c r="FA23" i="97"/>
  <c r="CT28" i="97"/>
  <c r="CT27" i="97"/>
  <c r="EO27" i="97"/>
  <c r="EN27" i="97"/>
  <c r="EK27" i="97"/>
  <c r="EP27" i="97"/>
  <c r="EM27" i="97"/>
  <c r="EL27" i="97"/>
  <c r="DN47" i="97"/>
  <c r="EF14" i="97"/>
  <c r="EF15" i="97"/>
  <c r="EF16" i="97"/>
  <c r="EF17" i="97"/>
  <c r="DC19" i="97"/>
  <c r="DK19" i="97" s="1"/>
  <c r="EP20" i="97"/>
  <c r="EP21" i="97"/>
  <c r="EP22" i="97"/>
  <c r="EP23" i="97"/>
  <c r="EP24" i="97"/>
  <c r="EP25" i="97"/>
  <c r="EP26" i="97"/>
  <c r="AW28" i="97"/>
  <c r="FA28" i="97"/>
  <c r="FM29" i="97"/>
  <c r="AY30" i="97"/>
  <c r="CT31" i="97"/>
  <c r="FM31" i="97"/>
  <c r="AY32" i="97"/>
  <c r="CT33" i="97"/>
  <c r="FM33" i="97"/>
  <c r="AY34" i="97"/>
  <c r="CT35" i="97"/>
  <c r="CT36" i="97"/>
  <c r="FM35" i="97"/>
  <c r="CU37" i="97"/>
  <c r="EY39" i="97"/>
  <c r="EW39" i="97"/>
  <c r="EX39" i="97"/>
  <c r="AX42" i="97"/>
  <c r="AX44" i="97"/>
  <c r="EL44" i="97"/>
  <c r="EP44" i="97"/>
  <c r="EO44" i="97"/>
  <c r="EN44" i="97"/>
  <c r="EM44" i="97"/>
  <c r="EK44" i="97"/>
  <c r="CM6" i="97"/>
  <c r="CY7" i="97" s="1"/>
  <c r="AH7" i="97"/>
  <c r="AT7" i="97" s="1"/>
  <c r="AL8" i="97"/>
  <c r="AX9" i="97" s="1"/>
  <c r="CK8" i="97"/>
  <c r="CW8" i="97" s="1"/>
  <c r="EM8" i="97"/>
  <c r="AH9" i="97"/>
  <c r="AT9" i="97" s="1"/>
  <c r="AL10" i="97"/>
  <c r="AX10" i="97" s="1"/>
  <c r="CK10" i="97"/>
  <c r="CW10" i="97" s="1"/>
  <c r="EM10" i="97"/>
  <c r="AH11" i="97"/>
  <c r="AT11" i="97" s="1"/>
  <c r="AL12" i="97"/>
  <c r="AX12" i="97" s="1"/>
  <c r="CK12" i="97"/>
  <c r="CW12" i="97" s="1"/>
  <c r="EM12" i="97"/>
  <c r="AH13" i="97"/>
  <c r="AH14" i="97"/>
  <c r="AT14" i="97" s="1"/>
  <c r="AH15" i="97"/>
  <c r="AT15" i="97" s="1"/>
  <c r="AH16" i="97"/>
  <c r="AT16" i="97" s="1"/>
  <c r="AH17" i="97"/>
  <c r="AH18" i="97"/>
  <c r="AT18" i="97" s="1"/>
  <c r="AH19" i="97"/>
  <c r="DD19" i="97"/>
  <c r="DL19" i="97" s="1"/>
  <c r="CV29" i="97"/>
  <c r="FL29" i="97"/>
  <c r="FA34" i="97"/>
  <c r="EY36" i="97"/>
  <c r="FB36" i="97" s="1"/>
  <c r="EW36" i="97"/>
  <c r="EX36" i="97"/>
  <c r="FA36" i="97" s="1"/>
  <c r="EL42" i="97"/>
  <c r="EP42" i="97"/>
  <c r="EO42" i="97"/>
  <c r="EM42" i="97"/>
  <c r="EK42" i="97"/>
  <c r="DJ48" i="97"/>
  <c r="FM46" i="97"/>
  <c r="EG47" i="97" s="1"/>
  <c r="CU48" i="97"/>
  <c r="AI6" i="97"/>
  <c r="AU7" i="97" s="1"/>
  <c r="AJ7" i="97"/>
  <c r="AV7" i="97" s="1"/>
  <c r="CI7" i="97"/>
  <c r="EX7" i="97"/>
  <c r="CM8" i="97"/>
  <c r="CY8" i="97" s="1"/>
  <c r="AJ9" i="97"/>
  <c r="AV9" i="97" s="1"/>
  <c r="CI9" i="97"/>
  <c r="CU9" i="97" s="1"/>
  <c r="CM10" i="97"/>
  <c r="CY10" i="97" s="1"/>
  <c r="AJ11" i="97"/>
  <c r="AV11" i="97" s="1"/>
  <c r="CI11" i="97"/>
  <c r="CU11" i="97" s="1"/>
  <c r="CM12" i="97"/>
  <c r="CY12" i="97" s="1"/>
  <c r="AJ13" i="97"/>
  <c r="AV13" i="97" s="1"/>
  <c r="CI13" i="97"/>
  <c r="CU13" i="97" s="1"/>
  <c r="AJ14" i="97"/>
  <c r="AV14" i="97" s="1"/>
  <c r="CI14" i="97"/>
  <c r="CU14" i="97" s="1"/>
  <c r="AJ15" i="97"/>
  <c r="CI15" i="97"/>
  <c r="AJ16" i="97"/>
  <c r="CI16" i="97"/>
  <c r="AJ17" i="97"/>
  <c r="AV17" i="97" s="1"/>
  <c r="CI17" i="97"/>
  <c r="AJ18" i="97"/>
  <c r="AV18" i="97" s="1"/>
  <c r="CI18" i="97"/>
  <c r="CU18" i="97" s="1"/>
  <c r="AJ19" i="97"/>
  <c r="AW19" i="97"/>
  <c r="CI19" i="97"/>
  <c r="DF19" i="97"/>
  <c r="DN19" i="97" s="1"/>
  <c r="EK20" i="97"/>
  <c r="FK20" i="97" s="1"/>
  <c r="EK21" i="97"/>
  <c r="FK21" i="97" s="1"/>
  <c r="EK22" i="97"/>
  <c r="FK22" i="97" s="1"/>
  <c r="EK23" i="97"/>
  <c r="FK23" i="97" s="1"/>
  <c r="EK24" i="97"/>
  <c r="FK24" i="97" s="1"/>
  <c r="EK25" i="97"/>
  <c r="FK25" i="97" s="1"/>
  <c r="EK26" i="97"/>
  <c r="FK26" i="97" s="1"/>
  <c r="AY29" i="97"/>
  <c r="FB30" i="97"/>
  <c r="FB32" i="97"/>
  <c r="FB34" i="97"/>
  <c r="FM36" i="97"/>
  <c r="EY38" i="97"/>
  <c r="FB38" i="97" s="1"/>
  <c r="EW38" i="97"/>
  <c r="EX38" i="97"/>
  <c r="AW43" i="97"/>
  <c r="FB46" i="97"/>
  <c r="AK13" i="97"/>
  <c r="AW13" i="97" s="1"/>
  <c r="CJ13" i="97"/>
  <c r="CV13" i="97" s="1"/>
  <c r="AK14" i="97"/>
  <c r="AW15" i="97" s="1"/>
  <c r="CJ14" i="97"/>
  <c r="DG14" i="97"/>
  <c r="DO14" i="97" s="1"/>
  <c r="FM30" i="97"/>
  <c r="FM32" i="97"/>
  <c r="FM34" i="97"/>
  <c r="AY35" i="97"/>
  <c r="AY36" i="97"/>
  <c r="CW39" i="97"/>
  <c r="DJ49" i="97"/>
  <c r="CX45" i="97"/>
  <c r="CX46" i="97"/>
  <c r="AU48" i="97"/>
  <c r="AK6" i="97"/>
  <c r="CI6" i="97"/>
  <c r="AL7" i="97"/>
  <c r="AX7" i="97" s="1"/>
  <c r="AL11" i="97"/>
  <c r="AX11" i="97" s="1"/>
  <c r="AH12" i="97"/>
  <c r="AT12" i="97" s="1"/>
  <c r="AL13" i="97"/>
  <c r="AL14" i="97"/>
  <c r="AX14" i="97" s="1"/>
  <c r="AL15" i="97"/>
  <c r="AX15" i="97" s="1"/>
  <c r="AL16" i="97"/>
  <c r="AX16" i="97" s="1"/>
  <c r="AL17" i="97"/>
  <c r="FA27" i="97"/>
  <c r="FA31" i="97"/>
  <c r="FA33" i="97"/>
  <c r="FA35" i="97"/>
  <c r="DL48" i="97"/>
  <c r="CY45" i="97"/>
  <c r="ED49" i="97"/>
  <c r="BS50" i="97"/>
  <c r="CU50" i="97"/>
  <c r="CX52" i="97"/>
  <c r="EW8" i="97"/>
  <c r="EZ8" i="97" s="1"/>
  <c r="EW10" i="97"/>
  <c r="EZ10" i="97" s="1"/>
  <c r="EW12" i="97"/>
  <c r="EZ12" i="97" s="1"/>
  <c r="EN20" i="97"/>
  <c r="EN21" i="97"/>
  <c r="EN22" i="97"/>
  <c r="EN23" i="97"/>
  <c r="EN24" i="97"/>
  <c r="EN25" i="97"/>
  <c r="EN26" i="97"/>
  <c r="AV27" i="97"/>
  <c r="CY27" i="97"/>
  <c r="EW27" i="97"/>
  <c r="EZ28" i="97" s="1"/>
  <c r="AX28" i="97"/>
  <c r="FK29" i="97"/>
  <c r="EZ29" i="97"/>
  <c r="AW30" i="97"/>
  <c r="CV30" i="97"/>
  <c r="EZ31" i="97"/>
  <c r="CV32" i="97"/>
  <c r="EZ33" i="97"/>
  <c r="CV34" i="97"/>
  <c r="EZ35" i="97"/>
  <c r="EY37" i="97"/>
  <c r="EW37" i="97"/>
  <c r="FM38" i="97" s="1"/>
  <c r="EX37" i="97"/>
  <c r="FA37" i="97" s="1"/>
  <c r="DK47" i="97"/>
  <c r="AV44" i="97"/>
  <c r="FM44" i="97"/>
  <c r="AT46" i="97"/>
  <c r="EN46" i="97"/>
  <c r="EO46" i="97"/>
  <c r="EM46" i="97"/>
  <c r="FL46" i="97" s="1"/>
  <c r="EP46" i="97"/>
  <c r="EL46" i="97"/>
  <c r="EK46" i="97"/>
  <c r="FK46" i="97" s="1"/>
  <c r="AU53" i="97"/>
  <c r="AM6" i="97"/>
  <c r="AY7" i="97" s="1"/>
  <c r="CK6" i="97"/>
  <c r="CW7" i="97" s="1"/>
  <c r="DB19" i="97"/>
  <c r="DJ19" i="97" s="1"/>
  <c r="EY27" i="97"/>
  <c r="FB27" i="97" s="1"/>
  <c r="FB29" i="97"/>
  <c r="FB31" i="97"/>
  <c r="FB33" i="97"/>
  <c r="FB35" i="97"/>
  <c r="CW38" i="97"/>
  <c r="CU40" i="97"/>
  <c r="DM50" i="97"/>
  <c r="FM45" i="97"/>
  <c r="EK28" i="97"/>
  <c r="EK29" i="97"/>
  <c r="EK30" i="97"/>
  <c r="FK30" i="97" s="1"/>
  <c r="EK31" i="97"/>
  <c r="FK31" i="97" s="1"/>
  <c r="EK32" i="97"/>
  <c r="FK32" i="97" s="1"/>
  <c r="EK33" i="97"/>
  <c r="FK33" i="97" s="1"/>
  <c r="EK34" i="97"/>
  <c r="FK34" i="97" s="1"/>
  <c r="EK35" i="97"/>
  <c r="FK35" i="97" s="1"/>
  <c r="EO40" i="97"/>
  <c r="CU41" i="97"/>
  <c r="EN41" i="97"/>
  <c r="EK43" i="97"/>
  <c r="AW45" i="97"/>
  <c r="AV46" i="97"/>
  <c r="DM51" i="97"/>
  <c r="EH47" i="97"/>
  <c r="AV50" i="97"/>
  <c r="CU51" i="97"/>
  <c r="CV54" i="97"/>
  <c r="AT36" i="97"/>
  <c r="AT37" i="97"/>
  <c r="AT38" i="97"/>
  <c r="AT39" i="97"/>
  <c r="AT40" i="97"/>
  <c r="EY40" i="97"/>
  <c r="FB40" i="97" s="1"/>
  <c r="EW40" i="97"/>
  <c r="CW41" i="97"/>
  <c r="CU43" i="97"/>
  <c r="EK45" i="97"/>
  <c r="DO47" i="97"/>
  <c r="ED48" i="97"/>
  <c r="DO49" i="97"/>
  <c r="CQ61" i="97"/>
  <c r="CP61" i="97" s="1"/>
  <c r="CT61" i="97" s="1"/>
  <c r="EN28" i="97"/>
  <c r="EN29" i="97"/>
  <c r="EN30" i="97"/>
  <c r="EN31" i="97"/>
  <c r="EN32" i="97"/>
  <c r="EN33" i="97"/>
  <c r="EN34" i="97"/>
  <c r="EN35" i="97"/>
  <c r="EX40" i="97"/>
  <c r="FA40" i="97" s="1"/>
  <c r="AT41" i="97"/>
  <c r="EY41" i="97"/>
  <c r="FB41" i="97" s="1"/>
  <c r="EW41" i="97"/>
  <c r="CW42" i="97"/>
  <c r="EO43" i="97"/>
  <c r="CU44" i="97"/>
  <c r="EM45" i="97"/>
  <c r="FL45" i="97" s="1"/>
  <c r="CW46" i="97"/>
  <c r="AU47" i="97"/>
  <c r="AH47" i="97"/>
  <c r="AH48" i="97" s="1"/>
  <c r="AH49" i="97" s="1"/>
  <c r="AH50" i="97" s="1"/>
  <c r="AH51" i="97" s="1"/>
  <c r="AH52" i="97" s="1"/>
  <c r="AH53" i="97" s="1"/>
  <c r="AH54" i="97" s="1"/>
  <c r="AH55" i="97" s="1"/>
  <c r="AH56" i="97" s="1"/>
  <c r="AH57" i="97" s="1"/>
  <c r="AH58" i="97" s="1"/>
  <c r="EW47" i="97"/>
  <c r="EX47" i="97"/>
  <c r="FA47" i="97" s="1"/>
  <c r="BU49" i="97"/>
  <c r="EF48" i="97"/>
  <c r="AU56" i="97"/>
  <c r="EK36" i="97"/>
  <c r="EK37" i="97"/>
  <c r="EK38" i="97"/>
  <c r="EK39" i="97"/>
  <c r="EX41" i="97"/>
  <c r="AT42" i="97"/>
  <c r="DM47" i="97"/>
  <c r="EY42" i="97"/>
  <c r="FB42" i="97" s="1"/>
  <c r="EW42" i="97"/>
  <c r="CW43" i="97"/>
  <c r="EP43" i="97"/>
  <c r="CU45" i="97"/>
  <c r="EN45" i="97"/>
  <c r="EY47" i="97"/>
  <c r="FB47" i="97" s="1"/>
  <c r="BW48" i="97"/>
  <c r="FA49" i="97"/>
  <c r="CU53" i="97"/>
  <c r="EZ53" i="97"/>
  <c r="FL36" i="97"/>
  <c r="FL37" i="97"/>
  <c r="FL38" i="97"/>
  <c r="FL39" i="97"/>
  <c r="EK40" i="97"/>
  <c r="DM48" i="97"/>
  <c r="EY43" i="97"/>
  <c r="FB43" i="97" s="1"/>
  <c r="EW43" i="97"/>
  <c r="EO45" i="97"/>
  <c r="CY46" i="97"/>
  <c r="FI49" i="97"/>
  <c r="AW54" i="97"/>
  <c r="EM40" i="97"/>
  <c r="FL40" i="97" s="1"/>
  <c r="EK41" i="97"/>
  <c r="AT44" i="97"/>
  <c r="DM49" i="97"/>
  <c r="EY44" i="97"/>
  <c r="FB44" i="97" s="1"/>
  <c r="EW44" i="97"/>
  <c r="EZ45" i="97" s="1"/>
  <c r="AU45" i="97"/>
  <c r="CW45" i="97"/>
  <c r="EP45" i="97"/>
  <c r="CU47" i="97"/>
  <c r="CH47" i="97"/>
  <c r="CH48" i="97" s="1"/>
  <c r="CH49" i="97" s="1"/>
  <c r="CH50" i="97" s="1"/>
  <c r="CH51" i="97" s="1"/>
  <c r="CH52" i="97" s="1"/>
  <c r="CH53" i="97" s="1"/>
  <c r="CH54" i="97" s="1"/>
  <c r="CH55" i="97" s="1"/>
  <c r="CH56" i="97" s="1"/>
  <c r="CH57" i="97" s="1"/>
  <c r="FI47" i="97"/>
  <c r="AU55" i="97"/>
  <c r="CU49" i="97"/>
  <c r="AU51" i="97"/>
  <c r="CU57" i="97"/>
  <c r="DO48" i="97"/>
  <c r="DO50" i="97" s="1"/>
  <c r="FA45" i="97"/>
  <c r="EY49" i="97"/>
  <c r="EW49" i="97"/>
  <c r="EX52" i="97"/>
  <c r="FA52" i="97" s="1"/>
  <c r="EW52" i="97"/>
  <c r="EY52" i="97"/>
  <c r="FB52" i="97" s="1"/>
  <c r="CT46" i="97"/>
  <c r="ED47" i="97"/>
  <c r="AU49" i="97"/>
  <c r="FA50" i="97"/>
  <c r="AU52" i="97"/>
  <c r="CW55" i="97"/>
  <c r="AP60" i="97"/>
  <c r="AT60" i="97" s="1"/>
  <c r="AQ60" i="97"/>
  <c r="AP59" i="97"/>
  <c r="AT59" i="97" s="1"/>
  <c r="FA53" i="97"/>
  <c r="AU57" i="97"/>
  <c r="FA51" i="97"/>
  <c r="EX56" i="97"/>
  <c r="EW54" i="97"/>
  <c r="FF60" i="97"/>
  <c r="EX54" i="97"/>
  <c r="FA54" i="97" s="1"/>
  <c r="CP60" i="97"/>
  <c r="CT60" i="97" s="1"/>
  <c r="FH62" i="97"/>
  <c r="EX55" i="97"/>
  <c r="EW55" i="97"/>
  <c r="CU56" i="97"/>
  <c r="EX57" i="97"/>
  <c r="EW57" i="97"/>
  <c r="EY55" i="97"/>
  <c r="FB55" i="97" s="1"/>
  <c r="AV58" i="97"/>
  <c r="CP58" i="97"/>
  <c r="CT58" i="97" s="1"/>
  <c r="CP59" i="97"/>
  <c r="CT59" i="97" s="1"/>
  <c r="AT26" i="96"/>
  <c r="DC7" i="96"/>
  <c r="DK7" i="96" s="1"/>
  <c r="DE8" i="96"/>
  <c r="DM8" i="96" s="1"/>
  <c r="AK11" i="96"/>
  <c r="AW12" i="96" s="1"/>
  <c r="FA12" i="96"/>
  <c r="CI15" i="96"/>
  <c r="CX23" i="96"/>
  <c r="EX27" i="96"/>
  <c r="FA28" i="96" s="1"/>
  <c r="EO31" i="96"/>
  <c r="AT33" i="96"/>
  <c r="AT34" i="96"/>
  <c r="AT37" i="96"/>
  <c r="CU38" i="96"/>
  <c r="EN38" i="96"/>
  <c r="CT42" i="96"/>
  <c r="EP42" i="96"/>
  <c r="CX43" i="96"/>
  <c r="AX44" i="96"/>
  <c r="EN44" i="96"/>
  <c r="CK6" i="96"/>
  <c r="AH7" i="96"/>
  <c r="AT7" i="96" s="1"/>
  <c r="DD7" i="96"/>
  <c r="DL7" i="96" s="1"/>
  <c r="AK10" i="96"/>
  <c r="EO11" i="96"/>
  <c r="CI12" i="96"/>
  <c r="DB13" i="96"/>
  <c r="DJ13" i="96" s="1"/>
  <c r="CJ14" i="96"/>
  <c r="CV14" i="96" s="1"/>
  <c r="DC15" i="96"/>
  <c r="DK15" i="96" s="1"/>
  <c r="CM19" i="96"/>
  <c r="CY20" i="96" s="1"/>
  <c r="EY21" i="96"/>
  <c r="AY22" i="96"/>
  <c r="AT31" i="96"/>
  <c r="CV33" i="96"/>
  <c r="AU36" i="96"/>
  <c r="AU38" i="96"/>
  <c r="EO38" i="96"/>
  <c r="AW40" i="96"/>
  <c r="CW40" i="96"/>
  <c r="AT42" i="96"/>
  <c r="CU42" i="96"/>
  <c r="AX43" i="96"/>
  <c r="AY44" i="96"/>
  <c r="CT34" i="96"/>
  <c r="DG8" i="96"/>
  <c r="DO8" i="96" s="1"/>
  <c r="DG9" i="96"/>
  <c r="DO9" i="96" s="1"/>
  <c r="DD14" i="96"/>
  <c r="DL14" i="96" s="1"/>
  <c r="DF18" i="96"/>
  <c r="DN18" i="96" s="1"/>
  <c r="AJ19" i="96"/>
  <c r="AV20" i="96" s="1"/>
  <c r="CX25" i="96"/>
  <c r="CX26" i="96"/>
  <c r="AU31" i="96"/>
  <c r="CV31" i="96"/>
  <c r="EM46" i="96"/>
  <c r="CU25" i="96"/>
  <c r="EK7" i="96"/>
  <c r="EG9" i="96"/>
  <c r="EL17" i="96"/>
  <c r="AV22" i="96"/>
  <c r="AY23" i="96"/>
  <c r="EO24" i="96"/>
  <c r="AW30" i="96"/>
  <c r="EN30" i="96"/>
  <c r="AV31" i="96"/>
  <c r="CX33" i="96"/>
  <c r="AW41" i="96"/>
  <c r="CW41" i="96"/>
  <c r="EN46" i="96"/>
  <c r="FA53" i="96"/>
  <c r="CJ12" i="96"/>
  <c r="CV13" i="96" s="1"/>
  <c r="DE13" i="96"/>
  <c r="DM13" i="96" s="1"/>
  <c r="DF15" i="96"/>
  <c r="DN15" i="96" s="1"/>
  <c r="DG16" i="96"/>
  <c r="DO16" i="96" s="1"/>
  <c r="AH19" i="96"/>
  <c r="AT20" i="96" s="1"/>
  <c r="CH19" i="96"/>
  <c r="CT20" i="96" s="1"/>
  <c r="AY24" i="96"/>
  <c r="EO30" i="96"/>
  <c r="CX31" i="96"/>
  <c r="EX32" i="96"/>
  <c r="EY39" i="96"/>
  <c r="FB40" i="96" s="1"/>
  <c r="AX41" i="96"/>
  <c r="CT46" i="96"/>
  <c r="EY47" i="96"/>
  <c r="EX8" i="96"/>
  <c r="CK9" i="96"/>
  <c r="CL10" i="96"/>
  <c r="AH11" i="96"/>
  <c r="AJ12" i="96"/>
  <c r="AJ13" i="96"/>
  <c r="AK14" i="96"/>
  <c r="FB16" i="96"/>
  <c r="EY18" i="96"/>
  <c r="AW22" i="96"/>
  <c r="CY27" i="96"/>
  <c r="EP30" i="96"/>
  <c r="AU32" i="96"/>
  <c r="AX39" i="96"/>
  <c r="EN41" i="96"/>
  <c r="CV44" i="96"/>
  <c r="EW46" i="96"/>
  <c r="EZ47" i="96" s="1"/>
  <c r="EN42" i="96"/>
  <c r="AM7" i="96"/>
  <c r="CJ9" i="96"/>
  <c r="DD10" i="96"/>
  <c r="DL10" i="96" s="1"/>
  <c r="CH12" i="96"/>
  <c r="AK13" i="96"/>
  <c r="AW13" i="96" s="1"/>
  <c r="ED14" i="96"/>
  <c r="CV22" i="96"/>
  <c r="CT24" i="96"/>
  <c r="CX29" i="96"/>
  <c r="EM31" i="96"/>
  <c r="CY33" i="96"/>
  <c r="AU43" i="96"/>
  <c r="CV43" i="96"/>
  <c r="AV44" i="96"/>
  <c r="FI55" i="96"/>
  <c r="FB62" i="96"/>
  <c r="AU47" i="96"/>
  <c r="AV47" i="96" s="1"/>
  <c r="AH47" i="96"/>
  <c r="EL33" i="96"/>
  <c r="EM37" i="96"/>
  <c r="CM6" i="96"/>
  <c r="EX6" i="96"/>
  <c r="AK7" i="96"/>
  <c r="AW8" i="96" s="1"/>
  <c r="EP7" i="96"/>
  <c r="CJ8" i="96"/>
  <c r="EE9" i="96"/>
  <c r="DC10" i="96"/>
  <c r="DK10" i="96" s="1"/>
  <c r="EL10" i="96"/>
  <c r="EK11" i="96"/>
  <c r="DE12" i="96"/>
  <c r="DM12" i="96" s="1"/>
  <c r="CM12" i="96"/>
  <c r="EF13" i="96"/>
  <c r="DE14" i="96"/>
  <c r="DM14" i="96" s="1"/>
  <c r="EW15" i="96"/>
  <c r="EO16" i="96"/>
  <c r="AL16" i="96"/>
  <c r="EN17" i="96"/>
  <c r="AM17" i="96"/>
  <c r="CL17" i="96"/>
  <c r="EY17" i="96"/>
  <c r="AL18" i="96"/>
  <c r="EW18" i="96"/>
  <c r="FM18" i="96" s="1"/>
  <c r="DF19" i="96"/>
  <c r="DN19" i="96" s="1"/>
  <c r="CJ19" i="96"/>
  <c r="CV20" i="96" s="1"/>
  <c r="AY21" i="96"/>
  <c r="CX22" i="96"/>
  <c r="CV24" i="96"/>
  <c r="AX26" i="96"/>
  <c r="CU32" i="96"/>
  <c r="EL35" i="96"/>
  <c r="CT36" i="96"/>
  <c r="AY39" i="96"/>
  <c r="CX39" i="96"/>
  <c r="AX42" i="96"/>
  <c r="DO47" i="96"/>
  <c r="DO48" i="96" s="1"/>
  <c r="DO49" i="96" s="1"/>
  <c r="DO50" i="96" s="1"/>
  <c r="DO51" i="96" s="1"/>
  <c r="DO52" i="96" s="1"/>
  <c r="DO53" i="96" s="1"/>
  <c r="DO54" i="96" s="1"/>
  <c r="DO55" i="96" s="1"/>
  <c r="DO56" i="96" s="1"/>
  <c r="DO57" i="96" s="1"/>
  <c r="DO58" i="96" s="1"/>
  <c r="DO59" i="96" s="1"/>
  <c r="DO60" i="96" s="1"/>
  <c r="DO61" i="96" s="1"/>
  <c r="DO62" i="96" s="1"/>
  <c r="DO63" i="96" s="1"/>
  <c r="DO64" i="96" s="1"/>
  <c r="DO65" i="96" s="1"/>
  <c r="DO66" i="96" s="1"/>
  <c r="AV43" i="96"/>
  <c r="AW45" i="96"/>
  <c r="CV45" i="96"/>
  <c r="CX44" i="96"/>
  <c r="EP6" i="96"/>
  <c r="DB7" i="96"/>
  <c r="DJ7" i="96" s="1"/>
  <c r="CH8" i="96"/>
  <c r="CT9" i="96" s="1"/>
  <c r="AL9" i="96"/>
  <c r="CM9" i="96"/>
  <c r="EN11" i="96"/>
  <c r="DF12" i="96"/>
  <c r="DN12" i="96" s="1"/>
  <c r="DF13" i="96"/>
  <c r="DN13" i="96" s="1"/>
  <c r="EO13" i="96"/>
  <c r="DF14" i="96"/>
  <c r="DN14" i="96" s="1"/>
  <c r="CU15" i="96"/>
  <c r="DB15" i="96"/>
  <c r="DJ15" i="96" s="1"/>
  <c r="AM16" i="96"/>
  <c r="CK19" i="96"/>
  <c r="CY21" i="96"/>
  <c r="EX23" i="96"/>
  <c r="FA24" i="96" s="1"/>
  <c r="EP24" i="96"/>
  <c r="CT25" i="96"/>
  <c r="AT27" i="96"/>
  <c r="EW27" i="96"/>
  <c r="FM27" i="96" s="1"/>
  <c r="AW28" i="96"/>
  <c r="CX28" i="96"/>
  <c r="CY30" i="96"/>
  <c r="CU31" i="96"/>
  <c r="EL31" i="96"/>
  <c r="CT32" i="96"/>
  <c r="AT35" i="96"/>
  <c r="EO35" i="96"/>
  <c r="CY38" i="96"/>
  <c r="AY41" i="96"/>
  <c r="CX42" i="96"/>
  <c r="EO41" i="96"/>
  <c r="AU42" i="96"/>
  <c r="EW42" i="96"/>
  <c r="EP44" i="96"/>
  <c r="AT45" i="96"/>
  <c r="CX45" i="96"/>
  <c r="EL46" i="96"/>
  <c r="EX47" i="96"/>
  <c r="FA47" i="96" s="1"/>
  <c r="EY53" i="96"/>
  <c r="AU46" i="96"/>
  <c r="CI6" i="96"/>
  <c r="DC8" i="96"/>
  <c r="DK8" i="96" s="1"/>
  <c r="DF10" i="96"/>
  <c r="DN10" i="96" s="1"/>
  <c r="CI11" i="96"/>
  <c r="EW11" i="96"/>
  <c r="EZ12" i="96" s="1"/>
  <c r="AI12" i="96"/>
  <c r="EY12" i="96"/>
  <c r="FB13" i="96" s="1"/>
  <c r="EW13" i="96"/>
  <c r="AH14" i="96"/>
  <c r="EE14" i="96"/>
  <c r="DD15" i="96"/>
  <c r="DL15" i="96" s="1"/>
  <c r="EK15" i="96"/>
  <c r="DC16" i="96"/>
  <c r="DK16" i="96" s="1"/>
  <c r="DE18" i="96"/>
  <c r="DM18" i="96" s="1"/>
  <c r="FA19" i="96"/>
  <c r="AW21" i="96"/>
  <c r="EM21" i="96"/>
  <c r="CT22" i="96"/>
  <c r="AT23" i="96"/>
  <c r="EW24" i="96"/>
  <c r="FM24" i="96" s="1"/>
  <c r="CV26" i="96"/>
  <c r="AY28" i="96"/>
  <c r="CY29" i="96"/>
  <c r="AY30" i="96"/>
  <c r="CV32" i="96"/>
  <c r="CW33" i="96"/>
  <c r="EM33" i="96"/>
  <c r="EL34" i="96"/>
  <c r="EW35" i="96"/>
  <c r="FM35" i="96" s="1"/>
  <c r="AV36" i="96"/>
  <c r="EW36" i="96"/>
  <c r="EZ37" i="96" s="1"/>
  <c r="AW37" i="96"/>
  <c r="EN37" i="96"/>
  <c r="AT38" i="96"/>
  <c r="AU40" i="96"/>
  <c r="EW41" i="96"/>
  <c r="FM41" i="96" s="1"/>
  <c r="EW44" i="96"/>
  <c r="AV45" i="96"/>
  <c r="EY50" i="96"/>
  <c r="FB50" i="96" s="1"/>
  <c r="EX56" i="96"/>
  <c r="FA57" i="96" s="1"/>
  <c r="DG14" i="96"/>
  <c r="DO14" i="96" s="1"/>
  <c r="AI7" i="96"/>
  <c r="CI7" i="96"/>
  <c r="DC9" i="96"/>
  <c r="DK9" i="96" s="1"/>
  <c r="CM10" i="96"/>
  <c r="EY11" i="96"/>
  <c r="AM13" i="96"/>
  <c r="CL13" i="96"/>
  <c r="CH13" i="96"/>
  <c r="EL13" i="96"/>
  <c r="AI14" i="96"/>
  <c r="AU14" i="96" s="1"/>
  <c r="EF14" i="96"/>
  <c r="DE15" i="96"/>
  <c r="DM15" i="96" s="1"/>
  <c r="CJ16" i="96"/>
  <c r="CV17" i="96" s="1"/>
  <c r="EC16" i="96"/>
  <c r="EE17" i="96"/>
  <c r="CT21" i="96"/>
  <c r="AU22" i="96"/>
  <c r="EL22" i="96"/>
  <c r="AX25" i="96"/>
  <c r="CW25" i="96"/>
  <c r="EL27" i="96"/>
  <c r="AT29" i="96"/>
  <c r="CT29" i="96"/>
  <c r="CT31" i="96"/>
  <c r="EY30" i="96"/>
  <c r="AX33" i="96"/>
  <c r="EN33" i="96"/>
  <c r="EM34" i="96"/>
  <c r="AV35" i="96"/>
  <c r="CV35" i="96"/>
  <c r="EX35" i="96"/>
  <c r="CX36" i="96"/>
  <c r="EX36" i="96"/>
  <c r="EP37" i="96"/>
  <c r="EL38" i="96"/>
  <c r="EW40" i="96"/>
  <c r="FM40" i="96" s="1"/>
  <c r="AT41" i="96"/>
  <c r="EX41" i="96"/>
  <c r="FA42" i="96" s="1"/>
  <c r="CV42" i="96"/>
  <c r="EL42" i="96"/>
  <c r="FK42" i="96" s="1"/>
  <c r="EX44" i="96"/>
  <c r="EW45" i="96"/>
  <c r="FM45" i="96" s="1"/>
  <c r="AW46" i="96"/>
  <c r="CX46" i="96"/>
  <c r="EP46" i="96"/>
  <c r="EX54" i="96"/>
  <c r="FA54" i="96" s="1"/>
  <c r="EW66" i="96"/>
  <c r="EZ66" i="96" s="1"/>
  <c r="CT35" i="96"/>
  <c r="DF7" i="96"/>
  <c r="DN7" i="96" s="1"/>
  <c r="CJ7" i="96"/>
  <c r="EG7" i="96"/>
  <c r="AH9" i="96"/>
  <c r="AT9" i="96" s="1"/>
  <c r="CJ10" i="96"/>
  <c r="CV10" i="96" s="1"/>
  <c r="EL11" i="96"/>
  <c r="CI13" i="96"/>
  <c r="ED15" i="96"/>
  <c r="EE16" i="96"/>
  <c r="EN18" i="96"/>
  <c r="DC19" i="96"/>
  <c r="DK19" i="96" s="1"/>
  <c r="DC20" i="96"/>
  <c r="DK20" i="96" s="1"/>
  <c r="AV21" i="96"/>
  <c r="CU21" i="96"/>
  <c r="EW21" i="96"/>
  <c r="FM21" i="96" s="1"/>
  <c r="CU22" i="96"/>
  <c r="EM23" i="96"/>
  <c r="EL24" i="96"/>
  <c r="AY25" i="96"/>
  <c r="EW25" i="96"/>
  <c r="FM25" i="96" s="1"/>
  <c r="AU26" i="96"/>
  <c r="EM27" i="96"/>
  <c r="CV28" i="96"/>
  <c r="EO29" i="96"/>
  <c r="CX32" i="96"/>
  <c r="EO33" i="96"/>
  <c r="AW34" i="96"/>
  <c r="AY37" i="96"/>
  <c r="AV38" i="96"/>
  <c r="EM38" i="96"/>
  <c r="CU39" i="96"/>
  <c r="EX39" i="96"/>
  <c r="EX40" i="96"/>
  <c r="AU41" i="96"/>
  <c r="CT41" i="96"/>
  <c r="AY43" i="96"/>
  <c r="CW42" i="96"/>
  <c r="EM42" i="96"/>
  <c r="AX45" i="96"/>
  <c r="EX45" i="96"/>
  <c r="FA46" i="96" s="1"/>
  <c r="AX46" i="96"/>
  <c r="EY51" i="96"/>
  <c r="EY54" i="96"/>
  <c r="EW59" i="96"/>
  <c r="EW60" i="96"/>
  <c r="EW61" i="96"/>
  <c r="EW62" i="96"/>
  <c r="EZ62" i="96" s="1"/>
  <c r="EW63" i="96"/>
  <c r="EW64" i="96"/>
  <c r="EW65" i="96"/>
  <c r="EX66" i="96"/>
  <c r="FA66" i="96" s="1"/>
  <c r="CL6" i="96"/>
  <c r="CM7" i="96"/>
  <c r="EL7" i="96"/>
  <c r="DF8" i="96"/>
  <c r="DN8" i="96" s="1"/>
  <c r="EN8" i="96"/>
  <c r="DE9" i="96"/>
  <c r="DM9" i="96" s="1"/>
  <c r="EY9" i="96"/>
  <c r="FB9" i="96" s="1"/>
  <c r="DC12" i="96"/>
  <c r="DK12" i="96" s="1"/>
  <c r="DC14" i="96"/>
  <c r="DK14" i="96" s="1"/>
  <c r="CH14" i="96"/>
  <c r="EM15" i="96"/>
  <c r="EH16" i="96"/>
  <c r="CM18" i="96"/>
  <c r="CY19" i="96" s="1"/>
  <c r="FB22" i="96"/>
  <c r="AW23" i="96"/>
  <c r="CW23" i="96"/>
  <c r="EM24" i="96"/>
  <c r="FL24" i="96" s="1"/>
  <c r="EX25" i="96"/>
  <c r="FA25" i="96" s="1"/>
  <c r="FB26" i="96"/>
  <c r="AX27" i="96"/>
  <c r="CW28" i="96"/>
  <c r="EO27" i="96"/>
  <c r="AV29" i="96"/>
  <c r="CV30" i="96"/>
  <c r="EL30" i="96"/>
  <c r="AY32" i="96"/>
  <c r="CY32" i="96"/>
  <c r="CV38" i="96"/>
  <c r="AU39" i="96"/>
  <c r="CV39" i="96"/>
  <c r="AV42" i="96"/>
  <c r="DM47" i="96"/>
  <c r="DM48" i="96" s="1"/>
  <c r="DM49" i="96" s="1"/>
  <c r="DM50" i="96" s="1"/>
  <c r="DM51" i="96" s="1"/>
  <c r="DM52" i="96" s="1"/>
  <c r="DM53" i="96" s="1"/>
  <c r="DM54" i="96" s="1"/>
  <c r="DM55" i="96" s="1"/>
  <c r="DM56" i="96" s="1"/>
  <c r="DM57" i="96" s="1"/>
  <c r="DM58" i="96" s="1"/>
  <c r="DM59" i="96" s="1"/>
  <c r="DM60" i="96" s="1"/>
  <c r="DM61" i="96" s="1"/>
  <c r="DM62" i="96" s="1"/>
  <c r="DM63" i="96" s="1"/>
  <c r="DM64" i="96" s="1"/>
  <c r="DM65" i="96" s="1"/>
  <c r="DM66" i="96" s="1"/>
  <c r="AY45" i="96"/>
  <c r="CY45" i="96"/>
  <c r="EZ55" i="96"/>
  <c r="EX59" i="96"/>
  <c r="EX60" i="96"/>
  <c r="FA61" i="96" s="1"/>
  <c r="EX61" i="96"/>
  <c r="EX62" i="96"/>
  <c r="EX63" i="96"/>
  <c r="EX64" i="96"/>
  <c r="EY65" i="96"/>
  <c r="FB66" i="96" s="1"/>
  <c r="DG11" i="96"/>
  <c r="DO11" i="96" s="1"/>
  <c r="FB36" i="96"/>
  <c r="AK6" i="96"/>
  <c r="AW7" i="96" s="1"/>
  <c r="EW6" i="96"/>
  <c r="CI8" i="96"/>
  <c r="EC9" i="96"/>
  <c r="CJ11" i="96"/>
  <c r="DD12" i="96"/>
  <c r="DL12" i="96" s="1"/>
  <c r="EE13" i="96"/>
  <c r="EN16" i="96"/>
  <c r="EP16" i="96"/>
  <c r="DG17" i="96"/>
  <c r="DO17" i="96" s="1"/>
  <c r="AW18" i="96"/>
  <c r="ED19" i="96"/>
  <c r="CW21" i="96"/>
  <c r="AX22" i="96"/>
  <c r="EW22" i="96"/>
  <c r="FM22" i="96" s="1"/>
  <c r="CX24" i="96"/>
  <c r="AV24" i="96"/>
  <c r="EN24" i="96"/>
  <c r="AW26" i="96"/>
  <c r="CW26" i="96"/>
  <c r="EP27" i="96"/>
  <c r="AU28" i="96"/>
  <c r="EY28" i="96"/>
  <c r="FB28" i="96" s="1"/>
  <c r="CW29" i="96"/>
  <c r="EM30" i="96"/>
  <c r="AY35" i="96"/>
  <c r="CY35" i="96"/>
  <c r="CV36" i="96"/>
  <c r="AU37" i="96"/>
  <c r="AY40" i="96"/>
  <c r="CU43" i="96"/>
  <c r="DJ47" i="96"/>
  <c r="DJ48" i="96" s="1"/>
  <c r="DJ49" i="96" s="1"/>
  <c r="DJ50" i="96" s="1"/>
  <c r="DJ51" i="96" s="1"/>
  <c r="DJ52" i="96" s="1"/>
  <c r="DJ53" i="96" s="1"/>
  <c r="DJ54" i="96" s="1"/>
  <c r="DJ55" i="96" s="1"/>
  <c r="DJ56" i="96" s="1"/>
  <c r="DJ57" i="96" s="1"/>
  <c r="DJ58" i="96" s="1"/>
  <c r="DJ59" i="96" s="1"/>
  <c r="DJ60" i="96" s="1"/>
  <c r="DJ61" i="96" s="1"/>
  <c r="DJ62" i="96" s="1"/>
  <c r="DJ63" i="96" s="1"/>
  <c r="DJ64" i="96" s="1"/>
  <c r="DJ65" i="96" s="1"/>
  <c r="DJ66" i="96" s="1"/>
  <c r="CY46" i="96"/>
  <c r="EY52" i="96"/>
  <c r="EX55" i="96"/>
  <c r="FI53" i="96"/>
  <c r="FI50" i="96"/>
  <c r="FI48" i="96"/>
  <c r="FI51" i="96"/>
  <c r="FI57" i="96"/>
  <c r="FI56" i="96"/>
  <c r="EK6" i="96"/>
  <c r="ED7" i="96"/>
  <c r="EX7" i="96"/>
  <c r="EW7" i="96"/>
  <c r="DB8" i="96"/>
  <c r="DJ8" i="96" s="1"/>
  <c r="DE7" i="96"/>
  <c r="DM7" i="96" s="1"/>
  <c r="EE7" i="96"/>
  <c r="EY7" i="96"/>
  <c r="FB7" i="96" s="1"/>
  <c r="EW8" i="96"/>
  <c r="EZ9" i="96" s="1"/>
  <c r="AJ9" i="96"/>
  <c r="EM9" i="96"/>
  <c r="DF9" i="96"/>
  <c r="DN9" i="96" s="1"/>
  <c r="EX9" i="96"/>
  <c r="FA9" i="96" s="1"/>
  <c r="DG10" i="96"/>
  <c r="DO10" i="96" s="1"/>
  <c r="EC10" i="96"/>
  <c r="CH10" i="96"/>
  <c r="CT10" i="96" s="1"/>
  <c r="EN10" i="96"/>
  <c r="CH11" i="96"/>
  <c r="CK12" i="96"/>
  <c r="EP13" i="96"/>
  <c r="EY14" i="96"/>
  <c r="EX14" i="96"/>
  <c r="EW14" i="96"/>
  <c r="FM15" i="96" s="1"/>
  <c r="CJ15" i="96"/>
  <c r="EE15" i="96"/>
  <c r="EO15" i="96"/>
  <c r="EK16" i="96"/>
  <c r="AH16" i="96"/>
  <c r="AT16" i="96" s="1"/>
  <c r="DD17" i="96"/>
  <c r="DL17" i="96" s="1"/>
  <c r="DD16" i="96"/>
  <c r="DL16" i="96" s="1"/>
  <c r="ED16" i="96"/>
  <c r="CI16" i="96"/>
  <c r="CU16" i="96" s="1"/>
  <c r="DB18" i="96"/>
  <c r="DJ18" i="96" s="1"/>
  <c r="CU36" i="96"/>
  <c r="CU37" i="96"/>
  <c r="EC6" i="96"/>
  <c r="CH6" i="96"/>
  <c r="EM7" i="96"/>
  <c r="AJ7" i="96"/>
  <c r="AT8" i="96"/>
  <c r="CM8" i="96"/>
  <c r="CI10" i="96"/>
  <c r="ED10" i="96"/>
  <c r="EZ10" i="96"/>
  <c r="EH11" i="96"/>
  <c r="CM11" i="96"/>
  <c r="EF15" i="96"/>
  <c r="CK15" i="96"/>
  <c r="AI16" i="96"/>
  <c r="DE16" i="96"/>
  <c r="DM16" i="96" s="1"/>
  <c r="EC7" i="96"/>
  <c r="CH7" i="96"/>
  <c r="EP8" i="96"/>
  <c r="AM8" i="96"/>
  <c r="AI8" i="96"/>
  <c r="EG8" i="96"/>
  <c r="AI9" i="96"/>
  <c r="EP10" i="96"/>
  <c r="AI10" i="96"/>
  <c r="CX10" i="96"/>
  <c r="EX10" i="96"/>
  <c r="FA11" i="96" s="1"/>
  <c r="EM11" i="96"/>
  <c r="AJ11" i="96"/>
  <c r="DF11" i="96"/>
  <c r="DN11" i="96" s="1"/>
  <c r="CL11" i="96"/>
  <c r="CX11" i="96" s="1"/>
  <c r="EM14" i="96"/>
  <c r="AJ14" i="96"/>
  <c r="AL15" i="96"/>
  <c r="AJ16" i="96"/>
  <c r="AV16" i="96" s="1"/>
  <c r="EM16" i="96"/>
  <c r="DF16" i="96"/>
  <c r="DN16" i="96" s="1"/>
  <c r="DF17" i="96"/>
  <c r="DN17" i="96" s="1"/>
  <c r="AH18" i="96"/>
  <c r="EK18" i="96"/>
  <c r="DD18" i="96"/>
  <c r="DL18" i="96" s="1"/>
  <c r="AJ18" i="96"/>
  <c r="AV18" i="96" s="1"/>
  <c r="DD19" i="96"/>
  <c r="DL19" i="96" s="1"/>
  <c r="CU34" i="96"/>
  <c r="CU35" i="96"/>
  <c r="EL6" i="96"/>
  <c r="AI6" i="96"/>
  <c r="EE6" i="96"/>
  <c r="CJ6" i="96"/>
  <c r="CV7" i="96" s="1"/>
  <c r="AL7" i="96"/>
  <c r="AJ8" i="96"/>
  <c r="AK9" i="96"/>
  <c r="ED9" i="96"/>
  <c r="CI9" i="96"/>
  <c r="CK10" i="96"/>
  <c r="CW10" i="96" s="1"/>
  <c r="EF10" i="96"/>
  <c r="EY10" i="96"/>
  <c r="EH15" i="96"/>
  <c r="CM15" i="96"/>
  <c r="CY16" i="96" s="1"/>
  <c r="CL16" i="96"/>
  <c r="CX17" i="96" s="1"/>
  <c r="EX16" i="96"/>
  <c r="EW16" i="96"/>
  <c r="FM16" i="96" s="1"/>
  <c r="CK17" i="96"/>
  <c r="EF17" i="96"/>
  <c r="EO19" i="96"/>
  <c r="AL19" i="96"/>
  <c r="CW20" i="96"/>
  <c r="AT21" i="96"/>
  <c r="CU23" i="96"/>
  <c r="DE10" i="96"/>
  <c r="DM10" i="96" s="1"/>
  <c r="EO20" i="96"/>
  <c r="EP20" i="96"/>
  <c r="EN20" i="96"/>
  <c r="EM20" i="96"/>
  <c r="EL20" i="96"/>
  <c r="EK20" i="96"/>
  <c r="CV40" i="96"/>
  <c r="CV41" i="96"/>
  <c r="EM6" i="96"/>
  <c r="AJ6" i="96"/>
  <c r="CK7" i="96"/>
  <c r="EO7" i="96"/>
  <c r="EF8" i="96"/>
  <c r="CK8" i="96"/>
  <c r="EL8" i="96"/>
  <c r="AM9" i="96"/>
  <c r="EP11" i="96"/>
  <c r="AM11" i="96"/>
  <c r="EZ11" i="96"/>
  <c r="DG12" i="96"/>
  <c r="DO12" i="96" s="1"/>
  <c r="EM12" i="96"/>
  <c r="EP14" i="96"/>
  <c r="AM14" i="96"/>
  <c r="EK8" i="96"/>
  <c r="EO6" i="96"/>
  <c r="AL6" i="96"/>
  <c r="EO8" i="96"/>
  <c r="DD9" i="96"/>
  <c r="DL9" i="96" s="1"/>
  <c r="EK10" i="96"/>
  <c r="DB12" i="96"/>
  <c r="DJ12" i="96" s="1"/>
  <c r="AM12" i="96"/>
  <c r="EG12" i="96"/>
  <c r="CL12" i="96"/>
  <c r="EN12" i="96"/>
  <c r="DC13" i="96"/>
  <c r="DK13" i="96" s="1"/>
  <c r="EG13" i="96"/>
  <c r="FM13" i="96" s="1"/>
  <c r="DB14" i="96"/>
  <c r="DJ14" i="96" s="1"/>
  <c r="EG14" i="96"/>
  <c r="FM14" i="96" s="1"/>
  <c r="CL14" i="96"/>
  <c r="EN14" i="96"/>
  <c r="FB18" i="96"/>
  <c r="FB17" i="96"/>
  <c r="EM10" i="96"/>
  <c r="AJ10" i="96"/>
  <c r="AL11" i="96"/>
  <c r="EF11" i="96"/>
  <c r="CK11" i="96"/>
  <c r="DD11" i="96"/>
  <c r="DL11" i="96" s="1"/>
  <c r="EH13" i="96"/>
  <c r="CM13" i="96"/>
  <c r="CY13" i="96" s="1"/>
  <c r="EL15" i="96"/>
  <c r="AI15" i="96"/>
  <c r="AH17" i="96"/>
  <c r="DB17" i="96"/>
  <c r="DJ17" i="96" s="1"/>
  <c r="CX21" i="96"/>
  <c r="EX13" i="96"/>
  <c r="FA13" i="96" s="1"/>
  <c r="EP15" i="96"/>
  <c r="DB16" i="96"/>
  <c r="DJ16" i="96" s="1"/>
  <c r="AI17" i="96"/>
  <c r="DE17" i="96"/>
  <c r="DM17" i="96" s="1"/>
  <c r="CI17" i="96"/>
  <c r="EK17" i="96"/>
  <c r="CH18" i="96"/>
  <c r="AI19" i="96"/>
  <c r="CL19" i="96"/>
  <c r="CX20" i="96" s="1"/>
  <c r="DB19" i="96"/>
  <c r="DJ19" i="96" s="1"/>
  <c r="CW22" i="96"/>
  <c r="EX22" i="96"/>
  <c r="FA22" i="96" s="1"/>
  <c r="AU23" i="96"/>
  <c r="EO23" i="96"/>
  <c r="EN23" i="96"/>
  <c r="EL23" i="96"/>
  <c r="EK23" i="96"/>
  <c r="CU24" i="96"/>
  <c r="CU26" i="96"/>
  <c r="EX26" i="96"/>
  <c r="EW26" i="96"/>
  <c r="FM26" i="96" s="1"/>
  <c r="AU27" i="96"/>
  <c r="AY29" i="96"/>
  <c r="EY29" i="96"/>
  <c r="EX29" i="96"/>
  <c r="FA29" i="96" s="1"/>
  <c r="AW32" i="96"/>
  <c r="EX33" i="96"/>
  <c r="FA33" i="96" s="1"/>
  <c r="EY33" i="96"/>
  <c r="FB33" i="96" s="1"/>
  <c r="EW33" i="96"/>
  <c r="FM33" i="96" s="1"/>
  <c r="CU45" i="96"/>
  <c r="CU46" i="96"/>
  <c r="AL10" i="96"/>
  <c r="DC11" i="96"/>
  <c r="DK11" i="96" s="1"/>
  <c r="AL12" i="96"/>
  <c r="DD13" i="96"/>
  <c r="DL13" i="96" s="1"/>
  <c r="EK13" i="96"/>
  <c r="CM14" i="96"/>
  <c r="CL15" i="96"/>
  <c r="CK16" i="96"/>
  <c r="EL16" i="96"/>
  <c r="EM17" i="96"/>
  <c r="CI18" i="96"/>
  <c r="AK19" i="96"/>
  <c r="AW19" i="96" s="1"/>
  <c r="EM19" i="96"/>
  <c r="DF20" i="96"/>
  <c r="DN20" i="96" s="1"/>
  <c r="CV21" i="96"/>
  <c r="CY22" i="96"/>
  <c r="AX23" i="96"/>
  <c r="CW24" i="96"/>
  <c r="CT26" i="96"/>
  <c r="FB27" i="96"/>
  <c r="AV30" i="96"/>
  <c r="CW31" i="96"/>
  <c r="CW32" i="96"/>
  <c r="AT32" i="96"/>
  <c r="AT43" i="96"/>
  <c r="DC17" i="96"/>
  <c r="DK17" i="96" s="1"/>
  <c r="DG18" i="96"/>
  <c r="DO18" i="96" s="1"/>
  <c r="CK18" i="96"/>
  <c r="DE19" i="96"/>
  <c r="DM19" i="96" s="1"/>
  <c r="FK24" i="96"/>
  <c r="EZ24" i="96"/>
  <c r="EP25" i="96"/>
  <c r="EO25" i="96"/>
  <c r="EM25" i="96"/>
  <c r="EK25" i="96"/>
  <c r="AV27" i="96"/>
  <c r="AV28" i="96"/>
  <c r="CU28" i="96"/>
  <c r="CU29" i="96"/>
  <c r="EM28" i="96"/>
  <c r="EL28" i="96"/>
  <c r="EP28" i="96"/>
  <c r="EK28" i="96"/>
  <c r="AU29" i="96"/>
  <c r="EL32" i="96"/>
  <c r="EP32" i="96"/>
  <c r="EO32" i="96"/>
  <c r="EN32" i="96"/>
  <c r="EM32" i="96"/>
  <c r="EK32" i="96"/>
  <c r="AX34" i="96"/>
  <c r="AX35" i="96"/>
  <c r="CW37" i="96"/>
  <c r="CW38" i="96"/>
  <c r="CU41" i="96"/>
  <c r="DB10" i="96"/>
  <c r="DJ10" i="96" s="1"/>
  <c r="EN13" i="96"/>
  <c r="EM13" i="96"/>
  <c r="EX15" i="96"/>
  <c r="AK16" i="96"/>
  <c r="AL17" i="96"/>
  <c r="CM17" i="96"/>
  <c r="EO17" i="96"/>
  <c r="AI18" i="96"/>
  <c r="CL18" i="96"/>
  <c r="CX18" i="96" s="1"/>
  <c r="AM19" i="96"/>
  <c r="DG19" i="96"/>
  <c r="DO19" i="96" s="1"/>
  <c r="EP22" i="96"/>
  <c r="EO22" i="96"/>
  <c r="EM22" i="96"/>
  <c r="EK22" i="96"/>
  <c r="FB23" i="96"/>
  <c r="EY24" i="96"/>
  <c r="EL25" i="96"/>
  <c r="CT27" i="96"/>
  <c r="EN28" i="96"/>
  <c r="AW29" i="96"/>
  <c r="AX30" i="96"/>
  <c r="AX31" i="96"/>
  <c r="CW30" i="96"/>
  <c r="AV32" i="96"/>
  <c r="AV33" i="96"/>
  <c r="EW34" i="96"/>
  <c r="FM34" i="96" s="1"/>
  <c r="EY34" i="96"/>
  <c r="EX34" i="96"/>
  <c r="AX36" i="96"/>
  <c r="AX37" i="96"/>
  <c r="CX37" i="96"/>
  <c r="CX38" i="96"/>
  <c r="FB44" i="96"/>
  <c r="AU49" i="96"/>
  <c r="AV51" i="96"/>
  <c r="CU52" i="96"/>
  <c r="EC17" i="96"/>
  <c r="CH17" i="96"/>
  <c r="AV25" i="96"/>
  <c r="EO26" i="96"/>
  <c r="EP26" i="96"/>
  <c r="EK26" i="96"/>
  <c r="AU44" i="96"/>
  <c r="AU45" i="96"/>
  <c r="CT44" i="96"/>
  <c r="CT45" i="96"/>
  <c r="AY50" i="96"/>
  <c r="EW19" i="96"/>
  <c r="FM20" i="96" s="1"/>
  <c r="EX20" i="96"/>
  <c r="FA20" i="96" s="1"/>
  <c r="EP21" i="96"/>
  <c r="EN21" i="96"/>
  <c r="EK21" i="96"/>
  <c r="AW24" i="96"/>
  <c r="CY24" i="96"/>
  <c r="CY25" i="96"/>
  <c r="AY26" i="96"/>
  <c r="EL26" i="96"/>
  <c r="AY27" i="96"/>
  <c r="AX28" i="96"/>
  <c r="EN39" i="96"/>
  <c r="EM39" i="96"/>
  <c r="EL39" i="96"/>
  <c r="EP39" i="96"/>
  <c r="EO39" i="96"/>
  <c r="EK39" i="96"/>
  <c r="AH12" i="96"/>
  <c r="ED12" i="96"/>
  <c r="AL14" i="96"/>
  <c r="AX14" i="96" s="1"/>
  <c r="AK15" i="96"/>
  <c r="DG15" i="96"/>
  <c r="DO15" i="96" s="1"/>
  <c r="CH15" i="96"/>
  <c r="EN15" i="96"/>
  <c r="EX17" i="96"/>
  <c r="AM18" i="96"/>
  <c r="CJ18" i="96"/>
  <c r="CV18" i="96" s="1"/>
  <c r="EY19" i="96"/>
  <c r="FB19" i="96" s="1"/>
  <c r="EY20" i="96"/>
  <c r="FB21" i="96" s="1"/>
  <c r="EL21" i="96"/>
  <c r="CV25" i="96"/>
  <c r="EM26" i="96"/>
  <c r="CW27" i="96"/>
  <c r="CY31" i="96"/>
  <c r="CV34" i="96"/>
  <c r="CY36" i="96"/>
  <c r="CU40" i="96"/>
  <c r="EM40" i="96"/>
  <c r="FL40" i="96" s="1"/>
  <c r="EO40" i="96"/>
  <c r="EN40" i="96"/>
  <c r="EP40" i="96"/>
  <c r="EL40" i="96"/>
  <c r="EK40" i="96"/>
  <c r="CU49" i="96"/>
  <c r="EK27" i="96"/>
  <c r="EP31" i="96"/>
  <c r="AU33" i="96"/>
  <c r="CX34" i="96"/>
  <c r="AW35" i="96"/>
  <c r="AV37" i="96"/>
  <c r="AY38" i="96"/>
  <c r="CW43" i="96"/>
  <c r="CW45" i="96"/>
  <c r="CW46" i="96"/>
  <c r="DL47" i="96"/>
  <c r="DL48" i="96" s="1"/>
  <c r="DL49" i="96" s="1"/>
  <c r="DL50" i="96" s="1"/>
  <c r="DL51" i="96" s="1"/>
  <c r="DL52" i="96" s="1"/>
  <c r="DL53" i="96" s="1"/>
  <c r="DL54" i="96" s="1"/>
  <c r="DL55" i="96" s="1"/>
  <c r="DL56" i="96" s="1"/>
  <c r="DL57" i="96" s="1"/>
  <c r="DL58" i="96" s="1"/>
  <c r="DL59" i="96" s="1"/>
  <c r="DL60" i="96" s="1"/>
  <c r="DL61" i="96" s="1"/>
  <c r="DL62" i="96" s="1"/>
  <c r="DL63" i="96" s="1"/>
  <c r="DL64" i="96" s="1"/>
  <c r="DL65" i="96" s="1"/>
  <c r="DL66" i="96" s="1"/>
  <c r="FI49" i="96"/>
  <c r="EK29" i="96"/>
  <c r="AT30" i="96"/>
  <c r="CX30" i="96"/>
  <c r="AT39" i="96"/>
  <c r="CX40" i="96"/>
  <c r="AW42" i="96"/>
  <c r="AW43" i="96"/>
  <c r="EP45" i="96"/>
  <c r="EN45" i="96"/>
  <c r="EL45" i="96"/>
  <c r="EO45" i="96"/>
  <c r="EK45" i="96"/>
  <c r="AH48" i="96"/>
  <c r="AH49" i="96" s="1"/>
  <c r="AH50" i="96" s="1"/>
  <c r="AH51" i="96" s="1"/>
  <c r="AH52" i="96" s="1"/>
  <c r="AH53" i="96" s="1"/>
  <c r="AH54" i="96" s="1"/>
  <c r="AH55" i="96" s="1"/>
  <c r="AH56" i="96" s="1"/>
  <c r="AH57" i="96" s="1"/>
  <c r="AU48" i="96"/>
  <c r="CU48" i="96"/>
  <c r="CQ61" i="96"/>
  <c r="CP61" i="96" s="1"/>
  <c r="CT61" i="96" s="1"/>
  <c r="CP60" i="96"/>
  <c r="CT60" i="96" s="1"/>
  <c r="EW28" i="96"/>
  <c r="EM29" i="96"/>
  <c r="EX31" i="96"/>
  <c r="FA31" i="96" s="1"/>
  <c r="EP36" i="96"/>
  <c r="EM36" i="96"/>
  <c r="EL36" i="96"/>
  <c r="EK36" i="96"/>
  <c r="CT37" i="96"/>
  <c r="EX38" i="96"/>
  <c r="EW38" i="96"/>
  <c r="FM39" i="96" s="1"/>
  <c r="AV39" i="96"/>
  <c r="CY39" i="96"/>
  <c r="DN47" i="96"/>
  <c r="DN48" i="96" s="1"/>
  <c r="DN49" i="96" s="1"/>
  <c r="DN50" i="96" s="1"/>
  <c r="DN51" i="96" s="1"/>
  <c r="DN52" i="96" s="1"/>
  <c r="DN53" i="96" s="1"/>
  <c r="DN54" i="96" s="1"/>
  <c r="DN55" i="96" s="1"/>
  <c r="DN56" i="96" s="1"/>
  <c r="DN57" i="96" s="1"/>
  <c r="DN58" i="96" s="1"/>
  <c r="DN59" i="96" s="1"/>
  <c r="DN60" i="96" s="1"/>
  <c r="DN61" i="96" s="1"/>
  <c r="DN62" i="96" s="1"/>
  <c r="DN63" i="96" s="1"/>
  <c r="DN64" i="96" s="1"/>
  <c r="DN65" i="96" s="1"/>
  <c r="DN66" i="96" s="1"/>
  <c r="EM45" i="96"/>
  <c r="FL45" i="96" s="1"/>
  <c r="AT46" i="96"/>
  <c r="EN29" i="96"/>
  <c r="EY31" i="96"/>
  <c r="AY33" i="96"/>
  <c r="EO34" i="96"/>
  <c r="EN34" i="96"/>
  <c r="EK34" i="96"/>
  <c r="EN36" i="96"/>
  <c r="EY38" i="96"/>
  <c r="AW39" i="96"/>
  <c r="CY41" i="96"/>
  <c r="EP43" i="96"/>
  <c r="EN43" i="96"/>
  <c r="EM43" i="96"/>
  <c r="EL43" i="96"/>
  <c r="EK43" i="96"/>
  <c r="FB45" i="96"/>
  <c r="AY46" i="96"/>
  <c r="CU50" i="96"/>
  <c r="AY36" i="96"/>
  <c r="EY37" i="96"/>
  <c r="FB37" i="96" s="1"/>
  <c r="EX37" i="96"/>
  <c r="EW48" i="96"/>
  <c r="EY48" i="96"/>
  <c r="EX48" i="96"/>
  <c r="FA48" i="96" s="1"/>
  <c r="EP29" i="96"/>
  <c r="EW30" i="96"/>
  <c r="FM31" i="96" s="1"/>
  <c r="EN35" i="96"/>
  <c r="EM35" i="96"/>
  <c r="EK35" i="96"/>
  <c r="FB41" i="96"/>
  <c r="CY43" i="96"/>
  <c r="CY44" i="96"/>
  <c r="EW43" i="96"/>
  <c r="FM43" i="96" s="1"/>
  <c r="EX43" i="96"/>
  <c r="FA43" i="96" s="1"/>
  <c r="CU44" i="96"/>
  <c r="EZ46" i="96"/>
  <c r="FL46" i="96"/>
  <c r="CU47" i="96"/>
  <c r="CH47" i="96"/>
  <c r="CH48" i="96" s="1"/>
  <c r="CH49" i="96" s="1"/>
  <c r="CH50" i="96" s="1"/>
  <c r="CH51" i="96" s="1"/>
  <c r="CH52" i="96" s="1"/>
  <c r="CH53" i="96" s="1"/>
  <c r="CH54" i="96" s="1"/>
  <c r="CH55" i="96" s="1"/>
  <c r="CH56" i="96" s="1"/>
  <c r="CH57" i="96" s="1"/>
  <c r="AU53" i="96"/>
  <c r="EK37" i="96"/>
  <c r="EL41" i="96"/>
  <c r="EP41" i="96"/>
  <c r="EK41" i="96"/>
  <c r="FB42" i="96"/>
  <c r="AV46" i="96"/>
  <c r="CU53" i="96"/>
  <c r="AV54" i="96"/>
  <c r="EP33" i="96"/>
  <c r="EL37" i="96"/>
  <c r="CT40" i="96"/>
  <c r="CT43" i="96"/>
  <c r="EX49" i="96"/>
  <c r="AU55" i="96"/>
  <c r="CV56" i="96"/>
  <c r="AV57" i="96"/>
  <c r="EO44" i="96"/>
  <c r="EM44" i="96"/>
  <c r="EK44" i="96"/>
  <c r="CU51" i="96"/>
  <c r="AV52" i="96"/>
  <c r="CU54" i="96"/>
  <c r="AU56" i="96"/>
  <c r="EO42" i="96"/>
  <c r="EK46" i="96"/>
  <c r="FA51" i="96"/>
  <c r="FA52" i="96"/>
  <c r="CU55" i="96"/>
  <c r="CU57" i="96"/>
  <c r="FB59" i="96"/>
  <c r="EY57" i="96"/>
  <c r="FB57" i="96" s="1"/>
  <c r="EW57" i="96"/>
  <c r="EY55" i="96"/>
  <c r="EW50" i="96"/>
  <c r="EW51" i="96"/>
  <c r="EW52" i="96"/>
  <c r="EW53" i="96"/>
  <c r="EZ54" i="96" s="1"/>
  <c r="AP58" i="96"/>
  <c r="AT58" i="96" s="1"/>
  <c r="CP59" i="96"/>
  <c r="CT59" i="96" s="1"/>
  <c r="FI54" i="96"/>
  <c r="EW56" i="96"/>
  <c r="AQ59" i="96"/>
  <c r="AP59" i="96" s="1"/>
  <c r="AT59" i="96" s="1"/>
  <c r="FE58" i="96"/>
  <c r="FI58" i="96" s="1"/>
  <c r="FA62" i="96"/>
  <c r="FF60" i="96"/>
  <c r="FE60" i="96" s="1"/>
  <c r="EW58" i="96"/>
  <c r="FE59" i="96"/>
  <c r="FB63" i="96"/>
  <c r="CP58" i="96"/>
  <c r="CT58" i="96" s="1"/>
  <c r="EX58" i="96"/>
  <c r="FA58" i="96" s="1"/>
  <c r="FH59" i="96"/>
  <c r="FG59" i="96" s="1"/>
  <c r="FB60" i="96"/>
  <c r="FB61" i="96"/>
  <c r="FA65" i="96"/>
  <c r="EZ61" i="96"/>
  <c r="CU37" i="93"/>
  <c r="AT35" i="93"/>
  <c r="EY65" i="93"/>
  <c r="AU21" i="93"/>
  <c r="CW21" i="93"/>
  <c r="EY49" i="93"/>
  <c r="FB50" i="93" s="1"/>
  <c r="AV21" i="93"/>
  <c r="CX21" i="93"/>
  <c r="AY22" i="93"/>
  <c r="AU23" i="93"/>
  <c r="CW23" i="93"/>
  <c r="AY24" i="93"/>
  <c r="AU25" i="93"/>
  <c r="CW25" i="93"/>
  <c r="AY26" i="93"/>
  <c r="AU27" i="93"/>
  <c r="CW27" i="93"/>
  <c r="AY28" i="93"/>
  <c r="AU29" i="93"/>
  <c r="CW29" i="93"/>
  <c r="AY30" i="93"/>
  <c r="AU31" i="93"/>
  <c r="CW31" i="93"/>
  <c r="AY32" i="93"/>
  <c r="AU33" i="93"/>
  <c r="CW33" i="93"/>
  <c r="AY34" i="93"/>
  <c r="AU35" i="93"/>
  <c r="CW35" i="93"/>
  <c r="AY36" i="93"/>
  <c r="AU37" i="93"/>
  <c r="CW37" i="93"/>
  <c r="AY38" i="93"/>
  <c r="AU39" i="93"/>
  <c r="CW39" i="93"/>
  <c r="AY40" i="93"/>
  <c r="AU41" i="93"/>
  <c r="CW41" i="93"/>
  <c r="AY42" i="93"/>
  <c r="AU43" i="93"/>
  <c r="CW43" i="93"/>
  <c r="AY44" i="93"/>
  <c r="AU45" i="93"/>
  <c r="CW45" i="93"/>
  <c r="AW45" i="93"/>
  <c r="AM47" i="93"/>
  <c r="AI47" i="93"/>
  <c r="AJ47" i="93"/>
  <c r="CM47" i="93"/>
  <c r="BW47" i="93" s="1"/>
  <c r="CJ47" i="93"/>
  <c r="CT22" i="93"/>
  <c r="AV23" i="93"/>
  <c r="CX23" i="93"/>
  <c r="CT24" i="93"/>
  <c r="AV25" i="93"/>
  <c r="CX25" i="93"/>
  <c r="CT26" i="93"/>
  <c r="AV27" i="93"/>
  <c r="CX27" i="93"/>
  <c r="CT28" i="93"/>
  <c r="AV29" i="93"/>
  <c r="CX29" i="93"/>
  <c r="CT30" i="93"/>
  <c r="AV31" i="93"/>
  <c r="CX31" i="93"/>
  <c r="CT32" i="93"/>
  <c r="AV33" i="93"/>
  <c r="CX33" i="93"/>
  <c r="CT34" i="93"/>
  <c r="AV35" i="93"/>
  <c r="CX35" i="93"/>
  <c r="CT36" i="93"/>
  <c r="AV37" i="93"/>
  <c r="CX37" i="93"/>
  <c r="CT38" i="93"/>
  <c r="AV39" i="93"/>
  <c r="CX39" i="93"/>
  <c r="CT40" i="93"/>
  <c r="CX41" i="93"/>
  <c r="CT42" i="93"/>
  <c r="AV43" i="93"/>
  <c r="CX43" i="93"/>
  <c r="CT44" i="93"/>
  <c r="AV45" i="93"/>
  <c r="CX45" i="93"/>
  <c r="AW21" i="93"/>
  <c r="CY21" i="93"/>
  <c r="CU24" i="93"/>
  <c r="AW25" i="93"/>
  <c r="CY25" i="93"/>
  <c r="CU26" i="93"/>
  <c r="AW27" i="93"/>
  <c r="CY27" i="93"/>
  <c r="CU28" i="93"/>
  <c r="AW29" i="93"/>
  <c r="CY29" i="93"/>
  <c r="CU30" i="93"/>
  <c r="AW31" i="93"/>
  <c r="CY31" i="93"/>
  <c r="CU32" i="93"/>
  <c r="AW33" i="93"/>
  <c r="CY33" i="93"/>
  <c r="CU34" i="93"/>
  <c r="AW35" i="93"/>
  <c r="CY35" i="93"/>
  <c r="CU36" i="93"/>
  <c r="AW37" i="93"/>
  <c r="CY37" i="93"/>
  <c r="CU38" i="93"/>
  <c r="AW41" i="93"/>
  <c r="AW43" i="93"/>
  <c r="CV28" i="93"/>
  <c r="AU24" i="93"/>
  <c r="CW26" i="93"/>
  <c r="AU28" i="93"/>
  <c r="AU32" i="93"/>
  <c r="CW32" i="93"/>
  <c r="AU36" i="93"/>
  <c r="AU40" i="93"/>
  <c r="AU44" i="93"/>
  <c r="CX30" i="93"/>
  <c r="CT39" i="93"/>
  <c r="CX42" i="93"/>
  <c r="CY34" i="93"/>
  <c r="EM17" i="93"/>
  <c r="AX22" i="93"/>
  <c r="AT23" i="93"/>
  <c r="CV23" i="93"/>
  <c r="AX24" i="93"/>
  <c r="AT25" i="93"/>
  <c r="CV25" i="93"/>
  <c r="AX26" i="93"/>
  <c r="AT27" i="93"/>
  <c r="CV27" i="93"/>
  <c r="AX28" i="93"/>
  <c r="AT29" i="93"/>
  <c r="CV29" i="93"/>
  <c r="AX30" i="93"/>
  <c r="AT31" i="93"/>
  <c r="CV31" i="93"/>
  <c r="AX32" i="93"/>
  <c r="AT33" i="93"/>
  <c r="CV33" i="93"/>
  <c r="AX34" i="93"/>
  <c r="CV35" i="93"/>
  <c r="AX36" i="93"/>
  <c r="AT37" i="93"/>
  <c r="CV37" i="93"/>
  <c r="AX38" i="93"/>
  <c r="AT39" i="93"/>
  <c r="CV39" i="93"/>
  <c r="AX40" i="93"/>
  <c r="AT41" i="93"/>
  <c r="CV41" i="93"/>
  <c r="AX42" i="93"/>
  <c r="AT43" i="93"/>
  <c r="CV43" i="93"/>
  <c r="AX44" i="93"/>
  <c r="AT45" i="93"/>
  <c r="CV45" i="93"/>
  <c r="CU22" i="93"/>
  <c r="AW23" i="93"/>
  <c r="CY23" i="93"/>
  <c r="AW39" i="93"/>
  <c r="CY39" i="93"/>
  <c r="CU40" i="93"/>
  <c r="CY41" i="93"/>
  <c r="CU42" i="93"/>
  <c r="CY43" i="93"/>
  <c r="CU44" i="93"/>
  <c r="CY45" i="93"/>
  <c r="CU46" i="93"/>
  <c r="CI47" i="93"/>
  <c r="BS47" i="93" s="1"/>
  <c r="ED47" i="93" s="1"/>
  <c r="AX21" i="93"/>
  <c r="AT22" i="93"/>
  <c r="CV22" i="93"/>
  <c r="AX23" i="93"/>
  <c r="AT24" i="93"/>
  <c r="CV24" i="93"/>
  <c r="AX25" i="93"/>
  <c r="AT26" i="93"/>
  <c r="CV26" i="93"/>
  <c r="AX27" i="93"/>
  <c r="AT28" i="93"/>
  <c r="AX29" i="93"/>
  <c r="AT30" i="93"/>
  <c r="CV30" i="93"/>
  <c r="AX31" i="93"/>
  <c r="AT32" i="93"/>
  <c r="CV32" i="93"/>
  <c r="AX33" i="93"/>
  <c r="AT34" i="93"/>
  <c r="CV34" i="93"/>
  <c r="AX35" i="93"/>
  <c r="AT36" i="93"/>
  <c r="CV36" i="93"/>
  <c r="AX37" i="93"/>
  <c r="AT38" i="93"/>
  <c r="CV38" i="93"/>
  <c r="AX39" i="93"/>
  <c r="AT40" i="93"/>
  <c r="CV40" i="93"/>
  <c r="AX41" i="93"/>
  <c r="AT42" i="93"/>
  <c r="CV42" i="93"/>
  <c r="AX43" i="93"/>
  <c r="AT44" i="93"/>
  <c r="CV44" i="93"/>
  <c r="AT46" i="93"/>
  <c r="AH47" i="93"/>
  <c r="CV46" i="93"/>
  <c r="CY46" i="93"/>
  <c r="CH47" i="93"/>
  <c r="CH48" i="93" s="1"/>
  <c r="CH49" i="93" s="1"/>
  <c r="CH50" i="93" s="1"/>
  <c r="CH51" i="93" s="1"/>
  <c r="CH52" i="93" s="1"/>
  <c r="CH53" i="93" s="1"/>
  <c r="CH54" i="93" s="1"/>
  <c r="CH55" i="93" s="1"/>
  <c r="CH56" i="93" s="1"/>
  <c r="CT46" i="93"/>
  <c r="AY21" i="93"/>
  <c r="AU22" i="93"/>
  <c r="CW22" i="93"/>
  <c r="AY23" i="93"/>
  <c r="CW24" i="93"/>
  <c r="AY25" i="93"/>
  <c r="AU26" i="93"/>
  <c r="AY27" i="93"/>
  <c r="CW28" i="93"/>
  <c r="AY29" i="93"/>
  <c r="AU30" i="93"/>
  <c r="CW30" i="93"/>
  <c r="AY31" i="93"/>
  <c r="AY33" i="93"/>
  <c r="AU34" i="93"/>
  <c r="CW34" i="93"/>
  <c r="AY35" i="93"/>
  <c r="CW36" i="93"/>
  <c r="AY37" i="93"/>
  <c r="AU38" i="93"/>
  <c r="CW38" i="93"/>
  <c r="AY39" i="93"/>
  <c r="CW40" i="93"/>
  <c r="AY41" i="93"/>
  <c r="CW42" i="93"/>
  <c r="AY43" i="93"/>
  <c r="CW44" i="93"/>
  <c r="AY45" i="93"/>
  <c r="CK47" i="93"/>
  <c r="BU47" i="93" s="1"/>
  <c r="EF47" i="93" s="1"/>
  <c r="CW46" i="93"/>
  <c r="FI54" i="93"/>
  <c r="FI48" i="93"/>
  <c r="CT21" i="93"/>
  <c r="AV22" i="93"/>
  <c r="CX22" i="93"/>
  <c r="CT23" i="93"/>
  <c r="AV24" i="93"/>
  <c r="CX24" i="93"/>
  <c r="CT25" i="93"/>
  <c r="AV26" i="93"/>
  <c r="CX26" i="93"/>
  <c r="CT27" i="93"/>
  <c r="AV28" i="93"/>
  <c r="CX28" i="93"/>
  <c r="CT29" i="93"/>
  <c r="AV30" i="93"/>
  <c r="CT31" i="93"/>
  <c r="AV32" i="93"/>
  <c r="CX32" i="93"/>
  <c r="CT33" i="93"/>
  <c r="AV34" i="93"/>
  <c r="CX34" i="93"/>
  <c r="CT35" i="93"/>
  <c r="AV36" i="93"/>
  <c r="CX36" i="93"/>
  <c r="CT37" i="93"/>
  <c r="AV38" i="93"/>
  <c r="CX38" i="93"/>
  <c r="AV40" i="93"/>
  <c r="CX40" i="93"/>
  <c r="CT41" i="93"/>
  <c r="AV42" i="93"/>
  <c r="CT43" i="93"/>
  <c r="AV44" i="93"/>
  <c r="CX44" i="93"/>
  <c r="CT45" i="93"/>
  <c r="CL47" i="93"/>
  <c r="CX46" i="93"/>
  <c r="AY46" i="93"/>
  <c r="CU21" i="93"/>
  <c r="AW22" i="93"/>
  <c r="CY22" i="93"/>
  <c r="CU23" i="93"/>
  <c r="AW24" i="93"/>
  <c r="CY24" i="93"/>
  <c r="CU25" i="93"/>
  <c r="AW26" i="93"/>
  <c r="CY26" i="93"/>
  <c r="CU27" i="93"/>
  <c r="AW28" i="93"/>
  <c r="CY28" i="93"/>
  <c r="CU29" i="93"/>
  <c r="AW30" i="93"/>
  <c r="CY30" i="93"/>
  <c r="CU31" i="93"/>
  <c r="AW32" i="93"/>
  <c r="CY32" i="93"/>
  <c r="CU33" i="93"/>
  <c r="AW34" i="93"/>
  <c r="CU35" i="93"/>
  <c r="AW36" i="93"/>
  <c r="CY36" i="93"/>
  <c r="AW38" i="93"/>
  <c r="CY38" i="93"/>
  <c r="CU39" i="93"/>
  <c r="AW40" i="93"/>
  <c r="CY40" i="93"/>
  <c r="CU41" i="93"/>
  <c r="AW42" i="93"/>
  <c r="CY42" i="93"/>
  <c r="CU43" i="93"/>
  <c r="AW44" i="93"/>
  <c r="CY44" i="93"/>
  <c r="CU45" i="93"/>
  <c r="AK47" i="93"/>
  <c r="AW46" i="93"/>
  <c r="AV46" i="93"/>
  <c r="AT21" i="93"/>
  <c r="CV21" i="93"/>
  <c r="AL47" i="93"/>
  <c r="AX46" i="93"/>
  <c r="AU46" i="93"/>
  <c r="AU42" i="93"/>
  <c r="AX45" i="93"/>
  <c r="EH47" i="93"/>
  <c r="AQ58" i="93"/>
  <c r="AP58" i="93" s="1"/>
  <c r="AT58" i="93" s="1"/>
  <c r="AU58" i="93" s="1"/>
  <c r="AV58" i="93" s="1"/>
  <c r="AW58" i="93" s="1"/>
  <c r="AX58" i="93" s="1"/>
  <c r="AY58" i="93" s="1"/>
  <c r="CL19" i="93"/>
  <c r="AP56" i="93"/>
  <c r="EY58" i="93"/>
  <c r="AP57" i="93"/>
  <c r="EX56" i="93"/>
  <c r="FA57" i="93" s="1"/>
  <c r="EX51" i="93"/>
  <c r="FA52" i="93" s="1"/>
  <c r="EW51" i="93"/>
  <c r="FF59" i="93"/>
  <c r="FE59" i="93" s="1"/>
  <c r="EY64" i="93"/>
  <c r="EY48" i="93"/>
  <c r="CQ58" i="93"/>
  <c r="CQ59" i="93" s="1"/>
  <c r="CQ60" i="93" s="1"/>
  <c r="CQ61" i="93" s="1"/>
  <c r="CQ62" i="93" s="1"/>
  <c r="CQ63" i="93" s="1"/>
  <c r="EX64" i="93"/>
  <c r="FA64" i="93" s="1"/>
  <c r="EW48" i="93"/>
  <c r="EY56" i="93"/>
  <c r="EY47" i="93"/>
  <c r="FB47" i="93" s="1"/>
  <c r="EW47" i="93"/>
  <c r="EY59" i="93"/>
  <c r="FI47" i="93"/>
  <c r="EY57" i="93"/>
  <c r="EX49" i="93"/>
  <c r="FA49" i="93" s="1"/>
  <c r="FI57" i="93"/>
  <c r="FI49" i="93"/>
  <c r="FH59" i="93"/>
  <c r="FG59" i="93" s="1"/>
  <c r="EW57" i="93"/>
  <c r="EW52" i="93"/>
  <c r="EZ53" i="93" s="1"/>
  <c r="EY66" i="93"/>
  <c r="FB66" i="93" s="1"/>
  <c r="FI52" i="93"/>
  <c r="FI51" i="93"/>
  <c r="FI53" i="93"/>
  <c r="FI55" i="93"/>
  <c r="EW63" i="93"/>
  <c r="EZ64" i="93" s="1"/>
  <c r="FI56" i="93"/>
  <c r="EY60" i="93"/>
  <c r="EX60" i="93"/>
  <c r="EY52" i="93"/>
  <c r="FB52" i="93" s="1"/>
  <c r="FI50" i="93"/>
  <c r="EZ61" i="93"/>
  <c r="EX65" i="93"/>
  <c r="EY55" i="93"/>
  <c r="EX50" i="93"/>
  <c r="EX55" i="93"/>
  <c r="EW50" i="93"/>
  <c r="FB51" i="93"/>
  <c r="EY54" i="93"/>
  <c r="EY63" i="93"/>
  <c r="EZ62" i="93"/>
  <c r="EZ54" i="93"/>
  <c r="EZ59" i="93"/>
  <c r="EZ66" i="93"/>
  <c r="EZ65" i="93"/>
  <c r="EZ55" i="93"/>
  <c r="EY62" i="93"/>
  <c r="EX54" i="93"/>
  <c r="EX66" i="93"/>
  <c r="EX62" i="93"/>
  <c r="EX58" i="93"/>
  <c r="FA58" i="93" s="1"/>
  <c r="EY53" i="93"/>
  <c r="EY61" i="93"/>
  <c r="EX59" i="93"/>
  <c r="EX53" i="93"/>
  <c r="FA53" i="93" s="1"/>
  <c r="EX61" i="93"/>
  <c r="FA48" i="93"/>
  <c r="EZ60" i="93"/>
  <c r="EZ56" i="93"/>
  <c r="AM11" i="93"/>
  <c r="CI11" i="93"/>
  <c r="DJ47" i="93"/>
  <c r="DJ48" i="93" s="1"/>
  <c r="DJ49" i="93" s="1"/>
  <c r="DJ50" i="93" s="1"/>
  <c r="DJ51" i="93" s="1"/>
  <c r="DJ52" i="93" s="1"/>
  <c r="DJ53" i="93" s="1"/>
  <c r="DJ54" i="93" s="1"/>
  <c r="DJ55" i="93" s="1"/>
  <c r="DJ56" i="93" s="1"/>
  <c r="DJ57" i="93" s="1"/>
  <c r="DJ58" i="93" s="1"/>
  <c r="DJ59" i="93" s="1"/>
  <c r="DJ60" i="93" s="1"/>
  <c r="DJ61" i="93" s="1"/>
  <c r="DJ62" i="93" s="1"/>
  <c r="DJ63" i="93" s="1"/>
  <c r="DJ64" i="93" s="1"/>
  <c r="DJ65" i="93" s="1"/>
  <c r="DJ66" i="93" s="1"/>
  <c r="EP15" i="93"/>
  <c r="DK47" i="93"/>
  <c r="DK48" i="93" s="1"/>
  <c r="DM47" i="93"/>
  <c r="DM48" i="93" s="1"/>
  <c r="AK7" i="93"/>
  <c r="CM13" i="93"/>
  <c r="AI15" i="93"/>
  <c r="EL6" i="93"/>
  <c r="AK8" i="93"/>
  <c r="CL9" i="93"/>
  <c r="AL17" i="93"/>
  <c r="CH17" i="93"/>
  <c r="AL19" i="93"/>
  <c r="CH8" i="93"/>
  <c r="CJ10" i="93"/>
  <c r="CI13" i="93"/>
  <c r="AI14" i="93"/>
  <c r="AM17" i="93"/>
  <c r="DN47" i="93"/>
  <c r="DN48" i="93" s="1"/>
  <c r="DN49" i="93" s="1"/>
  <c r="DN50" i="93" s="1"/>
  <c r="DN51" i="93" s="1"/>
  <c r="DN52" i="93" s="1"/>
  <c r="DN53" i="93" s="1"/>
  <c r="DN54" i="93" s="1"/>
  <c r="DN55" i="93" s="1"/>
  <c r="DN56" i="93" s="1"/>
  <c r="DN57" i="93" s="1"/>
  <c r="DN58" i="93" s="1"/>
  <c r="DN59" i="93" s="1"/>
  <c r="DN60" i="93" s="1"/>
  <c r="DN61" i="93" s="1"/>
  <c r="DN62" i="93" s="1"/>
  <c r="DN63" i="93" s="1"/>
  <c r="DN64" i="93" s="1"/>
  <c r="DN65" i="93" s="1"/>
  <c r="DN66" i="93" s="1"/>
  <c r="EP9" i="93"/>
  <c r="AM8" i="93"/>
  <c r="EM9" i="93"/>
  <c r="AL11" i="93"/>
  <c r="AJ16" i="93"/>
  <c r="EX25" i="93"/>
  <c r="FA25" i="93" s="1"/>
  <c r="AL9" i="93"/>
  <c r="CK17" i="93"/>
  <c r="EY13" i="93"/>
  <c r="AJ9" i="93"/>
  <c r="AH6" i="93"/>
  <c r="CL6" i="93"/>
  <c r="EE10" i="93"/>
  <c r="EW15" i="93"/>
  <c r="EZ15" i="93" s="1"/>
  <c r="CM17" i="93"/>
  <c r="AJ19" i="93"/>
  <c r="EW21" i="93"/>
  <c r="EW31" i="93"/>
  <c r="CM8" i="93"/>
  <c r="AK10" i="93"/>
  <c r="EN14" i="93"/>
  <c r="EX21" i="93"/>
  <c r="FA22" i="93" s="1"/>
  <c r="EX31" i="93"/>
  <c r="EM46" i="93"/>
  <c r="EX12" i="93"/>
  <c r="FA13" i="93" s="1"/>
  <c r="AK14" i="93"/>
  <c r="AJ17" i="93"/>
  <c r="EM33" i="93"/>
  <c r="DD7" i="93"/>
  <c r="DL7" i="93" s="1"/>
  <c r="EX19" i="93"/>
  <c r="FA20" i="93" s="1"/>
  <c r="DF14" i="93"/>
  <c r="DN14" i="93" s="1"/>
  <c r="CJ17" i="93"/>
  <c r="EX29" i="93"/>
  <c r="EL40" i="93"/>
  <c r="DG7" i="93"/>
  <c r="DO7" i="93" s="1"/>
  <c r="EW13" i="93"/>
  <c r="FM14" i="93" s="1"/>
  <c r="EY22" i="93"/>
  <c r="FB22" i="93" s="1"/>
  <c r="EY29" i="93"/>
  <c r="CM9" i="93"/>
  <c r="EX10" i="93"/>
  <c r="FA10" i="93" s="1"/>
  <c r="EY12" i="93"/>
  <c r="EX14" i="93"/>
  <c r="FA14" i="93" s="1"/>
  <c r="EN17" i="93"/>
  <c r="DC19" i="93"/>
  <c r="DK19" i="93" s="1"/>
  <c r="DE20" i="93"/>
  <c r="DM20" i="93" s="1"/>
  <c r="EW45" i="93"/>
  <c r="EN10" i="93"/>
  <c r="EY10" i="93"/>
  <c r="DD13" i="93"/>
  <c r="DL13" i="93" s="1"/>
  <c r="CJ13" i="93"/>
  <c r="DB14" i="93"/>
  <c r="DJ14" i="93" s="1"/>
  <c r="EY14" i="93"/>
  <c r="EW19" i="93"/>
  <c r="EK24" i="93"/>
  <c r="EK36" i="93"/>
  <c r="EX45" i="93"/>
  <c r="DF10" i="93"/>
  <c r="DN10" i="93" s="1"/>
  <c r="EM11" i="93"/>
  <c r="EN43" i="93"/>
  <c r="CL15" i="93"/>
  <c r="EX15" i="93"/>
  <c r="EG19" i="93"/>
  <c r="EW20" i="93"/>
  <c r="EK27" i="93"/>
  <c r="EW36" i="93"/>
  <c r="FM37" i="93" s="1"/>
  <c r="EL46" i="93"/>
  <c r="EG9" i="93"/>
  <c r="ED11" i="93"/>
  <c r="CM14" i="93"/>
  <c r="AH15" i="93"/>
  <c r="AL18" i="93"/>
  <c r="EY20" i="93"/>
  <c r="EX26" i="93"/>
  <c r="FA27" i="93" s="1"/>
  <c r="EL27" i="93"/>
  <c r="EK29" i="93"/>
  <c r="EX36" i="93"/>
  <c r="CH12" i="93"/>
  <c r="EX17" i="93"/>
  <c r="FA18" i="93" s="1"/>
  <c r="EW25" i="93"/>
  <c r="FM26" i="93" s="1"/>
  <c r="EY26" i="93"/>
  <c r="FB26" i="93" s="1"/>
  <c r="EX34" i="93"/>
  <c r="EX37" i="93"/>
  <c r="EK6" i="93"/>
  <c r="DB10" i="93"/>
  <c r="DJ10" i="93" s="1"/>
  <c r="EL16" i="93"/>
  <c r="EY17" i="93"/>
  <c r="EW33" i="93"/>
  <c r="EZ34" i="93" s="1"/>
  <c r="EY34" i="93"/>
  <c r="FB34" i="93" s="1"/>
  <c r="EY37" i="93"/>
  <c r="FB37" i="93" s="1"/>
  <c r="FB39" i="93"/>
  <c r="DC9" i="93"/>
  <c r="DK9" i="93" s="1"/>
  <c r="AL10" i="93"/>
  <c r="EC18" i="93"/>
  <c r="CH18" i="93"/>
  <c r="AL7" i="93"/>
  <c r="EP7" i="93"/>
  <c r="DD8" i="93"/>
  <c r="DL8" i="93" s="1"/>
  <c r="EY9" i="93"/>
  <c r="AM18" i="93"/>
  <c r="EP18" i="93"/>
  <c r="ED18" i="93"/>
  <c r="CI18" i="93"/>
  <c r="DB7" i="93"/>
  <c r="DJ7" i="93" s="1"/>
  <c r="CH7" i="93"/>
  <c r="EH8" i="93"/>
  <c r="AI9" i="93"/>
  <c r="AH10" i="93"/>
  <c r="DD10" i="93"/>
  <c r="DL10" i="93" s="1"/>
  <c r="AI12" i="93"/>
  <c r="EL12" i="93"/>
  <c r="DE12" i="93"/>
  <c r="DM12" i="93" s="1"/>
  <c r="DB18" i="93"/>
  <c r="DJ18" i="93" s="1"/>
  <c r="EX28" i="93"/>
  <c r="EY28" i="93"/>
  <c r="EY44" i="93"/>
  <c r="FB45" i="93" s="1"/>
  <c r="EX44" i="93"/>
  <c r="EW44" i="93"/>
  <c r="EZ44" i="93" s="1"/>
  <c r="CK12" i="93"/>
  <c r="EF12" i="93"/>
  <c r="CM6" i="93"/>
  <c r="EY6" i="93"/>
  <c r="CI7" i="93"/>
  <c r="EC7" i="93"/>
  <c r="DF9" i="93"/>
  <c r="DN9" i="93" s="1"/>
  <c r="EM10" i="93"/>
  <c r="EK11" i="93"/>
  <c r="EP11" i="93"/>
  <c r="EM12" i="93"/>
  <c r="DC13" i="93"/>
  <c r="DK13" i="93" s="1"/>
  <c r="CI16" i="93"/>
  <c r="CK18" i="93"/>
  <c r="AH13" i="93"/>
  <c r="DE11" i="93"/>
  <c r="DM11" i="93" s="1"/>
  <c r="EE16" i="93"/>
  <c r="CJ16" i="93"/>
  <c r="EM6" i="93"/>
  <c r="DF7" i="93"/>
  <c r="DN7" i="93" s="1"/>
  <c r="DE7" i="93"/>
  <c r="DM7" i="93" s="1"/>
  <c r="AJ8" i="93"/>
  <c r="DE9" i="93"/>
  <c r="DM9" i="93" s="1"/>
  <c r="DG10" i="93"/>
  <c r="DO10" i="93" s="1"/>
  <c r="CH10" i="93"/>
  <c r="EC15" i="93"/>
  <c r="CH15" i="93"/>
  <c r="DB16" i="93"/>
  <c r="DJ16" i="93" s="1"/>
  <c r="EN6" i="93"/>
  <c r="AJ7" i="93"/>
  <c r="EL7" i="93"/>
  <c r="DF8" i="93"/>
  <c r="DN8" i="93" s="1"/>
  <c r="AJ10" i="93"/>
  <c r="CM10" i="93"/>
  <c r="CY10" i="93" s="1"/>
  <c r="EN11" i="93"/>
  <c r="AK11" i="93"/>
  <c r="EY11" i="93"/>
  <c r="EX11" i="93"/>
  <c r="EW11" i="93"/>
  <c r="EZ11" i="93" s="1"/>
  <c r="CI12" i="93"/>
  <c r="CU12" i="93" s="1"/>
  <c r="ED12" i="93"/>
  <c r="AJ13" i="93"/>
  <c r="EF14" i="93"/>
  <c r="CK14" i="93"/>
  <c r="ED17" i="93"/>
  <c r="CI17" i="93"/>
  <c r="EK20" i="93"/>
  <c r="EP20" i="93"/>
  <c r="EL20" i="93"/>
  <c r="DG9" i="93"/>
  <c r="DO9" i="93" s="1"/>
  <c r="EL11" i="93"/>
  <c r="CJ11" i="93"/>
  <c r="AM7" i="93"/>
  <c r="EM7" i="93"/>
  <c r="AL8" i="93"/>
  <c r="EP8" i="93"/>
  <c r="DD9" i="93"/>
  <c r="DL9" i="93" s="1"/>
  <c r="EO9" i="93"/>
  <c r="EN9" i="93"/>
  <c r="AM10" i="93"/>
  <c r="CK10" i="93"/>
  <c r="AJ11" i="93"/>
  <c r="EO17" i="93"/>
  <c r="EP19" i="93"/>
  <c r="EO26" i="93"/>
  <c r="EL26" i="93"/>
  <c r="EK26" i="93"/>
  <c r="EP26" i="93"/>
  <c r="DF11" i="93"/>
  <c r="DN11" i="93" s="1"/>
  <c r="CL11" i="93"/>
  <c r="DD12" i="93"/>
  <c r="DL12" i="93" s="1"/>
  <c r="AI13" i="93"/>
  <c r="AU13" i="93" s="1"/>
  <c r="DE14" i="93"/>
  <c r="DM14" i="93" s="1"/>
  <c r="CH13" i="93"/>
  <c r="EH14" i="93"/>
  <c r="DC15" i="93"/>
  <c r="DK15" i="93" s="1"/>
  <c r="DF15" i="93"/>
  <c r="DN15" i="93" s="1"/>
  <c r="DB17" i="93"/>
  <c r="DJ17" i="93" s="1"/>
  <c r="DF19" i="93"/>
  <c r="DN19" i="93" s="1"/>
  <c r="EL24" i="93"/>
  <c r="EN36" i="93"/>
  <c r="EK42" i="93"/>
  <c r="EO43" i="93"/>
  <c r="EO46" i="93"/>
  <c r="EN24" i="93"/>
  <c r="EO36" i="93"/>
  <c r="EL42" i="93"/>
  <c r="EW42" i="93"/>
  <c r="EZ43" i="93" s="1"/>
  <c r="EP43" i="93"/>
  <c r="EP46" i="93"/>
  <c r="EM14" i="93"/>
  <c r="DE15" i="93"/>
  <c r="DM15" i="93" s="1"/>
  <c r="EM15" i="93"/>
  <c r="EK17" i="93"/>
  <c r="DE19" i="93"/>
  <c r="DM19" i="93" s="1"/>
  <c r="EO24" i="93"/>
  <c r="EL28" i="93"/>
  <c r="EN32" i="93"/>
  <c r="EK34" i="93"/>
  <c r="EN35" i="93"/>
  <c r="EP36" i="93"/>
  <c r="EL38" i="93"/>
  <c r="EK39" i="93"/>
  <c r="EX42" i="93"/>
  <c r="AK12" i="93"/>
  <c r="CL14" i="93"/>
  <c r="AJ15" i="93"/>
  <c r="AH16" i="93"/>
  <c r="AI17" i="93"/>
  <c r="DE17" i="93"/>
  <c r="DM17" i="93" s="1"/>
  <c r="EC17" i="93"/>
  <c r="EM19" i="93"/>
  <c r="CK19" i="93"/>
  <c r="CW20" i="93" s="1"/>
  <c r="EL19" i="93"/>
  <c r="EP24" i="93"/>
  <c r="EN28" i="93"/>
  <c r="EM30" i="93"/>
  <c r="EO32" i="93"/>
  <c r="EL34" i="93"/>
  <c r="EO35" i="93"/>
  <c r="EM38" i="93"/>
  <c r="EL39" i="93"/>
  <c r="FB40" i="93"/>
  <c r="EK44" i="93"/>
  <c r="AJ14" i="93"/>
  <c r="CM15" i="93"/>
  <c r="CK15" i="93"/>
  <c r="DE16" i="93"/>
  <c r="DM16" i="93" s="1"/>
  <c r="CM16" i="93"/>
  <c r="DC18" i="93"/>
  <c r="DK18" i="93" s="1"/>
  <c r="EN19" i="93"/>
  <c r="EW22" i="93"/>
  <c r="EK23" i="93"/>
  <c r="EO28" i="93"/>
  <c r="EK31" i="93"/>
  <c r="EP35" i="93"/>
  <c r="EO38" i="93"/>
  <c r="EN39" i="93"/>
  <c r="EW39" i="93"/>
  <c r="EK40" i="93"/>
  <c r="EN44" i="93"/>
  <c r="AJ12" i="93"/>
  <c r="AV12" i="93" s="1"/>
  <c r="CK16" i="93"/>
  <c r="CW16" i="93" s="1"/>
  <c r="EL18" i="93"/>
  <c r="AK19" i="93"/>
  <c r="EM23" i="93"/>
  <c r="EP28" i="93"/>
  <c r="EO31" i="93"/>
  <c r="EP38" i="93"/>
  <c r="EO39" i="93"/>
  <c r="EX39" i="93"/>
  <c r="EO44" i="93"/>
  <c r="FB46" i="93"/>
  <c r="EP23" i="93"/>
  <c r="EP31" i="93"/>
  <c r="EP39" i="93"/>
  <c r="EX41" i="93"/>
  <c r="EP44" i="93"/>
  <c r="AL6" i="93"/>
  <c r="EO6" i="93"/>
  <c r="CH6" i="93"/>
  <c r="CL7" i="93"/>
  <c r="CX7" i="93" s="1"/>
  <c r="EO7" i="93"/>
  <c r="CJ8" i="93"/>
  <c r="EC8" i="93"/>
  <c r="EM8" i="93"/>
  <c r="DE10" i="93"/>
  <c r="DM10" i="93" s="1"/>
  <c r="CK11" i="93"/>
  <c r="DC11" i="93"/>
  <c r="DK11" i="93" s="1"/>
  <c r="EH12" i="93"/>
  <c r="CM12" i="93"/>
  <c r="EG13" i="93"/>
  <c r="CL13" i="93"/>
  <c r="EP6" i="93"/>
  <c r="AI6" i="93"/>
  <c r="CK6" i="93"/>
  <c r="AH7" i="93"/>
  <c r="EK7" i="93"/>
  <c r="CM7" i="93"/>
  <c r="CY7" i="93" s="1"/>
  <c r="DC7" i="93"/>
  <c r="DK7" i="93" s="1"/>
  <c r="AH8" i="93"/>
  <c r="CK8" i="93"/>
  <c r="EN8" i="93"/>
  <c r="DB9" i="93"/>
  <c r="DJ9" i="93" s="1"/>
  <c r="AK9" i="93"/>
  <c r="CI10" i="93"/>
  <c r="CL10" i="93"/>
  <c r="DG11" i="93"/>
  <c r="DO11" i="93" s="1"/>
  <c r="CJ12" i="93"/>
  <c r="DB12" i="93"/>
  <c r="DJ12" i="93" s="1"/>
  <c r="EO13" i="93"/>
  <c r="AL13" i="93"/>
  <c r="ED6" i="93"/>
  <c r="CI6" i="93"/>
  <c r="EE6" i="93"/>
  <c r="CJ6" i="93"/>
  <c r="EG6" i="93"/>
  <c r="AI8" i="93"/>
  <c r="CI9" i="93"/>
  <c r="AK6" i="93"/>
  <c r="AJ6" i="93"/>
  <c r="AI7" i="93"/>
  <c r="CL8" i="93"/>
  <c r="DB8" i="93"/>
  <c r="DJ8" i="93" s="1"/>
  <c r="EO8" i="93"/>
  <c r="EK10" i="93"/>
  <c r="DF12" i="93"/>
  <c r="DN12" i="93" s="1"/>
  <c r="AM6" i="93"/>
  <c r="DC8" i="93"/>
  <c r="DK8" i="93" s="1"/>
  <c r="EK9" i="93"/>
  <c r="AH9" i="93"/>
  <c r="AM9" i="93"/>
  <c r="AY9" i="93" s="1"/>
  <c r="CK9" i="93"/>
  <c r="EO10" i="93"/>
  <c r="EL10" i="93"/>
  <c r="AI11" i="93"/>
  <c r="DG12" i="93"/>
  <c r="DO12" i="93" s="1"/>
  <c r="DB13" i="93"/>
  <c r="DJ13" i="93" s="1"/>
  <c r="DG8" i="93"/>
  <c r="DO8" i="93" s="1"/>
  <c r="EL9" i="93"/>
  <c r="EO12" i="93"/>
  <c r="AL12" i="93"/>
  <c r="AH12" i="93"/>
  <c r="DC14" i="93"/>
  <c r="DK14" i="93" s="1"/>
  <c r="EE7" i="93"/>
  <c r="CJ7" i="93"/>
  <c r="EX7" i="93"/>
  <c r="FA7" i="93" s="1"/>
  <c r="EY7" i="93"/>
  <c r="ED8" i="93"/>
  <c r="CI8" i="93"/>
  <c r="DE8" i="93"/>
  <c r="DM8" i="93" s="1"/>
  <c r="EG10" i="93"/>
  <c r="AH11" i="93"/>
  <c r="EP12" i="93"/>
  <c r="AM12" i="93"/>
  <c r="EW7" i="93"/>
  <c r="EK8" i="93"/>
  <c r="EC9" i="93"/>
  <c r="CH9" i="93"/>
  <c r="CJ9" i="93"/>
  <c r="AI10" i="93"/>
  <c r="CK7" i="93"/>
  <c r="ED7" i="93"/>
  <c r="EN7" i="93"/>
  <c r="EL8" i="93"/>
  <c r="EY8" i="93"/>
  <c r="EW8" i="93"/>
  <c r="EX8" i="93"/>
  <c r="DD11" i="93"/>
  <c r="DL11" i="93" s="1"/>
  <c r="CM11" i="93"/>
  <c r="CY11" i="93" s="1"/>
  <c r="DB11" i="93"/>
  <c r="DJ11" i="93" s="1"/>
  <c r="EH11" i="93"/>
  <c r="DC12" i="93"/>
  <c r="DK12" i="93" s="1"/>
  <c r="EG12" i="93"/>
  <c r="CL12" i="93"/>
  <c r="EF13" i="93"/>
  <c r="CK13" i="93"/>
  <c r="CW13" i="93" s="1"/>
  <c r="DC10" i="93"/>
  <c r="DK10" i="93" s="1"/>
  <c r="CH11" i="93"/>
  <c r="EN13" i="93"/>
  <c r="AK13" i="93"/>
  <c r="DG13" i="93"/>
  <c r="DO13" i="93" s="1"/>
  <c r="EW6" i="93"/>
  <c r="EW9" i="93"/>
  <c r="EH13" i="93"/>
  <c r="EL13" i="93"/>
  <c r="FK13" i="93" s="1"/>
  <c r="CJ14" i="93"/>
  <c r="EE14" i="93"/>
  <c r="EL14" i="93"/>
  <c r="AL15" i="93"/>
  <c r="CJ15" i="93"/>
  <c r="EP16" i="93"/>
  <c r="AM16" i="93"/>
  <c r="CH16" i="93"/>
  <c r="EC16" i="93"/>
  <c r="AH17" i="93"/>
  <c r="AT17" i="93" s="1"/>
  <c r="DD17" i="93"/>
  <c r="DL17" i="93" s="1"/>
  <c r="AI18" i="93"/>
  <c r="DE18" i="93"/>
  <c r="DM18" i="93" s="1"/>
  <c r="DG18" i="93"/>
  <c r="DO18" i="93" s="1"/>
  <c r="EN18" i="93"/>
  <c r="EY18" i="93"/>
  <c r="EO19" i="93"/>
  <c r="AH19" i="93"/>
  <c r="EN23" i="93"/>
  <c r="EP10" i="93"/>
  <c r="EO11" i="93"/>
  <c r="EN12" i="93"/>
  <c r="EM13" i="93"/>
  <c r="DG14" i="93"/>
  <c r="DO14" i="93" s="1"/>
  <c r="DD14" i="93"/>
  <c r="DL14" i="93" s="1"/>
  <c r="EK15" i="93"/>
  <c r="DD15" i="93"/>
  <c r="DL15" i="93" s="1"/>
  <c r="EE15" i="93"/>
  <c r="EL15" i="93"/>
  <c r="AK16" i="93"/>
  <c r="EN16" i="93"/>
  <c r="EP17" i="93"/>
  <c r="AJ18" i="93"/>
  <c r="EM18" i="93"/>
  <c r="DF18" i="93"/>
  <c r="DN18" i="93" s="1"/>
  <c r="EO18" i="93"/>
  <c r="CJ19" i="93"/>
  <c r="EO23" i="93"/>
  <c r="AM13" i="93"/>
  <c r="DE13" i="93"/>
  <c r="DM13" i="93" s="1"/>
  <c r="AH14" i="93"/>
  <c r="CH14" i="93"/>
  <c r="AL16" i="93"/>
  <c r="DC16" i="93"/>
  <c r="DK16" i="93" s="1"/>
  <c r="CJ18" i="93"/>
  <c r="EE18" i="93"/>
  <c r="DB19" i="93"/>
  <c r="DJ19" i="93" s="1"/>
  <c r="EK19" i="93"/>
  <c r="DF13" i="93"/>
  <c r="DN13" i="93" s="1"/>
  <c r="EP14" i="93"/>
  <c r="CI14" i="93"/>
  <c r="EO14" i="93"/>
  <c r="CI15" i="93"/>
  <c r="DG15" i="93"/>
  <c r="DO15" i="93" s="1"/>
  <c r="EH15" i="93"/>
  <c r="EO15" i="93"/>
  <c r="DD16" i="93"/>
  <c r="DL16" i="93" s="1"/>
  <c r="EH16" i="93"/>
  <c r="EE17" i="93"/>
  <c r="AK18" i="93"/>
  <c r="AI19" i="93"/>
  <c r="DC20" i="93"/>
  <c r="DK20" i="93" s="1"/>
  <c r="CI19" i="93"/>
  <c r="CU19" i="93" s="1"/>
  <c r="EO20" i="93"/>
  <c r="EN20" i="93"/>
  <c r="EM20" i="93"/>
  <c r="EM21" i="93"/>
  <c r="EK22" i="93"/>
  <c r="ED13" i="93"/>
  <c r="EP13" i="93"/>
  <c r="EN15" i="93"/>
  <c r="DF16" i="93"/>
  <c r="DN16" i="93" s="1"/>
  <c r="EG17" i="93"/>
  <c r="CL17" i="93"/>
  <c r="EG18" i="93"/>
  <c r="CL18" i="93"/>
  <c r="DD19" i="93"/>
  <c r="DL19" i="93" s="1"/>
  <c r="DD20" i="93"/>
  <c r="DL20" i="93" s="1"/>
  <c r="CM19" i="93"/>
  <c r="EH19" i="93"/>
  <c r="EM16" i="93"/>
  <c r="DG16" i="93"/>
  <c r="DO16" i="93" s="1"/>
  <c r="EL17" i="93"/>
  <c r="AK17" i="93"/>
  <c r="EH17" i="93"/>
  <c r="EL21" i="93"/>
  <c r="EK21" i="93"/>
  <c r="EO21" i="93"/>
  <c r="EO22" i="93"/>
  <c r="EL22" i="93"/>
  <c r="EN22" i="93"/>
  <c r="EK14" i="93"/>
  <c r="AL14" i="93"/>
  <c r="AM15" i="93"/>
  <c r="EX16" i="93"/>
  <c r="EW16" i="93"/>
  <c r="DF17" i="93"/>
  <c r="DN17" i="93" s="1"/>
  <c r="CM18" i="93"/>
  <c r="EW18" i="93"/>
  <c r="EP21" i="93"/>
  <c r="EP22" i="93"/>
  <c r="EW23" i="93"/>
  <c r="AM14" i="93"/>
  <c r="AY14" i="93" s="1"/>
  <c r="DB15" i="93"/>
  <c r="DJ15" i="93" s="1"/>
  <c r="AK15" i="93"/>
  <c r="AI16" i="93"/>
  <c r="AU16" i="93" s="1"/>
  <c r="CL16" i="93"/>
  <c r="EK16" i="93"/>
  <c r="EY16" i="93"/>
  <c r="FB16" i="93" s="1"/>
  <c r="DG17" i="93"/>
  <c r="DO17" i="93" s="1"/>
  <c r="DC17" i="93"/>
  <c r="DK17" i="93" s="1"/>
  <c r="EK18" i="93"/>
  <c r="AH18" i="93"/>
  <c r="DD18" i="93"/>
  <c r="DL18" i="93" s="1"/>
  <c r="EC19" i="93"/>
  <c r="CH19" i="93"/>
  <c r="DG19" i="93"/>
  <c r="DO19" i="93" s="1"/>
  <c r="EX23" i="93"/>
  <c r="FA23" i="93" s="1"/>
  <c r="EW24" i="93"/>
  <c r="EY24" i="93"/>
  <c r="FB24" i="93" s="1"/>
  <c r="EL25" i="93"/>
  <c r="EK25" i="93"/>
  <c r="EP25" i="93"/>
  <c r="EN25" i="93"/>
  <c r="EM25" i="93"/>
  <c r="EO16" i="93"/>
  <c r="EW32" i="93"/>
  <c r="EY32" i="93"/>
  <c r="FB32" i="93" s="1"/>
  <c r="EX32" i="93"/>
  <c r="AM19" i="93"/>
  <c r="AY19" i="93" s="1"/>
  <c r="EP30" i="93"/>
  <c r="EL30" i="93"/>
  <c r="EK30" i="93"/>
  <c r="EO30" i="93"/>
  <c r="EL33" i="93"/>
  <c r="EK33" i="93"/>
  <c r="EP33" i="93"/>
  <c r="EO33" i="93"/>
  <c r="FL35" i="93"/>
  <c r="EZ35" i="93"/>
  <c r="EM27" i="93"/>
  <c r="EY27" i="93"/>
  <c r="EW27" i="93"/>
  <c r="EP29" i="93"/>
  <c r="EO29" i="93"/>
  <c r="EN29" i="93"/>
  <c r="EM29" i="93"/>
  <c r="EW30" i="93"/>
  <c r="FM30" i="93" s="1"/>
  <c r="EY30" i="93"/>
  <c r="EX30" i="93"/>
  <c r="EX33" i="93"/>
  <c r="EN27" i="93"/>
  <c r="EW28" i="93"/>
  <c r="EP37" i="93"/>
  <c r="EO37" i="93"/>
  <c r="EN37" i="93"/>
  <c r="EL37" i="93"/>
  <c r="EK37" i="93"/>
  <c r="EO27" i="93"/>
  <c r="FB42" i="93"/>
  <c r="FB41" i="93"/>
  <c r="EM26" i="93"/>
  <c r="EK28" i="93"/>
  <c r="EL31" i="93"/>
  <c r="EO34" i="93"/>
  <c r="EN34" i="93"/>
  <c r="EM34" i="93"/>
  <c r="EN38" i="93"/>
  <c r="EW38" i="93"/>
  <c r="EN40" i="93"/>
  <c r="EO42" i="93"/>
  <c r="EN42" i="93"/>
  <c r="EM42" i="93"/>
  <c r="EN46" i="93"/>
  <c r="EW46" i="93"/>
  <c r="FK46" i="93" s="1"/>
  <c r="EM31" i="93"/>
  <c r="EK32" i="93"/>
  <c r="FM35" i="93"/>
  <c r="EK35" i="93"/>
  <c r="EX38" i="93"/>
  <c r="EO40" i="93"/>
  <c r="EK43" i="93"/>
  <c r="EX46" i="93"/>
  <c r="FA47" i="93" s="1"/>
  <c r="EL32" i="93"/>
  <c r="EL35" i="93"/>
  <c r="EL43" i="93"/>
  <c r="EM32" i="93"/>
  <c r="EY35" i="93"/>
  <c r="EX35" i="93"/>
  <c r="EY43" i="93"/>
  <c r="FB43" i="93" s="1"/>
  <c r="EX43" i="93"/>
  <c r="EM41" i="93"/>
  <c r="EK45" i="93"/>
  <c r="EW41" i="93"/>
  <c r="EL41" i="93"/>
  <c r="EK41" i="93"/>
  <c r="EO41" i="93"/>
  <c r="EP45" i="93"/>
  <c r="EO45" i="93"/>
  <c r="EM45" i="93"/>
  <c r="EM40" i="93"/>
  <c r="EX40" i="93"/>
  <c r="EW40" i="93"/>
  <c r="EP41" i="93"/>
  <c r="EN45" i="93"/>
  <c r="EL36" i="93"/>
  <c r="EL44" i="93"/>
  <c r="BA26" i="92"/>
  <c r="BG26" i="92"/>
  <c r="AG4" i="19"/>
  <c r="M98" i="54"/>
  <c r="K98" i="54"/>
  <c r="I98" i="54"/>
  <c r="G98" i="54"/>
  <c r="E98" i="54"/>
  <c r="C98" i="54"/>
  <c r="M87" i="54"/>
  <c r="K87" i="54"/>
  <c r="I87" i="54"/>
  <c r="G87" i="54"/>
  <c r="E87" i="54"/>
  <c r="C87" i="54"/>
  <c r="M76" i="54"/>
  <c r="K76" i="54"/>
  <c r="I76" i="54"/>
  <c r="G76" i="54"/>
  <c r="E76" i="54"/>
  <c r="C76" i="54"/>
  <c r="M66" i="54"/>
  <c r="K66" i="54"/>
  <c r="I66" i="54"/>
  <c r="G66" i="54"/>
  <c r="E66" i="54"/>
  <c r="C66" i="54"/>
  <c r="M55" i="54"/>
  <c r="K55" i="54"/>
  <c r="I55" i="54"/>
  <c r="G55" i="54"/>
  <c r="E55" i="54"/>
  <c r="C55" i="54"/>
  <c r="M44" i="54"/>
  <c r="K44" i="54"/>
  <c r="I44" i="54"/>
  <c r="G44" i="54"/>
  <c r="E44" i="54"/>
  <c r="C44" i="54"/>
  <c r="M32" i="54"/>
  <c r="K32" i="54"/>
  <c r="I32" i="54"/>
  <c r="G32" i="54"/>
  <c r="E32" i="54"/>
  <c r="C32" i="54"/>
  <c r="M21" i="54"/>
  <c r="K21" i="54"/>
  <c r="I21" i="54"/>
  <c r="G21" i="54"/>
  <c r="E21" i="54"/>
  <c r="C21" i="54"/>
  <c r="GA14" i="28"/>
  <c r="GA15" i="28"/>
  <c r="GA16" i="28"/>
  <c r="GA17" i="28"/>
  <c r="GA18" i="28"/>
  <c r="GA19" i="28"/>
  <c r="GA20" i="28"/>
  <c r="GA21" i="28"/>
  <c r="GA22" i="28"/>
  <c r="GA23" i="28"/>
  <c r="GA24" i="28"/>
  <c r="GA25" i="28"/>
  <c r="GA26" i="28"/>
  <c r="GA27" i="28"/>
  <c r="GA28" i="28"/>
  <c r="GA29" i="28"/>
  <c r="GA30" i="28"/>
  <c r="GA31" i="28"/>
  <c r="GA32" i="28"/>
  <c r="GA33" i="28"/>
  <c r="GA34" i="28"/>
  <c r="GA35" i="28"/>
  <c r="GA36" i="28"/>
  <c r="GA37" i="28"/>
  <c r="GA38" i="28"/>
  <c r="GA39" i="28"/>
  <c r="GA40" i="28"/>
  <c r="GA41" i="28"/>
  <c r="GA42" i="28"/>
  <c r="GA43" i="28"/>
  <c r="GA44" i="28"/>
  <c r="GA45" i="28"/>
  <c r="GA46" i="28"/>
  <c r="GA13" i="28"/>
  <c r="FM46" i="28"/>
  <c r="FS46" i="28" s="1"/>
  <c r="FM7" i="28"/>
  <c r="FQ7" i="28" s="1"/>
  <c r="FM8" i="28"/>
  <c r="FQ8" i="28" s="1"/>
  <c r="FT8" i="28" s="1"/>
  <c r="FM9" i="28"/>
  <c r="FM10" i="28"/>
  <c r="FQ10" i="28" s="1"/>
  <c r="FM11" i="28"/>
  <c r="FM12" i="28"/>
  <c r="FQ12" i="28" s="1"/>
  <c r="FM13" i="28"/>
  <c r="FR13" i="28" s="1"/>
  <c r="FM14" i="28"/>
  <c r="FQ14" i="28" s="1"/>
  <c r="FM15" i="28"/>
  <c r="FR15" i="28" s="1"/>
  <c r="FM16" i="28"/>
  <c r="FQ16" i="28" s="1"/>
  <c r="FM17" i="28"/>
  <c r="FM18" i="28"/>
  <c r="FR18" i="28" s="1"/>
  <c r="FM19" i="28"/>
  <c r="FM20" i="28"/>
  <c r="FQ20" i="28" s="1"/>
  <c r="GE21" i="28" s="1"/>
  <c r="FM21" i="28"/>
  <c r="FQ21" i="28" s="1"/>
  <c r="GE22" i="28" s="1"/>
  <c r="FM22" i="28"/>
  <c r="FQ22" i="28" s="1"/>
  <c r="FM23" i="28"/>
  <c r="FR23" i="28" s="1"/>
  <c r="FM24" i="28"/>
  <c r="FQ24" i="28" s="1"/>
  <c r="FM25" i="28"/>
  <c r="FM26" i="28"/>
  <c r="FR26" i="28" s="1"/>
  <c r="FM27" i="28"/>
  <c r="FM28" i="28"/>
  <c r="FQ28" i="28" s="1"/>
  <c r="FM29" i="28"/>
  <c r="FS29" i="28" s="1"/>
  <c r="FM30" i="28"/>
  <c r="FQ30" i="28" s="1"/>
  <c r="FM31" i="28"/>
  <c r="FS31" i="28" s="1"/>
  <c r="FM32" i="28"/>
  <c r="FQ32" i="28" s="1"/>
  <c r="FM33" i="28"/>
  <c r="FM34" i="28"/>
  <c r="FS34" i="28" s="1"/>
  <c r="FM35" i="28"/>
  <c r="FM36" i="28"/>
  <c r="FQ36" i="28" s="1"/>
  <c r="GE37" i="28" s="1"/>
  <c r="FM37" i="28"/>
  <c r="FQ37" i="28" s="1"/>
  <c r="FM38" i="28"/>
  <c r="FQ38" i="28" s="1"/>
  <c r="FM39" i="28"/>
  <c r="FQ39" i="28" s="1"/>
  <c r="FM40" i="28"/>
  <c r="FR40" i="28" s="1"/>
  <c r="FM41" i="28"/>
  <c r="FM42" i="28"/>
  <c r="FQ42" i="28" s="1"/>
  <c r="GE43" i="28" s="1"/>
  <c r="FM43" i="28"/>
  <c r="FQ43" i="28" s="1"/>
  <c r="FM44" i="28"/>
  <c r="FQ44" i="28" s="1"/>
  <c r="GE45" i="28" s="1"/>
  <c r="FM45" i="28"/>
  <c r="FQ45" i="28" s="1"/>
  <c r="FM6" i="28"/>
  <c r="FS6" i="28" s="1"/>
  <c r="FQ9" i="28"/>
  <c r="FR9" i="28"/>
  <c r="FS9" i="28"/>
  <c r="FS10" i="28"/>
  <c r="FQ11" i="28"/>
  <c r="FR11" i="28"/>
  <c r="FS11" i="28"/>
  <c r="FQ15" i="28"/>
  <c r="FQ17" i="28"/>
  <c r="FR17" i="28"/>
  <c r="FS17" i="28"/>
  <c r="FQ18" i="28"/>
  <c r="FQ19" i="28"/>
  <c r="FR19" i="28"/>
  <c r="FS19" i="28"/>
  <c r="FQ23" i="28"/>
  <c r="FS24" i="28"/>
  <c r="FQ25" i="28"/>
  <c r="FR25" i="28"/>
  <c r="FS25" i="28"/>
  <c r="FQ27" i="28"/>
  <c r="FR27" i="28"/>
  <c r="FS27" i="28"/>
  <c r="FQ31" i="28"/>
  <c r="FR31" i="28"/>
  <c r="FQ33" i="28"/>
  <c r="FR33" i="28"/>
  <c r="FS33" i="28"/>
  <c r="FQ35" i="28"/>
  <c r="FR35" i="28"/>
  <c r="FS35" i="28"/>
  <c r="FR39" i="28"/>
  <c r="FS39" i="28"/>
  <c r="FQ40" i="28"/>
  <c r="FQ41" i="28"/>
  <c r="FR41" i="28"/>
  <c r="FS41" i="28"/>
  <c r="EO46" i="28"/>
  <c r="EP46" i="28"/>
  <c r="EQ46" i="28"/>
  <c r="ER46" i="28"/>
  <c r="ES46" i="28"/>
  <c r="ET46" i="28"/>
  <c r="EO20" i="28"/>
  <c r="EP20" i="28"/>
  <c r="EQ20" i="28"/>
  <c r="ER20" i="28"/>
  <c r="ES20" i="28"/>
  <c r="ET20" i="28"/>
  <c r="EO21" i="28"/>
  <c r="EP21" i="28"/>
  <c r="EQ21" i="28"/>
  <c r="ER21" i="28"/>
  <c r="ES21" i="28"/>
  <c r="ET21" i="28"/>
  <c r="EO22" i="28"/>
  <c r="EP22" i="28"/>
  <c r="EQ22" i="28"/>
  <c r="ER22" i="28"/>
  <c r="ES22" i="28"/>
  <c r="ET22" i="28"/>
  <c r="EO23" i="28"/>
  <c r="EP23" i="28"/>
  <c r="EQ23" i="28"/>
  <c r="ER23" i="28"/>
  <c r="ES23" i="28"/>
  <c r="ET23" i="28"/>
  <c r="EO24" i="28"/>
  <c r="EP24" i="28"/>
  <c r="EQ24" i="28"/>
  <c r="ER24" i="28"/>
  <c r="ES24" i="28"/>
  <c r="ET24" i="28"/>
  <c r="EO25" i="28"/>
  <c r="EP25" i="28"/>
  <c r="EQ25" i="28"/>
  <c r="ER25" i="28"/>
  <c r="ES25" i="28"/>
  <c r="ET25" i="28"/>
  <c r="EO26" i="28"/>
  <c r="EP26" i="28"/>
  <c r="EQ26" i="28"/>
  <c r="ER26" i="28"/>
  <c r="ES26" i="28"/>
  <c r="ET26" i="28"/>
  <c r="EO27" i="28"/>
  <c r="EP27" i="28"/>
  <c r="EQ27" i="28"/>
  <c r="ER27" i="28"/>
  <c r="ES27" i="28"/>
  <c r="ET27" i="28"/>
  <c r="EO28" i="28"/>
  <c r="EP28" i="28"/>
  <c r="EQ28" i="28"/>
  <c r="ER28" i="28"/>
  <c r="ES28" i="28"/>
  <c r="ET28" i="28"/>
  <c r="EO29" i="28"/>
  <c r="EP29" i="28"/>
  <c r="EQ29" i="28"/>
  <c r="ER29" i="28"/>
  <c r="ES29" i="28"/>
  <c r="ET29" i="28"/>
  <c r="EO30" i="28"/>
  <c r="EP30" i="28"/>
  <c r="EQ30" i="28"/>
  <c r="ER30" i="28"/>
  <c r="ES30" i="28"/>
  <c r="ET30" i="28"/>
  <c r="EO31" i="28"/>
  <c r="EP31" i="28"/>
  <c r="EQ31" i="28"/>
  <c r="ER31" i="28"/>
  <c r="ES31" i="28"/>
  <c r="ET31" i="28"/>
  <c r="EO32" i="28"/>
  <c r="EP32" i="28"/>
  <c r="EQ32" i="28"/>
  <c r="ER32" i="28"/>
  <c r="ES32" i="28"/>
  <c r="ET32" i="28"/>
  <c r="EO33" i="28"/>
  <c r="EP33" i="28"/>
  <c r="EQ33" i="28"/>
  <c r="ER33" i="28"/>
  <c r="ES33" i="28"/>
  <c r="ET33" i="28"/>
  <c r="EO34" i="28"/>
  <c r="EP34" i="28"/>
  <c r="EQ34" i="28"/>
  <c r="ER34" i="28"/>
  <c r="ES34" i="28"/>
  <c r="ET34" i="28"/>
  <c r="EO35" i="28"/>
  <c r="EP35" i="28"/>
  <c r="EQ35" i="28"/>
  <c r="ER35" i="28"/>
  <c r="ES35" i="28"/>
  <c r="ET35" i="28"/>
  <c r="EO36" i="28"/>
  <c r="EP36" i="28"/>
  <c r="EQ36" i="28"/>
  <c r="ER36" i="28"/>
  <c r="ES36" i="28"/>
  <c r="ET36" i="28"/>
  <c r="EO37" i="28"/>
  <c r="EP37" i="28"/>
  <c r="EQ37" i="28"/>
  <c r="ER37" i="28"/>
  <c r="ES37" i="28"/>
  <c r="ET37" i="28"/>
  <c r="EO38" i="28"/>
  <c r="EP38" i="28"/>
  <c r="EQ38" i="28"/>
  <c r="ER38" i="28"/>
  <c r="ES38" i="28"/>
  <c r="ET38" i="28"/>
  <c r="EO39" i="28"/>
  <c r="EP39" i="28"/>
  <c r="EQ39" i="28"/>
  <c r="ER39" i="28"/>
  <c r="ES39" i="28"/>
  <c r="ET39" i="28"/>
  <c r="EO40" i="28"/>
  <c r="EP40" i="28"/>
  <c r="EQ40" i="28"/>
  <c r="ER40" i="28"/>
  <c r="ES40" i="28"/>
  <c r="ET40" i="28"/>
  <c r="EO41" i="28"/>
  <c r="EP41" i="28"/>
  <c r="EQ41" i="28"/>
  <c r="ER41" i="28"/>
  <c r="ES41" i="28"/>
  <c r="ET41" i="28"/>
  <c r="EO42" i="28"/>
  <c r="EP42" i="28"/>
  <c r="EQ42" i="28"/>
  <c r="ER42" i="28"/>
  <c r="ES42" i="28"/>
  <c r="ET42" i="28"/>
  <c r="EO43" i="28"/>
  <c r="EP43" i="28"/>
  <c r="EQ43" i="28"/>
  <c r="ER43" i="28"/>
  <c r="ES43" i="28"/>
  <c r="ET43" i="28"/>
  <c r="EO44" i="28"/>
  <c r="EP44" i="28"/>
  <c r="EQ44" i="28"/>
  <c r="ER44" i="28"/>
  <c r="ES44" i="28"/>
  <c r="ET44" i="28"/>
  <c r="EO45" i="28"/>
  <c r="EP45" i="28"/>
  <c r="EQ45" i="28"/>
  <c r="ER45" i="28"/>
  <c r="ES45" i="28"/>
  <c r="ET45" i="28"/>
  <c r="EG46" i="28"/>
  <c r="EH46" i="28"/>
  <c r="EI46" i="28"/>
  <c r="EJ46" i="28"/>
  <c r="EK46" i="28"/>
  <c r="EL46" i="28"/>
  <c r="EG20" i="28"/>
  <c r="EH20" i="28"/>
  <c r="EI20" i="28"/>
  <c r="EJ20" i="28"/>
  <c r="EK20" i="28"/>
  <c r="GE20" i="28" s="1"/>
  <c r="EL20" i="28"/>
  <c r="EG21" i="28"/>
  <c r="EH21" i="28"/>
  <c r="EI21" i="28"/>
  <c r="EJ21" i="28"/>
  <c r="EK21" i="28"/>
  <c r="EL21" i="28"/>
  <c r="EG22" i="28"/>
  <c r="EH22" i="28"/>
  <c r="EI22" i="28"/>
  <c r="EJ22" i="28"/>
  <c r="EK22" i="28"/>
  <c r="EL22" i="28"/>
  <c r="EG23" i="28"/>
  <c r="EH23" i="28"/>
  <c r="EI23" i="28"/>
  <c r="EJ23" i="28"/>
  <c r="EK23" i="28"/>
  <c r="GE23" i="28" s="1"/>
  <c r="EL23" i="28"/>
  <c r="EG24" i="28"/>
  <c r="EH24" i="28"/>
  <c r="EI24" i="28"/>
  <c r="EJ24" i="28"/>
  <c r="EK24" i="28"/>
  <c r="GE24" i="28" s="1"/>
  <c r="EL24" i="28"/>
  <c r="EG25" i="28"/>
  <c r="EH25" i="28"/>
  <c r="EI25" i="28"/>
  <c r="EJ25" i="28"/>
  <c r="EK25" i="28"/>
  <c r="GE25" i="28" s="1"/>
  <c r="EL25" i="28"/>
  <c r="EG26" i="28"/>
  <c r="EH26" i="28"/>
  <c r="EI26" i="28"/>
  <c r="EJ26" i="28"/>
  <c r="EK26" i="28"/>
  <c r="EL26" i="28"/>
  <c r="EG27" i="28"/>
  <c r="EH27" i="28"/>
  <c r="EI27" i="28"/>
  <c r="EJ27" i="28"/>
  <c r="EK27" i="28"/>
  <c r="EL27" i="28"/>
  <c r="EG28" i="28"/>
  <c r="EH28" i="28"/>
  <c r="EI28" i="28"/>
  <c r="EJ28" i="28"/>
  <c r="EK28" i="28"/>
  <c r="GE28" i="28" s="1"/>
  <c r="EL28" i="28"/>
  <c r="EG29" i="28"/>
  <c r="EH29" i="28"/>
  <c r="EI29" i="28"/>
  <c r="EJ29" i="28"/>
  <c r="EK29" i="28"/>
  <c r="EL29" i="28"/>
  <c r="EG30" i="28"/>
  <c r="EH30" i="28"/>
  <c r="EI30" i="28"/>
  <c r="EJ30" i="28"/>
  <c r="EK30" i="28"/>
  <c r="EL30" i="28"/>
  <c r="EG31" i="28"/>
  <c r="EH31" i="28"/>
  <c r="EI31" i="28"/>
  <c r="EJ31" i="28"/>
  <c r="EK31" i="28"/>
  <c r="GE31" i="28" s="1"/>
  <c r="EL31" i="28"/>
  <c r="EG32" i="28"/>
  <c r="EH32" i="28"/>
  <c r="EI32" i="28"/>
  <c r="EJ32" i="28"/>
  <c r="EK32" i="28"/>
  <c r="GE32" i="28" s="1"/>
  <c r="EL32" i="28"/>
  <c r="EG33" i="28"/>
  <c r="EH33" i="28"/>
  <c r="EI33" i="28"/>
  <c r="EJ33" i="28"/>
  <c r="EK33" i="28"/>
  <c r="GE33" i="28" s="1"/>
  <c r="EL33" i="28"/>
  <c r="EG34" i="28"/>
  <c r="EH34" i="28"/>
  <c r="EI34" i="28"/>
  <c r="EJ34" i="28"/>
  <c r="EK34" i="28"/>
  <c r="EL34" i="28"/>
  <c r="EG35" i="28"/>
  <c r="EH35" i="28"/>
  <c r="EI35" i="28"/>
  <c r="EJ35" i="28"/>
  <c r="EK35" i="28"/>
  <c r="EL35" i="28"/>
  <c r="EG36" i="28"/>
  <c r="EH36" i="28"/>
  <c r="EI36" i="28"/>
  <c r="EJ36" i="28"/>
  <c r="EK36" i="28"/>
  <c r="GE36" i="28" s="1"/>
  <c r="EL36" i="28"/>
  <c r="EG37" i="28"/>
  <c r="EH37" i="28"/>
  <c r="EI37" i="28"/>
  <c r="EJ37" i="28"/>
  <c r="EK37" i="28"/>
  <c r="EL37" i="28"/>
  <c r="EG38" i="28"/>
  <c r="EH38" i="28"/>
  <c r="EI38" i="28"/>
  <c r="EJ38" i="28"/>
  <c r="EK38" i="28"/>
  <c r="GE38" i="28" s="1"/>
  <c r="EL38" i="28"/>
  <c r="EG39" i="28"/>
  <c r="EH39" i="28"/>
  <c r="EI39" i="28"/>
  <c r="EJ39" i="28"/>
  <c r="EK39" i="28"/>
  <c r="GE39" i="28" s="1"/>
  <c r="EL39" i="28"/>
  <c r="EG40" i="28"/>
  <c r="EH40" i="28"/>
  <c r="EI40" i="28"/>
  <c r="EJ40" i="28"/>
  <c r="EK40" i="28"/>
  <c r="GE40" i="28" s="1"/>
  <c r="EL40" i="28"/>
  <c r="EG41" i="28"/>
  <c r="EH41" i="28"/>
  <c r="EI41" i="28"/>
  <c r="EJ41" i="28"/>
  <c r="EK41" i="28"/>
  <c r="GE41" i="28" s="1"/>
  <c r="EL41" i="28"/>
  <c r="EG42" i="28"/>
  <c r="EH42" i="28"/>
  <c r="EI42" i="28"/>
  <c r="EJ42" i="28"/>
  <c r="EK42" i="28"/>
  <c r="GE42" i="28" s="1"/>
  <c r="EL42" i="28"/>
  <c r="EG43" i="28"/>
  <c r="EH43" i="28"/>
  <c r="EI43" i="28"/>
  <c r="EJ43" i="28"/>
  <c r="EK43" i="28"/>
  <c r="EL43" i="28"/>
  <c r="EG44" i="28"/>
  <c r="EH44" i="28"/>
  <c r="EI44" i="28"/>
  <c r="EJ44" i="28"/>
  <c r="EK44" i="28"/>
  <c r="GE44" i="28" s="1"/>
  <c r="EL44" i="28"/>
  <c r="EG45" i="28"/>
  <c r="EH45" i="28"/>
  <c r="EI45" i="28"/>
  <c r="EJ45" i="28"/>
  <c r="EK45" i="28"/>
  <c r="EL45" i="28"/>
  <c r="EC21" i="28"/>
  <c r="FB21" i="28" s="1"/>
  <c r="ED21" i="28"/>
  <c r="FE21" i="28" s="1"/>
  <c r="BV19" i="28"/>
  <c r="EO19" i="28" s="1"/>
  <c r="EC20" i="28"/>
  <c r="EZ20" i="28" s="1"/>
  <c r="ED20" i="28"/>
  <c r="FI20" i="28" s="1"/>
  <c r="EC22" i="28"/>
  <c r="EW22" i="28" s="1"/>
  <c r="ED22" i="28"/>
  <c r="EC23" i="28"/>
  <c r="ED23" i="28"/>
  <c r="FG23" i="28" s="1"/>
  <c r="EC24" i="28"/>
  <c r="EZ24" i="28" s="1"/>
  <c r="ED24" i="28"/>
  <c r="FI24" i="28" s="1"/>
  <c r="EC25" i="28"/>
  <c r="FB25" i="28" s="1"/>
  <c r="ED25" i="28"/>
  <c r="FE25" i="28" s="1"/>
  <c r="EC26" i="28"/>
  <c r="EW26" i="28" s="1"/>
  <c r="ED26" i="28"/>
  <c r="EC27" i="28"/>
  <c r="ED27" i="28"/>
  <c r="FG27" i="28" s="1"/>
  <c r="EC28" i="28"/>
  <c r="EZ28" i="28" s="1"/>
  <c r="ED28" i="28"/>
  <c r="FI28" i="28" s="1"/>
  <c r="EC29" i="28"/>
  <c r="FB29" i="28" s="1"/>
  <c r="ED29" i="28"/>
  <c r="FE29" i="28" s="1"/>
  <c r="EC30" i="28"/>
  <c r="EW30" i="28" s="1"/>
  <c r="ED30" i="28"/>
  <c r="EC31" i="28"/>
  <c r="ED31" i="28"/>
  <c r="FG31" i="28" s="1"/>
  <c r="EC32" i="28"/>
  <c r="EZ32" i="28" s="1"/>
  <c r="ED32" i="28"/>
  <c r="FI32" i="28" s="1"/>
  <c r="EC33" i="28"/>
  <c r="FB33" i="28" s="1"/>
  <c r="ED33" i="28"/>
  <c r="FE33" i="28" s="1"/>
  <c r="EC34" i="28"/>
  <c r="EW34" i="28" s="1"/>
  <c r="ED34" i="28"/>
  <c r="EC35" i="28"/>
  <c r="ED35" i="28"/>
  <c r="FG35" i="28" s="1"/>
  <c r="EC36" i="28"/>
  <c r="EZ36" i="28" s="1"/>
  <c r="ED36" i="28"/>
  <c r="FI36" i="28" s="1"/>
  <c r="EC37" i="28"/>
  <c r="FB37" i="28" s="1"/>
  <c r="ED37" i="28"/>
  <c r="FF37" i="28" s="1"/>
  <c r="EC38" i="28"/>
  <c r="EW38" i="28" s="1"/>
  <c r="ED38" i="28"/>
  <c r="EC39" i="28"/>
  <c r="ED39" i="28"/>
  <c r="FG39" i="28" s="1"/>
  <c r="EC40" i="28"/>
  <c r="EZ40" i="28" s="1"/>
  <c r="ED40" i="28"/>
  <c r="FI40" i="28" s="1"/>
  <c r="EC41" i="28"/>
  <c r="FB41" i="28" s="1"/>
  <c r="ED41" i="28"/>
  <c r="FF41" i="28" s="1"/>
  <c r="EC42" i="28"/>
  <c r="EW42" i="28" s="1"/>
  <c r="ED42" i="28"/>
  <c r="EC43" i="28"/>
  <c r="ED43" i="28"/>
  <c r="FG43" i="28" s="1"/>
  <c r="EC44" i="28"/>
  <c r="EZ44" i="28" s="1"/>
  <c r="ED44" i="28"/>
  <c r="FI44" i="28" s="1"/>
  <c r="EC45" i="28"/>
  <c r="FB45" i="28" s="1"/>
  <c r="ED45" i="28"/>
  <c r="FF45" i="28" s="1"/>
  <c r="EC46" i="28"/>
  <c r="EW46" i="28" s="1"/>
  <c r="ED46" i="28"/>
  <c r="FJ46" i="28" s="1"/>
  <c r="DB46" i="28"/>
  <c r="DR46" i="28" s="1"/>
  <c r="CY45" i="28"/>
  <c r="DG46" i="28"/>
  <c r="DW46" i="28" s="1"/>
  <c r="DF46" i="28"/>
  <c r="DV46" i="28" s="1"/>
  <c r="DE46" i="28"/>
  <c r="DU46" i="28" s="1"/>
  <c r="DD46" i="28"/>
  <c r="DT46" i="28" s="1"/>
  <c r="DC46" i="28"/>
  <c r="DS46" i="28" s="1"/>
  <c r="DG45" i="28"/>
  <c r="DF45" i="28"/>
  <c r="DE45" i="28"/>
  <c r="DD45" i="28"/>
  <c r="DC45" i="28"/>
  <c r="DB45" i="28"/>
  <c r="DG44" i="28"/>
  <c r="DF44" i="28"/>
  <c r="DE44" i="28"/>
  <c r="DD44" i="28"/>
  <c r="DC44" i="28"/>
  <c r="DB44" i="28"/>
  <c r="DG43" i="28"/>
  <c r="DF43" i="28"/>
  <c r="DE43" i="28"/>
  <c r="DD43" i="28"/>
  <c r="DC43" i="28"/>
  <c r="DB43" i="28"/>
  <c r="DG42" i="28"/>
  <c r="DF42" i="28"/>
  <c r="DE42" i="28"/>
  <c r="DD42" i="28"/>
  <c r="DC42" i="28"/>
  <c r="DB42" i="28"/>
  <c r="DG41" i="28"/>
  <c r="DF41" i="28"/>
  <c r="DE41" i="28"/>
  <c r="DD41" i="28"/>
  <c r="DC41" i="28"/>
  <c r="DB41" i="28"/>
  <c r="DG40" i="28"/>
  <c r="DF40" i="28"/>
  <c r="DE40" i="28"/>
  <c r="DD40" i="28"/>
  <c r="DC40" i="28"/>
  <c r="DB40" i="28"/>
  <c r="DG39" i="28"/>
  <c r="DF39" i="28"/>
  <c r="DE39" i="28"/>
  <c r="DD39" i="28"/>
  <c r="DC39" i="28"/>
  <c r="DB39" i="28"/>
  <c r="DG38" i="28"/>
  <c r="DF38" i="28"/>
  <c r="DE38" i="28"/>
  <c r="DD38" i="28"/>
  <c r="DC38" i="28"/>
  <c r="DB38" i="28"/>
  <c r="DG37" i="28"/>
  <c r="DF37" i="28"/>
  <c r="DE37" i="28"/>
  <c r="DD37" i="28"/>
  <c r="DC37" i="28"/>
  <c r="DB37" i="28"/>
  <c r="DG36" i="28"/>
  <c r="DF36" i="28"/>
  <c r="DE36" i="28"/>
  <c r="DD36" i="28"/>
  <c r="DC36" i="28"/>
  <c r="DB36" i="28"/>
  <c r="DG35" i="28"/>
  <c r="DF35" i="28"/>
  <c r="DE35" i="28"/>
  <c r="DD35" i="28"/>
  <c r="DC35" i="28"/>
  <c r="DB35" i="28"/>
  <c r="DG34" i="28"/>
  <c r="DF34" i="28"/>
  <c r="DE34" i="28"/>
  <c r="DD34" i="28"/>
  <c r="DC34" i="28"/>
  <c r="DB34" i="28"/>
  <c r="DG33" i="28"/>
  <c r="DF33" i="28"/>
  <c r="DE33" i="28"/>
  <c r="DD33" i="28"/>
  <c r="DC33" i="28"/>
  <c r="DB33" i="28"/>
  <c r="DG32" i="28"/>
  <c r="DF32" i="28"/>
  <c r="DE32" i="28"/>
  <c r="DD32" i="28"/>
  <c r="DC32" i="28"/>
  <c r="DB32" i="28"/>
  <c r="DG31" i="28"/>
  <c r="DF31" i="28"/>
  <c r="DE31" i="28"/>
  <c r="DD31" i="28"/>
  <c r="DC31" i="28"/>
  <c r="DB31" i="28"/>
  <c r="DG30" i="28"/>
  <c r="DF30" i="28"/>
  <c r="DE30" i="28"/>
  <c r="DD30" i="28"/>
  <c r="DC30" i="28"/>
  <c r="DB30" i="28"/>
  <c r="DG29" i="28"/>
  <c r="DF29" i="28"/>
  <c r="DE29" i="28"/>
  <c r="DD29" i="28"/>
  <c r="DC29" i="28"/>
  <c r="DB29" i="28"/>
  <c r="DG28" i="28"/>
  <c r="DF28" i="28"/>
  <c r="DE28" i="28"/>
  <c r="DD28" i="28"/>
  <c r="DC28" i="28"/>
  <c r="DB28" i="28"/>
  <c r="DG27" i="28"/>
  <c r="DF27" i="28"/>
  <c r="DE27" i="28"/>
  <c r="DD27" i="28"/>
  <c r="DC27" i="28"/>
  <c r="DB27" i="28"/>
  <c r="DG26" i="28"/>
  <c r="DF26" i="28"/>
  <c r="DE26" i="28"/>
  <c r="DD26" i="28"/>
  <c r="DC26" i="28"/>
  <c r="DB26" i="28"/>
  <c r="DG25" i="28"/>
  <c r="DF25" i="28"/>
  <c r="DE25" i="28"/>
  <c r="DD25" i="28"/>
  <c r="DC25" i="28"/>
  <c r="DB25" i="28"/>
  <c r="DG24" i="28"/>
  <c r="DF24" i="28"/>
  <c r="DE24" i="28"/>
  <c r="DD24" i="28"/>
  <c r="DC24" i="28"/>
  <c r="DB24" i="28"/>
  <c r="DG23" i="28"/>
  <c r="DF23" i="28"/>
  <c r="DE23" i="28"/>
  <c r="DD23" i="28"/>
  <c r="DC23" i="28"/>
  <c r="DB23" i="28"/>
  <c r="DG22" i="28"/>
  <c r="DF22" i="28"/>
  <c r="DE22" i="28"/>
  <c r="DD22" i="28"/>
  <c r="DC22" i="28"/>
  <c r="DB22" i="28"/>
  <c r="DG21" i="28"/>
  <c r="DF21" i="28"/>
  <c r="DE21" i="28"/>
  <c r="DD21" i="28"/>
  <c r="DC21" i="28"/>
  <c r="DB21" i="28"/>
  <c r="CT21" i="28"/>
  <c r="CU21" i="28"/>
  <c r="CV21" i="28"/>
  <c r="CW21" i="28"/>
  <c r="CX21" i="28"/>
  <c r="CY21" i="28"/>
  <c r="CT22" i="28"/>
  <c r="CU22" i="28"/>
  <c r="CV22" i="28"/>
  <c r="CW22" i="28"/>
  <c r="CX22" i="28"/>
  <c r="CY22" i="28"/>
  <c r="CT23" i="28"/>
  <c r="CU23" i="28"/>
  <c r="CV23" i="28"/>
  <c r="CW23" i="28"/>
  <c r="CX23" i="28"/>
  <c r="CY23" i="28"/>
  <c r="CT24" i="28"/>
  <c r="CU24" i="28"/>
  <c r="CV24" i="28"/>
  <c r="CW24" i="28"/>
  <c r="CX24" i="28"/>
  <c r="CY24" i="28"/>
  <c r="CT25" i="28"/>
  <c r="CU25" i="28"/>
  <c r="CV25" i="28"/>
  <c r="CW25" i="28"/>
  <c r="CX25" i="28"/>
  <c r="CY25" i="28"/>
  <c r="CT26" i="28"/>
  <c r="CU26" i="28"/>
  <c r="CV26" i="28"/>
  <c r="CW26" i="28"/>
  <c r="CX26" i="28"/>
  <c r="CY26" i="28"/>
  <c r="CT27" i="28"/>
  <c r="CU27" i="28"/>
  <c r="CV27" i="28"/>
  <c r="CW27" i="28"/>
  <c r="CX27" i="28"/>
  <c r="CY27" i="28"/>
  <c r="CT28" i="28"/>
  <c r="CU28" i="28"/>
  <c r="CV28" i="28"/>
  <c r="CW28" i="28"/>
  <c r="CX28" i="28"/>
  <c r="CY28" i="28"/>
  <c r="CT29" i="28"/>
  <c r="CU29" i="28"/>
  <c r="CV29" i="28"/>
  <c r="CW29" i="28"/>
  <c r="CX29" i="28"/>
  <c r="CY29" i="28"/>
  <c r="CT30" i="28"/>
  <c r="CU30" i="28"/>
  <c r="CV30" i="28"/>
  <c r="CW30" i="28"/>
  <c r="CX30" i="28"/>
  <c r="CY30" i="28"/>
  <c r="CT31" i="28"/>
  <c r="CU31" i="28"/>
  <c r="CV31" i="28"/>
  <c r="CW31" i="28"/>
  <c r="CX31" i="28"/>
  <c r="CY31" i="28"/>
  <c r="CT32" i="28"/>
  <c r="CU32" i="28"/>
  <c r="CV32" i="28"/>
  <c r="CW32" i="28"/>
  <c r="CX32" i="28"/>
  <c r="CY32" i="28"/>
  <c r="CT33" i="28"/>
  <c r="CU33" i="28"/>
  <c r="CV33" i="28"/>
  <c r="CW33" i="28"/>
  <c r="CX33" i="28"/>
  <c r="CY33" i="28"/>
  <c r="CT34" i="28"/>
  <c r="CU34" i="28"/>
  <c r="CV34" i="28"/>
  <c r="CW34" i="28"/>
  <c r="CX34" i="28"/>
  <c r="CY34" i="28"/>
  <c r="CT35" i="28"/>
  <c r="CU35" i="28"/>
  <c r="CV35" i="28"/>
  <c r="CW35" i="28"/>
  <c r="CX35" i="28"/>
  <c r="CY35" i="28"/>
  <c r="CT36" i="28"/>
  <c r="CU36" i="28"/>
  <c r="CV36" i="28"/>
  <c r="CW36" i="28"/>
  <c r="CX36" i="28"/>
  <c r="CY36" i="28"/>
  <c r="CT37" i="28"/>
  <c r="CU37" i="28"/>
  <c r="CV37" i="28"/>
  <c r="CW37" i="28"/>
  <c r="CX37" i="28"/>
  <c r="CY37" i="28"/>
  <c r="CT38" i="28"/>
  <c r="CU38" i="28"/>
  <c r="CV38" i="28"/>
  <c r="CW38" i="28"/>
  <c r="CX38" i="28"/>
  <c r="CY38" i="28"/>
  <c r="CT39" i="28"/>
  <c r="CU39" i="28"/>
  <c r="CV39" i="28"/>
  <c r="CW39" i="28"/>
  <c r="CX39" i="28"/>
  <c r="CY39" i="28"/>
  <c r="CT40" i="28"/>
  <c r="CU40" i="28"/>
  <c r="CV40" i="28"/>
  <c r="CW40" i="28"/>
  <c r="CX40" i="28"/>
  <c r="CY40" i="28"/>
  <c r="CT41" i="28"/>
  <c r="CU41" i="28"/>
  <c r="CV41" i="28"/>
  <c r="CW41" i="28"/>
  <c r="CX41" i="28"/>
  <c r="CY41" i="28"/>
  <c r="CT42" i="28"/>
  <c r="CU42" i="28"/>
  <c r="CV42" i="28"/>
  <c r="CW42" i="28"/>
  <c r="CX42" i="28"/>
  <c r="CY42" i="28"/>
  <c r="CT43" i="28"/>
  <c r="CU43" i="28"/>
  <c r="CV43" i="28"/>
  <c r="CW43" i="28"/>
  <c r="CX43" i="28"/>
  <c r="CY43" i="28"/>
  <c r="CT44" i="28"/>
  <c r="CU44" i="28"/>
  <c r="CV44" i="28"/>
  <c r="CW44" i="28"/>
  <c r="CX44" i="28"/>
  <c r="CY44" i="28"/>
  <c r="CT45" i="28"/>
  <c r="CU45" i="28"/>
  <c r="CV45" i="28"/>
  <c r="CW45" i="28"/>
  <c r="CX45" i="28"/>
  <c r="CT46" i="28"/>
  <c r="DJ46" i="28" s="1"/>
  <c r="CU46" i="28"/>
  <c r="DK46" i="28" s="1"/>
  <c r="CV46" i="28"/>
  <c r="DL46" i="28" s="1"/>
  <c r="CW46" i="28"/>
  <c r="DM46" i="28" s="1"/>
  <c r="CX46" i="28"/>
  <c r="DN46" i="28" s="1"/>
  <c r="CY46" i="28"/>
  <c r="DO46" i="28" s="1"/>
  <c r="CI46" i="28"/>
  <c r="CH46" i="28"/>
  <c r="CG46" i="28"/>
  <c r="CF46" i="28"/>
  <c r="CE46" i="28"/>
  <c r="CD46" i="28"/>
  <c r="CI45" i="28"/>
  <c r="CH45" i="28"/>
  <c r="CG45" i="28"/>
  <c r="CF45" i="28"/>
  <c r="CE45" i="28"/>
  <c r="CD45" i="28"/>
  <c r="CI44" i="28"/>
  <c r="CH44" i="28"/>
  <c r="CG44" i="28"/>
  <c r="CF44" i="28"/>
  <c r="CE44" i="28"/>
  <c r="CD44" i="28"/>
  <c r="CI43" i="28"/>
  <c r="CH43" i="28"/>
  <c r="CG43" i="28"/>
  <c r="CF43" i="28"/>
  <c r="CE43" i="28"/>
  <c r="CD43" i="28"/>
  <c r="CI42" i="28"/>
  <c r="CH42" i="28"/>
  <c r="CG42" i="28"/>
  <c r="CF42" i="28"/>
  <c r="CE42" i="28"/>
  <c r="CD42" i="28"/>
  <c r="CI41" i="28"/>
  <c r="CH41" i="28"/>
  <c r="CG41" i="28"/>
  <c r="CF41" i="28"/>
  <c r="CE41" i="28"/>
  <c r="CD41" i="28"/>
  <c r="CI40" i="28"/>
  <c r="CH40" i="28"/>
  <c r="CG40" i="28"/>
  <c r="CF40" i="28"/>
  <c r="CE40" i="28"/>
  <c r="CD40" i="28"/>
  <c r="CI39" i="28"/>
  <c r="CH39" i="28"/>
  <c r="CG39" i="28"/>
  <c r="CF39" i="28"/>
  <c r="CE39" i="28"/>
  <c r="CD39" i="28"/>
  <c r="CI38" i="28"/>
  <c r="CH38" i="28"/>
  <c r="CG38" i="28"/>
  <c r="CF38" i="28"/>
  <c r="CE38" i="28"/>
  <c r="CD38" i="28"/>
  <c r="CI37" i="28"/>
  <c r="CH37" i="28"/>
  <c r="CG37" i="28"/>
  <c r="CF37" i="28"/>
  <c r="CE37" i="28"/>
  <c r="CD37" i="28"/>
  <c r="CI36" i="28"/>
  <c r="CH36" i="28"/>
  <c r="CG36" i="28"/>
  <c r="CF36" i="28"/>
  <c r="CE36" i="28"/>
  <c r="CD36" i="28"/>
  <c r="CI35" i="28"/>
  <c r="CH35" i="28"/>
  <c r="CG35" i="28"/>
  <c r="CF35" i="28"/>
  <c r="CE35" i="28"/>
  <c r="CD35" i="28"/>
  <c r="CI34" i="28"/>
  <c r="CH34" i="28"/>
  <c r="CG34" i="28"/>
  <c r="CF34" i="28"/>
  <c r="CE34" i="28"/>
  <c r="CD34" i="28"/>
  <c r="CI33" i="28"/>
  <c r="CH33" i="28"/>
  <c r="CG33" i="28"/>
  <c r="CF33" i="28"/>
  <c r="CE33" i="28"/>
  <c r="CD33" i="28"/>
  <c r="CI32" i="28"/>
  <c r="CH32" i="28"/>
  <c r="CG32" i="28"/>
  <c r="CF32" i="28"/>
  <c r="CE32" i="28"/>
  <c r="CD32" i="28"/>
  <c r="CI31" i="28"/>
  <c r="CH31" i="28"/>
  <c r="CG31" i="28"/>
  <c r="CF31" i="28"/>
  <c r="CE31" i="28"/>
  <c r="CD31" i="28"/>
  <c r="CI30" i="28"/>
  <c r="CH30" i="28"/>
  <c r="CG30" i="28"/>
  <c r="CF30" i="28"/>
  <c r="CE30" i="28"/>
  <c r="CD30" i="28"/>
  <c r="CI29" i="28"/>
  <c r="CH29" i="28"/>
  <c r="CG29" i="28"/>
  <c r="CF29" i="28"/>
  <c r="CE29" i="28"/>
  <c r="CD29" i="28"/>
  <c r="CI28" i="28"/>
  <c r="CH28" i="28"/>
  <c r="CG28" i="28"/>
  <c r="CF28" i="28"/>
  <c r="CE28" i="28"/>
  <c r="CD28" i="28"/>
  <c r="CI27" i="28"/>
  <c r="CH27" i="28"/>
  <c r="CG27" i="28"/>
  <c r="CF27" i="28"/>
  <c r="CE27" i="28"/>
  <c r="CD27" i="28"/>
  <c r="CI26" i="28"/>
  <c r="CH26" i="28"/>
  <c r="CG26" i="28"/>
  <c r="CF26" i="28"/>
  <c r="CE26" i="28"/>
  <c r="CD26" i="28"/>
  <c r="CI25" i="28"/>
  <c r="CH25" i="28"/>
  <c r="CG25" i="28"/>
  <c r="CF25" i="28"/>
  <c r="CE25" i="28"/>
  <c r="CD25" i="28"/>
  <c r="CI24" i="28"/>
  <c r="CH24" i="28"/>
  <c r="CG24" i="28"/>
  <c r="CF24" i="28"/>
  <c r="CE24" i="28"/>
  <c r="CD24" i="28"/>
  <c r="CI23" i="28"/>
  <c r="CH23" i="28"/>
  <c r="CG23" i="28"/>
  <c r="CF23" i="28"/>
  <c r="CE23" i="28"/>
  <c r="CD23" i="28"/>
  <c r="CI22" i="28"/>
  <c r="CH22" i="28"/>
  <c r="CG22" i="28"/>
  <c r="CF22" i="28"/>
  <c r="CE22" i="28"/>
  <c r="CD22" i="28"/>
  <c r="CI21" i="28"/>
  <c r="CH21" i="28"/>
  <c r="CG21" i="28"/>
  <c r="CF21" i="28"/>
  <c r="CE21" i="28"/>
  <c r="CD21" i="28"/>
  <c r="BN6" i="28"/>
  <c r="EG6" i="28" s="1"/>
  <c r="CA19" i="28"/>
  <c r="ET19" i="28" s="1"/>
  <c r="BZ19" i="28"/>
  <c r="ES19" i="28" s="1"/>
  <c r="BY19" i="28"/>
  <c r="ER19" i="28" s="1"/>
  <c r="BX19" i="28"/>
  <c r="EQ19" i="28" s="1"/>
  <c r="BW19" i="28"/>
  <c r="EP19" i="28" s="1"/>
  <c r="BS19" i="28"/>
  <c r="EL19" i="28" s="1"/>
  <c r="BR19" i="28"/>
  <c r="EK19" i="28" s="1"/>
  <c r="GE19" i="28" s="1"/>
  <c r="BQ19" i="28"/>
  <c r="EJ19" i="28" s="1"/>
  <c r="BP19" i="28"/>
  <c r="EI19" i="28" s="1"/>
  <c r="BO19" i="28"/>
  <c r="EH19" i="28" s="1"/>
  <c r="BN19" i="28"/>
  <c r="EG19" i="28" s="1"/>
  <c r="CA18" i="28"/>
  <c r="ET18" i="28" s="1"/>
  <c r="BZ18" i="28"/>
  <c r="ES18" i="28" s="1"/>
  <c r="BY18" i="28"/>
  <c r="ER18" i="28" s="1"/>
  <c r="BX18" i="28"/>
  <c r="EQ18" i="28" s="1"/>
  <c r="BW18" i="28"/>
  <c r="EP18" i="28" s="1"/>
  <c r="BV18" i="28"/>
  <c r="EO18" i="28" s="1"/>
  <c r="BS18" i="28"/>
  <c r="EL18" i="28" s="1"/>
  <c r="BR18" i="28"/>
  <c r="EK18" i="28" s="1"/>
  <c r="GE18" i="28" s="1"/>
  <c r="BQ18" i="28"/>
  <c r="EJ18" i="28" s="1"/>
  <c r="BP18" i="28"/>
  <c r="EI18" i="28" s="1"/>
  <c r="BO18" i="28"/>
  <c r="EH18" i="28" s="1"/>
  <c r="BN18" i="28"/>
  <c r="EG18" i="28" s="1"/>
  <c r="CA17" i="28"/>
  <c r="ET17" i="28" s="1"/>
  <c r="BZ17" i="28"/>
  <c r="ES17" i="28" s="1"/>
  <c r="BY17" i="28"/>
  <c r="ER17" i="28" s="1"/>
  <c r="BX17" i="28"/>
  <c r="EQ17" i="28" s="1"/>
  <c r="BW17" i="28"/>
  <c r="EP17" i="28" s="1"/>
  <c r="BV17" i="28"/>
  <c r="EO17" i="28" s="1"/>
  <c r="BS17" i="28"/>
  <c r="EL17" i="28" s="1"/>
  <c r="BR17" i="28"/>
  <c r="EK17" i="28" s="1"/>
  <c r="GE17" i="28" s="1"/>
  <c r="BQ17" i="28"/>
  <c r="EJ17" i="28" s="1"/>
  <c r="BP17" i="28"/>
  <c r="EI17" i="28" s="1"/>
  <c r="BO17" i="28"/>
  <c r="EH17" i="28" s="1"/>
  <c r="BN17" i="28"/>
  <c r="EG17" i="28" s="1"/>
  <c r="CA16" i="28"/>
  <c r="ET16" i="28" s="1"/>
  <c r="BZ16" i="28"/>
  <c r="ES16" i="28" s="1"/>
  <c r="BY16" i="28"/>
  <c r="ER16" i="28" s="1"/>
  <c r="BX16" i="28"/>
  <c r="EQ16" i="28" s="1"/>
  <c r="BW16" i="28"/>
  <c r="EP16" i="28" s="1"/>
  <c r="BV16" i="28"/>
  <c r="EO16" i="28" s="1"/>
  <c r="BS16" i="28"/>
  <c r="EL16" i="28" s="1"/>
  <c r="BR16" i="28"/>
  <c r="EK16" i="28" s="1"/>
  <c r="GE16" i="28" s="1"/>
  <c r="BQ16" i="28"/>
  <c r="EJ16" i="28" s="1"/>
  <c r="BP16" i="28"/>
  <c r="EI16" i="28" s="1"/>
  <c r="BO16" i="28"/>
  <c r="EH16" i="28" s="1"/>
  <c r="BN16" i="28"/>
  <c r="EG16" i="28" s="1"/>
  <c r="CA15" i="28"/>
  <c r="ET15" i="28" s="1"/>
  <c r="BZ15" i="28"/>
  <c r="ES15" i="28" s="1"/>
  <c r="BY15" i="28"/>
  <c r="ER15" i="28" s="1"/>
  <c r="BX15" i="28"/>
  <c r="EQ15" i="28" s="1"/>
  <c r="BW15" i="28"/>
  <c r="EP15" i="28" s="1"/>
  <c r="BV15" i="28"/>
  <c r="EO15" i="28" s="1"/>
  <c r="BS15" i="28"/>
  <c r="EL15" i="28" s="1"/>
  <c r="BR15" i="28"/>
  <c r="EK15" i="28" s="1"/>
  <c r="GE15" i="28" s="1"/>
  <c r="BQ15" i="28"/>
  <c r="EJ15" i="28" s="1"/>
  <c r="BP15" i="28"/>
  <c r="EI15" i="28" s="1"/>
  <c r="BO15" i="28"/>
  <c r="EH15" i="28" s="1"/>
  <c r="BN15" i="28"/>
  <c r="EG15" i="28" s="1"/>
  <c r="CA14" i="28"/>
  <c r="ET14" i="28" s="1"/>
  <c r="BZ14" i="28"/>
  <c r="ES14" i="28" s="1"/>
  <c r="BY14" i="28"/>
  <c r="ER14" i="28" s="1"/>
  <c r="BX14" i="28"/>
  <c r="EQ14" i="28" s="1"/>
  <c r="BW14" i="28"/>
  <c r="EP14" i="28" s="1"/>
  <c r="BV14" i="28"/>
  <c r="EO14" i="28" s="1"/>
  <c r="BS14" i="28"/>
  <c r="EL14" i="28" s="1"/>
  <c r="BR14" i="28"/>
  <c r="EK14" i="28" s="1"/>
  <c r="BQ14" i="28"/>
  <c r="EJ14" i="28" s="1"/>
  <c r="BP14" i="28"/>
  <c r="EI14" i="28" s="1"/>
  <c r="BO14" i="28"/>
  <c r="EH14" i="28" s="1"/>
  <c r="BN14" i="28"/>
  <c r="EG14" i="28" s="1"/>
  <c r="CA13" i="28"/>
  <c r="ET13" i="28" s="1"/>
  <c r="BZ13" i="28"/>
  <c r="ES13" i="28" s="1"/>
  <c r="BY13" i="28"/>
  <c r="ER13" i="28" s="1"/>
  <c r="BX13" i="28"/>
  <c r="EQ13" i="28" s="1"/>
  <c r="BW13" i="28"/>
  <c r="EP13" i="28" s="1"/>
  <c r="BV13" i="28"/>
  <c r="EO13" i="28" s="1"/>
  <c r="BS13" i="28"/>
  <c r="EL13" i="28" s="1"/>
  <c r="BR13" i="28"/>
  <c r="EK13" i="28" s="1"/>
  <c r="BQ13" i="28"/>
  <c r="EJ13" i="28" s="1"/>
  <c r="BP13" i="28"/>
  <c r="EI13" i="28" s="1"/>
  <c r="BO13" i="28"/>
  <c r="EH13" i="28" s="1"/>
  <c r="BN13" i="28"/>
  <c r="EG13" i="28" s="1"/>
  <c r="CA12" i="28"/>
  <c r="ET12" i="28" s="1"/>
  <c r="BZ12" i="28"/>
  <c r="ES12" i="28" s="1"/>
  <c r="BY12" i="28"/>
  <c r="ER12" i="28" s="1"/>
  <c r="BX12" i="28"/>
  <c r="EQ12" i="28" s="1"/>
  <c r="BW12" i="28"/>
  <c r="EP12" i="28" s="1"/>
  <c r="BV12" i="28"/>
  <c r="EO12" i="28" s="1"/>
  <c r="BS12" i="28"/>
  <c r="EL12" i="28" s="1"/>
  <c r="BR12" i="28"/>
  <c r="EK12" i="28" s="1"/>
  <c r="BQ12" i="28"/>
  <c r="EJ12" i="28" s="1"/>
  <c r="BP12" i="28"/>
  <c r="EI12" i="28" s="1"/>
  <c r="BO12" i="28"/>
  <c r="EH12" i="28" s="1"/>
  <c r="BN12" i="28"/>
  <c r="EG12" i="28" s="1"/>
  <c r="CA11" i="28"/>
  <c r="ET11" i="28" s="1"/>
  <c r="BZ11" i="28"/>
  <c r="ES11" i="28" s="1"/>
  <c r="BY11" i="28"/>
  <c r="ER11" i="28" s="1"/>
  <c r="BX11" i="28"/>
  <c r="EQ11" i="28" s="1"/>
  <c r="BW11" i="28"/>
  <c r="EP11" i="28" s="1"/>
  <c r="BV11" i="28"/>
  <c r="EO11" i="28" s="1"/>
  <c r="BS11" i="28"/>
  <c r="EL11" i="28" s="1"/>
  <c r="BR11" i="28"/>
  <c r="EK11" i="28" s="1"/>
  <c r="BQ11" i="28"/>
  <c r="EJ11" i="28" s="1"/>
  <c r="BP11" i="28"/>
  <c r="EI11" i="28" s="1"/>
  <c r="BO11" i="28"/>
  <c r="EH11" i="28" s="1"/>
  <c r="BN11" i="28"/>
  <c r="EG11" i="28" s="1"/>
  <c r="CA10" i="28"/>
  <c r="ET10" i="28" s="1"/>
  <c r="BZ10" i="28"/>
  <c r="ES10" i="28" s="1"/>
  <c r="BY10" i="28"/>
  <c r="ER10" i="28" s="1"/>
  <c r="BX10" i="28"/>
  <c r="EQ10" i="28" s="1"/>
  <c r="BW10" i="28"/>
  <c r="EP10" i="28" s="1"/>
  <c r="BV10" i="28"/>
  <c r="EO10" i="28" s="1"/>
  <c r="BS10" i="28"/>
  <c r="EL10" i="28" s="1"/>
  <c r="BR10" i="28"/>
  <c r="EK10" i="28" s="1"/>
  <c r="BQ10" i="28"/>
  <c r="EJ10" i="28" s="1"/>
  <c r="BP10" i="28"/>
  <c r="EI10" i="28" s="1"/>
  <c r="BO10" i="28"/>
  <c r="EH10" i="28" s="1"/>
  <c r="BN10" i="28"/>
  <c r="EG10" i="28" s="1"/>
  <c r="CA9" i="28"/>
  <c r="ET9" i="28" s="1"/>
  <c r="BZ9" i="28"/>
  <c r="ES9" i="28" s="1"/>
  <c r="BY9" i="28"/>
  <c r="ER9" i="28" s="1"/>
  <c r="BX9" i="28"/>
  <c r="EQ9" i="28" s="1"/>
  <c r="BW9" i="28"/>
  <c r="EP9" i="28" s="1"/>
  <c r="BV9" i="28"/>
  <c r="EO9" i="28" s="1"/>
  <c r="BS9" i="28"/>
  <c r="EL9" i="28" s="1"/>
  <c r="BR9" i="28"/>
  <c r="EK9" i="28" s="1"/>
  <c r="BQ9" i="28"/>
  <c r="EJ9" i="28" s="1"/>
  <c r="BP9" i="28"/>
  <c r="EI9" i="28" s="1"/>
  <c r="BO9" i="28"/>
  <c r="EH9" i="28" s="1"/>
  <c r="BN9" i="28"/>
  <c r="EG9" i="28" s="1"/>
  <c r="CA8" i="28"/>
  <c r="ET8" i="28" s="1"/>
  <c r="BZ8" i="28"/>
  <c r="ES8" i="28" s="1"/>
  <c r="BY8" i="28"/>
  <c r="ER8" i="28" s="1"/>
  <c r="BX8" i="28"/>
  <c r="EQ8" i="28" s="1"/>
  <c r="BW8" i="28"/>
  <c r="EP8" i="28" s="1"/>
  <c r="BV8" i="28"/>
  <c r="EO8" i="28" s="1"/>
  <c r="BS8" i="28"/>
  <c r="EL8" i="28" s="1"/>
  <c r="BR8" i="28"/>
  <c r="EK8" i="28" s="1"/>
  <c r="BQ8" i="28"/>
  <c r="EJ8" i="28" s="1"/>
  <c r="BP8" i="28"/>
  <c r="EI8" i="28" s="1"/>
  <c r="BO8" i="28"/>
  <c r="EH8" i="28" s="1"/>
  <c r="BN8" i="28"/>
  <c r="EG8" i="28" s="1"/>
  <c r="CA7" i="28"/>
  <c r="ET7" i="28" s="1"/>
  <c r="BZ7" i="28"/>
  <c r="ES7" i="28" s="1"/>
  <c r="BY7" i="28"/>
  <c r="ER7" i="28" s="1"/>
  <c r="BX7" i="28"/>
  <c r="EQ7" i="28" s="1"/>
  <c r="BW7" i="28"/>
  <c r="EP7" i="28" s="1"/>
  <c r="BV7" i="28"/>
  <c r="EO7" i="28" s="1"/>
  <c r="BS7" i="28"/>
  <c r="EL7" i="28" s="1"/>
  <c r="BR7" i="28"/>
  <c r="EK7" i="28" s="1"/>
  <c r="BQ7" i="28"/>
  <c r="EJ7" i="28" s="1"/>
  <c r="BP7" i="28"/>
  <c r="EI7" i="28" s="1"/>
  <c r="BO7" i="28"/>
  <c r="EH7" i="28" s="1"/>
  <c r="BN7" i="28"/>
  <c r="EG7" i="28" s="1"/>
  <c r="CA6" i="28"/>
  <c r="ET6" i="28" s="1"/>
  <c r="BZ6" i="28"/>
  <c r="ES6" i="28" s="1"/>
  <c r="BY6" i="28"/>
  <c r="ER6" i="28" s="1"/>
  <c r="BX6" i="28"/>
  <c r="EQ6" i="28" s="1"/>
  <c r="BW6" i="28"/>
  <c r="EP6" i="28" s="1"/>
  <c r="BV6" i="28"/>
  <c r="EO6" i="28" s="1"/>
  <c r="BS6" i="28"/>
  <c r="EL6" i="28" s="1"/>
  <c r="BR6" i="28"/>
  <c r="EK6" i="28" s="1"/>
  <c r="BQ6" i="28"/>
  <c r="EJ6" i="28" s="1"/>
  <c r="BP6" i="28"/>
  <c r="EI6" i="28" s="1"/>
  <c r="BO6" i="28"/>
  <c r="EH6" i="28" s="1"/>
  <c r="AM46" i="28"/>
  <c r="AL46" i="28"/>
  <c r="AK46" i="28"/>
  <c r="AJ46" i="28"/>
  <c r="AI46" i="28"/>
  <c r="AH46" i="28"/>
  <c r="AM45" i="28"/>
  <c r="AL45" i="28"/>
  <c r="AK45" i="28"/>
  <c r="AJ45" i="28"/>
  <c r="AI45" i="28"/>
  <c r="AH45" i="28"/>
  <c r="AM44" i="28"/>
  <c r="AL44" i="28"/>
  <c r="AK44" i="28"/>
  <c r="AJ44" i="28"/>
  <c r="AI44" i="28"/>
  <c r="AH44" i="28"/>
  <c r="AM43" i="28"/>
  <c r="AL43" i="28"/>
  <c r="AK43" i="28"/>
  <c r="AJ43" i="28"/>
  <c r="AI43" i="28"/>
  <c r="AH43" i="28"/>
  <c r="AM42" i="28"/>
  <c r="AL42" i="28"/>
  <c r="AK42" i="28"/>
  <c r="AJ42" i="28"/>
  <c r="AI42" i="28"/>
  <c r="AH42" i="28"/>
  <c r="AM41" i="28"/>
  <c r="AL41" i="28"/>
  <c r="AK41" i="28"/>
  <c r="AJ41" i="28"/>
  <c r="AI41" i="28"/>
  <c r="AH41" i="28"/>
  <c r="AM40" i="28"/>
  <c r="AL40" i="28"/>
  <c r="AK40" i="28"/>
  <c r="AJ40" i="28"/>
  <c r="AI40" i="28"/>
  <c r="AH40" i="28"/>
  <c r="AM39" i="28"/>
  <c r="AL39" i="28"/>
  <c r="AK39" i="28"/>
  <c r="AJ39" i="28"/>
  <c r="AI39" i="28"/>
  <c r="AH39" i="28"/>
  <c r="AM38" i="28"/>
  <c r="AL38" i="28"/>
  <c r="AK38" i="28"/>
  <c r="AJ38" i="28"/>
  <c r="AI38" i="28"/>
  <c r="AH38" i="28"/>
  <c r="AM37" i="28"/>
  <c r="AL37" i="28"/>
  <c r="AK37" i="28"/>
  <c r="AJ37" i="28"/>
  <c r="AI37" i="28"/>
  <c r="AH37" i="28"/>
  <c r="AM36" i="28"/>
  <c r="AL36" i="28"/>
  <c r="AK36" i="28"/>
  <c r="AJ36" i="28"/>
  <c r="AI36" i="28"/>
  <c r="AH36" i="28"/>
  <c r="AM35" i="28"/>
  <c r="AL35" i="28"/>
  <c r="AK35" i="28"/>
  <c r="AJ35" i="28"/>
  <c r="AI35" i="28"/>
  <c r="AH35" i="28"/>
  <c r="AM34" i="28"/>
  <c r="AL34" i="28"/>
  <c r="AK34" i="28"/>
  <c r="AJ34" i="28"/>
  <c r="AI34" i="28"/>
  <c r="AH34" i="28"/>
  <c r="AM33" i="28"/>
  <c r="AL33" i="28"/>
  <c r="AK33" i="28"/>
  <c r="AJ33" i="28"/>
  <c r="AI33" i="28"/>
  <c r="AH33" i="28"/>
  <c r="AM32" i="28"/>
  <c r="AL32" i="28"/>
  <c r="AK32" i="28"/>
  <c r="AJ32" i="28"/>
  <c r="AI32" i="28"/>
  <c r="AH32" i="28"/>
  <c r="AM31" i="28"/>
  <c r="AL31" i="28"/>
  <c r="AK31" i="28"/>
  <c r="AJ31" i="28"/>
  <c r="AI31" i="28"/>
  <c r="AH31" i="28"/>
  <c r="AM30" i="28"/>
  <c r="AL30" i="28"/>
  <c r="AK30" i="28"/>
  <c r="AJ30" i="28"/>
  <c r="AI30" i="28"/>
  <c r="AH30" i="28"/>
  <c r="AM29" i="28"/>
  <c r="AL29" i="28"/>
  <c r="AK29" i="28"/>
  <c r="AJ29" i="28"/>
  <c r="AI29" i="28"/>
  <c r="AH29" i="28"/>
  <c r="AM28" i="28"/>
  <c r="AL28" i="28"/>
  <c r="AK28" i="28"/>
  <c r="AJ28" i="28"/>
  <c r="AI28" i="28"/>
  <c r="AH28" i="28"/>
  <c r="AM27" i="28"/>
  <c r="AL27" i="28"/>
  <c r="AK27" i="28"/>
  <c r="AJ27" i="28"/>
  <c r="AI27" i="28"/>
  <c r="AH27" i="28"/>
  <c r="AM26" i="28"/>
  <c r="AL26" i="28"/>
  <c r="AK26" i="28"/>
  <c r="AJ26" i="28"/>
  <c r="AI26" i="28"/>
  <c r="AH26" i="28"/>
  <c r="AM25" i="28"/>
  <c r="AL25" i="28"/>
  <c r="AK25" i="28"/>
  <c r="AJ25" i="28"/>
  <c r="AI25" i="28"/>
  <c r="AH25" i="28"/>
  <c r="AM24" i="28"/>
  <c r="AL24" i="28"/>
  <c r="AK24" i="28"/>
  <c r="AJ24" i="28"/>
  <c r="AI24" i="28"/>
  <c r="AH24" i="28"/>
  <c r="AM23" i="28"/>
  <c r="AL23" i="28"/>
  <c r="AK23" i="28"/>
  <c r="AJ23" i="28"/>
  <c r="AI23" i="28"/>
  <c r="AH23" i="28"/>
  <c r="AM22" i="28"/>
  <c r="AL22" i="28"/>
  <c r="AK22" i="28"/>
  <c r="AJ22" i="28"/>
  <c r="AI22" i="28"/>
  <c r="AH22" i="28"/>
  <c r="AM21" i="28"/>
  <c r="AL21" i="28"/>
  <c r="AK21" i="28"/>
  <c r="AJ21" i="28"/>
  <c r="AI21" i="28"/>
  <c r="AH21" i="28"/>
  <c r="AI20" i="28"/>
  <c r="AJ20" i="28"/>
  <c r="AK20" i="28"/>
  <c r="AL20" i="28"/>
  <c r="AM20" i="28"/>
  <c r="AH20" i="28"/>
  <c r="Z6" i="28"/>
  <c r="AA6" i="28"/>
  <c r="AB6" i="28"/>
  <c r="AC6" i="28"/>
  <c r="AD6" i="28"/>
  <c r="AE6" i="28"/>
  <c r="Z7" i="28"/>
  <c r="AA7" i="28"/>
  <c r="AB7" i="28"/>
  <c r="AC7" i="28"/>
  <c r="AD7" i="28"/>
  <c r="AE7" i="28"/>
  <c r="Z8" i="28"/>
  <c r="AA8" i="28"/>
  <c r="AB8" i="28"/>
  <c r="AC8" i="28"/>
  <c r="AD8" i="28"/>
  <c r="AE8" i="28"/>
  <c r="Z9" i="28"/>
  <c r="AA9" i="28"/>
  <c r="AB9" i="28"/>
  <c r="AC9" i="28"/>
  <c r="AD9" i="28"/>
  <c r="AE9" i="28"/>
  <c r="Z10" i="28"/>
  <c r="AA10" i="28"/>
  <c r="AB10" i="28"/>
  <c r="AC10" i="28"/>
  <c r="AD10" i="28"/>
  <c r="AE10" i="28"/>
  <c r="Z11" i="28"/>
  <c r="AA11" i="28"/>
  <c r="AB11" i="28"/>
  <c r="AC11" i="28"/>
  <c r="AD11" i="28"/>
  <c r="AE11" i="28"/>
  <c r="Z12" i="28"/>
  <c r="AA12" i="28"/>
  <c r="AB12" i="28"/>
  <c r="AC12" i="28"/>
  <c r="AD12" i="28"/>
  <c r="AE12" i="28"/>
  <c r="Z13" i="28"/>
  <c r="AA13" i="28"/>
  <c r="AB13" i="28"/>
  <c r="AC13" i="28"/>
  <c r="AD13" i="28"/>
  <c r="AE13" i="28"/>
  <c r="Z14" i="28"/>
  <c r="AA14" i="28"/>
  <c r="AB14" i="28"/>
  <c r="AC14" i="28"/>
  <c r="AD14" i="28"/>
  <c r="AE14" i="28"/>
  <c r="Z15" i="28"/>
  <c r="AA15" i="28"/>
  <c r="AB15" i="28"/>
  <c r="AC15" i="28"/>
  <c r="AD15" i="28"/>
  <c r="AE15" i="28"/>
  <c r="Z16" i="28"/>
  <c r="AA16" i="28"/>
  <c r="AB16" i="28"/>
  <c r="AC16" i="28"/>
  <c r="AD16" i="28"/>
  <c r="AE16" i="28"/>
  <c r="Z17" i="28"/>
  <c r="AA17" i="28"/>
  <c r="AB17" i="28"/>
  <c r="AC17" i="28"/>
  <c r="AD17" i="28"/>
  <c r="AE17" i="28"/>
  <c r="Z18" i="28"/>
  <c r="AA18" i="28"/>
  <c r="AB18" i="28"/>
  <c r="AC18" i="28"/>
  <c r="AD18" i="28"/>
  <c r="AE18" i="28"/>
  <c r="AA19" i="28"/>
  <c r="DC20" i="28" s="1"/>
  <c r="AB19" i="28"/>
  <c r="DD20" i="28" s="1"/>
  <c r="AC19" i="28"/>
  <c r="AD19" i="28"/>
  <c r="AE19" i="28"/>
  <c r="Z19" i="28"/>
  <c r="DB20" i="28" s="1"/>
  <c r="R6" i="28"/>
  <c r="S6" i="28"/>
  <c r="T6" i="28"/>
  <c r="U6" i="28"/>
  <c r="V6" i="28"/>
  <c r="W6" i="28"/>
  <c r="R7" i="28"/>
  <c r="S7" i="28"/>
  <c r="T7" i="28"/>
  <c r="U7" i="28"/>
  <c r="V7" i="28"/>
  <c r="W7" i="28"/>
  <c r="R8" i="28"/>
  <c r="S8" i="28"/>
  <c r="T8" i="28"/>
  <c r="U8" i="28"/>
  <c r="V8" i="28"/>
  <c r="W8" i="28"/>
  <c r="R9" i="28"/>
  <c r="S9" i="28"/>
  <c r="T9" i="28"/>
  <c r="U9" i="28"/>
  <c r="V9" i="28"/>
  <c r="W9" i="28"/>
  <c r="R10" i="28"/>
  <c r="S10" i="28"/>
  <c r="T10" i="28"/>
  <c r="U10" i="28"/>
  <c r="V10" i="28"/>
  <c r="W10" i="28"/>
  <c r="R11" i="28"/>
  <c r="S11" i="28"/>
  <c r="T11" i="28"/>
  <c r="U11" i="28"/>
  <c r="V11" i="28"/>
  <c r="W11" i="28"/>
  <c r="R12" i="28"/>
  <c r="S12" i="28"/>
  <c r="T12" i="28"/>
  <c r="U12" i="28"/>
  <c r="V12" i="28"/>
  <c r="W12" i="28"/>
  <c r="R13" i="28"/>
  <c r="S13" i="28"/>
  <c r="T13" i="28"/>
  <c r="U13" i="28"/>
  <c r="V13" i="28"/>
  <c r="W13" i="28"/>
  <c r="R14" i="28"/>
  <c r="S14" i="28"/>
  <c r="T14" i="28"/>
  <c r="U14" i="28"/>
  <c r="V14" i="28"/>
  <c r="W14" i="28"/>
  <c r="R15" i="28"/>
  <c r="S15" i="28"/>
  <c r="T15" i="28"/>
  <c r="U15" i="28"/>
  <c r="V15" i="28"/>
  <c r="W15" i="28"/>
  <c r="R16" i="28"/>
  <c r="S16" i="28"/>
  <c r="T16" i="28"/>
  <c r="U16" i="28"/>
  <c r="V16" i="28"/>
  <c r="W16" i="28"/>
  <c r="R17" i="28"/>
  <c r="S17" i="28"/>
  <c r="T17" i="28"/>
  <c r="U17" i="28"/>
  <c r="V17" i="28"/>
  <c r="W17" i="28"/>
  <c r="R18" i="28"/>
  <c r="S18" i="28"/>
  <c r="T18" i="28"/>
  <c r="U18" i="28"/>
  <c r="V18" i="28"/>
  <c r="W18" i="28"/>
  <c r="S19" i="28"/>
  <c r="T19" i="28"/>
  <c r="U19" i="28"/>
  <c r="V19" i="28"/>
  <c r="W19" i="28"/>
  <c r="R19" i="28"/>
  <c r="CT20" i="28" s="1"/>
  <c r="D4" i="7"/>
  <c r="FM36" i="96" l="1"/>
  <c r="FM19" i="96"/>
  <c r="FM38" i="96"/>
  <c r="AU12" i="96"/>
  <c r="FM32" i="96"/>
  <c r="EZ13" i="96"/>
  <c r="FK13" i="96"/>
  <c r="FL13" i="96"/>
  <c r="FK32" i="96"/>
  <c r="FM37" i="96"/>
  <c r="AT12" i="96"/>
  <c r="CX8" i="96"/>
  <c r="FL32" i="96"/>
  <c r="CT12" i="96"/>
  <c r="CT15" i="96"/>
  <c r="CT17" i="96"/>
  <c r="EM47" i="96"/>
  <c r="FL47" i="96" s="1"/>
  <c r="AX9" i="96"/>
  <c r="CY17" i="96"/>
  <c r="AX17" i="96"/>
  <c r="CX9" i="96"/>
  <c r="AY16" i="96"/>
  <c r="EZ22" i="96"/>
  <c r="CT13" i="96"/>
  <c r="CT7" i="96"/>
  <c r="EZ7" i="96"/>
  <c r="FL37" i="96"/>
  <c r="AW15" i="96"/>
  <c r="AY15" i="96"/>
  <c r="CY7" i="96"/>
  <c r="FB52" i="96"/>
  <c r="CV9" i="96"/>
  <c r="CW14" i="96"/>
  <c r="CV15" i="96"/>
  <c r="CU8" i="96"/>
  <c r="FB47" i="96"/>
  <c r="AX12" i="93"/>
  <c r="CX16" i="93"/>
  <c r="FA39" i="96"/>
  <c r="FK22" i="96"/>
  <c r="CW16" i="96"/>
  <c r="CT19" i="96"/>
  <c r="FA7" i="96"/>
  <c r="AT14" i="96"/>
  <c r="AW14" i="96"/>
  <c r="FB48" i="96"/>
  <c r="FK17" i="96"/>
  <c r="FL42" i="96"/>
  <c r="AT10" i="96"/>
  <c r="CW7" i="96"/>
  <c r="EZ41" i="96"/>
  <c r="CT14" i="96"/>
  <c r="AV12" i="96"/>
  <c r="CU12" i="96"/>
  <c r="AY18" i="96"/>
  <c r="CW15" i="96"/>
  <c r="CX7" i="96"/>
  <c r="FA63" i="96"/>
  <c r="EZ23" i="96"/>
  <c r="EZ17" i="96"/>
  <c r="FL17" i="96"/>
  <c r="FA60" i="96"/>
  <c r="EZ64" i="96"/>
  <c r="FA40" i="96"/>
  <c r="FA45" i="96"/>
  <c r="AU18" i="96"/>
  <c r="FB29" i="96"/>
  <c r="AY11" i="96"/>
  <c r="FB54" i="96"/>
  <c r="EZ35" i="96"/>
  <c r="AT11" i="96"/>
  <c r="FA27" i="96"/>
  <c r="FL41" i="96"/>
  <c r="FB39" i="96"/>
  <c r="FK40" i="96"/>
  <c r="FA34" i="96"/>
  <c r="EZ40" i="96"/>
  <c r="FK36" i="96"/>
  <c r="AU15" i="96"/>
  <c r="CU9" i="96"/>
  <c r="EZ63" i="96"/>
  <c r="CU13" i="96"/>
  <c r="CU7" i="96"/>
  <c r="EZ42" i="96"/>
  <c r="FL26" i="96"/>
  <c r="FA15" i="96"/>
  <c r="AX16" i="96"/>
  <c r="FL25" i="96"/>
  <c r="FL16" i="96"/>
  <c r="EZ60" i="96"/>
  <c r="FB53" i="96"/>
  <c r="AV13" i="96"/>
  <c r="AL48" i="93"/>
  <c r="AL49" i="93" s="1"/>
  <c r="AL50" i="93" s="1"/>
  <c r="FB53" i="93"/>
  <c r="AT56" i="93"/>
  <c r="AU56" i="93" s="1"/>
  <c r="AJ48" i="93"/>
  <c r="AK48" i="93"/>
  <c r="AK49" i="93" s="1"/>
  <c r="AK50" i="93" s="1"/>
  <c r="AK51" i="93" s="1"/>
  <c r="AK52" i="93" s="1"/>
  <c r="AK53" i="93" s="1"/>
  <c r="AK54" i="93" s="1"/>
  <c r="AK55" i="93" s="1"/>
  <c r="AI48" i="93"/>
  <c r="AI49" i="93" s="1"/>
  <c r="AI50" i="93" s="1"/>
  <c r="AU51" i="93"/>
  <c r="AV51" i="93" s="1"/>
  <c r="AW51" i="93" s="1"/>
  <c r="AX51" i="93" s="1"/>
  <c r="AY51" i="93" s="1"/>
  <c r="AT57" i="93"/>
  <c r="AU57" i="93" s="1"/>
  <c r="AV57" i="93" s="1"/>
  <c r="AW57" i="93" s="1"/>
  <c r="AX57" i="93" s="1"/>
  <c r="AY57" i="93" s="1"/>
  <c r="AM48" i="93"/>
  <c r="AM49" i="93" s="1"/>
  <c r="AM50" i="93" s="1"/>
  <c r="AW15" i="93"/>
  <c r="AT14" i="93"/>
  <c r="CV14" i="93"/>
  <c r="AY12" i="93"/>
  <c r="DK49" i="93"/>
  <c r="DK50" i="93" s="1"/>
  <c r="DK51" i="93" s="1"/>
  <c r="DK52" i="93" s="1"/>
  <c r="DK53" i="93" s="1"/>
  <c r="DK54" i="93" s="1"/>
  <c r="DK55" i="93" s="1"/>
  <c r="DK56" i="93" s="1"/>
  <c r="DK57" i="93" s="1"/>
  <c r="DK58" i="93" s="1"/>
  <c r="DK59" i="93" s="1"/>
  <c r="DK60" i="93" s="1"/>
  <c r="DK61" i="93" s="1"/>
  <c r="DK62" i="93" s="1"/>
  <c r="DK63" i="93" s="1"/>
  <c r="DK64" i="93" s="1"/>
  <c r="DK65" i="93" s="1"/>
  <c r="DK66" i="93" s="1"/>
  <c r="AT7" i="93"/>
  <c r="AV17" i="93"/>
  <c r="FF60" i="93"/>
  <c r="FE60" i="93"/>
  <c r="DM49" i="93"/>
  <c r="DM50" i="93" s="1"/>
  <c r="DM51" i="93" s="1"/>
  <c r="DM52" i="93" s="1"/>
  <c r="DM53" i="93" s="1"/>
  <c r="DM54" i="93" s="1"/>
  <c r="DM55" i="93" s="1"/>
  <c r="DM56" i="93" s="1"/>
  <c r="DM57" i="93" s="1"/>
  <c r="DM58" i="93" s="1"/>
  <c r="DM59" i="93" s="1"/>
  <c r="DM60" i="93" s="1"/>
  <c r="DM61" i="93" s="1"/>
  <c r="DM62" i="93" s="1"/>
  <c r="DM63" i="93" s="1"/>
  <c r="DM64" i="93" s="1"/>
  <c r="DM65" i="93" s="1"/>
  <c r="DM66" i="93" s="1"/>
  <c r="H45" i="98"/>
  <c r="H46" i="98" s="1"/>
  <c r="H47" i="98" s="1"/>
  <c r="H48" i="98" s="1"/>
  <c r="H49" i="98" s="1"/>
  <c r="H50" i="98" s="1"/>
  <c r="H51" i="98" s="1"/>
  <c r="H52" i="98" s="1"/>
  <c r="H53" i="98" s="1"/>
  <c r="H54" i="98" s="1"/>
  <c r="H55" i="98" s="1"/>
  <c r="H56" i="98" s="1"/>
  <c r="H57" i="98" s="1"/>
  <c r="H58" i="98" s="1"/>
  <c r="H59" i="98" s="1"/>
  <c r="H60" i="98" s="1"/>
  <c r="H61" i="98" s="1"/>
  <c r="H62" i="98" s="1"/>
  <c r="H63" i="98" s="1"/>
  <c r="H64" i="98" s="1"/>
  <c r="J44" i="98"/>
  <c r="I44" i="98"/>
  <c r="I45" i="98" s="1"/>
  <c r="I46" i="98" s="1"/>
  <c r="I47" i="98" s="1"/>
  <c r="I48" i="98" s="1"/>
  <c r="I49" i="98" s="1"/>
  <c r="I50" i="98" s="1"/>
  <c r="I51" i="98" s="1"/>
  <c r="I52" i="98" s="1"/>
  <c r="I53" i="98" s="1"/>
  <c r="I54" i="98" s="1"/>
  <c r="I55" i="98" s="1"/>
  <c r="I56" i="98" s="1"/>
  <c r="I57" i="98" s="1"/>
  <c r="I58" i="98" s="1"/>
  <c r="I59" i="98" s="1"/>
  <c r="I60" i="98" s="1"/>
  <c r="I61" i="98" s="1"/>
  <c r="I62" i="98" s="1"/>
  <c r="I63" i="98" s="1"/>
  <c r="I64" i="98" s="1"/>
  <c r="G45" i="98"/>
  <c r="F45" i="98" s="1"/>
  <c r="W47" i="93"/>
  <c r="CE50" i="96"/>
  <c r="CE51" i="96" s="1"/>
  <c r="CE52" i="96" s="1"/>
  <c r="CC50" i="96"/>
  <c r="CC51" i="96" s="1"/>
  <c r="CA53" i="96"/>
  <c r="CA54" i="96" s="1"/>
  <c r="CE50" i="93"/>
  <c r="CC50" i="93"/>
  <c r="CA51" i="93"/>
  <c r="CA52" i="93" s="1"/>
  <c r="FB56" i="97"/>
  <c r="FA57" i="97"/>
  <c r="ES58" i="97"/>
  <c r="FI51" i="97"/>
  <c r="CU61" i="97"/>
  <c r="DO51" i="97"/>
  <c r="AW58" i="97"/>
  <c r="CV56" i="97"/>
  <c r="FH63" i="97"/>
  <c r="EZ54" i="97"/>
  <c r="AV52" i="97"/>
  <c r="EZ49" i="97"/>
  <c r="EZ50" i="97"/>
  <c r="AX54" i="97"/>
  <c r="FK43" i="97"/>
  <c r="EZ43" i="97"/>
  <c r="CV53" i="97"/>
  <c r="EZ42" i="97"/>
  <c r="FK42" i="97"/>
  <c r="EZ47" i="97"/>
  <c r="EM47" i="97"/>
  <c r="EZ48" i="97"/>
  <c r="EZ40" i="97"/>
  <c r="FK40" i="97"/>
  <c r="FM40" i="97"/>
  <c r="FL43" i="97"/>
  <c r="FM47" i="97"/>
  <c r="EG48" i="97" s="1"/>
  <c r="FK13" i="97"/>
  <c r="CU10" i="97"/>
  <c r="AT8" i="97"/>
  <c r="FF61" i="97"/>
  <c r="CW54" i="97"/>
  <c r="EZ55" i="97"/>
  <c r="AU59" i="97"/>
  <c r="AH59" i="97"/>
  <c r="AH60" i="97" s="1"/>
  <c r="FB49" i="97"/>
  <c r="FB50" i="97"/>
  <c r="AV55" i="97"/>
  <c r="EZ56" i="97"/>
  <c r="AV56" i="97"/>
  <c r="BV47" i="97"/>
  <c r="EZ41" i="97"/>
  <c r="FM41" i="97"/>
  <c r="FK41" i="97"/>
  <c r="DN48" i="97"/>
  <c r="DK48" i="97"/>
  <c r="FL28" i="97"/>
  <c r="FB45" i="97"/>
  <c r="CU17" i="97"/>
  <c r="FL44" i="97"/>
  <c r="FA39" i="97"/>
  <c r="AW7" i="97"/>
  <c r="AY18" i="97"/>
  <c r="FB48" i="97"/>
  <c r="EZ13" i="97"/>
  <c r="AV10" i="97"/>
  <c r="FM13" i="97"/>
  <c r="CT11" i="97"/>
  <c r="AW8" i="97"/>
  <c r="CU59" i="97"/>
  <c r="FA55" i="97"/>
  <c r="CU60" i="97"/>
  <c r="FA56" i="97"/>
  <c r="AQ61" i="97"/>
  <c r="CX55" i="97"/>
  <c r="AV51" i="97"/>
  <c r="FK44" i="97"/>
  <c r="EZ44" i="97"/>
  <c r="EH48" i="97"/>
  <c r="BW49" i="97"/>
  <c r="DM52" i="97"/>
  <c r="CV51" i="97"/>
  <c r="FM42" i="97"/>
  <c r="EZ27" i="97"/>
  <c r="FK27" i="97"/>
  <c r="CV50" i="97"/>
  <c r="AX13" i="97"/>
  <c r="FL41" i="97"/>
  <c r="FA7" i="97"/>
  <c r="FA8" i="97"/>
  <c r="FK45" i="97"/>
  <c r="FK28" i="97"/>
  <c r="AT13" i="97"/>
  <c r="EZ39" i="97"/>
  <c r="FK39" i="97"/>
  <c r="FL27" i="97"/>
  <c r="EZ11" i="97"/>
  <c r="AT10" i="97"/>
  <c r="FM43" i="97"/>
  <c r="CX8" i="97"/>
  <c r="CW11" i="97"/>
  <c r="CH58" i="97"/>
  <c r="CH59" i="97" s="1"/>
  <c r="CH60" i="97" s="1"/>
  <c r="CH61" i="97" s="1"/>
  <c r="CU58" i="97"/>
  <c r="AU60" i="97"/>
  <c r="FA48" i="97"/>
  <c r="AV47" i="97"/>
  <c r="AI47" i="97"/>
  <c r="AI48" i="97" s="1"/>
  <c r="AI49" i="97" s="1"/>
  <c r="AI50" i="97" s="1"/>
  <c r="AI51" i="97" s="1"/>
  <c r="AI52" i="97" s="1"/>
  <c r="AI53" i="97" s="1"/>
  <c r="AI54" i="97" s="1"/>
  <c r="AI55" i="97" s="1"/>
  <c r="AI56" i="97" s="1"/>
  <c r="AI57" i="97" s="1"/>
  <c r="AI58" i="97" s="1"/>
  <c r="DO52" i="97"/>
  <c r="DO54" i="97" s="1"/>
  <c r="EZ37" i="97"/>
  <c r="FK37" i="97"/>
  <c r="ED50" i="97"/>
  <c r="BS51" i="97"/>
  <c r="AV48" i="97"/>
  <c r="CV14" i="97"/>
  <c r="FA38" i="97"/>
  <c r="FM28" i="97"/>
  <c r="CU16" i="97"/>
  <c r="CU7" i="97"/>
  <c r="DJ50" i="97"/>
  <c r="FB39" i="97"/>
  <c r="FM27" i="97"/>
  <c r="AW10" i="97"/>
  <c r="EZ9" i="97"/>
  <c r="CX16" i="97"/>
  <c r="AY20" i="97"/>
  <c r="CX12" i="97"/>
  <c r="CY52" i="97"/>
  <c r="EZ57" i="97"/>
  <c r="FB53" i="97"/>
  <c r="EZ52" i="97"/>
  <c r="CV49" i="97"/>
  <c r="FA41" i="97"/>
  <c r="FA42" i="97"/>
  <c r="AW50" i="97"/>
  <c r="FB37" i="97"/>
  <c r="AW14" i="97"/>
  <c r="EZ38" i="97"/>
  <c r="FK38" i="97"/>
  <c r="CU19" i="97"/>
  <c r="CU20" i="97"/>
  <c r="AV16" i="97"/>
  <c r="EZ36" i="97"/>
  <c r="FK36" i="97"/>
  <c r="AT20" i="97"/>
  <c r="AT19" i="97"/>
  <c r="FM37" i="97"/>
  <c r="AY10" i="97"/>
  <c r="DN49" i="97"/>
  <c r="AY16" i="97"/>
  <c r="AU11" i="97"/>
  <c r="CV10" i="97"/>
  <c r="DO53" i="97"/>
  <c r="CU15" i="97"/>
  <c r="AX8" i="97"/>
  <c r="AU9" i="97"/>
  <c r="CX20" i="97"/>
  <c r="CX19" i="97"/>
  <c r="CY11" i="97"/>
  <c r="CY9" i="97"/>
  <c r="AW11" i="97"/>
  <c r="FL13" i="97"/>
  <c r="CV48" i="97"/>
  <c r="AV57" i="97"/>
  <c r="AV49" i="97"/>
  <c r="CV57" i="97"/>
  <c r="CI47" i="97"/>
  <c r="CA47" i="97" s="1"/>
  <c r="FQ47" i="97" s="1"/>
  <c r="CV47" i="97"/>
  <c r="BU50" i="97"/>
  <c r="EF49" i="97"/>
  <c r="CQ62" i="97"/>
  <c r="AV53" i="97"/>
  <c r="AX18" i="97"/>
  <c r="AX17" i="97"/>
  <c r="AV19" i="97"/>
  <c r="AV15" i="97"/>
  <c r="FL42" i="97"/>
  <c r="AT17" i="97"/>
  <c r="DL49" i="97"/>
  <c r="AV20" i="97"/>
  <c r="CX15" i="97"/>
  <c r="CU8" i="97"/>
  <c r="CV12" i="97"/>
  <c r="FL36" i="96"/>
  <c r="FA26" i="96"/>
  <c r="AT17" i="96"/>
  <c r="AX11" i="96"/>
  <c r="CX13" i="96"/>
  <c r="AY14" i="96"/>
  <c r="AY8" i="96"/>
  <c r="CU14" i="96"/>
  <c r="FA55" i="96"/>
  <c r="FB51" i="96"/>
  <c r="AW11" i="96"/>
  <c r="FK46" i="96"/>
  <c r="FL31" i="96"/>
  <c r="EZ36" i="96"/>
  <c r="EZ27" i="96"/>
  <c r="AV10" i="96"/>
  <c r="CX14" i="96"/>
  <c r="EZ21" i="96"/>
  <c r="FL23" i="96"/>
  <c r="FA36" i="96"/>
  <c r="FB30" i="96"/>
  <c r="FL27" i="96"/>
  <c r="FK25" i="96"/>
  <c r="FB12" i="96"/>
  <c r="AV14" i="96"/>
  <c r="CV11" i="96"/>
  <c r="AY17" i="96"/>
  <c r="AU9" i="96"/>
  <c r="AV9" i="96"/>
  <c r="FL22" i="96"/>
  <c r="FK18" i="96"/>
  <c r="FL15" i="96"/>
  <c r="FB65" i="93"/>
  <c r="FB65" i="96"/>
  <c r="FA35" i="96"/>
  <c r="AI47" i="96"/>
  <c r="AI48" i="96" s="1"/>
  <c r="AI49" i="96" s="1"/>
  <c r="AI50" i="96" s="1"/>
  <c r="AI51" i="96" s="1"/>
  <c r="AI52" i="96" s="1"/>
  <c r="AI53" i="96" s="1"/>
  <c r="AI54" i="96" s="1"/>
  <c r="AI55" i="96" s="1"/>
  <c r="AI56" i="96" s="1"/>
  <c r="AI57" i="96" s="1"/>
  <c r="FA38" i="96"/>
  <c r="FL29" i="96"/>
  <c r="EZ18" i="96"/>
  <c r="FA41" i="96"/>
  <c r="FK15" i="96"/>
  <c r="FB10" i="96"/>
  <c r="AX7" i="96"/>
  <c r="CY8" i="96"/>
  <c r="EZ8" i="96"/>
  <c r="FA64" i="96"/>
  <c r="FL18" i="96"/>
  <c r="CV8" i="96"/>
  <c r="FK41" i="96"/>
  <c r="AX18" i="96"/>
  <c r="AU8" i="96"/>
  <c r="FL21" i="96"/>
  <c r="EZ65" i="96"/>
  <c r="FA59" i="96"/>
  <c r="CV19" i="96"/>
  <c r="FL39" i="96"/>
  <c r="AX12" i="96"/>
  <c r="FA56" i="96"/>
  <c r="AU16" i="96"/>
  <c r="CY15" i="96"/>
  <c r="AU7" i="96"/>
  <c r="AT18" i="96"/>
  <c r="AV15" i="96"/>
  <c r="AT15" i="96"/>
  <c r="FA49" i="96"/>
  <c r="FK37" i="96"/>
  <c r="FA37" i="96"/>
  <c r="FK31" i="96"/>
  <c r="CV12" i="96"/>
  <c r="FL38" i="96"/>
  <c r="FK21" i="96"/>
  <c r="CW18" i="96"/>
  <c r="AX10" i="96"/>
  <c r="FL14" i="96"/>
  <c r="EZ25" i="96"/>
  <c r="CY10" i="96"/>
  <c r="AU13" i="96"/>
  <c r="FB38" i="96"/>
  <c r="FK35" i="96"/>
  <c r="FK44" i="96"/>
  <c r="FK23" i="96"/>
  <c r="AU17" i="96"/>
  <c r="AT13" i="96"/>
  <c r="EZ45" i="96"/>
  <c r="EM48" i="96"/>
  <c r="T47" i="96"/>
  <c r="FB55" i="96"/>
  <c r="FB56" i="96"/>
  <c r="CU17" i="96"/>
  <c r="AU58" i="96"/>
  <c r="AH58" i="96"/>
  <c r="AH59" i="96" s="1"/>
  <c r="CV51" i="96"/>
  <c r="AW57" i="96"/>
  <c r="EZ39" i="96"/>
  <c r="EZ38" i="96"/>
  <c r="FK38" i="96"/>
  <c r="FK39" i="96"/>
  <c r="CV48" i="96"/>
  <c r="FA18" i="96"/>
  <c r="FA17" i="96"/>
  <c r="FA21" i="96"/>
  <c r="CW11" i="96"/>
  <c r="AY12" i="96"/>
  <c r="AY13" i="96"/>
  <c r="AY9" i="96"/>
  <c r="AY10" i="96"/>
  <c r="CW17" i="96"/>
  <c r="AX13" i="96"/>
  <c r="AV8" i="96"/>
  <c r="CV16" i="96"/>
  <c r="EZ14" i="96"/>
  <c r="FK14" i="96"/>
  <c r="EZ15" i="96"/>
  <c r="CY9" i="96"/>
  <c r="CH58" i="96"/>
  <c r="CH59" i="96" s="1"/>
  <c r="CH60" i="96" s="1"/>
  <c r="CH61" i="96" s="1"/>
  <c r="CU58" i="96"/>
  <c r="FK34" i="96"/>
  <c r="EZ34" i="96"/>
  <c r="AV56" i="96"/>
  <c r="FL30" i="96"/>
  <c r="FK30" i="96"/>
  <c r="EZ30" i="96"/>
  <c r="AW47" i="96"/>
  <c r="AJ47" i="96"/>
  <c r="AV48" i="96"/>
  <c r="FA32" i="96"/>
  <c r="FA23" i="96"/>
  <c r="EZ31" i="96"/>
  <c r="CV52" i="96"/>
  <c r="AW16" i="96"/>
  <c r="FK16" i="96"/>
  <c r="EZ16" i="96"/>
  <c r="AV11" i="96"/>
  <c r="FA14" i="96"/>
  <c r="FB8" i="96"/>
  <c r="FB11" i="96"/>
  <c r="CW56" i="96"/>
  <c r="FA44" i="96"/>
  <c r="FB24" i="96"/>
  <c r="FB25" i="96"/>
  <c r="AY20" i="96"/>
  <c r="AY19" i="96"/>
  <c r="EZ29" i="96"/>
  <c r="CX15" i="96"/>
  <c r="EZ33" i="96"/>
  <c r="FL33" i="96"/>
  <c r="FK33" i="96"/>
  <c r="CX19" i="96"/>
  <c r="CW8" i="96"/>
  <c r="CW19" i="96"/>
  <c r="FA16" i="96"/>
  <c r="AX15" i="96"/>
  <c r="CU10" i="96"/>
  <c r="FB15" i="96"/>
  <c r="FB14" i="96"/>
  <c r="CT8" i="96"/>
  <c r="CW9" i="96"/>
  <c r="EZ49" i="96"/>
  <c r="EZ48" i="96"/>
  <c r="AW9" i="96"/>
  <c r="AW10" i="96"/>
  <c r="AV19" i="96"/>
  <c r="FF61" i="96"/>
  <c r="FE61" i="96" s="1"/>
  <c r="EZ53" i="96"/>
  <c r="CV57" i="96"/>
  <c r="FL44" i="96"/>
  <c r="EZ44" i="96"/>
  <c r="FL35" i="96"/>
  <c r="CV50" i="96"/>
  <c r="EZ28" i="96"/>
  <c r="FK28" i="96"/>
  <c r="FB20" i="96"/>
  <c r="FB49" i="96"/>
  <c r="AW51" i="96"/>
  <c r="FL28" i="96"/>
  <c r="FK20" i="96"/>
  <c r="FK29" i="96"/>
  <c r="CY14" i="96"/>
  <c r="AU19" i="96"/>
  <c r="AU20" i="96"/>
  <c r="CY18" i="96"/>
  <c r="AT19" i="96"/>
  <c r="CX16" i="96"/>
  <c r="FA30" i="96"/>
  <c r="FA10" i="96"/>
  <c r="FA8" i="96"/>
  <c r="AX8" i="96"/>
  <c r="CU59" i="96"/>
  <c r="AV53" i="96"/>
  <c r="FH60" i="96"/>
  <c r="AQ60" i="96"/>
  <c r="AP60" i="96" s="1"/>
  <c r="AT60" i="96" s="1"/>
  <c r="EZ52" i="96"/>
  <c r="EZ57" i="96"/>
  <c r="CV54" i="96"/>
  <c r="FB58" i="96"/>
  <c r="AW54" i="96"/>
  <c r="FB32" i="96"/>
  <c r="FB31" i="96"/>
  <c r="CU60" i="96"/>
  <c r="FK45" i="96"/>
  <c r="AW20" i="96"/>
  <c r="FL19" i="96"/>
  <c r="FK26" i="96"/>
  <c r="FK27" i="96"/>
  <c r="EZ26" i="96"/>
  <c r="AW17" i="96"/>
  <c r="AX20" i="96"/>
  <c r="AX19" i="96"/>
  <c r="CW13" i="96"/>
  <c r="CW12" i="96"/>
  <c r="CT16" i="96"/>
  <c r="FI59" i="96"/>
  <c r="EZ56" i="96"/>
  <c r="EZ51" i="96"/>
  <c r="CV55" i="96"/>
  <c r="AV55" i="96"/>
  <c r="CV47" i="96"/>
  <c r="CI47" i="96"/>
  <c r="BS47" i="96" s="1"/>
  <c r="ED47" i="96" s="1"/>
  <c r="FK43" i="96"/>
  <c r="EZ43" i="96"/>
  <c r="FL34" i="96"/>
  <c r="FL43" i="96"/>
  <c r="CU61" i="96"/>
  <c r="AV49" i="96"/>
  <c r="CT18" i="96"/>
  <c r="FL20" i="96"/>
  <c r="AU10" i="96"/>
  <c r="AU11" i="96"/>
  <c r="CT11" i="96"/>
  <c r="CU11" i="96"/>
  <c r="EZ58" i="96"/>
  <c r="EZ59" i="96"/>
  <c r="EZ50" i="96"/>
  <c r="AU59" i="96"/>
  <c r="AW52" i="96"/>
  <c r="CV53" i="96"/>
  <c r="FA50" i="96"/>
  <c r="CQ62" i="96"/>
  <c r="CP62" i="96" s="1"/>
  <c r="CT62" i="96" s="1"/>
  <c r="CV49" i="96"/>
  <c r="FK19" i="96"/>
  <c r="EZ19" i="96"/>
  <c r="EZ20" i="96"/>
  <c r="FB34" i="96"/>
  <c r="FB35" i="96"/>
  <c r="CU18" i="96"/>
  <c r="CU19" i="96"/>
  <c r="CX12" i="96"/>
  <c r="AV17" i="96"/>
  <c r="CY11" i="96"/>
  <c r="CY12" i="96"/>
  <c r="AV7" i="96"/>
  <c r="AX14" i="93"/>
  <c r="CX12" i="93"/>
  <c r="AX10" i="93"/>
  <c r="CY15" i="93"/>
  <c r="AY18" i="93"/>
  <c r="CU14" i="93"/>
  <c r="CI48" i="93"/>
  <c r="BS48" i="93" s="1"/>
  <c r="ED48" i="93" s="1"/>
  <c r="AV18" i="93"/>
  <c r="AT9" i="93"/>
  <c r="CX10" i="93"/>
  <c r="FB48" i="93"/>
  <c r="CK48" i="93"/>
  <c r="CW7" i="93"/>
  <c r="CT13" i="93"/>
  <c r="CY9" i="93"/>
  <c r="FB59" i="93"/>
  <c r="CJ48" i="93"/>
  <c r="CM48" i="93"/>
  <c r="BW48" i="93" s="1"/>
  <c r="EH48" i="93" s="1"/>
  <c r="AJ49" i="93"/>
  <c r="AJ50" i="93" s="1"/>
  <c r="CP58" i="93"/>
  <c r="CT58" i="93" s="1"/>
  <c r="CU58" i="93" s="1"/>
  <c r="CV58" i="93" s="1"/>
  <c r="CW58" i="93" s="1"/>
  <c r="CX58" i="93" s="1"/>
  <c r="CY58" i="93" s="1"/>
  <c r="AT12" i="93"/>
  <c r="FA65" i="93"/>
  <c r="AW13" i="93"/>
  <c r="AT8" i="93"/>
  <c r="AY7" i="93"/>
  <c r="CT11" i="93"/>
  <c r="AX18" i="93"/>
  <c r="CY17" i="93"/>
  <c r="FU47" i="93"/>
  <c r="FS47" i="93"/>
  <c r="EZ51" i="93"/>
  <c r="CP59" i="93"/>
  <c r="CT59" i="93" s="1"/>
  <c r="CU59" i="93" s="1"/>
  <c r="CV59" i="93" s="1"/>
  <c r="CW59" i="93" s="1"/>
  <c r="CX59" i="93" s="1"/>
  <c r="CY59" i="93" s="1"/>
  <c r="AY15" i="93"/>
  <c r="AU11" i="93"/>
  <c r="AX8" i="93"/>
  <c r="AW10" i="93"/>
  <c r="AU14" i="93"/>
  <c r="AW17" i="93"/>
  <c r="AU18" i="93"/>
  <c r="CU8" i="93"/>
  <c r="AU8" i="93"/>
  <c r="CW8" i="93"/>
  <c r="AV11" i="93"/>
  <c r="CU17" i="93"/>
  <c r="AV7" i="93"/>
  <c r="CW18" i="93"/>
  <c r="AV14" i="93"/>
  <c r="FA60" i="93"/>
  <c r="CY18" i="93"/>
  <c r="CX17" i="93"/>
  <c r="CT14" i="93"/>
  <c r="AT19" i="93"/>
  <c r="CV8" i="93"/>
  <c r="AT16" i="93"/>
  <c r="CV11" i="93"/>
  <c r="CW14" i="93"/>
  <c r="AW11" i="93"/>
  <c r="AV9" i="93"/>
  <c r="CT8" i="93"/>
  <c r="CY13" i="93"/>
  <c r="CX8" i="93"/>
  <c r="CY12" i="93"/>
  <c r="AV15" i="93"/>
  <c r="CT7" i="93"/>
  <c r="CV17" i="93"/>
  <c r="AY8" i="93"/>
  <c r="AX19" i="93"/>
  <c r="AW7" i="93"/>
  <c r="AT18" i="93"/>
  <c r="CT15" i="93"/>
  <c r="AV19" i="93"/>
  <c r="FB49" i="93"/>
  <c r="CX19" i="93"/>
  <c r="AX20" i="93"/>
  <c r="AH48" i="93"/>
  <c r="AY20" i="93"/>
  <c r="CT16" i="93"/>
  <c r="CV7" i="93"/>
  <c r="AU7" i="93"/>
  <c r="CU10" i="93"/>
  <c r="CX14" i="93"/>
  <c r="AV13" i="93"/>
  <c r="CV16" i="93"/>
  <c r="AX7" i="93"/>
  <c r="CT17" i="93"/>
  <c r="FQ48" i="93"/>
  <c r="CY19" i="93"/>
  <c r="AY13" i="93"/>
  <c r="AY16" i="93"/>
  <c r="AU10" i="93"/>
  <c r="AT11" i="93"/>
  <c r="AW9" i="93"/>
  <c r="AW19" i="93"/>
  <c r="CY16" i="93"/>
  <c r="CW19" i="93"/>
  <c r="AW12" i="93"/>
  <c r="AV10" i="93"/>
  <c r="CT10" i="93"/>
  <c r="CW12" i="93"/>
  <c r="CU18" i="93"/>
  <c r="CT18" i="93"/>
  <c r="AT15" i="93"/>
  <c r="CW17" i="93"/>
  <c r="AX17" i="93"/>
  <c r="FQ47" i="93"/>
  <c r="CY20" i="93"/>
  <c r="AY10" i="93"/>
  <c r="AW16" i="93"/>
  <c r="CV9" i="93"/>
  <c r="AX13" i="93"/>
  <c r="CW11" i="93"/>
  <c r="AU12" i="93"/>
  <c r="CT12" i="93"/>
  <c r="CY14" i="93"/>
  <c r="AX9" i="93"/>
  <c r="AY17" i="93"/>
  <c r="CX9" i="93"/>
  <c r="CU20" i="93"/>
  <c r="AW20" i="93"/>
  <c r="AU19" i="93"/>
  <c r="AU20" i="93"/>
  <c r="CU15" i="93"/>
  <c r="CV18" i="93"/>
  <c r="CV19" i="93"/>
  <c r="CV15" i="93"/>
  <c r="CT9" i="93"/>
  <c r="CU9" i="93"/>
  <c r="CW15" i="93"/>
  <c r="AT13" i="93"/>
  <c r="CX15" i="93"/>
  <c r="AW8" i="93"/>
  <c r="AT20" i="93"/>
  <c r="CL48" i="93"/>
  <c r="CT19" i="93"/>
  <c r="CT20" i="93"/>
  <c r="CX18" i="93"/>
  <c r="AW18" i="93"/>
  <c r="AX15" i="93"/>
  <c r="CX11" i="93"/>
  <c r="AV8" i="93"/>
  <c r="AT10" i="93"/>
  <c r="CY8" i="93"/>
  <c r="AV16" i="93"/>
  <c r="CU13" i="93"/>
  <c r="CU11" i="93"/>
  <c r="CX20" i="93"/>
  <c r="AX16" i="93"/>
  <c r="CW9" i="93"/>
  <c r="CV12" i="93"/>
  <c r="CX13" i="93"/>
  <c r="AU17" i="93"/>
  <c r="CW10" i="93"/>
  <c r="CU16" i="93"/>
  <c r="CU7" i="93"/>
  <c r="AU9" i="93"/>
  <c r="CV13" i="93"/>
  <c r="AW14" i="93"/>
  <c r="AX11" i="93"/>
  <c r="CV10" i="93"/>
  <c r="AU15" i="93"/>
  <c r="AY11" i="93"/>
  <c r="FU48" i="93"/>
  <c r="CV20" i="93"/>
  <c r="AV20" i="93"/>
  <c r="EZ52" i="93"/>
  <c r="CP60" i="93"/>
  <c r="CT60" i="93" s="1"/>
  <c r="CU60" i="93" s="1"/>
  <c r="CV60" i="93" s="1"/>
  <c r="CW60" i="93" s="1"/>
  <c r="CX60" i="93" s="1"/>
  <c r="CY60" i="93" s="1"/>
  <c r="FB60" i="93"/>
  <c r="FA56" i="93"/>
  <c r="FB58" i="93"/>
  <c r="CP63" i="93"/>
  <c r="CT63" i="93" s="1"/>
  <c r="CU63" i="93" s="1"/>
  <c r="CV63" i="93" s="1"/>
  <c r="CW63" i="93" s="1"/>
  <c r="CX63" i="93" s="1"/>
  <c r="CY63" i="93" s="1"/>
  <c r="FB57" i="93"/>
  <c r="AQ59" i="93"/>
  <c r="AP59" i="93" s="1"/>
  <c r="FB64" i="93"/>
  <c r="FB56" i="93"/>
  <c r="EZ48" i="93"/>
  <c r="CQ64" i="93"/>
  <c r="CP64" i="93" s="1"/>
  <c r="CT64" i="93" s="1"/>
  <c r="CU64" i="93" s="1"/>
  <c r="CV64" i="93" s="1"/>
  <c r="CW64" i="93" s="1"/>
  <c r="CX64" i="93" s="1"/>
  <c r="CY64" i="93" s="1"/>
  <c r="CP61" i="93"/>
  <c r="CT61" i="93" s="1"/>
  <c r="CU61" i="93" s="1"/>
  <c r="CV61" i="93" s="1"/>
  <c r="CW61" i="93" s="1"/>
  <c r="CX61" i="93" s="1"/>
  <c r="CY61" i="93" s="1"/>
  <c r="EZ49" i="93"/>
  <c r="CP62" i="93"/>
  <c r="CT62" i="93" s="1"/>
  <c r="CU62" i="93" s="1"/>
  <c r="CV62" i="93" s="1"/>
  <c r="CW62" i="93" s="1"/>
  <c r="CX62" i="93" s="1"/>
  <c r="CY62" i="93" s="1"/>
  <c r="CP57" i="93"/>
  <c r="CT57" i="93" s="1"/>
  <c r="CU57" i="93" s="1"/>
  <c r="CV57" i="93" s="1"/>
  <c r="CW57" i="93" s="1"/>
  <c r="CX57" i="93" s="1"/>
  <c r="CY57" i="93" s="1"/>
  <c r="FL44" i="93"/>
  <c r="FI59" i="93"/>
  <c r="EZ37" i="93"/>
  <c r="FL37" i="93"/>
  <c r="EZ63" i="93"/>
  <c r="FA50" i="93"/>
  <c r="EZ36" i="93"/>
  <c r="FM36" i="93"/>
  <c r="FH60" i="93"/>
  <c r="FG60" i="93" s="1"/>
  <c r="FB35" i="93"/>
  <c r="FL36" i="93"/>
  <c r="FB55" i="93"/>
  <c r="EZ57" i="93"/>
  <c r="EZ58" i="93"/>
  <c r="FA61" i="93"/>
  <c r="EZ47" i="93"/>
  <c r="FL13" i="93"/>
  <c r="FB12" i="93"/>
  <c r="FB61" i="93"/>
  <c r="FA32" i="93"/>
  <c r="FA66" i="93"/>
  <c r="FB54" i="93"/>
  <c r="EZ50" i="93"/>
  <c r="FA51" i="93"/>
  <c r="FA54" i="93"/>
  <c r="FB62" i="93"/>
  <c r="FA55" i="93"/>
  <c r="FA62" i="93"/>
  <c r="FA59" i="93"/>
  <c r="FB63" i="93"/>
  <c r="FA63" i="93"/>
  <c r="FA35" i="93"/>
  <c r="FL26" i="93"/>
  <c r="FA46" i="93"/>
  <c r="FA30" i="93"/>
  <c r="EZ26" i="93"/>
  <c r="FL30" i="93"/>
  <c r="FM42" i="93"/>
  <c r="FB13" i="93"/>
  <c r="FA21" i="93"/>
  <c r="EZ45" i="93"/>
  <c r="FM43" i="93"/>
  <c r="FA26" i="93"/>
  <c r="FA19" i="93"/>
  <c r="FM40" i="93"/>
  <c r="FL43" i="93"/>
  <c r="FM45" i="93"/>
  <c r="FK29" i="93"/>
  <c r="EZ13" i="93"/>
  <c r="FL45" i="93"/>
  <c r="FK45" i="93"/>
  <c r="FM23" i="93"/>
  <c r="FM44" i="93"/>
  <c r="FB14" i="93"/>
  <c r="FB30" i="93"/>
  <c r="EZ14" i="93"/>
  <c r="FM13" i="93"/>
  <c r="FL14" i="93"/>
  <c r="FB29" i="93"/>
  <c r="EZ22" i="93"/>
  <c r="FB23" i="93"/>
  <c r="FA40" i="93"/>
  <c r="FL22" i="93"/>
  <c r="FA45" i="93"/>
  <c r="FA15" i="93"/>
  <c r="FL19" i="93"/>
  <c r="FA11" i="93"/>
  <c r="FK34" i="93"/>
  <c r="FK37" i="93"/>
  <c r="FL15" i="93"/>
  <c r="FL34" i="93"/>
  <c r="EZ33" i="93"/>
  <c r="FM15" i="93"/>
  <c r="FM16" i="93"/>
  <c r="FB15" i="93"/>
  <c r="FK39" i="93"/>
  <c r="FM34" i="93"/>
  <c r="FK31" i="93"/>
  <c r="FK15" i="93"/>
  <c r="FK22" i="93"/>
  <c r="FM21" i="93"/>
  <c r="FK44" i="93"/>
  <c r="FK26" i="93"/>
  <c r="FB33" i="93"/>
  <c r="FB7" i="93"/>
  <c r="FB27" i="93"/>
  <c r="FB38" i="93"/>
  <c r="FA38" i="93"/>
  <c r="FL31" i="93"/>
  <c r="FB28" i="93"/>
  <c r="FL21" i="93"/>
  <c r="FK36" i="93"/>
  <c r="EZ21" i="93"/>
  <c r="FA12" i="93"/>
  <c r="EZ20" i="93"/>
  <c r="FL20" i="93"/>
  <c r="FA37" i="93"/>
  <c r="FK35" i="93"/>
  <c r="FK14" i="93"/>
  <c r="FM20" i="93"/>
  <c r="FB21" i="93"/>
  <c r="FB20" i="93"/>
  <c r="FA43" i="93"/>
  <c r="FA24" i="93"/>
  <c r="FB10" i="93"/>
  <c r="FA31" i="93"/>
  <c r="FB11" i="93"/>
  <c r="FL32" i="93"/>
  <c r="FA42" i="93"/>
  <c r="FL41" i="93"/>
  <c r="FK21" i="93"/>
  <c r="FM22" i="93"/>
  <c r="FK20" i="93"/>
  <c r="FA44" i="93"/>
  <c r="FK43" i="93"/>
  <c r="FK42" i="93"/>
  <c r="FL39" i="93"/>
  <c r="FL42" i="93"/>
  <c r="FA36" i="93"/>
  <c r="FL33" i="93"/>
  <c r="FB17" i="93"/>
  <c r="FL23" i="93"/>
  <c r="EZ12" i="93"/>
  <c r="FA29" i="93"/>
  <c r="FA28" i="93"/>
  <c r="FM18" i="93"/>
  <c r="FA39" i="93"/>
  <c r="FM24" i="93"/>
  <c r="EZ24" i="93"/>
  <c r="FK24" i="93"/>
  <c r="FB44" i="93"/>
  <c r="EZ41" i="93"/>
  <c r="FM41" i="93"/>
  <c r="EZ42" i="93"/>
  <c r="FK41" i="93"/>
  <c r="EZ30" i="93"/>
  <c r="FK30" i="93"/>
  <c r="FM31" i="93"/>
  <c r="FB31" i="93"/>
  <c r="EZ18" i="93"/>
  <c r="FK18" i="93"/>
  <c r="EZ19" i="93"/>
  <c r="FL17" i="93"/>
  <c r="EZ7" i="93"/>
  <c r="FM39" i="93"/>
  <c r="FL27" i="93"/>
  <c r="FL25" i="93"/>
  <c r="FB25" i="93"/>
  <c r="FM17" i="93"/>
  <c r="FK19" i="93"/>
  <c r="FA33" i="93"/>
  <c r="FA34" i="93"/>
  <c r="FL29" i="93"/>
  <c r="EZ31" i="93"/>
  <c r="EZ23" i="93"/>
  <c r="FK23" i="93"/>
  <c r="FL18" i="93"/>
  <c r="EZ9" i="93"/>
  <c r="EZ10" i="93"/>
  <c r="FA41" i="93"/>
  <c r="EZ38" i="93"/>
  <c r="FM38" i="93"/>
  <c r="FK38" i="93"/>
  <c r="FL38" i="93"/>
  <c r="EZ29" i="93"/>
  <c r="FK33" i="93"/>
  <c r="EZ25" i="93"/>
  <c r="EZ16" i="93"/>
  <c r="FK17" i="93"/>
  <c r="EZ17" i="93"/>
  <c r="FK16" i="93"/>
  <c r="FL16" i="93"/>
  <c r="FB18" i="93"/>
  <c r="FB19" i="93"/>
  <c r="FK40" i="93"/>
  <c r="EZ40" i="93"/>
  <c r="EZ46" i="93"/>
  <c r="FM47" i="93"/>
  <c r="FL46" i="93"/>
  <c r="EM47" i="93" s="1"/>
  <c r="FB36" i="93"/>
  <c r="FM33" i="93"/>
  <c r="EZ28" i="93"/>
  <c r="FM28" i="93"/>
  <c r="FL28" i="93"/>
  <c r="FK28" i="93"/>
  <c r="FM29" i="93"/>
  <c r="FK25" i="93"/>
  <c r="FA17" i="93"/>
  <c r="FA16" i="93"/>
  <c r="FL24" i="93"/>
  <c r="FA9" i="93"/>
  <c r="FA8" i="93"/>
  <c r="FL40" i="93"/>
  <c r="FM25" i="93"/>
  <c r="EZ39" i="93"/>
  <c r="EZ8" i="93"/>
  <c r="FM19" i="93"/>
  <c r="EZ27" i="93"/>
  <c r="FM27" i="93"/>
  <c r="FK27" i="93"/>
  <c r="EZ32" i="93"/>
  <c r="FK32" i="93"/>
  <c r="FM32" i="93"/>
  <c r="FB9" i="93"/>
  <c r="FB8" i="93"/>
  <c r="GE13" i="28"/>
  <c r="GE14" i="28"/>
  <c r="GC26" i="28"/>
  <c r="GC22" i="28"/>
  <c r="FS18" i="28"/>
  <c r="FR34" i="28"/>
  <c r="FS20" i="28"/>
  <c r="FQ34" i="28"/>
  <c r="GE35" i="28" s="1"/>
  <c r="FQ26" i="28"/>
  <c r="GE27" i="28" s="1"/>
  <c r="FS44" i="28"/>
  <c r="FS26" i="28"/>
  <c r="FV26" i="28" s="1"/>
  <c r="FR10" i="28"/>
  <c r="FU10" i="28" s="1"/>
  <c r="FT20" i="28"/>
  <c r="FV19" i="28"/>
  <c r="FV35" i="28"/>
  <c r="FS16" i="28"/>
  <c r="FV17" i="28" s="1"/>
  <c r="FS42" i="28"/>
  <c r="FV42" i="28" s="1"/>
  <c r="FV25" i="28"/>
  <c r="FR8" i="28"/>
  <c r="FU27" i="28"/>
  <c r="FT25" i="28"/>
  <c r="FT17" i="28"/>
  <c r="FS8" i="28"/>
  <c r="FV9" i="28" s="1"/>
  <c r="FT45" i="28"/>
  <c r="FT37" i="28"/>
  <c r="FU41" i="28"/>
  <c r="FT33" i="28"/>
  <c r="FT12" i="28"/>
  <c r="FT41" i="28"/>
  <c r="FU35" i="28"/>
  <c r="FS32" i="28"/>
  <c r="FV32" i="28" s="1"/>
  <c r="FR24" i="28"/>
  <c r="FU25" i="28" s="1"/>
  <c r="FR16" i="28"/>
  <c r="FU16" i="28" s="1"/>
  <c r="FV10" i="28"/>
  <c r="FS40" i="28"/>
  <c r="FV41" i="28" s="1"/>
  <c r="FR32" i="28"/>
  <c r="FU32" i="28" s="1"/>
  <c r="FS7" i="28"/>
  <c r="FV7" i="28" s="1"/>
  <c r="FQ6" i="28"/>
  <c r="FT7" i="28" s="1"/>
  <c r="FS23" i="28"/>
  <c r="FV24" i="28" s="1"/>
  <c r="FU18" i="28"/>
  <c r="FS15" i="28"/>
  <c r="FT10" i="28"/>
  <c r="FR7" i="28"/>
  <c r="FU7" i="28" s="1"/>
  <c r="FR6" i="28"/>
  <c r="FT23" i="28"/>
  <c r="FR46" i="28"/>
  <c r="FR20" i="28"/>
  <c r="FU20" i="28" s="1"/>
  <c r="FS12" i="28"/>
  <c r="FV12" i="28" s="1"/>
  <c r="FR12" i="28"/>
  <c r="FU12" i="28" s="1"/>
  <c r="FU19" i="28"/>
  <c r="FT21" i="28"/>
  <c r="FV34" i="28"/>
  <c r="FT19" i="28"/>
  <c r="FV11" i="28"/>
  <c r="FT9" i="28"/>
  <c r="FV18" i="28"/>
  <c r="FT16" i="28"/>
  <c r="FQ46" i="28"/>
  <c r="FR44" i="28"/>
  <c r="FT44" i="28"/>
  <c r="FS43" i="28"/>
  <c r="FV43" i="28" s="1"/>
  <c r="FR43" i="28"/>
  <c r="FR42" i="28"/>
  <c r="FU42" i="28" s="1"/>
  <c r="FT36" i="28"/>
  <c r="FT28" i="28"/>
  <c r="FT42" i="28"/>
  <c r="FU33" i="28"/>
  <c r="FR29" i="28"/>
  <c r="FQ29" i="28"/>
  <c r="GE30" i="28" s="1"/>
  <c r="FS37" i="28"/>
  <c r="FS28" i="28"/>
  <c r="FV28" i="28" s="1"/>
  <c r="FR37" i="28"/>
  <c r="FT32" i="28"/>
  <c r="FR28" i="28"/>
  <c r="FU28" i="28" s="1"/>
  <c r="FU34" i="28"/>
  <c r="FS45" i="28"/>
  <c r="FV46" i="28" s="1"/>
  <c r="FT43" i="28"/>
  <c r="FU40" i="28"/>
  <c r="FS36" i="28"/>
  <c r="FV36" i="28" s="1"/>
  <c r="FR45" i="28"/>
  <c r="FU46" i="28" s="1"/>
  <c r="FT40" i="28"/>
  <c r="FR36" i="28"/>
  <c r="FU36" i="28" s="1"/>
  <c r="FV33" i="28"/>
  <c r="FT38" i="28"/>
  <c r="FS21" i="28"/>
  <c r="FV21" i="28" s="1"/>
  <c r="FR21" i="28"/>
  <c r="FQ13" i="28"/>
  <c r="FT13" i="28" s="1"/>
  <c r="FV20" i="28"/>
  <c r="FT18" i="28"/>
  <c r="FT24" i="28"/>
  <c r="FV8" i="28"/>
  <c r="FU26" i="28"/>
  <c r="FS13" i="28"/>
  <c r="FT11" i="28"/>
  <c r="FT22" i="28"/>
  <c r="FT31" i="28"/>
  <c r="FT15" i="28"/>
  <c r="FT39" i="28"/>
  <c r="FS38" i="28"/>
  <c r="FS30" i="28"/>
  <c r="FV30" i="28" s="1"/>
  <c r="FS22" i="28"/>
  <c r="FS14" i="28"/>
  <c r="FR38" i="28"/>
  <c r="FR30" i="28"/>
  <c r="FR22" i="28"/>
  <c r="FR14" i="28"/>
  <c r="FU14" i="28" s="1"/>
  <c r="EY40" i="28"/>
  <c r="GD40" i="28" s="1"/>
  <c r="EY20" i="28"/>
  <c r="GD20" i="28" s="1"/>
  <c r="FJ33" i="28"/>
  <c r="FA37" i="28"/>
  <c r="EX20" i="28"/>
  <c r="FI29" i="28"/>
  <c r="CX15" i="28"/>
  <c r="CX11" i="28"/>
  <c r="CX7" i="28"/>
  <c r="EZ37" i="28"/>
  <c r="FH28" i="28"/>
  <c r="EX36" i="28"/>
  <c r="FE45" i="28"/>
  <c r="FJ25" i="28"/>
  <c r="AH18" i="28"/>
  <c r="AL16" i="28"/>
  <c r="AJ15" i="28"/>
  <c r="AH14" i="28"/>
  <c r="AL12" i="28"/>
  <c r="AJ11" i="28"/>
  <c r="AH10" i="28"/>
  <c r="AL8" i="28"/>
  <c r="AJ7" i="28"/>
  <c r="AH6" i="28"/>
  <c r="FA33" i="28"/>
  <c r="FE43" i="28"/>
  <c r="FI25" i="28"/>
  <c r="EZ45" i="28"/>
  <c r="EZ33" i="28"/>
  <c r="FE41" i="28"/>
  <c r="FF23" i="28"/>
  <c r="FB44" i="28"/>
  <c r="EZ29" i="28"/>
  <c r="FE39" i="28"/>
  <c r="FH20" i="28"/>
  <c r="FA41" i="28"/>
  <c r="FA21" i="28"/>
  <c r="FE37" i="28"/>
  <c r="FG20" i="28"/>
  <c r="CM28" i="28"/>
  <c r="FA45" i="28"/>
  <c r="EZ41" i="28"/>
  <c r="FB36" i="28"/>
  <c r="EY32" i="28"/>
  <c r="GD32" i="28" s="1"/>
  <c r="EX28" i="28"/>
  <c r="FB22" i="28"/>
  <c r="EX46" i="28"/>
  <c r="GC46" i="28" s="1"/>
  <c r="FI43" i="28"/>
  <c r="FI39" i="28"/>
  <c r="FF35" i="28"/>
  <c r="FJ29" i="28"/>
  <c r="FH24" i="28"/>
  <c r="FB40" i="28"/>
  <c r="EY36" i="28"/>
  <c r="GD36" i="28" s="1"/>
  <c r="EX32" i="28"/>
  <c r="FB26" i="28"/>
  <c r="EX22" i="28"/>
  <c r="FF43" i="28"/>
  <c r="FF39" i="28"/>
  <c r="FE35" i="28"/>
  <c r="FG24" i="28"/>
  <c r="FB30" i="28"/>
  <c r="EY44" i="28"/>
  <c r="GD44" i="28" s="1"/>
  <c r="EX40" i="28"/>
  <c r="FB34" i="28"/>
  <c r="EX30" i="28"/>
  <c r="GC30" i="28" s="1"/>
  <c r="FA25" i="28"/>
  <c r="EZ21" i="28"/>
  <c r="FJ45" i="28"/>
  <c r="FJ41" i="28"/>
  <c r="FJ37" i="28"/>
  <c r="FI33" i="28"/>
  <c r="FG28" i="28"/>
  <c r="FE23" i="28"/>
  <c r="EX26" i="28"/>
  <c r="EX44" i="28"/>
  <c r="FB38" i="28"/>
  <c r="EX34" i="28"/>
  <c r="GC34" i="28" s="1"/>
  <c r="FA29" i="28"/>
  <c r="EZ25" i="28"/>
  <c r="FB20" i="28"/>
  <c r="FI45" i="28"/>
  <c r="FI41" i="28"/>
  <c r="FI37" i="28"/>
  <c r="FH32" i="28"/>
  <c r="FF27" i="28"/>
  <c r="FJ21" i="28"/>
  <c r="FB42" i="28"/>
  <c r="EX38" i="28"/>
  <c r="GC38" i="28" s="1"/>
  <c r="FB24" i="28"/>
  <c r="FG32" i="28"/>
  <c r="FE27" i="28"/>
  <c r="FI21" i="28"/>
  <c r="EX42" i="28"/>
  <c r="GC42" i="28" s="1"/>
  <c r="FB28" i="28"/>
  <c r="EY24" i="28"/>
  <c r="GD24" i="28" s="1"/>
  <c r="FH44" i="28"/>
  <c r="FH40" i="28"/>
  <c r="FH36" i="28"/>
  <c r="FF31" i="28"/>
  <c r="FB32" i="28"/>
  <c r="EY28" i="28"/>
  <c r="GD28" i="28" s="1"/>
  <c r="EX24" i="28"/>
  <c r="FB46" i="28"/>
  <c r="FG44" i="28"/>
  <c r="FG40" i="28"/>
  <c r="FG36" i="28"/>
  <c r="FE31" i="28"/>
  <c r="CV20" i="28"/>
  <c r="EX43" i="28"/>
  <c r="EY43" i="28"/>
  <c r="GD43" i="28" s="1"/>
  <c r="EZ43" i="28"/>
  <c r="FA43" i="28"/>
  <c r="FB43" i="28"/>
  <c r="EX39" i="28"/>
  <c r="EY39" i="28"/>
  <c r="GD39" i="28" s="1"/>
  <c r="EZ39" i="28"/>
  <c r="FA39" i="28"/>
  <c r="FB39" i="28"/>
  <c r="EX35" i="28"/>
  <c r="EY35" i="28"/>
  <c r="EZ35" i="28"/>
  <c r="FA35" i="28"/>
  <c r="FB35" i="28"/>
  <c r="EX31" i="28"/>
  <c r="EY31" i="28"/>
  <c r="GD31" i="28" s="1"/>
  <c r="EZ31" i="28"/>
  <c r="FA31" i="28"/>
  <c r="FB31" i="28"/>
  <c r="EX27" i="28"/>
  <c r="EY27" i="28"/>
  <c r="EZ27" i="28"/>
  <c r="FA27" i="28"/>
  <c r="FB27" i="28"/>
  <c r="EX23" i="28"/>
  <c r="EY23" i="28"/>
  <c r="GD23" i="28" s="1"/>
  <c r="EZ23" i="28"/>
  <c r="FA23" i="28"/>
  <c r="FB23" i="28"/>
  <c r="FE46" i="28"/>
  <c r="FF46" i="28"/>
  <c r="FG46" i="28"/>
  <c r="FH46" i="28"/>
  <c r="FI46" i="28"/>
  <c r="FE42" i="28"/>
  <c r="FF42" i="28"/>
  <c r="FG42" i="28"/>
  <c r="FH42" i="28"/>
  <c r="FI42" i="28"/>
  <c r="FJ42" i="28"/>
  <c r="FE38" i="28"/>
  <c r="FF38" i="28"/>
  <c r="FG38" i="28"/>
  <c r="FH38" i="28"/>
  <c r="FI38" i="28"/>
  <c r="FJ38" i="28"/>
  <c r="FE34" i="28"/>
  <c r="FF34" i="28"/>
  <c r="FG34" i="28"/>
  <c r="FH34" i="28"/>
  <c r="FI34" i="28"/>
  <c r="FJ34" i="28"/>
  <c r="FE30" i="28"/>
  <c r="FF30" i="28"/>
  <c r="FG30" i="28"/>
  <c r="FH30" i="28"/>
  <c r="FI30" i="28"/>
  <c r="FJ30" i="28"/>
  <c r="FE26" i="28"/>
  <c r="FF26" i="28"/>
  <c r="FG26" i="28"/>
  <c r="FH26" i="28"/>
  <c r="FI26" i="28"/>
  <c r="FJ26" i="28"/>
  <c r="FE22" i="28"/>
  <c r="FF22" i="28"/>
  <c r="FG22" i="28"/>
  <c r="FH22" i="28"/>
  <c r="FI22" i="28"/>
  <c r="FJ22" i="28"/>
  <c r="EW43" i="28"/>
  <c r="GC43" i="28" s="1"/>
  <c r="EW39" i="28"/>
  <c r="GC39" i="28" s="1"/>
  <c r="EW35" i="28"/>
  <c r="GC35" i="28" s="1"/>
  <c r="EW31" i="28"/>
  <c r="GC31" i="28" s="1"/>
  <c r="EW27" i="28"/>
  <c r="EW23" i="28"/>
  <c r="CU20" i="28"/>
  <c r="EY45" i="28"/>
  <c r="GD45" i="28" s="1"/>
  <c r="EW44" i="28"/>
  <c r="GC44" i="28" s="1"/>
  <c r="FA42" i="28"/>
  <c r="EY41" i="28"/>
  <c r="GD41" i="28" s="1"/>
  <c r="EW40" i="28"/>
  <c r="GC40" i="28" s="1"/>
  <c r="FA38" i="28"/>
  <c r="EY37" i="28"/>
  <c r="GD37" i="28" s="1"/>
  <c r="EW36" i="28"/>
  <c r="GC36" i="28" s="1"/>
  <c r="FA34" i="28"/>
  <c r="EY33" i="28"/>
  <c r="GD33" i="28" s="1"/>
  <c r="EW32" i="28"/>
  <c r="FA30" i="28"/>
  <c r="EY29" i="28"/>
  <c r="EW28" i="28"/>
  <c r="GC28" i="28" s="1"/>
  <c r="FA26" i="28"/>
  <c r="EY25" i="28"/>
  <c r="GD25" i="28" s="1"/>
  <c r="EW24" i="28"/>
  <c r="FA22" i="28"/>
  <c r="EY21" i="28"/>
  <c r="GD21" i="28" s="1"/>
  <c r="EW20" i="28"/>
  <c r="GC20" i="28" s="1"/>
  <c r="FA46" i="28"/>
  <c r="FH45" i="28"/>
  <c r="FF44" i="28"/>
  <c r="FH41" i="28"/>
  <c r="FF40" i="28"/>
  <c r="FH37" i="28"/>
  <c r="FF36" i="28"/>
  <c r="FH33" i="28"/>
  <c r="FF32" i="28"/>
  <c r="FH29" i="28"/>
  <c r="FF28" i="28"/>
  <c r="FH25" i="28"/>
  <c r="FF24" i="28"/>
  <c r="FH21" i="28"/>
  <c r="FF20" i="28"/>
  <c r="EX45" i="28"/>
  <c r="EZ42" i="28"/>
  <c r="EX41" i="28"/>
  <c r="EZ38" i="28"/>
  <c r="EX37" i="28"/>
  <c r="EZ34" i="28"/>
  <c r="EX33" i="28"/>
  <c r="EZ30" i="28"/>
  <c r="EX29" i="28"/>
  <c r="EZ26" i="28"/>
  <c r="EX25" i="28"/>
  <c r="EZ22" i="28"/>
  <c r="EX21" i="28"/>
  <c r="EZ46" i="28"/>
  <c r="FG45" i="28"/>
  <c r="FE44" i="28"/>
  <c r="FG41" i="28"/>
  <c r="FE40" i="28"/>
  <c r="FG37" i="28"/>
  <c r="FE36" i="28"/>
  <c r="FG33" i="28"/>
  <c r="FE32" i="28"/>
  <c r="FG29" i="28"/>
  <c r="FE28" i="28"/>
  <c r="FG25" i="28"/>
  <c r="FE24" i="28"/>
  <c r="FG21" i="28"/>
  <c r="FE20" i="28"/>
  <c r="EW45" i="28"/>
  <c r="EY42" i="28"/>
  <c r="GD42" i="28" s="1"/>
  <c r="EW41" i="28"/>
  <c r="GC41" i="28" s="1"/>
  <c r="EY38" i="28"/>
  <c r="GD38" i="28" s="1"/>
  <c r="EW37" i="28"/>
  <c r="GC37" i="28" s="1"/>
  <c r="EY34" i="28"/>
  <c r="EW33" i="28"/>
  <c r="GC33" i="28" s="1"/>
  <c r="EY30" i="28"/>
  <c r="EW29" i="28"/>
  <c r="EY26" i="28"/>
  <c r="EW25" i="28"/>
  <c r="GC25" i="28" s="1"/>
  <c r="EY22" i="28"/>
  <c r="GD22" i="28" s="1"/>
  <c r="EW21" i="28"/>
  <c r="GC21" i="28" s="1"/>
  <c r="EY46" i="28"/>
  <c r="GD46" i="28" s="1"/>
  <c r="FJ43" i="28"/>
  <c r="FJ39" i="28"/>
  <c r="FJ35" i="28"/>
  <c r="FF33" i="28"/>
  <c r="FJ31" i="28"/>
  <c r="FF29" i="28"/>
  <c r="FJ27" i="28"/>
  <c r="FF25" i="28"/>
  <c r="FJ23" i="28"/>
  <c r="FF21" i="28"/>
  <c r="CT17" i="28"/>
  <c r="FI35" i="28"/>
  <c r="FI31" i="28"/>
  <c r="FI27" i="28"/>
  <c r="FI23" i="28"/>
  <c r="FA44" i="28"/>
  <c r="FA40" i="28"/>
  <c r="FA36" i="28"/>
  <c r="FA32" i="28"/>
  <c r="FA28" i="28"/>
  <c r="FA24" i="28"/>
  <c r="FA20" i="28"/>
  <c r="FJ44" i="28"/>
  <c r="FH43" i="28"/>
  <c r="FJ40" i="28"/>
  <c r="FH39" i="28"/>
  <c r="FJ36" i="28"/>
  <c r="FH35" i="28"/>
  <c r="FJ32" i="28"/>
  <c r="FH31" i="28"/>
  <c r="FJ28" i="28"/>
  <c r="FH27" i="28"/>
  <c r="FJ24" i="28"/>
  <c r="FH23" i="28"/>
  <c r="FJ20" i="28"/>
  <c r="CM36" i="28"/>
  <c r="CM40" i="28"/>
  <c r="CM32" i="28"/>
  <c r="CQ34" i="28"/>
  <c r="CQ38" i="28"/>
  <c r="CM44" i="28"/>
  <c r="CO45" i="28"/>
  <c r="CO25" i="28"/>
  <c r="CQ26" i="28"/>
  <c r="CO29" i="28"/>
  <c r="CQ30" i="28"/>
  <c r="CO33" i="28"/>
  <c r="CO37" i="28"/>
  <c r="CO41" i="28"/>
  <c r="CQ46" i="28"/>
  <c r="DF17" i="28"/>
  <c r="DD16" i="28"/>
  <c r="DF13" i="28"/>
  <c r="DD12" i="28"/>
  <c r="DF9" i="28"/>
  <c r="DD8" i="28"/>
  <c r="DD15" i="28"/>
  <c r="CU17" i="28"/>
  <c r="CU9" i="28"/>
  <c r="DG17" i="28"/>
  <c r="CY19" i="28"/>
  <c r="DG9" i="28"/>
  <c r="CY16" i="28"/>
  <c r="CW15" i="28"/>
  <c r="CU14" i="28"/>
  <c r="CY12" i="28"/>
  <c r="CU10" i="28"/>
  <c r="CY8" i="28"/>
  <c r="CW7" i="28"/>
  <c r="DE17" i="28"/>
  <c r="DC16" i="28"/>
  <c r="DE13" i="28"/>
  <c r="DC12" i="28"/>
  <c r="DE9" i="28"/>
  <c r="DC8" i="28"/>
  <c r="CE6" i="28"/>
  <c r="CI7" i="28"/>
  <c r="CE8" i="28"/>
  <c r="CU13" i="28"/>
  <c r="DG13" i="28"/>
  <c r="CU18" i="28"/>
  <c r="CW11" i="28"/>
  <c r="CW16" i="28"/>
  <c r="CU15" i="28"/>
  <c r="CY13" i="28"/>
  <c r="CW12" i="28"/>
  <c r="CU11" i="28"/>
  <c r="CY9" i="28"/>
  <c r="CW8" i="28"/>
  <c r="DD19" i="28"/>
  <c r="CY17" i="28"/>
  <c r="CT7" i="28"/>
  <c r="DF16" i="28"/>
  <c r="DF8" i="28"/>
  <c r="CH12" i="28"/>
  <c r="CH16" i="28"/>
  <c r="CO22" i="28"/>
  <c r="CT11" i="28"/>
  <c r="DB13" i="28"/>
  <c r="CY18" i="28"/>
  <c r="CW17" i="28"/>
  <c r="CU16" i="28"/>
  <c r="CY14" i="28"/>
  <c r="CW13" i="28"/>
  <c r="CU12" i="28"/>
  <c r="CY10" i="28"/>
  <c r="CW9" i="28"/>
  <c r="CU8" i="28"/>
  <c r="DF19" i="28"/>
  <c r="DC18" i="28"/>
  <c r="DG16" i="28"/>
  <c r="DE15" i="28"/>
  <c r="DC14" i="28"/>
  <c r="DG12" i="28"/>
  <c r="DE11" i="28"/>
  <c r="DC10" i="28"/>
  <c r="CE11" i="28"/>
  <c r="CV16" i="28"/>
  <c r="CV8" i="28"/>
  <c r="DB9" i="28"/>
  <c r="CV12" i="28"/>
  <c r="DB17" i="28"/>
  <c r="CW18" i="28"/>
  <c r="CY15" i="28"/>
  <c r="CW14" i="28"/>
  <c r="CY11" i="28"/>
  <c r="CW10" i="28"/>
  <c r="CY7" i="28"/>
  <c r="DE16" i="28"/>
  <c r="DC15" i="28"/>
  <c r="DE12" i="28"/>
  <c r="DC11" i="28"/>
  <c r="CT15" i="28"/>
  <c r="DF12" i="28"/>
  <c r="CV18" i="28"/>
  <c r="CV14" i="28"/>
  <c r="CT13" i="28"/>
  <c r="CV10" i="28"/>
  <c r="CT9" i="28"/>
  <c r="DB15" i="28"/>
  <c r="DB11" i="28"/>
  <c r="CM22" i="28"/>
  <c r="CO23" i="28"/>
  <c r="CQ24" i="28"/>
  <c r="CM26" i="28"/>
  <c r="CO27" i="28"/>
  <c r="CQ28" i="28"/>
  <c r="CM30" i="28"/>
  <c r="CO31" i="28"/>
  <c r="CQ32" i="28"/>
  <c r="CM34" i="28"/>
  <c r="CO35" i="28"/>
  <c r="CQ36" i="28"/>
  <c r="CM38" i="28"/>
  <c r="CO39" i="28"/>
  <c r="CQ40" i="28"/>
  <c r="CM42" i="28"/>
  <c r="CO43" i="28"/>
  <c r="CQ44" i="28"/>
  <c r="CM46" i="28"/>
  <c r="DG18" i="28"/>
  <c r="DG14" i="28"/>
  <c r="DG10" i="28"/>
  <c r="CN22" i="28"/>
  <c r="CP23" i="28"/>
  <c r="CL25" i="28"/>
  <c r="CN26" i="28"/>
  <c r="CP27" i="28"/>
  <c r="CL29" i="28"/>
  <c r="CN30" i="28"/>
  <c r="CP31" i="28"/>
  <c r="CL33" i="28"/>
  <c r="CN34" i="28"/>
  <c r="CP35" i="28"/>
  <c r="CL37" i="28"/>
  <c r="CN38" i="28"/>
  <c r="CP39" i="28"/>
  <c r="CL41" i="28"/>
  <c r="CN42" i="28"/>
  <c r="CP43" i="28"/>
  <c r="CX19" i="28"/>
  <c r="CW19" i="28"/>
  <c r="DF18" i="28"/>
  <c r="DD17" i="28"/>
  <c r="DB16" i="28"/>
  <c r="DF14" i="28"/>
  <c r="DD13" i="28"/>
  <c r="DB12" i="28"/>
  <c r="DF10" i="28"/>
  <c r="DD9" i="28"/>
  <c r="DB8" i="28"/>
  <c r="CF6" i="28"/>
  <c r="CF8" i="28"/>
  <c r="CF10" i="28"/>
  <c r="CF12" i="28"/>
  <c r="CF14" i="28"/>
  <c r="CF16" i="28"/>
  <c r="CF18" i="28"/>
  <c r="CW20" i="28"/>
  <c r="CU7" i="28"/>
  <c r="DE18" i="28"/>
  <c r="DC17" i="28"/>
  <c r="DG15" i="28"/>
  <c r="DE14" i="28"/>
  <c r="DC13" i="28"/>
  <c r="DG11" i="28"/>
  <c r="DE10" i="28"/>
  <c r="DC9" i="28"/>
  <c r="CG10" i="28"/>
  <c r="CG14" i="28"/>
  <c r="CG18" i="28"/>
  <c r="CE19" i="28"/>
  <c r="DF20" i="28"/>
  <c r="CX13" i="28"/>
  <c r="CX9" i="28"/>
  <c r="DG19" i="28"/>
  <c r="DD10" i="28"/>
  <c r="DG8" i="28"/>
  <c r="CV7" i="28"/>
  <c r="CX17" i="28"/>
  <c r="CX18" i="28"/>
  <c r="CV17" i="28"/>
  <c r="CT16" i="28"/>
  <c r="CX14" i="28"/>
  <c r="CV13" i="28"/>
  <c r="CT12" i="28"/>
  <c r="CX10" i="28"/>
  <c r="CV9" i="28"/>
  <c r="CT8" i="28"/>
  <c r="DE19" i="28"/>
  <c r="DE8" i="28"/>
  <c r="CD7" i="28"/>
  <c r="CH8" i="28"/>
  <c r="CD11" i="28"/>
  <c r="CD13" i="28"/>
  <c r="CD15" i="28"/>
  <c r="CD17" i="28"/>
  <c r="CD19" i="28"/>
  <c r="CL22" i="28"/>
  <c r="CN23" i="28"/>
  <c r="CP24" i="28"/>
  <c r="CL26" i="28"/>
  <c r="CN27" i="28"/>
  <c r="CP28" i="28"/>
  <c r="CL30" i="28"/>
  <c r="CN31" i="28"/>
  <c r="CP32" i="28"/>
  <c r="CL34" i="28"/>
  <c r="CN35" i="28"/>
  <c r="CP36" i="28"/>
  <c r="CL38" i="28"/>
  <c r="CN39" i="28"/>
  <c r="CP40" i="28"/>
  <c r="CL42" i="28"/>
  <c r="CN43" i="28"/>
  <c r="CP44" i="28"/>
  <c r="CL46" i="28"/>
  <c r="CY20" i="28"/>
  <c r="DB19" i="28"/>
  <c r="CG6" i="28"/>
  <c r="CX20" i="28"/>
  <c r="CV19" i="28"/>
  <c r="CT18" i="28"/>
  <c r="CX16" i="28"/>
  <c r="CV15" i="28"/>
  <c r="CT14" i="28"/>
  <c r="CX12" i="28"/>
  <c r="CV11" i="28"/>
  <c r="CT10" i="28"/>
  <c r="CX8" i="28"/>
  <c r="DC19" i="28"/>
  <c r="DE20" i="28"/>
  <c r="CU19" i="28"/>
  <c r="DD11" i="28"/>
  <c r="DB14" i="28"/>
  <c r="DB18" i="28"/>
  <c r="CI6" i="28"/>
  <c r="CE7" i="28"/>
  <c r="CI8" i="28"/>
  <c r="CE9" i="28"/>
  <c r="CI10" i="28"/>
  <c r="CI12" i="28"/>
  <c r="CE13" i="28"/>
  <c r="CI14" i="28"/>
  <c r="CE15" i="28"/>
  <c r="CI16" i="28"/>
  <c r="CE17" i="28"/>
  <c r="CI18" i="28"/>
  <c r="CT19" i="28"/>
  <c r="DG20" i="28"/>
  <c r="DB10" i="28"/>
  <c r="CF7" i="28"/>
  <c r="CF9" i="28"/>
  <c r="CF11" i="28"/>
  <c r="CF13" i="28"/>
  <c r="CF15" i="28"/>
  <c r="CF17" i="28"/>
  <c r="CF19" i="28"/>
  <c r="DF11" i="28"/>
  <c r="DD14" i="28"/>
  <c r="DF15" i="28"/>
  <c r="DD18" i="28"/>
  <c r="CH7" i="28"/>
  <c r="CD8" i="28"/>
  <c r="CL8" i="28" s="1"/>
  <c r="CH9" i="28"/>
  <c r="CP9" i="28" s="1"/>
  <c r="CP22" i="28"/>
  <c r="CI9" i="28"/>
  <c r="CE10" i="28"/>
  <c r="CI11" i="28"/>
  <c r="CE12" i="28"/>
  <c r="CQ25" i="28"/>
  <c r="CM27" i="28"/>
  <c r="CO28" i="28"/>
  <c r="CQ29" i="28"/>
  <c r="CM31" i="28"/>
  <c r="CO32" i="28"/>
  <c r="CM35" i="28"/>
  <c r="CO36" i="28"/>
  <c r="CQ37" i="28"/>
  <c r="CM39" i="28"/>
  <c r="CO40" i="28"/>
  <c r="CQ41" i="28"/>
  <c r="CM43" i="28"/>
  <c r="AP22" i="28"/>
  <c r="AR23" i="28"/>
  <c r="AT24" i="28"/>
  <c r="AR27" i="28"/>
  <c r="AT28" i="28"/>
  <c r="AP30" i="28"/>
  <c r="AR31" i="28"/>
  <c r="AT32" i="28"/>
  <c r="AP34" i="28"/>
  <c r="AR35" i="28"/>
  <c r="AT36" i="28"/>
  <c r="AP38" i="28"/>
  <c r="AR39" i="28"/>
  <c r="AT40" i="28"/>
  <c r="AP42" i="28"/>
  <c r="AR43" i="28"/>
  <c r="AT44" i="28"/>
  <c r="AP46" i="28"/>
  <c r="CL23" i="28"/>
  <c r="CN24" i="28"/>
  <c r="CP25" i="28"/>
  <c r="CL27" i="28"/>
  <c r="CN28" i="28"/>
  <c r="CP29" i="28"/>
  <c r="CL31" i="28"/>
  <c r="CN32" i="28"/>
  <c r="CP33" i="28"/>
  <c r="CL35" i="28"/>
  <c r="CN36" i="28"/>
  <c r="CP37" i="28"/>
  <c r="CL39" i="28"/>
  <c r="CN40" i="28"/>
  <c r="CP41" i="28"/>
  <c r="CL43" i="28"/>
  <c r="CN44" i="28"/>
  <c r="CP45" i="28"/>
  <c r="AP26" i="28"/>
  <c r="CH6" i="28"/>
  <c r="CD9" i="28"/>
  <c r="CH10" i="28"/>
  <c r="CH14" i="28"/>
  <c r="CH18" i="28"/>
  <c r="CM23" i="28"/>
  <c r="CO24" i="28"/>
  <c r="CQ33" i="28"/>
  <c r="CO44" i="28"/>
  <c r="CQ45" i="28"/>
  <c r="CG7" i="28"/>
  <c r="CG9" i="28"/>
  <c r="CG11" i="28"/>
  <c r="CG13" i="28"/>
  <c r="CG15" i="28"/>
  <c r="CG17" i="28"/>
  <c r="CG19" i="28"/>
  <c r="CL45" i="28"/>
  <c r="CN46" i="28"/>
  <c r="CD10" i="28"/>
  <c r="CH11" i="28"/>
  <c r="CD12" i="28"/>
  <c r="CH13" i="28"/>
  <c r="CD14" i="28"/>
  <c r="CH15" i="28"/>
  <c r="CD16" i="28"/>
  <c r="CH17" i="28"/>
  <c r="CD18" i="28"/>
  <c r="CH19" i="28"/>
  <c r="CD6" i="28"/>
  <c r="CG8" i="28"/>
  <c r="CG12" i="28"/>
  <c r="CI13" i="28"/>
  <c r="CE14" i="28"/>
  <c r="CI15" i="28"/>
  <c r="CE16" i="28"/>
  <c r="CG16" i="28"/>
  <c r="CI17" i="28"/>
  <c r="CE18" i="28"/>
  <c r="CI19" i="28"/>
  <c r="CP46" i="28"/>
  <c r="CQ22" i="28"/>
  <c r="CM24" i="28"/>
  <c r="CQ42" i="28"/>
  <c r="AK16" i="28"/>
  <c r="AM13" i="28"/>
  <c r="AM9" i="28"/>
  <c r="AK8" i="28"/>
  <c r="AI7" i="28"/>
  <c r="AI15" i="28"/>
  <c r="AI19" i="28"/>
  <c r="AQ20" i="28" s="1"/>
  <c r="AH15" i="28"/>
  <c r="AL13" i="28"/>
  <c r="AJ12" i="28"/>
  <c r="AR12" i="28" s="1"/>
  <c r="AH11" i="28"/>
  <c r="AL9" i="28"/>
  <c r="AJ8" i="28"/>
  <c r="AH7" i="28"/>
  <c r="AI11" i="28"/>
  <c r="AJ16" i="28"/>
  <c r="AM17" i="28"/>
  <c r="AK12" i="28"/>
  <c r="AL17" i="28"/>
  <c r="AT17" i="28" s="1"/>
  <c r="CQ23" i="28"/>
  <c r="CM25" i="28"/>
  <c r="CO26" i="28"/>
  <c r="CQ27" i="28"/>
  <c r="CM29" i="28"/>
  <c r="CO30" i="28"/>
  <c r="CQ31" i="28"/>
  <c r="CM33" i="28"/>
  <c r="CO34" i="28"/>
  <c r="CQ35" i="28"/>
  <c r="CM37" i="28"/>
  <c r="CO38" i="28"/>
  <c r="CQ39" i="28"/>
  <c r="CM41" i="28"/>
  <c r="CO42" i="28"/>
  <c r="CQ43" i="28"/>
  <c r="CM45" i="28"/>
  <c r="CO46" i="28"/>
  <c r="CL24" i="28"/>
  <c r="CN25" i="28"/>
  <c r="CP26" i="28"/>
  <c r="CL28" i="28"/>
  <c r="CN29" i="28"/>
  <c r="CP30" i="28"/>
  <c r="CL32" i="28"/>
  <c r="CN33" i="28"/>
  <c r="CP34" i="28"/>
  <c r="CL36" i="28"/>
  <c r="CN37" i="28"/>
  <c r="CP38" i="28"/>
  <c r="CL40" i="28"/>
  <c r="CN41" i="28"/>
  <c r="CP42" i="28"/>
  <c r="CL44" i="28"/>
  <c r="CN45" i="28"/>
  <c r="AU21" i="28"/>
  <c r="AK17" i="28"/>
  <c r="AI16" i="28"/>
  <c r="AM14" i="28"/>
  <c r="AU14" i="28" s="1"/>
  <c r="AK13" i="28"/>
  <c r="AI12" i="28"/>
  <c r="AM10" i="28"/>
  <c r="AK9" i="28"/>
  <c r="AI8" i="28"/>
  <c r="AM6" i="28"/>
  <c r="AM18" i="28"/>
  <c r="AQ23" i="28"/>
  <c r="AS24" i="28"/>
  <c r="AU25" i="28"/>
  <c r="AQ27" i="28"/>
  <c r="AS28" i="28"/>
  <c r="AU29" i="28"/>
  <c r="AQ31" i="28"/>
  <c r="AS32" i="28"/>
  <c r="AU33" i="28"/>
  <c r="AQ35" i="28"/>
  <c r="AS36" i="28"/>
  <c r="AU37" i="28"/>
  <c r="AQ39" i="28"/>
  <c r="AS40" i="28"/>
  <c r="AU41" i="28"/>
  <c r="AQ43" i="28"/>
  <c r="AS44" i="28"/>
  <c r="AU45" i="28"/>
  <c r="AI18" i="28"/>
  <c r="AM16" i="28"/>
  <c r="AK15" i="28"/>
  <c r="AI14" i="28"/>
  <c r="AM12" i="28"/>
  <c r="AK11" i="28"/>
  <c r="AI10" i="28"/>
  <c r="AM8" i="28"/>
  <c r="AK7" i="28"/>
  <c r="AS8" i="28" s="1"/>
  <c r="AI6" i="28"/>
  <c r="AL14" i="28"/>
  <c r="AJ13" i="28"/>
  <c r="AH12" i="28"/>
  <c r="AL10" i="28"/>
  <c r="AJ9" i="28"/>
  <c r="AH8" i="28"/>
  <c r="AL6" i="28"/>
  <c r="AH16" i="28"/>
  <c r="AJ17" i="28"/>
  <c r="AL18" i="28"/>
  <c r="AP21" i="28"/>
  <c r="AH19" i="28"/>
  <c r="AP20" i="28" s="1"/>
  <c r="AK14" i="28"/>
  <c r="AI9" i="28"/>
  <c r="AM19" i="28"/>
  <c r="AU20" i="28" s="1"/>
  <c r="AJ18" i="28"/>
  <c r="AL15" i="28"/>
  <c r="AJ14" i="28"/>
  <c r="AH13" i="28"/>
  <c r="AL11" i="28"/>
  <c r="AJ10" i="28"/>
  <c r="AR11" i="28" s="1"/>
  <c r="AH9" i="28"/>
  <c r="AL7" i="28"/>
  <c r="AJ6" i="28"/>
  <c r="AI17" i="28"/>
  <c r="AI13" i="28"/>
  <c r="AK10" i="28"/>
  <c r="AK6" i="28"/>
  <c r="AH17" i="28"/>
  <c r="AT22" i="28"/>
  <c r="AP24" i="28"/>
  <c r="AT26" i="28"/>
  <c r="AP28" i="28"/>
  <c r="AR29" i="28"/>
  <c r="AT30" i="28"/>
  <c r="AP32" i="28"/>
  <c r="AR33" i="28"/>
  <c r="AT34" i="28"/>
  <c r="AP36" i="28"/>
  <c r="AR37" i="28"/>
  <c r="AT38" i="28"/>
  <c r="AP40" i="28"/>
  <c r="AR41" i="28"/>
  <c r="AT42" i="28"/>
  <c r="AP44" i="28"/>
  <c r="AR45" i="28"/>
  <c r="AT46" i="28"/>
  <c r="AJ19" i="28"/>
  <c r="AR20" i="28" s="1"/>
  <c r="AK18" i="28"/>
  <c r="AM15" i="28"/>
  <c r="AM11" i="28"/>
  <c r="AM7" i="28"/>
  <c r="AK19" i="28"/>
  <c r="AS20" i="28" s="1"/>
  <c r="AQ22" i="28"/>
  <c r="AS23" i="28"/>
  <c r="AU24" i="28"/>
  <c r="AQ26" i="28"/>
  <c r="AS27" i="28"/>
  <c r="AU28" i="28"/>
  <c r="AQ30" i="28"/>
  <c r="AS31" i="28"/>
  <c r="AU32" i="28"/>
  <c r="AQ34" i="28"/>
  <c r="AS35" i="28"/>
  <c r="AU36" i="28"/>
  <c r="AQ38" i="28"/>
  <c r="AS39" i="28"/>
  <c r="AU40" i="28"/>
  <c r="AQ42" i="28"/>
  <c r="AS43" i="28"/>
  <c r="AU44" i="28"/>
  <c r="AQ46" i="28"/>
  <c r="AR22" i="28"/>
  <c r="AT23" i="28"/>
  <c r="AP25" i="28"/>
  <c r="AR26" i="28"/>
  <c r="AT27" i="28"/>
  <c r="AP29" i="28"/>
  <c r="AR30" i="28"/>
  <c r="AT31" i="28"/>
  <c r="AP33" i="28"/>
  <c r="AR34" i="28"/>
  <c r="AT35" i="28"/>
  <c r="AP37" i="28"/>
  <c r="AR38" i="28"/>
  <c r="AT39" i="28"/>
  <c r="AP41" i="28"/>
  <c r="AR42" i="28"/>
  <c r="AT43" i="28"/>
  <c r="AP45" i="28"/>
  <c r="AR46" i="28"/>
  <c r="AL19" i="28"/>
  <c r="AT20" i="28" s="1"/>
  <c r="AQ21" i="28"/>
  <c r="AS22" i="28"/>
  <c r="AU23" i="28"/>
  <c r="AQ25" i="28"/>
  <c r="AS26" i="28"/>
  <c r="AU27" i="28"/>
  <c r="AQ29" i="28"/>
  <c r="AS30" i="28"/>
  <c r="AU31" i="28"/>
  <c r="AQ33" i="28"/>
  <c r="AS34" i="28"/>
  <c r="AU35" i="28"/>
  <c r="AQ37" i="28"/>
  <c r="AS38" i="28"/>
  <c r="AU39" i="28"/>
  <c r="AQ41" i="28"/>
  <c r="AS42" i="28"/>
  <c r="AU43" i="28"/>
  <c r="AQ45" i="28"/>
  <c r="AS46" i="28"/>
  <c r="AR21" i="28"/>
  <c r="AR25" i="28"/>
  <c r="AS21" i="28"/>
  <c r="AU22" i="28"/>
  <c r="AQ24" i="28"/>
  <c r="AS25" i="28"/>
  <c r="AU26" i="28"/>
  <c r="AQ28" i="28"/>
  <c r="AS29" i="28"/>
  <c r="AU30" i="28"/>
  <c r="AQ32" i="28"/>
  <c r="AS33" i="28"/>
  <c r="AU34" i="28"/>
  <c r="AQ36" i="28"/>
  <c r="AS37" i="28"/>
  <c r="AU38" i="28"/>
  <c r="AQ40" i="28"/>
  <c r="AS41" i="28"/>
  <c r="AU42" i="28"/>
  <c r="AQ44" i="28"/>
  <c r="AS45" i="28"/>
  <c r="AU46" i="28"/>
  <c r="AT21" i="28"/>
  <c r="AP23" i="28"/>
  <c r="AR24" i="28"/>
  <c r="AT25" i="28"/>
  <c r="AP27" i="28"/>
  <c r="AR28" i="28"/>
  <c r="AT29" i="28"/>
  <c r="AP31" i="28"/>
  <c r="AR32" i="28"/>
  <c r="AT33" i="28"/>
  <c r="AP35" i="28"/>
  <c r="AR36" i="28"/>
  <c r="AT37" i="28"/>
  <c r="AP39" i="28"/>
  <c r="AR40" i="28"/>
  <c r="AT41" i="28"/>
  <c r="AP43" i="28"/>
  <c r="AR44" i="28"/>
  <c r="AT45" i="28"/>
  <c r="B2" i="42"/>
  <c r="B44" i="81"/>
  <c r="AB5" i="19"/>
  <c r="E43" i="83"/>
  <c r="C43" i="83"/>
  <c r="E43" i="82"/>
  <c r="C43" i="82"/>
  <c r="V44" i="81"/>
  <c r="C59" i="81"/>
  <c r="C60" i="81"/>
  <c r="C61" i="81"/>
  <c r="C62" i="81"/>
  <c r="C63" i="81"/>
  <c r="E43" i="81"/>
  <c r="C43" i="81"/>
  <c r="BG506" i="48"/>
  <c r="BG38" i="48"/>
  <c r="BG50" i="48"/>
  <c r="BG62" i="48"/>
  <c r="BG74" i="48"/>
  <c r="BG86" i="48"/>
  <c r="BG98" i="48"/>
  <c r="BG110" i="48"/>
  <c r="BG122" i="48"/>
  <c r="BG134" i="48"/>
  <c r="BG146" i="48"/>
  <c r="BG158" i="48"/>
  <c r="BG170" i="48"/>
  <c r="BG182" i="48"/>
  <c r="BG194" i="48"/>
  <c r="BG206" i="48"/>
  <c r="BG218" i="48"/>
  <c r="BG230" i="48"/>
  <c r="BG242" i="48"/>
  <c r="BG254" i="48"/>
  <c r="BG266" i="48"/>
  <c r="BG278" i="48"/>
  <c r="BG290" i="48"/>
  <c r="BG302" i="48"/>
  <c r="BG314" i="48"/>
  <c r="BG326" i="48"/>
  <c r="BG338" i="48"/>
  <c r="BG350" i="48"/>
  <c r="BG362" i="48"/>
  <c r="BG374" i="48"/>
  <c r="BG386" i="48"/>
  <c r="BG398" i="48"/>
  <c r="BG410" i="48"/>
  <c r="BG422" i="48"/>
  <c r="BG434" i="48"/>
  <c r="BG446" i="48"/>
  <c r="BG458" i="48"/>
  <c r="BG470" i="48"/>
  <c r="BG482" i="48"/>
  <c r="BG494" i="48"/>
  <c r="BG26" i="48"/>
  <c r="K41" i="92"/>
  <c r="AY6" i="48"/>
  <c r="AX6" i="48"/>
  <c r="AW6" i="48"/>
  <c r="AV6" i="48"/>
  <c r="AU6" i="48"/>
  <c r="AY509" i="92"/>
  <c r="AX509" i="92"/>
  <c r="AW509" i="92"/>
  <c r="AV509" i="92"/>
  <c r="AU509" i="92"/>
  <c r="AT509" i="92"/>
  <c r="AY508" i="92"/>
  <c r="AX508" i="92"/>
  <c r="AW508" i="92"/>
  <c r="AV508" i="92"/>
  <c r="AU508" i="92"/>
  <c r="AT508" i="92"/>
  <c r="AY507" i="92"/>
  <c r="AX507" i="92"/>
  <c r="AW507" i="92"/>
  <c r="AV507" i="92"/>
  <c r="AU507" i="92"/>
  <c r="AT507" i="92"/>
  <c r="AY506" i="92"/>
  <c r="AX506" i="92"/>
  <c r="AW506" i="92"/>
  <c r="AV506" i="92"/>
  <c r="AU506" i="92"/>
  <c r="AT506" i="92"/>
  <c r="AY505" i="92"/>
  <c r="AX505" i="92"/>
  <c r="AW505" i="92"/>
  <c r="AV505" i="92"/>
  <c r="AU505" i="92"/>
  <c r="AT505" i="92"/>
  <c r="AY504" i="92"/>
  <c r="AX504" i="92"/>
  <c r="AW504" i="92"/>
  <c r="AV504" i="92"/>
  <c r="AU504" i="92"/>
  <c r="AT504" i="92"/>
  <c r="AY503" i="92"/>
  <c r="AX503" i="92"/>
  <c r="AW503" i="92"/>
  <c r="AV503" i="92"/>
  <c r="AU503" i="92"/>
  <c r="AT503" i="92"/>
  <c r="AY502" i="92"/>
  <c r="AX502" i="92"/>
  <c r="AW502" i="92"/>
  <c r="AV502" i="92"/>
  <c r="AU502" i="92"/>
  <c r="AT502" i="92"/>
  <c r="AY501" i="92"/>
  <c r="AX501" i="92"/>
  <c r="AW501" i="92"/>
  <c r="AV501" i="92"/>
  <c r="AU501" i="92"/>
  <c r="AT501" i="92"/>
  <c r="AY500" i="92"/>
  <c r="AX500" i="92"/>
  <c r="AW500" i="92"/>
  <c r="AV500" i="92"/>
  <c r="AU500" i="92"/>
  <c r="AT500" i="92"/>
  <c r="AY499" i="92"/>
  <c r="AX499" i="92"/>
  <c r="AW499" i="92"/>
  <c r="AV499" i="92"/>
  <c r="AU499" i="92"/>
  <c r="AT499" i="92"/>
  <c r="AY498" i="92"/>
  <c r="AX498" i="92"/>
  <c r="AW498" i="92"/>
  <c r="AV498" i="92"/>
  <c r="AU498" i="92"/>
  <c r="AT498" i="92"/>
  <c r="AZ509" i="92" s="1"/>
  <c r="AY497" i="92"/>
  <c r="AX497" i="92"/>
  <c r="AW497" i="92"/>
  <c r="AV497" i="92"/>
  <c r="AU497" i="92"/>
  <c r="AT497" i="92"/>
  <c r="AY496" i="92"/>
  <c r="AX496" i="92"/>
  <c r="AW496" i="92"/>
  <c r="AV496" i="92"/>
  <c r="AU496" i="92"/>
  <c r="AT496" i="92"/>
  <c r="AY495" i="92"/>
  <c r="BF506" i="92" s="1"/>
  <c r="AX495" i="92"/>
  <c r="BE506" i="92" s="1"/>
  <c r="AW495" i="92"/>
  <c r="AV495" i="92"/>
  <c r="BC506" i="92" s="1"/>
  <c r="AU495" i="92"/>
  <c r="AT495" i="92"/>
  <c r="BA506" i="92" s="1"/>
  <c r="AY494" i="92"/>
  <c r="AX494" i="92"/>
  <c r="AW494" i="92"/>
  <c r="AV494" i="92"/>
  <c r="AU494" i="92"/>
  <c r="AT494" i="92"/>
  <c r="AY493" i="92"/>
  <c r="AX493" i="92"/>
  <c r="AW493" i="92"/>
  <c r="AV493" i="92"/>
  <c r="AU493" i="92"/>
  <c r="AT493" i="92"/>
  <c r="AY492" i="92"/>
  <c r="AX492" i="92"/>
  <c r="AW492" i="92"/>
  <c r="AV492" i="92"/>
  <c r="AU492" i="92"/>
  <c r="AT492" i="92"/>
  <c r="AY491" i="92"/>
  <c r="AX491" i="92"/>
  <c r="AW491" i="92"/>
  <c r="AV491" i="92"/>
  <c r="AU491" i="92"/>
  <c r="AT491" i="92"/>
  <c r="AY490" i="92"/>
  <c r="AX490" i="92"/>
  <c r="AW490" i="92"/>
  <c r="AV490" i="92"/>
  <c r="AU490" i="92"/>
  <c r="AT490" i="92"/>
  <c r="AY489" i="92"/>
  <c r="AX489" i="92"/>
  <c r="AW489" i="92"/>
  <c r="AV489" i="92"/>
  <c r="AU489" i="92"/>
  <c r="AT489" i="92"/>
  <c r="AY488" i="92"/>
  <c r="AX488" i="92"/>
  <c r="AW488" i="92"/>
  <c r="AV488" i="92"/>
  <c r="AU488" i="92"/>
  <c r="AT488" i="92"/>
  <c r="AY487" i="92"/>
  <c r="AX487" i="92"/>
  <c r="AW487" i="92"/>
  <c r="AV487" i="92"/>
  <c r="AU487" i="92"/>
  <c r="AT487" i="92"/>
  <c r="AY486" i="92"/>
  <c r="AX486" i="92"/>
  <c r="AW486" i="92"/>
  <c r="AV486" i="92"/>
  <c r="AU486" i="92"/>
  <c r="AT486" i="92"/>
  <c r="AZ497" i="92" s="1"/>
  <c r="AY485" i="92"/>
  <c r="AX485" i="92"/>
  <c r="AW485" i="92"/>
  <c r="AV485" i="92"/>
  <c r="AU485" i="92"/>
  <c r="AT485" i="92"/>
  <c r="AY484" i="92"/>
  <c r="AX484" i="92"/>
  <c r="AW484" i="92"/>
  <c r="AV484" i="92"/>
  <c r="AU484" i="92"/>
  <c r="AT484" i="92"/>
  <c r="AY483" i="92"/>
  <c r="BF494" i="92" s="1"/>
  <c r="AX483" i="92"/>
  <c r="BE494" i="92" s="1"/>
  <c r="AW483" i="92"/>
  <c r="AV483" i="92"/>
  <c r="BC494" i="92" s="1"/>
  <c r="AU483" i="92"/>
  <c r="AT483" i="92"/>
  <c r="BA494" i="92" s="1"/>
  <c r="AY482" i="92"/>
  <c r="AX482" i="92"/>
  <c r="AW482" i="92"/>
  <c r="AV482" i="92"/>
  <c r="AU482" i="92"/>
  <c r="AT482" i="92"/>
  <c r="AY481" i="92"/>
  <c r="AX481" i="92"/>
  <c r="AW481" i="92"/>
  <c r="AV481" i="92"/>
  <c r="AU481" i="92"/>
  <c r="AT481" i="92"/>
  <c r="AY480" i="92"/>
  <c r="AX480" i="92"/>
  <c r="AW480" i="92"/>
  <c r="AV480" i="92"/>
  <c r="AU480" i="92"/>
  <c r="AT480" i="92"/>
  <c r="AY479" i="92"/>
  <c r="AX479" i="92"/>
  <c r="AW479" i="92"/>
  <c r="AV479" i="92"/>
  <c r="AU479" i="92"/>
  <c r="AT479" i="92"/>
  <c r="AY478" i="92"/>
  <c r="AX478" i="92"/>
  <c r="AW478" i="92"/>
  <c r="AV478" i="92"/>
  <c r="AU478" i="92"/>
  <c r="AT478" i="92"/>
  <c r="AY477" i="92"/>
  <c r="AX477" i="92"/>
  <c r="AW477" i="92"/>
  <c r="AV477" i="92"/>
  <c r="AU477" i="92"/>
  <c r="AT477" i="92"/>
  <c r="AY476" i="92"/>
  <c r="AX476" i="92"/>
  <c r="AW476" i="92"/>
  <c r="AV476" i="92"/>
  <c r="AU476" i="92"/>
  <c r="AT476" i="92"/>
  <c r="AY475" i="92"/>
  <c r="AX475" i="92"/>
  <c r="AW475" i="92"/>
  <c r="AV475" i="92"/>
  <c r="AU475" i="92"/>
  <c r="AT475" i="92"/>
  <c r="AY474" i="92"/>
  <c r="AX474" i="92"/>
  <c r="AW474" i="92"/>
  <c r="AV474" i="92"/>
  <c r="AU474" i="92"/>
  <c r="AT474" i="92"/>
  <c r="AZ485" i="92" s="1"/>
  <c r="AY473" i="92"/>
  <c r="AX473" i="92"/>
  <c r="AW473" i="92"/>
  <c r="AV473" i="92"/>
  <c r="AU473" i="92"/>
  <c r="AT473" i="92"/>
  <c r="AY472" i="92"/>
  <c r="AX472" i="92"/>
  <c r="AW472" i="92"/>
  <c r="AV472" i="92"/>
  <c r="AU472" i="92"/>
  <c r="AT472" i="92"/>
  <c r="AY471" i="92"/>
  <c r="BF482" i="92" s="1"/>
  <c r="AX471" i="92"/>
  <c r="BE482" i="92" s="1"/>
  <c r="AW471" i="92"/>
  <c r="AV471" i="92"/>
  <c r="BC482" i="92" s="1"/>
  <c r="AU471" i="92"/>
  <c r="AT471" i="92"/>
  <c r="BA482" i="92" s="1"/>
  <c r="AY470" i="92"/>
  <c r="AX470" i="92"/>
  <c r="AW470" i="92"/>
  <c r="AV470" i="92"/>
  <c r="AU470" i="92"/>
  <c r="AT470" i="92"/>
  <c r="AY469" i="92"/>
  <c r="AX469" i="92"/>
  <c r="AW469" i="92"/>
  <c r="AV469" i="92"/>
  <c r="AU469" i="92"/>
  <c r="AT469" i="92"/>
  <c r="AY468" i="92"/>
  <c r="AX468" i="92"/>
  <c r="AW468" i="92"/>
  <c r="AV468" i="92"/>
  <c r="AU468" i="92"/>
  <c r="AT468" i="92"/>
  <c r="AY467" i="92"/>
  <c r="AX467" i="92"/>
  <c r="AW467" i="92"/>
  <c r="AV467" i="92"/>
  <c r="AU467" i="92"/>
  <c r="AT467" i="92"/>
  <c r="AY466" i="92"/>
  <c r="AX466" i="92"/>
  <c r="AW466" i="92"/>
  <c r="AV466" i="92"/>
  <c r="AU466" i="92"/>
  <c r="AT466" i="92"/>
  <c r="AY465" i="92"/>
  <c r="AX465" i="92"/>
  <c r="AW465" i="92"/>
  <c r="AV465" i="92"/>
  <c r="AU465" i="92"/>
  <c r="AT465" i="92"/>
  <c r="AY464" i="92"/>
  <c r="AX464" i="92"/>
  <c r="AW464" i="92"/>
  <c r="AV464" i="92"/>
  <c r="AU464" i="92"/>
  <c r="AT464" i="92"/>
  <c r="AY463" i="92"/>
  <c r="AX463" i="92"/>
  <c r="AW463" i="92"/>
  <c r="AV463" i="92"/>
  <c r="AU463" i="92"/>
  <c r="AT463" i="92"/>
  <c r="AY462" i="92"/>
  <c r="AX462" i="92"/>
  <c r="AW462" i="92"/>
  <c r="AV462" i="92"/>
  <c r="AU462" i="92"/>
  <c r="AT462" i="92"/>
  <c r="AZ473" i="92" s="1"/>
  <c r="AY461" i="92"/>
  <c r="AX461" i="92"/>
  <c r="AW461" i="92"/>
  <c r="AV461" i="92"/>
  <c r="AU461" i="92"/>
  <c r="AT461" i="92"/>
  <c r="AY460" i="92"/>
  <c r="AX460" i="92"/>
  <c r="AW460" i="92"/>
  <c r="AV460" i="92"/>
  <c r="AU460" i="92"/>
  <c r="AT460" i="92"/>
  <c r="AY459" i="92"/>
  <c r="BF470" i="92" s="1"/>
  <c r="AX459" i="92"/>
  <c r="BE470" i="92" s="1"/>
  <c r="AW459" i="92"/>
  <c r="AV459" i="92"/>
  <c r="BC470" i="92" s="1"/>
  <c r="AU459" i="92"/>
  <c r="AT459" i="92"/>
  <c r="BA470" i="92" s="1"/>
  <c r="AY458" i="92"/>
  <c r="AX458" i="92"/>
  <c r="AW458" i="92"/>
  <c r="AV458" i="92"/>
  <c r="AU458" i="92"/>
  <c r="AT458" i="92"/>
  <c r="AY457" i="92"/>
  <c r="AX457" i="92"/>
  <c r="AW457" i="92"/>
  <c r="AV457" i="92"/>
  <c r="AU457" i="92"/>
  <c r="AT457" i="92"/>
  <c r="AY456" i="92"/>
  <c r="AX456" i="92"/>
  <c r="AW456" i="92"/>
  <c r="AV456" i="92"/>
  <c r="AU456" i="92"/>
  <c r="AT456" i="92"/>
  <c r="AY455" i="92"/>
  <c r="AX455" i="92"/>
  <c r="AW455" i="92"/>
  <c r="AV455" i="92"/>
  <c r="AU455" i="92"/>
  <c r="AT455" i="92"/>
  <c r="AY454" i="92"/>
  <c r="AX454" i="92"/>
  <c r="AW454" i="92"/>
  <c r="AV454" i="92"/>
  <c r="AU454" i="92"/>
  <c r="AT454" i="92"/>
  <c r="AY453" i="92"/>
  <c r="AX453" i="92"/>
  <c r="AW453" i="92"/>
  <c r="AV453" i="92"/>
  <c r="AU453" i="92"/>
  <c r="AT453" i="92"/>
  <c r="AY452" i="92"/>
  <c r="AX452" i="92"/>
  <c r="AW452" i="92"/>
  <c r="AV452" i="92"/>
  <c r="AU452" i="92"/>
  <c r="AT452" i="92"/>
  <c r="AY451" i="92"/>
  <c r="AX451" i="92"/>
  <c r="AW451" i="92"/>
  <c r="AV451" i="92"/>
  <c r="AU451" i="92"/>
  <c r="AT451" i="92"/>
  <c r="AY450" i="92"/>
  <c r="AX450" i="92"/>
  <c r="AW450" i="92"/>
  <c r="AZ461" i="92" s="1"/>
  <c r="AV450" i="92"/>
  <c r="AU450" i="92"/>
  <c r="AT450" i="92"/>
  <c r="AY449" i="92"/>
  <c r="AX449" i="92"/>
  <c r="AW449" i="92"/>
  <c r="AV449" i="92"/>
  <c r="AU449" i="92"/>
  <c r="AT449" i="92"/>
  <c r="AY448" i="92"/>
  <c r="AX448" i="92"/>
  <c r="AW448" i="92"/>
  <c r="AV448" i="92"/>
  <c r="AU448" i="92"/>
  <c r="AT448" i="92"/>
  <c r="AY447" i="92"/>
  <c r="BF458" i="92" s="1"/>
  <c r="AX447" i="92"/>
  <c r="BE458" i="92" s="1"/>
  <c r="AW447" i="92"/>
  <c r="AV447" i="92"/>
  <c r="BC458" i="92" s="1"/>
  <c r="AU447" i="92"/>
  <c r="AT447" i="92"/>
  <c r="BA458" i="92" s="1"/>
  <c r="AY446" i="92"/>
  <c r="AX446" i="92"/>
  <c r="AW446" i="92"/>
  <c r="AV446" i="92"/>
  <c r="AU446" i="92"/>
  <c r="AT446" i="92"/>
  <c r="AY445" i="92"/>
  <c r="AX445" i="92"/>
  <c r="AW445" i="92"/>
  <c r="AV445" i="92"/>
  <c r="AU445" i="92"/>
  <c r="AT445" i="92"/>
  <c r="AY444" i="92"/>
  <c r="AX444" i="92"/>
  <c r="AW444" i="92"/>
  <c r="AV444" i="92"/>
  <c r="AU444" i="92"/>
  <c r="AT444" i="92"/>
  <c r="AY443" i="92"/>
  <c r="AX443" i="92"/>
  <c r="AW443" i="92"/>
  <c r="AV443" i="92"/>
  <c r="AU443" i="92"/>
  <c r="AT443" i="92"/>
  <c r="AY442" i="92"/>
  <c r="AX442" i="92"/>
  <c r="AW442" i="92"/>
  <c r="AV442" i="92"/>
  <c r="AU442" i="92"/>
  <c r="AT442" i="92"/>
  <c r="AY441" i="92"/>
  <c r="AX441" i="92"/>
  <c r="AW441" i="92"/>
  <c r="AV441" i="92"/>
  <c r="AU441" i="92"/>
  <c r="AT441" i="92"/>
  <c r="AY440" i="92"/>
  <c r="AX440" i="92"/>
  <c r="AW440" i="92"/>
  <c r="AV440" i="92"/>
  <c r="AU440" i="92"/>
  <c r="AT440" i="92"/>
  <c r="AY439" i="92"/>
  <c r="AX439" i="92"/>
  <c r="AW439" i="92"/>
  <c r="AV439" i="92"/>
  <c r="AU439" i="92"/>
  <c r="AT439" i="92"/>
  <c r="AY438" i="92"/>
  <c r="AX438" i="92"/>
  <c r="AW438" i="92"/>
  <c r="AV438" i="92"/>
  <c r="AU438" i="92"/>
  <c r="AT438" i="92"/>
  <c r="AZ449" i="92" s="1"/>
  <c r="AY437" i="92"/>
  <c r="AX437" i="92"/>
  <c r="AW437" i="92"/>
  <c r="AV437" i="92"/>
  <c r="AU437" i="92"/>
  <c r="AT437" i="92"/>
  <c r="AY436" i="92"/>
  <c r="AX436" i="92"/>
  <c r="AW436" i="92"/>
  <c r="AV436" i="92"/>
  <c r="AU436" i="92"/>
  <c r="AT436" i="92"/>
  <c r="AY435" i="92"/>
  <c r="BF446" i="92" s="1"/>
  <c r="AX435" i="92"/>
  <c r="BE446" i="92" s="1"/>
  <c r="AW435" i="92"/>
  <c r="AV435" i="92"/>
  <c r="BC446" i="92" s="1"/>
  <c r="AU435" i="92"/>
  <c r="AT435" i="92"/>
  <c r="BA446" i="92" s="1"/>
  <c r="AY434" i="92"/>
  <c r="AX434" i="92"/>
  <c r="AW434" i="92"/>
  <c r="AV434" i="92"/>
  <c r="AU434" i="92"/>
  <c r="AT434" i="92"/>
  <c r="AY433" i="92"/>
  <c r="AX433" i="92"/>
  <c r="AW433" i="92"/>
  <c r="AV433" i="92"/>
  <c r="AU433" i="92"/>
  <c r="AT433" i="92"/>
  <c r="AY432" i="92"/>
  <c r="AX432" i="92"/>
  <c r="AW432" i="92"/>
  <c r="AV432" i="92"/>
  <c r="AU432" i="92"/>
  <c r="AT432" i="92"/>
  <c r="AY431" i="92"/>
  <c r="AX431" i="92"/>
  <c r="AW431" i="92"/>
  <c r="AV431" i="92"/>
  <c r="AU431" i="92"/>
  <c r="AT431" i="92"/>
  <c r="AY430" i="92"/>
  <c r="AX430" i="92"/>
  <c r="AW430" i="92"/>
  <c r="AV430" i="92"/>
  <c r="AU430" i="92"/>
  <c r="AT430" i="92"/>
  <c r="AY429" i="92"/>
  <c r="AX429" i="92"/>
  <c r="AW429" i="92"/>
  <c r="AV429" i="92"/>
  <c r="AU429" i="92"/>
  <c r="AT429" i="92"/>
  <c r="AY428" i="92"/>
  <c r="AX428" i="92"/>
  <c r="AW428" i="92"/>
  <c r="AV428" i="92"/>
  <c r="AU428" i="92"/>
  <c r="AT428" i="92"/>
  <c r="AY427" i="92"/>
  <c r="AX427" i="92"/>
  <c r="AW427" i="92"/>
  <c r="AV427" i="92"/>
  <c r="AU427" i="92"/>
  <c r="AT427" i="92"/>
  <c r="AY426" i="92"/>
  <c r="AX426" i="92"/>
  <c r="AW426" i="92"/>
  <c r="AV426" i="92"/>
  <c r="AU426" i="92"/>
  <c r="AT426" i="92"/>
  <c r="AZ437" i="92" s="1"/>
  <c r="AY425" i="92"/>
  <c r="AX425" i="92"/>
  <c r="AW425" i="92"/>
  <c r="AV425" i="92"/>
  <c r="AU425" i="92"/>
  <c r="AT425" i="92"/>
  <c r="AY424" i="92"/>
  <c r="AX424" i="92"/>
  <c r="AW424" i="92"/>
  <c r="AV424" i="92"/>
  <c r="AU424" i="92"/>
  <c r="AT424" i="92"/>
  <c r="AY423" i="92"/>
  <c r="BF434" i="92" s="1"/>
  <c r="AX423" i="92"/>
  <c r="BE434" i="92" s="1"/>
  <c r="AW423" i="92"/>
  <c r="AV423" i="92"/>
  <c r="BC434" i="92" s="1"/>
  <c r="AU423" i="92"/>
  <c r="AT423" i="92"/>
  <c r="BA434" i="92" s="1"/>
  <c r="AY422" i="92"/>
  <c r="AX422" i="92"/>
  <c r="AW422" i="92"/>
  <c r="AV422" i="92"/>
  <c r="AU422" i="92"/>
  <c r="AT422" i="92"/>
  <c r="AY421" i="92"/>
  <c r="AX421" i="92"/>
  <c r="AW421" i="92"/>
  <c r="AV421" i="92"/>
  <c r="AU421" i="92"/>
  <c r="AT421" i="92"/>
  <c r="AY420" i="92"/>
  <c r="AX420" i="92"/>
  <c r="AW420" i="92"/>
  <c r="AV420" i="92"/>
  <c r="AU420" i="92"/>
  <c r="AT420" i="92"/>
  <c r="AY419" i="92"/>
  <c r="AX419" i="92"/>
  <c r="AW419" i="92"/>
  <c r="AV419" i="92"/>
  <c r="AU419" i="92"/>
  <c r="AT419" i="92"/>
  <c r="AY418" i="92"/>
  <c r="AX418" i="92"/>
  <c r="AW418" i="92"/>
  <c r="AV418" i="92"/>
  <c r="AU418" i="92"/>
  <c r="AT418" i="92"/>
  <c r="AY417" i="92"/>
  <c r="AX417" i="92"/>
  <c r="AW417" i="92"/>
  <c r="AV417" i="92"/>
  <c r="AU417" i="92"/>
  <c r="AT417" i="92"/>
  <c r="AY416" i="92"/>
  <c r="AX416" i="92"/>
  <c r="AW416" i="92"/>
  <c r="AV416" i="92"/>
  <c r="AU416" i="92"/>
  <c r="AT416" i="92"/>
  <c r="AY415" i="92"/>
  <c r="AX415" i="92"/>
  <c r="AW415" i="92"/>
  <c r="AV415" i="92"/>
  <c r="AU415" i="92"/>
  <c r="AT415" i="92"/>
  <c r="AY414" i="92"/>
  <c r="AX414" i="92"/>
  <c r="AW414" i="92"/>
  <c r="AV414" i="92"/>
  <c r="AU414" i="92"/>
  <c r="AT414" i="92"/>
  <c r="AZ425" i="92" s="1"/>
  <c r="AY413" i="92"/>
  <c r="AX413" i="92"/>
  <c r="AW413" i="92"/>
  <c r="AV413" i="92"/>
  <c r="AU413" i="92"/>
  <c r="AT413" i="92"/>
  <c r="AY412" i="92"/>
  <c r="AX412" i="92"/>
  <c r="AW412" i="92"/>
  <c r="AV412" i="92"/>
  <c r="AU412" i="92"/>
  <c r="AT412" i="92"/>
  <c r="AY411" i="92"/>
  <c r="BF422" i="92" s="1"/>
  <c r="AX411" i="92"/>
  <c r="BE422" i="92" s="1"/>
  <c r="AW411" i="92"/>
  <c r="AV411" i="92"/>
  <c r="BC422" i="92" s="1"/>
  <c r="AU411" i="92"/>
  <c r="AT411" i="92"/>
  <c r="BA422" i="92" s="1"/>
  <c r="AY410" i="92"/>
  <c r="AX410" i="92"/>
  <c r="AW410" i="92"/>
  <c r="AV410" i="92"/>
  <c r="AU410" i="92"/>
  <c r="AT410" i="92"/>
  <c r="AY409" i="92"/>
  <c r="AX409" i="92"/>
  <c r="AW409" i="92"/>
  <c r="AV409" i="92"/>
  <c r="AU409" i="92"/>
  <c r="AT409" i="92"/>
  <c r="AY408" i="92"/>
  <c r="AX408" i="92"/>
  <c r="AW408" i="92"/>
  <c r="AV408" i="92"/>
  <c r="AU408" i="92"/>
  <c r="AT408" i="92"/>
  <c r="AY407" i="92"/>
  <c r="AX407" i="92"/>
  <c r="AW407" i="92"/>
  <c r="AV407" i="92"/>
  <c r="AU407" i="92"/>
  <c r="AT407" i="92"/>
  <c r="AY406" i="92"/>
  <c r="AX406" i="92"/>
  <c r="AW406" i="92"/>
  <c r="AV406" i="92"/>
  <c r="AU406" i="92"/>
  <c r="AT406" i="92"/>
  <c r="AY405" i="92"/>
  <c r="AX405" i="92"/>
  <c r="AW405" i="92"/>
  <c r="AV405" i="92"/>
  <c r="AU405" i="92"/>
  <c r="AT405" i="92"/>
  <c r="AY404" i="92"/>
  <c r="AX404" i="92"/>
  <c r="AW404" i="92"/>
  <c r="AV404" i="92"/>
  <c r="AU404" i="92"/>
  <c r="AT404" i="92"/>
  <c r="AY403" i="92"/>
  <c r="AX403" i="92"/>
  <c r="AW403" i="92"/>
  <c r="AV403" i="92"/>
  <c r="AU403" i="92"/>
  <c r="AT403" i="92"/>
  <c r="AY402" i="92"/>
  <c r="AX402" i="92"/>
  <c r="AW402" i="92"/>
  <c r="AV402" i="92"/>
  <c r="AU402" i="92"/>
  <c r="AT402" i="92"/>
  <c r="AZ413" i="92" s="1"/>
  <c r="AY401" i="92"/>
  <c r="AX401" i="92"/>
  <c r="AW401" i="92"/>
  <c r="AV401" i="92"/>
  <c r="AU401" i="92"/>
  <c r="AT401" i="92"/>
  <c r="AY400" i="92"/>
  <c r="AX400" i="92"/>
  <c r="AW400" i="92"/>
  <c r="AV400" i="92"/>
  <c r="AU400" i="92"/>
  <c r="AT400" i="92"/>
  <c r="AY399" i="92"/>
  <c r="BF410" i="92" s="1"/>
  <c r="AX399" i="92"/>
  <c r="AW399" i="92"/>
  <c r="AV399" i="92"/>
  <c r="BC410" i="92" s="1"/>
  <c r="AU399" i="92"/>
  <c r="AT399" i="92"/>
  <c r="BA410" i="92" s="1"/>
  <c r="AY398" i="92"/>
  <c r="AX398" i="92"/>
  <c r="AW398" i="92"/>
  <c r="AV398" i="92"/>
  <c r="AU398" i="92"/>
  <c r="AT398" i="92"/>
  <c r="AY397" i="92"/>
  <c r="AX397" i="92"/>
  <c r="AW397" i="92"/>
  <c r="AV397" i="92"/>
  <c r="AU397" i="92"/>
  <c r="AT397" i="92"/>
  <c r="AY396" i="92"/>
  <c r="AX396" i="92"/>
  <c r="AW396" i="92"/>
  <c r="AV396" i="92"/>
  <c r="AU396" i="92"/>
  <c r="AT396" i="92"/>
  <c r="AY395" i="92"/>
  <c r="AX395" i="92"/>
  <c r="AW395" i="92"/>
  <c r="AV395" i="92"/>
  <c r="AU395" i="92"/>
  <c r="AT395" i="92"/>
  <c r="AY394" i="92"/>
  <c r="AX394" i="92"/>
  <c r="AW394" i="92"/>
  <c r="AV394" i="92"/>
  <c r="AU394" i="92"/>
  <c r="AT394" i="92"/>
  <c r="AY393" i="92"/>
  <c r="AX393" i="92"/>
  <c r="AW393" i="92"/>
  <c r="AV393" i="92"/>
  <c r="AU393" i="92"/>
  <c r="AT393" i="92"/>
  <c r="AY392" i="92"/>
  <c r="AX392" i="92"/>
  <c r="AW392" i="92"/>
  <c r="AV392" i="92"/>
  <c r="AU392" i="92"/>
  <c r="AT392" i="92"/>
  <c r="AY391" i="92"/>
  <c r="AX391" i="92"/>
  <c r="AW391" i="92"/>
  <c r="AV391" i="92"/>
  <c r="AU391" i="92"/>
  <c r="AT391" i="92"/>
  <c r="AY390" i="92"/>
  <c r="AX390" i="92"/>
  <c r="AW390" i="92"/>
  <c r="AV390" i="92"/>
  <c r="AU390" i="92"/>
  <c r="AT390" i="92"/>
  <c r="AZ401" i="92" s="1"/>
  <c r="AY389" i="92"/>
  <c r="AX389" i="92"/>
  <c r="AW389" i="92"/>
  <c r="AV389" i="92"/>
  <c r="AU389" i="92"/>
  <c r="AT389" i="92"/>
  <c r="AY388" i="92"/>
  <c r="AX388" i="92"/>
  <c r="AW388" i="92"/>
  <c r="AV388" i="92"/>
  <c r="AU388" i="92"/>
  <c r="AT388" i="92"/>
  <c r="AY387" i="92"/>
  <c r="BF398" i="92" s="1"/>
  <c r="AX387" i="92"/>
  <c r="BE398" i="92" s="1"/>
  <c r="AW387" i="92"/>
  <c r="AV387" i="92"/>
  <c r="BC398" i="92" s="1"/>
  <c r="AU387" i="92"/>
  <c r="AT387" i="92"/>
  <c r="BA398" i="92" s="1"/>
  <c r="AY386" i="92"/>
  <c r="AX386" i="92"/>
  <c r="AW386" i="92"/>
  <c r="AV386" i="92"/>
  <c r="AU386" i="92"/>
  <c r="AT386" i="92"/>
  <c r="AY385" i="92"/>
  <c r="AX385" i="92"/>
  <c r="AW385" i="92"/>
  <c r="AV385" i="92"/>
  <c r="AU385" i="92"/>
  <c r="AT385" i="92"/>
  <c r="AY384" i="92"/>
  <c r="AX384" i="92"/>
  <c r="AW384" i="92"/>
  <c r="AV384" i="92"/>
  <c r="AU384" i="92"/>
  <c r="AT384" i="92"/>
  <c r="AY383" i="92"/>
  <c r="AX383" i="92"/>
  <c r="AW383" i="92"/>
  <c r="AV383" i="92"/>
  <c r="AU383" i="92"/>
  <c r="AT383" i="92"/>
  <c r="AY382" i="92"/>
  <c r="AX382" i="92"/>
  <c r="AW382" i="92"/>
  <c r="AV382" i="92"/>
  <c r="AU382" i="92"/>
  <c r="AT382" i="92"/>
  <c r="AY381" i="92"/>
  <c r="AX381" i="92"/>
  <c r="AW381" i="92"/>
  <c r="AV381" i="92"/>
  <c r="AU381" i="92"/>
  <c r="AT381" i="92"/>
  <c r="AY380" i="92"/>
  <c r="AX380" i="92"/>
  <c r="AW380" i="92"/>
  <c r="AV380" i="92"/>
  <c r="AU380" i="92"/>
  <c r="AT380" i="92"/>
  <c r="AY379" i="92"/>
  <c r="AX379" i="92"/>
  <c r="AW379" i="92"/>
  <c r="AV379" i="92"/>
  <c r="AU379" i="92"/>
  <c r="AT379" i="92"/>
  <c r="AY378" i="92"/>
  <c r="AX378" i="92"/>
  <c r="AW378" i="92"/>
  <c r="AV378" i="92"/>
  <c r="AU378" i="92"/>
  <c r="AT378" i="92"/>
  <c r="AZ389" i="92" s="1"/>
  <c r="AY377" i="92"/>
  <c r="AX377" i="92"/>
  <c r="AW377" i="92"/>
  <c r="AV377" i="92"/>
  <c r="AU377" i="92"/>
  <c r="AT377" i="92"/>
  <c r="AY376" i="92"/>
  <c r="AX376" i="92"/>
  <c r="AW376" i="92"/>
  <c r="AV376" i="92"/>
  <c r="AU376" i="92"/>
  <c r="AT376" i="92"/>
  <c r="AY375" i="92"/>
  <c r="BF386" i="92" s="1"/>
  <c r="AX375" i="92"/>
  <c r="BE386" i="92" s="1"/>
  <c r="AW375" i="92"/>
  <c r="AV375" i="92"/>
  <c r="BC386" i="92" s="1"/>
  <c r="AU375" i="92"/>
  <c r="AT375" i="92"/>
  <c r="BA386" i="92" s="1"/>
  <c r="AY374" i="92"/>
  <c r="AX374" i="92"/>
  <c r="AW374" i="92"/>
  <c r="AV374" i="92"/>
  <c r="AU374" i="92"/>
  <c r="AT374" i="92"/>
  <c r="AY373" i="92"/>
  <c r="AX373" i="92"/>
  <c r="AW373" i="92"/>
  <c r="AV373" i="92"/>
  <c r="AU373" i="92"/>
  <c r="AT373" i="92"/>
  <c r="AY372" i="92"/>
  <c r="AX372" i="92"/>
  <c r="AW372" i="92"/>
  <c r="AV372" i="92"/>
  <c r="AU372" i="92"/>
  <c r="AT372" i="92"/>
  <c r="AY371" i="92"/>
  <c r="AX371" i="92"/>
  <c r="AW371" i="92"/>
  <c r="AV371" i="92"/>
  <c r="AU371" i="92"/>
  <c r="AT371" i="92"/>
  <c r="AY370" i="92"/>
  <c r="AX370" i="92"/>
  <c r="AW370" i="92"/>
  <c r="AV370" i="92"/>
  <c r="AU370" i="92"/>
  <c r="AT370" i="92"/>
  <c r="AY369" i="92"/>
  <c r="AX369" i="92"/>
  <c r="AW369" i="92"/>
  <c r="AV369" i="92"/>
  <c r="AU369" i="92"/>
  <c r="AT369" i="92"/>
  <c r="AY368" i="92"/>
  <c r="AX368" i="92"/>
  <c r="AW368" i="92"/>
  <c r="AV368" i="92"/>
  <c r="AU368" i="92"/>
  <c r="AT368" i="92"/>
  <c r="AY367" i="92"/>
  <c r="AX367" i="92"/>
  <c r="AW367" i="92"/>
  <c r="AV367" i="92"/>
  <c r="AU367" i="92"/>
  <c r="AT367" i="92"/>
  <c r="AY366" i="92"/>
  <c r="AX366" i="92"/>
  <c r="AW366" i="92"/>
  <c r="AV366" i="92"/>
  <c r="AU366" i="92"/>
  <c r="AT366" i="92"/>
  <c r="AZ377" i="92" s="1"/>
  <c r="AY365" i="92"/>
  <c r="AX365" i="92"/>
  <c r="AW365" i="92"/>
  <c r="AV365" i="92"/>
  <c r="AU365" i="92"/>
  <c r="AT365" i="92"/>
  <c r="AY364" i="92"/>
  <c r="AX364" i="92"/>
  <c r="AW364" i="92"/>
  <c r="AV364" i="92"/>
  <c r="AU364" i="92"/>
  <c r="AT364" i="92"/>
  <c r="AY363" i="92"/>
  <c r="BF374" i="92" s="1"/>
  <c r="AX363" i="92"/>
  <c r="AW363" i="92"/>
  <c r="AV363" i="92"/>
  <c r="BC374" i="92" s="1"/>
  <c r="AU363" i="92"/>
  <c r="AT363" i="92"/>
  <c r="BA374" i="92" s="1"/>
  <c r="AY362" i="92"/>
  <c r="AX362" i="92"/>
  <c r="AW362" i="92"/>
  <c r="AV362" i="92"/>
  <c r="AU362" i="92"/>
  <c r="AT362" i="92"/>
  <c r="AY361" i="92"/>
  <c r="AX361" i="92"/>
  <c r="AW361" i="92"/>
  <c r="AV361" i="92"/>
  <c r="AU361" i="92"/>
  <c r="AT361" i="92"/>
  <c r="AY360" i="92"/>
  <c r="AX360" i="92"/>
  <c r="AW360" i="92"/>
  <c r="AV360" i="92"/>
  <c r="AU360" i="92"/>
  <c r="AT360" i="92"/>
  <c r="AY359" i="92"/>
  <c r="AX359" i="92"/>
  <c r="AW359" i="92"/>
  <c r="AV359" i="92"/>
  <c r="AU359" i="92"/>
  <c r="AT359" i="92"/>
  <c r="AY358" i="92"/>
  <c r="AX358" i="92"/>
  <c r="AW358" i="92"/>
  <c r="AV358" i="92"/>
  <c r="AU358" i="92"/>
  <c r="AT358" i="92"/>
  <c r="AY357" i="92"/>
  <c r="AX357" i="92"/>
  <c r="AW357" i="92"/>
  <c r="AV357" i="92"/>
  <c r="AU357" i="92"/>
  <c r="AT357" i="92"/>
  <c r="AY356" i="92"/>
  <c r="AX356" i="92"/>
  <c r="AW356" i="92"/>
  <c r="AV356" i="92"/>
  <c r="AU356" i="92"/>
  <c r="AT356" i="92"/>
  <c r="AY355" i="92"/>
  <c r="AX355" i="92"/>
  <c r="AW355" i="92"/>
  <c r="AV355" i="92"/>
  <c r="AU355" i="92"/>
  <c r="AT355" i="92"/>
  <c r="AY354" i="92"/>
  <c r="AX354" i="92"/>
  <c r="AW354" i="92"/>
  <c r="AZ365" i="92" s="1"/>
  <c r="AV354" i="92"/>
  <c r="AU354" i="92"/>
  <c r="AT354" i="92"/>
  <c r="AY353" i="92"/>
  <c r="AX353" i="92"/>
  <c r="AW353" i="92"/>
  <c r="AV353" i="92"/>
  <c r="AU353" i="92"/>
  <c r="AT353" i="92"/>
  <c r="AY352" i="92"/>
  <c r="AX352" i="92"/>
  <c r="AW352" i="92"/>
  <c r="AV352" i="92"/>
  <c r="AU352" i="92"/>
  <c r="AT352" i="92"/>
  <c r="AY351" i="92"/>
  <c r="BF362" i="92" s="1"/>
  <c r="AX351" i="92"/>
  <c r="AW351" i="92"/>
  <c r="AV351" i="92"/>
  <c r="BC362" i="92" s="1"/>
  <c r="AU351" i="92"/>
  <c r="AT351" i="92"/>
  <c r="BA362" i="92" s="1"/>
  <c r="AY350" i="92"/>
  <c r="AX350" i="92"/>
  <c r="AW350" i="92"/>
  <c r="AV350" i="92"/>
  <c r="AU350" i="92"/>
  <c r="AT350" i="92"/>
  <c r="AY349" i="92"/>
  <c r="AX349" i="92"/>
  <c r="AW349" i="92"/>
  <c r="AV349" i="92"/>
  <c r="AU349" i="92"/>
  <c r="AT349" i="92"/>
  <c r="AY348" i="92"/>
  <c r="AX348" i="92"/>
  <c r="AW348" i="92"/>
  <c r="AV348" i="92"/>
  <c r="AU348" i="92"/>
  <c r="AT348" i="92"/>
  <c r="AY347" i="92"/>
  <c r="AX347" i="92"/>
  <c r="AW347" i="92"/>
  <c r="AV347" i="92"/>
  <c r="AU347" i="92"/>
  <c r="AT347" i="92"/>
  <c r="AY346" i="92"/>
  <c r="AX346" i="92"/>
  <c r="AW346" i="92"/>
  <c r="AV346" i="92"/>
  <c r="AU346" i="92"/>
  <c r="AT346" i="92"/>
  <c r="AY345" i="92"/>
  <c r="AX345" i="92"/>
  <c r="AW345" i="92"/>
  <c r="AV345" i="92"/>
  <c r="AU345" i="92"/>
  <c r="AT345" i="92"/>
  <c r="AY344" i="92"/>
  <c r="AX344" i="92"/>
  <c r="AW344" i="92"/>
  <c r="AV344" i="92"/>
  <c r="AU344" i="92"/>
  <c r="AT344" i="92"/>
  <c r="AY343" i="92"/>
  <c r="AX343" i="92"/>
  <c r="AW343" i="92"/>
  <c r="AV343" i="92"/>
  <c r="AU343" i="92"/>
  <c r="AT343" i="92"/>
  <c r="AY342" i="92"/>
  <c r="AX342" i="92"/>
  <c r="AW342" i="92"/>
  <c r="AV342" i="92"/>
  <c r="AU342" i="92"/>
  <c r="AT342" i="92"/>
  <c r="AZ353" i="92" s="1"/>
  <c r="AY341" i="92"/>
  <c r="AX341" i="92"/>
  <c r="AW341" i="92"/>
  <c r="AV341" i="92"/>
  <c r="AU341" i="92"/>
  <c r="AT341" i="92"/>
  <c r="AY340" i="92"/>
  <c r="AX340" i="92"/>
  <c r="AW340" i="92"/>
  <c r="AV340" i="92"/>
  <c r="AU340" i="92"/>
  <c r="AT340" i="92"/>
  <c r="AY339" i="92"/>
  <c r="BF350" i="92" s="1"/>
  <c r="AX339" i="92"/>
  <c r="AW339" i="92"/>
  <c r="AV339" i="92"/>
  <c r="BC350" i="92" s="1"/>
  <c r="AU339" i="92"/>
  <c r="AT339" i="92"/>
  <c r="BA350" i="92" s="1"/>
  <c r="AY338" i="92"/>
  <c r="AX338" i="92"/>
  <c r="AW338" i="92"/>
  <c r="AV338" i="92"/>
  <c r="AU338" i="92"/>
  <c r="AT338" i="92"/>
  <c r="AY337" i="92"/>
  <c r="AX337" i="92"/>
  <c r="AW337" i="92"/>
  <c r="AV337" i="92"/>
  <c r="AU337" i="92"/>
  <c r="AT337" i="92"/>
  <c r="AY336" i="92"/>
  <c r="AX336" i="92"/>
  <c r="AW336" i="92"/>
  <c r="AV336" i="92"/>
  <c r="AU336" i="92"/>
  <c r="AT336" i="92"/>
  <c r="AY335" i="92"/>
  <c r="AX335" i="92"/>
  <c r="AW335" i="92"/>
  <c r="AV335" i="92"/>
  <c r="AU335" i="92"/>
  <c r="AT335" i="92"/>
  <c r="AY334" i="92"/>
  <c r="AX334" i="92"/>
  <c r="AW334" i="92"/>
  <c r="AV334" i="92"/>
  <c r="AU334" i="92"/>
  <c r="AT334" i="92"/>
  <c r="AY333" i="92"/>
  <c r="AX333" i="92"/>
  <c r="AW333" i="92"/>
  <c r="AV333" i="92"/>
  <c r="AU333" i="92"/>
  <c r="AT333" i="92"/>
  <c r="AY332" i="92"/>
  <c r="AX332" i="92"/>
  <c r="AW332" i="92"/>
  <c r="AV332" i="92"/>
  <c r="AU332" i="92"/>
  <c r="AT332" i="92"/>
  <c r="AY331" i="92"/>
  <c r="AX331" i="92"/>
  <c r="AW331" i="92"/>
  <c r="AV331" i="92"/>
  <c r="AU331" i="92"/>
  <c r="AT331" i="92"/>
  <c r="AY330" i="92"/>
  <c r="AX330" i="92"/>
  <c r="AW330" i="92"/>
  <c r="AV330" i="92"/>
  <c r="AU330" i="92"/>
  <c r="AT330" i="92"/>
  <c r="AZ341" i="92" s="1"/>
  <c r="AY329" i="92"/>
  <c r="AX329" i="92"/>
  <c r="AW329" i="92"/>
  <c r="AV329" i="92"/>
  <c r="AU329" i="92"/>
  <c r="AT329" i="92"/>
  <c r="AY328" i="92"/>
  <c r="AX328" i="92"/>
  <c r="AW328" i="92"/>
  <c r="AV328" i="92"/>
  <c r="AU328" i="92"/>
  <c r="AT328" i="92"/>
  <c r="AY327" i="92"/>
  <c r="BF338" i="92" s="1"/>
  <c r="AX327" i="92"/>
  <c r="AW327" i="92"/>
  <c r="AV327" i="92"/>
  <c r="BC338" i="92" s="1"/>
  <c r="AU327" i="92"/>
  <c r="AT327" i="92"/>
  <c r="BA338" i="92" s="1"/>
  <c r="AY326" i="92"/>
  <c r="AX326" i="92"/>
  <c r="AW326" i="92"/>
  <c r="AV326" i="92"/>
  <c r="AU326" i="92"/>
  <c r="AT326" i="92"/>
  <c r="AY325" i="92"/>
  <c r="AX325" i="92"/>
  <c r="AW325" i="92"/>
  <c r="AV325" i="92"/>
  <c r="AU325" i="92"/>
  <c r="AT325" i="92"/>
  <c r="AY324" i="92"/>
  <c r="AX324" i="92"/>
  <c r="AW324" i="92"/>
  <c r="AV324" i="92"/>
  <c r="AU324" i="92"/>
  <c r="AT324" i="92"/>
  <c r="AY323" i="92"/>
  <c r="AX323" i="92"/>
  <c r="AW323" i="92"/>
  <c r="AV323" i="92"/>
  <c r="AU323" i="92"/>
  <c r="AT323" i="92"/>
  <c r="AY322" i="92"/>
  <c r="AX322" i="92"/>
  <c r="AW322" i="92"/>
  <c r="AV322" i="92"/>
  <c r="AU322" i="92"/>
  <c r="AT322" i="92"/>
  <c r="AY321" i="92"/>
  <c r="AX321" i="92"/>
  <c r="AW321" i="92"/>
  <c r="AV321" i="92"/>
  <c r="AU321" i="92"/>
  <c r="AT321" i="92"/>
  <c r="AY320" i="92"/>
  <c r="AX320" i="92"/>
  <c r="AW320" i="92"/>
  <c r="AV320" i="92"/>
  <c r="AU320" i="92"/>
  <c r="AT320" i="92"/>
  <c r="AY319" i="92"/>
  <c r="AX319" i="92"/>
  <c r="AW319" i="92"/>
  <c r="AV319" i="92"/>
  <c r="AU319" i="92"/>
  <c r="AT319" i="92"/>
  <c r="AY318" i="92"/>
  <c r="AX318" i="92"/>
  <c r="AW318" i="92"/>
  <c r="AV318" i="92"/>
  <c r="AU318" i="92"/>
  <c r="AT318" i="92"/>
  <c r="AZ329" i="92" s="1"/>
  <c r="AY317" i="92"/>
  <c r="AX317" i="92"/>
  <c r="AW317" i="92"/>
  <c r="AV317" i="92"/>
  <c r="AU317" i="92"/>
  <c r="AT317" i="92"/>
  <c r="AY316" i="92"/>
  <c r="AX316" i="92"/>
  <c r="AW316" i="92"/>
  <c r="AV316" i="92"/>
  <c r="AU316" i="92"/>
  <c r="AT316" i="92"/>
  <c r="AY315" i="92"/>
  <c r="AX315" i="92"/>
  <c r="AW315" i="92"/>
  <c r="AV315" i="92"/>
  <c r="BC326" i="92" s="1"/>
  <c r="AU315" i="92"/>
  <c r="AT315" i="92"/>
  <c r="BA326" i="92" s="1"/>
  <c r="AY314" i="92"/>
  <c r="AX314" i="92"/>
  <c r="AW314" i="92"/>
  <c r="AV314" i="92"/>
  <c r="AU314" i="92"/>
  <c r="AT314" i="92"/>
  <c r="AY313" i="92"/>
  <c r="AX313" i="92"/>
  <c r="AW313" i="92"/>
  <c r="AV313" i="92"/>
  <c r="AU313" i="92"/>
  <c r="AT313" i="92"/>
  <c r="AY312" i="92"/>
  <c r="AX312" i="92"/>
  <c r="AW312" i="92"/>
  <c r="AV312" i="92"/>
  <c r="AU312" i="92"/>
  <c r="AT312" i="92"/>
  <c r="AY311" i="92"/>
  <c r="AX311" i="92"/>
  <c r="AW311" i="92"/>
  <c r="AV311" i="92"/>
  <c r="AU311" i="92"/>
  <c r="AT311" i="92"/>
  <c r="AY310" i="92"/>
  <c r="AX310" i="92"/>
  <c r="AW310" i="92"/>
  <c r="AV310" i="92"/>
  <c r="AU310" i="92"/>
  <c r="AT310" i="92"/>
  <c r="AY309" i="92"/>
  <c r="AX309" i="92"/>
  <c r="AW309" i="92"/>
  <c r="AV309" i="92"/>
  <c r="AU309" i="92"/>
  <c r="AT309" i="92"/>
  <c r="AY308" i="92"/>
  <c r="AX308" i="92"/>
  <c r="AW308" i="92"/>
  <c r="AV308" i="92"/>
  <c r="AU308" i="92"/>
  <c r="AT308" i="92"/>
  <c r="AY307" i="92"/>
  <c r="AX307" i="92"/>
  <c r="AW307" i="92"/>
  <c r="AV307" i="92"/>
  <c r="AU307" i="92"/>
  <c r="AT307" i="92"/>
  <c r="AY306" i="92"/>
  <c r="AX306" i="92"/>
  <c r="AW306" i="92"/>
  <c r="AV306" i="92"/>
  <c r="AU306" i="92"/>
  <c r="AT306" i="92"/>
  <c r="AZ317" i="92" s="1"/>
  <c r="AY305" i="92"/>
  <c r="AX305" i="92"/>
  <c r="AW305" i="92"/>
  <c r="AV305" i="92"/>
  <c r="AU305" i="92"/>
  <c r="AT305" i="92"/>
  <c r="AY304" i="92"/>
  <c r="AX304" i="92"/>
  <c r="AW304" i="92"/>
  <c r="AV304" i="92"/>
  <c r="AU304" i="92"/>
  <c r="AT304" i="92"/>
  <c r="AY303" i="92"/>
  <c r="BF314" i="92" s="1"/>
  <c r="AX303" i="92"/>
  <c r="BE314" i="92" s="1"/>
  <c r="AW303" i="92"/>
  <c r="AV303" i="92"/>
  <c r="BC314" i="92" s="1"/>
  <c r="AU303" i="92"/>
  <c r="AT303" i="92"/>
  <c r="BA314" i="92" s="1"/>
  <c r="AY302" i="92"/>
  <c r="AX302" i="92"/>
  <c r="AW302" i="92"/>
  <c r="AV302" i="92"/>
  <c r="AU302" i="92"/>
  <c r="AT302" i="92"/>
  <c r="AY301" i="92"/>
  <c r="AX301" i="92"/>
  <c r="AW301" i="92"/>
  <c r="AV301" i="92"/>
  <c r="AU301" i="92"/>
  <c r="AT301" i="92"/>
  <c r="AY300" i="92"/>
  <c r="AX300" i="92"/>
  <c r="AW300" i="92"/>
  <c r="AV300" i="92"/>
  <c r="AU300" i="92"/>
  <c r="AT300" i="92"/>
  <c r="AY299" i="92"/>
  <c r="AX299" i="92"/>
  <c r="AW299" i="92"/>
  <c r="AV299" i="92"/>
  <c r="AU299" i="92"/>
  <c r="AT299" i="92"/>
  <c r="AY298" i="92"/>
  <c r="AX298" i="92"/>
  <c r="AW298" i="92"/>
  <c r="AV298" i="92"/>
  <c r="AU298" i="92"/>
  <c r="AT298" i="92"/>
  <c r="AY297" i="92"/>
  <c r="AX297" i="92"/>
  <c r="AW297" i="92"/>
  <c r="AV297" i="92"/>
  <c r="AU297" i="92"/>
  <c r="AT297" i="92"/>
  <c r="AY296" i="92"/>
  <c r="AX296" i="92"/>
  <c r="AW296" i="92"/>
  <c r="AV296" i="92"/>
  <c r="AU296" i="92"/>
  <c r="AT296" i="92"/>
  <c r="AY295" i="92"/>
  <c r="AX295" i="92"/>
  <c r="AW295" i="92"/>
  <c r="AV295" i="92"/>
  <c r="AU295" i="92"/>
  <c r="AT295" i="92"/>
  <c r="AY294" i="92"/>
  <c r="AX294" i="92"/>
  <c r="AW294" i="92"/>
  <c r="AV294" i="92"/>
  <c r="AU294" i="92"/>
  <c r="AT294" i="92"/>
  <c r="AZ305" i="92" s="1"/>
  <c r="AY293" i="92"/>
  <c r="AX293" i="92"/>
  <c r="AW293" i="92"/>
  <c r="AV293" i="92"/>
  <c r="AU293" i="92"/>
  <c r="AT293" i="92"/>
  <c r="AY292" i="92"/>
  <c r="AX292" i="92"/>
  <c r="AW292" i="92"/>
  <c r="AV292" i="92"/>
  <c r="AU292" i="92"/>
  <c r="AT292" i="92"/>
  <c r="AY291" i="92"/>
  <c r="BF302" i="92" s="1"/>
  <c r="AX291" i="92"/>
  <c r="BE302" i="92" s="1"/>
  <c r="AW291" i="92"/>
  <c r="AV291" i="92"/>
  <c r="BC302" i="92" s="1"/>
  <c r="AU291" i="92"/>
  <c r="AT291" i="92"/>
  <c r="BA302" i="92" s="1"/>
  <c r="AY290" i="92"/>
  <c r="AX290" i="92"/>
  <c r="AW290" i="92"/>
  <c r="AV290" i="92"/>
  <c r="AU290" i="92"/>
  <c r="AT290" i="92"/>
  <c r="AY289" i="92"/>
  <c r="AX289" i="92"/>
  <c r="AW289" i="92"/>
  <c r="AV289" i="92"/>
  <c r="AU289" i="92"/>
  <c r="AT289" i="92"/>
  <c r="AY288" i="92"/>
  <c r="AX288" i="92"/>
  <c r="AW288" i="92"/>
  <c r="AV288" i="92"/>
  <c r="AU288" i="92"/>
  <c r="AT288" i="92"/>
  <c r="AY287" i="92"/>
  <c r="AX287" i="92"/>
  <c r="AW287" i="92"/>
  <c r="AV287" i="92"/>
  <c r="AU287" i="92"/>
  <c r="AT287" i="92"/>
  <c r="AY286" i="92"/>
  <c r="AX286" i="92"/>
  <c r="AW286" i="92"/>
  <c r="AV286" i="92"/>
  <c r="AU286" i="92"/>
  <c r="AT286" i="92"/>
  <c r="AY285" i="92"/>
  <c r="AX285" i="92"/>
  <c r="AW285" i="92"/>
  <c r="AV285" i="92"/>
  <c r="AU285" i="92"/>
  <c r="AT285" i="92"/>
  <c r="AY284" i="92"/>
  <c r="AX284" i="92"/>
  <c r="AW284" i="92"/>
  <c r="AV284" i="92"/>
  <c r="AU284" i="92"/>
  <c r="AT284" i="92"/>
  <c r="AY283" i="92"/>
  <c r="AX283" i="92"/>
  <c r="AW283" i="92"/>
  <c r="AV283" i="92"/>
  <c r="AU283" i="92"/>
  <c r="AT283" i="92"/>
  <c r="AY282" i="92"/>
  <c r="AX282" i="92"/>
  <c r="AW282" i="92"/>
  <c r="AV282" i="92"/>
  <c r="AU282" i="92"/>
  <c r="AT282" i="92"/>
  <c r="AZ293" i="92" s="1"/>
  <c r="AY281" i="92"/>
  <c r="AX281" i="92"/>
  <c r="AW281" i="92"/>
  <c r="AV281" i="92"/>
  <c r="AU281" i="92"/>
  <c r="AT281" i="92"/>
  <c r="AY280" i="92"/>
  <c r="AX280" i="92"/>
  <c r="AW280" i="92"/>
  <c r="AV280" i="92"/>
  <c r="AU280" i="92"/>
  <c r="AT280" i="92"/>
  <c r="AY279" i="92"/>
  <c r="BF290" i="92" s="1"/>
  <c r="AX279" i="92"/>
  <c r="BE290" i="92" s="1"/>
  <c r="AW279" i="92"/>
  <c r="AV279" i="92"/>
  <c r="BC290" i="92" s="1"/>
  <c r="AU279" i="92"/>
  <c r="AT279" i="92"/>
  <c r="BA290" i="92" s="1"/>
  <c r="AY278" i="92"/>
  <c r="AX278" i="92"/>
  <c r="AW278" i="92"/>
  <c r="AV278" i="92"/>
  <c r="AU278" i="92"/>
  <c r="AT278" i="92"/>
  <c r="AY277" i="92"/>
  <c r="AX277" i="92"/>
  <c r="AW277" i="92"/>
  <c r="AV277" i="92"/>
  <c r="AU277" i="92"/>
  <c r="AT277" i="92"/>
  <c r="AY276" i="92"/>
  <c r="AX276" i="92"/>
  <c r="AW276" i="92"/>
  <c r="AV276" i="92"/>
  <c r="AU276" i="92"/>
  <c r="AT276" i="92"/>
  <c r="AY275" i="92"/>
  <c r="AX275" i="92"/>
  <c r="AW275" i="92"/>
  <c r="AV275" i="92"/>
  <c r="AU275" i="92"/>
  <c r="AT275" i="92"/>
  <c r="AY274" i="92"/>
  <c r="AX274" i="92"/>
  <c r="AW274" i="92"/>
  <c r="AV274" i="92"/>
  <c r="AU274" i="92"/>
  <c r="AT274" i="92"/>
  <c r="AY273" i="92"/>
  <c r="AX273" i="92"/>
  <c r="AW273" i="92"/>
  <c r="AV273" i="92"/>
  <c r="AU273" i="92"/>
  <c r="AT273" i="92"/>
  <c r="AY272" i="92"/>
  <c r="AX272" i="92"/>
  <c r="AW272" i="92"/>
  <c r="AV272" i="92"/>
  <c r="AU272" i="92"/>
  <c r="AT272" i="92"/>
  <c r="AY271" i="92"/>
  <c r="AX271" i="92"/>
  <c r="AW271" i="92"/>
  <c r="AV271" i="92"/>
  <c r="AU271" i="92"/>
  <c r="AT271" i="92"/>
  <c r="AY270" i="92"/>
  <c r="AX270" i="92"/>
  <c r="AW270" i="92"/>
  <c r="AV270" i="92"/>
  <c r="AU270" i="92"/>
  <c r="AT270" i="92"/>
  <c r="AZ281" i="92" s="1"/>
  <c r="AY269" i="92"/>
  <c r="AX269" i="92"/>
  <c r="AW269" i="92"/>
  <c r="AV269" i="92"/>
  <c r="AU269" i="92"/>
  <c r="AT269" i="92"/>
  <c r="AY268" i="92"/>
  <c r="AX268" i="92"/>
  <c r="AW268" i="92"/>
  <c r="AV268" i="92"/>
  <c r="AU268" i="92"/>
  <c r="AT268" i="92"/>
  <c r="AY267" i="92"/>
  <c r="BF278" i="92" s="1"/>
  <c r="AX267" i="92"/>
  <c r="BE278" i="92" s="1"/>
  <c r="AW267" i="92"/>
  <c r="AV267" i="92"/>
  <c r="BC278" i="92" s="1"/>
  <c r="AU267" i="92"/>
  <c r="AT267" i="92"/>
  <c r="BA278" i="92" s="1"/>
  <c r="AY266" i="92"/>
  <c r="AX266" i="92"/>
  <c r="AW266" i="92"/>
  <c r="AV266" i="92"/>
  <c r="AU266" i="92"/>
  <c r="AT266" i="92"/>
  <c r="AY265" i="92"/>
  <c r="AX265" i="92"/>
  <c r="AW265" i="92"/>
  <c r="AV265" i="92"/>
  <c r="AU265" i="92"/>
  <c r="AT265" i="92"/>
  <c r="AY264" i="92"/>
  <c r="AX264" i="92"/>
  <c r="AW264" i="92"/>
  <c r="AV264" i="92"/>
  <c r="AU264" i="92"/>
  <c r="AT264" i="92"/>
  <c r="AY263" i="92"/>
  <c r="AX263" i="92"/>
  <c r="AW263" i="92"/>
  <c r="AV263" i="92"/>
  <c r="AU263" i="92"/>
  <c r="AT263" i="92"/>
  <c r="AY262" i="92"/>
  <c r="AX262" i="92"/>
  <c r="AW262" i="92"/>
  <c r="AV262" i="92"/>
  <c r="AU262" i="92"/>
  <c r="AT262" i="92"/>
  <c r="AY261" i="92"/>
  <c r="AX261" i="92"/>
  <c r="AW261" i="92"/>
  <c r="AV261" i="92"/>
  <c r="AU261" i="92"/>
  <c r="AT261" i="92"/>
  <c r="AY260" i="92"/>
  <c r="AX260" i="92"/>
  <c r="AW260" i="92"/>
  <c r="AV260" i="92"/>
  <c r="AU260" i="92"/>
  <c r="AT260" i="92"/>
  <c r="AY259" i="92"/>
  <c r="AX259" i="92"/>
  <c r="AW259" i="92"/>
  <c r="AV259" i="92"/>
  <c r="AU259" i="92"/>
  <c r="AT259" i="92"/>
  <c r="AY258" i="92"/>
  <c r="AX258" i="92"/>
  <c r="AW258" i="92"/>
  <c r="AZ269" i="92" s="1"/>
  <c r="AV258" i="92"/>
  <c r="AU258" i="92"/>
  <c r="AT258" i="92"/>
  <c r="AY257" i="92"/>
  <c r="AX257" i="92"/>
  <c r="AW257" i="92"/>
  <c r="AV257" i="92"/>
  <c r="AU257" i="92"/>
  <c r="AT257" i="92"/>
  <c r="AY256" i="92"/>
  <c r="AX256" i="92"/>
  <c r="AW256" i="92"/>
  <c r="AV256" i="92"/>
  <c r="AU256" i="92"/>
  <c r="AT256" i="92"/>
  <c r="AY255" i="92"/>
  <c r="BF266" i="92" s="1"/>
  <c r="AX255" i="92"/>
  <c r="BE266" i="92" s="1"/>
  <c r="AW255" i="92"/>
  <c r="AV255" i="92"/>
  <c r="BC266" i="92" s="1"/>
  <c r="AU255" i="92"/>
  <c r="AT255" i="92"/>
  <c r="BA266" i="92" s="1"/>
  <c r="AY254" i="92"/>
  <c r="AX254" i="92"/>
  <c r="AW254" i="92"/>
  <c r="AV254" i="92"/>
  <c r="AU254" i="92"/>
  <c r="AT254" i="92"/>
  <c r="AY253" i="92"/>
  <c r="AX253" i="92"/>
  <c r="AW253" i="92"/>
  <c r="AV253" i="92"/>
  <c r="AU253" i="92"/>
  <c r="AT253" i="92"/>
  <c r="AY252" i="92"/>
  <c r="AX252" i="92"/>
  <c r="AW252" i="92"/>
  <c r="AV252" i="92"/>
  <c r="AU252" i="92"/>
  <c r="AT252" i="92"/>
  <c r="AY251" i="92"/>
  <c r="AX251" i="92"/>
  <c r="AW251" i="92"/>
  <c r="AV251" i="92"/>
  <c r="AU251" i="92"/>
  <c r="AT251" i="92"/>
  <c r="AY250" i="92"/>
  <c r="AX250" i="92"/>
  <c r="AW250" i="92"/>
  <c r="AV250" i="92"/>
  <c r="AU250" i="92"/>
  <c r="AT250" i="92"/>
  <c r="AY249" i="92"/>
  <c r="AX249" i="92"/>
  <c r="AW249" i="92"/>
  <c r="AV249" i="92"/>
  <c r="AU249" i="92"/>
  <c r="AT249" i="92"/>
  <c r="AY248" i="92"/>
  <c r="AX248" i="92"/>
  <c r="AW248" i="92"/>
  <c r="AV248" i="92"/>
  <c r="AU248" i="92"/>
  <c r="AT248" i="92"/>
  <c r="AY247" i="92"/>
  <c r="AX247" i="92"/>
  <c r="AW247" i="92"/>
  <c r="AV247" i="92"/>
  <c r="AU247" i="92"/>
  <c r="AT247" i="92"/>
  <c r="AY246" i="92"/>
  <c r="AX246" i="92"/>
  <c r="AW246" i="92"/>
  <c r="AV246" i="92"/>
  <c r="AU246" i="92"/>
  <c r="AT246" i="92"/>
  <c r="AZ257" i="92" s="1"/>
  <c r="AY245" i="92"/>
  <c r="AX245" i="92"/>
  <c r="AW245" i="92"/>
  <c r="AV245" i="92"/>
  <c r="AU245" i="92"/>
  <c r="AT245" i="92"/>
  <c r="AY244" i="92"/>
  <c r="AX244" i="92"/>
  <c r="AW244" i="92"/>
  <c r="AV244" i="92"/>
  <c r="AU244" i="92"/>
  <c r="AT244" i="92"/>
  <c r="AY243" i="92"/>
  <c r="BF254" i="92" s="1"/>
  <c r="AX243" i="92"/>
  <c r="BE254" i="92" s="1"/>
  <c r="AW243" i="92"/>
  <c r="AV243" i="92"/>
  <c r="BC254" i="92" s="1"/>
  <c r="AU243" i="92"/>
  <c r="AT243" i="92"/>
  <c r="BA254" i="92" s="1"/>
  <c r="AY242" i="92"/>
  <c r="AX242" i="92"/>
  <c r="AW242" i="92"/>
  <c r="AV242" i="92"/>
  <c r="AU242" i="92"/>
  <c r="AT242" i="92"/>
  <c r="AY241" i="92"/>
  <c r="AX241" i="92"/>
  <c r="AW241" i="92"/>
  <c r="AV241" i="92"/>
  <c r="AU241" i="92"/>
  <c r="AT241" i="92"/>
  <c r="AY240" i="92"/>
  <c r="AX240" i="92"/>
  <c r="AW240" i="92"/>
  <c r="AV240" i="92"/>
  <c r="AU240" i="92"/>
  <c r="AT240" i="92"/>
  <c r="AY239" i="92"/>
  <c r="AX239" i="92"/>
  <c r="AW239" i="92"/>
  <c r="AV239" i="92"/>
  <c r="AU239" i="92"/>
  <c r="AT239" i="92"/>
  <c r="AY238" i="92"/>
  <c r="AX238" i="92"/>
  <c r="AW238" i="92"/>
  <c r="AV238" i="92"/>
  <c r="AU238" i="92"/>
  <c r="AT238" i="92"/>
  <c r="AY237" i="92"/>
  <c r="AX237" i="92"/>
  <c r="AW237" i="92"/>
  <c r="AV237" i="92"/>
  <c r="AU237" i="92"/>
  <c r="AT237" i="92"/>
  <c r="AY236" i="92"/>
  <c r="AX236" i="92"/>
  <c r="AW236" i="92"/>
  <c r="AV236" i="92"/>
  <c r="AU236" i="92"/>
  <c r="AT236" i="92"/>
  <c r="AY235" i="92"/>
  <c r="AX235" i="92"/>
  <c r="AW235" i="92"/>
  <c r="AV235" i="92"/>
  <c r="AU235" i="92"/>
  <c r="AT235" i="92"/>
  <c r="AY234" i="92"/>
  <c r="AX234" i="92"/>
  <c r="AW234" i="92"/>
  <c r="AV234" i="92"/>
  <c r="AU234" i="92"/>
  <c r="AT234" i="92"/>
  <c r="AZ245" i="92" s="1"/>
  <c r="AY233" i="92"/>
  <c r="AX233" i="92"/>
  <c r="AW233" i="92"/>
  <c r="AV233" i="92"/>
  <c r="AU233" i="92"/>
  <c r="AT233" i="92"/>
  <c r="AY232" i="92"/>
  <c r="AX232" i="92"/>
  <c r="AW232" i="92"/>
  <c r="AV232" i="92"/>
  <c r="AU232" i="92"/>
  <c r="AT232" i="92"/>
  <c r="AY231" i="92"/>
  <c r="BF242" i="92" s="1"/>
  <c r="AX231" i="92"/>
  <c r="BE242" i="92" s="1"/>
  <c r="AW231" i="92"/>
  <c r="AV231" i="92"/>
  <c r="BC242" i="92" s="1"/>
  <c r="AU231" i="92"/>
  <c r="AT231" i="92"/>
  <c r="BA242" i="92" s="1"/>
  <c r="AY230" i="92"/>
  <c r="AX230" i="92"/>
  <c r="AW230" i="92"/>
  <c r="AV230" i="92"/>
  <c r="AU230" i="92"/>
  <c r="AT230" i="92"/>
  <c r="AY229" i="92"/>
  <c r="AX229" i="92"/>
  <c r="AW229" i="92"/>
  <c r="AV229" i="92"/>
  <c r="AU229" i="92"/>
  <c r="AT229" i="92"/>
  <c r="AY228" i="92"/>
  <c r="AX228" i="92"/>
  <c r="AW228" i="92"/>
  <c r="AV228" i="92"/>
  <c r="AU228" i="92"/>
  <c r="AT228" i="92"/>
  <c r="AY227" i="92"/>
  <c r="AX227" i="92"/>
  <c r="AW227" i="92"/>
  <c r="AV227" i="92"/>
  <c r="AU227" i="92"/>
  <c r="AT227" i="92"/>
  <c r="AY226" i="92"/>
  <c r="AX226" i="92"/>
  <c r="AW226" i="92"/>
  <c r="AV226" i="92"/>
  <c r="AU226" i="92"/>
  <c r="AT226" i="92"/>
  <c r="AY225" i="92"/>
  <c r="AX225" i="92"/>
  <c r="AW225" i="92"/>
  <c r="AV225" i="92"/>
  <c r="AU225" i="92"/>
  <c r="AT225" i="92"/>
  <c r="AY224" i="92"/>
  <c r="AX224" i="92"/>
  <c r="AW224" i="92"/>
  <c r="AV224" i="92"/>
  <c r="AU224" i="92"/>
  <c r="AT224" i="92"/>
  <c r="AY223" i="92"/>
  <c r="AX223" i="92"/>
  <c r="AW223" i="92"/>
  <c r="AV223" i="92"/>
  <c r="AU223" i="92"/>
  <c r="AT223" i="92"/>
  <c r="AY222" i="92"/>
  <c r="AX222" i="92"/>
  <c r="AW222" i="92"/>
  <c r="AV222" i="92"/>
  <c r="AU222" i="92"/>
  <c r="AT222" i="92"/>
  <c r="AZ233" i="92" s="1"/>
  <c r="AY221" i="92"/>
  <c r="AX221" i="92"/>
  <c r="AW221" i="92"/>
  <c r="AV221" i="92"/>
  <c r="AU221" i="92"/>
  <c r="AT221" i="92"/>
  <c r="AY220" i="92"/>
  <c r="AX220" i="92"/>
  <c r="AW220" i="92"/>
  <c r="AV220" i="92"/>
  <c r="AU220" i="92"/>
  <c r="AT220" i="92"/>
  <c r="AY219" i="92"/>
  <c r="BF230" i="92" s="1"/>
  <c r="AX219" i="92"/>
  <c r="BE230" i="92" s="1"/>
  <c r="AW219" i="92"/>
  <c r="AV219" i="92"/>
  <c r="BC230" i="92" s="1"/>
  <c r="AU219" i="92"/>
  <c r="AT219" i="92"/>
  <c r="BA230" i="92" s="1"/>
  <c r="AY218" i="92"/>
  <c r="AX218" i="92"/>
  <c r="AW218" i="92"/>
  <c r="AV218" i="92"/>
  <c r="AU218" i="92"/>
  <c r="AT218" i="92"/>
  <c r="AY217" i="92"/>
  <c r="AX217" i="92"/>
  <c r="AW217" i="92"/>
  <c r="AV217" i="92"/>
  <c r="AU217" i="92"/>
  <c r="AT217" i="92"/>
  <c r="AY216" i="92"/>
  <c r="AX216" i="92"/>
  <c r="AW216" i="92"/>
  <c r="AV216" i="92"/>
  <c r="AU216" i="92"/>
  <c r="AT216" i="92"/>
  <c r="AY215" i="92"/>
  <c r="AX215" i="92"/>
  <c r="AW215" i="92"/>
  <c r="AV215" i="92"/>
  <c r="AU215" i="92"/>
  <c r="AT215" i="92"/>
  <c r="AY214" i="92"/>
  <c r="AX214" i="92"/>
  <c r="AW214" i="92"/>
  <c r="AV214" i="92"/>
  <c r="AU214" i="92"/>
  <c r="AT214" i="92"/>
  <c r="AY213" i="92"/>
  <c r="AX213" i="92"/>
  <c r="AW213" i="92"/>
  <c r="AV213" i="92"/>
  <c r="AU213" i="92"/>
  <c r="AT213" i="92"/>
  <c r="AY212" i="92"/>
  <c r="AX212" i="92"/>
  <c r="AW212" i="92"/>
  <c r="AV212" i="92"/>
  <c r="AU212" i="92"/>
  <c r="AT212" i="92"/>
  <c r="AY211" i="92"/>
  <c r="AX211" i="92"/>
  <c r="AW211" i="92"/>
  <c r="AV211" i="92"/>
  <c r="AU211" i="92"/>
  <c r="AT211" i="92"/>
  <c r="AY210" i="92"/>
  <c r="AX210" i="92"/>
  <c r="AW210" i="92"/>
  <c r="AV210" i="92"/>
  <c r="AU210" i="92"/>
  <c r="AT210" i="92"/>
  <c r="AZ221" i="92" s="1"/>
  <c r="AY209" i="92"/>
  <c r="AX209" i="92"/>
  <c r="AW209" i="92"/>
  <c r="AV209" i="92"/>
  <c r="AU209" i="92"/>
  <c r="AT209" i="92"/>
  <c r="AY208" i="92"/>
  <c r="AX208" i="92"/>
  <c r="AW208" i="92"/>
  <c r="AV208" i="92"/>
  <c r="AU208" i="92"/>
  <c r="AT208" i="92"/>
  <c r="AY207" i="92"/>
  <c r="BF218" i="92" s="1"/>
  <c r="AX207" i="92"/>
  <c r="BE218" i="92" s="1"/>
  <c r="AW207" i="92"/>
  <c r="AV207" i="92"/>
  <c r="BC218" i="92" s="1"/>
  <c r="AU207" i="92"/>
  <c r="AT207" i="92"/>
  <c r="BA218" i="92" s="1"/>
  <c r="AY206" i="92"/>
  <c r="AX206" i="92"/>
  <c r="AW206" i="92"/>
  <c r="AV206" i="92"/>
  <c r="AU206" i="92"/>
  <c r="AT206" i="92"/>
  <c r="AY205" i="92"/>
  <c r="AX205" i="92"/>
  <c r="AW205" i="92"/>
  <c r="AV205" i="92"/>
  <c r="AU205" i="92"/>
  <c r="AT205" i="92"/>
  <c r="AY204" i="92"/>
  <c r="AX204" i="92"/>
  <c r="AW204" i="92"/>
  <c r="AV204" i="92"/>
  <c r="AU204" i="92"/>
  <c r="AT204" i="92"/>
  <c r="AY203" i="92"/>
  <c r="AX203" i="92"/>
  <c r="AW203" i="92"/>
  <c r="AV203" i="92"/>
  <c r="AU203" i="92"/>
  <c r="AT203" i="92"/>
  <c r="AY202" i="92"/>
  <c r="AX202" i="92"/>
  <c r="AW202" i="92"/>
  <c r="AV202" i="92"/>
  <c r="AU202" i="92"/>
  <c r="AT202" i="92"/>
  <c r="AY201" i="92"/>
  <c r="AX201" i="92"/>
  <c r="AW201" i="92"/>
  <c r="AV201" i="92"/>
  <c r="AU201" i="92"/>
  <c r="AT201" i="92"/>
  <c r="AY200" i="92"/>
  <c r="AX200" i="92"/>
  <c r="AW200" i="92"/>
  <c r="AV200" i="92"/>
  <c r="AU200" i="92"/>
  <c r="AT200" i="92"/>
  <c r="AY199" i="92"/>
  <c r="AX199" i="92"/>
  <c r="AW199" i="92"/>
  <c r="AV199" i="92"/>
  <c r="AU199" i="92"/>
  <c r="AT199" i="92"/>
  <c r="AY198" i="92"/>
  <c r="AX198" i="92"/>
  <c r="AW198" i="92"/>
  <c r="AV198" i="92"/>
  <c r="AU198" i="92"/>
  <c r="AT198" i="92"/>
  <c r="AZ209" i="92" s="1"/>
  <c r="AY197" i="92"/>
  <c r="AX197" i="92"/>
  <c r="AW197" i="92"/>
  <c r="AV197" i="92"/>
  <c r="AU197" i="92"/>
  <c r="AT197" i="92"/>
  <c r="AY196" i="92"/>
  <c r="AX196" i="92"/>
  <c r="AW196" i="92"/>
  <c r="AV196" i="92"/>
  <c r="AU196" i="92"/>
  <c r="AT196" i="92"/>
  <c r="AY195" i="92"/>
  <c r="BF206" i="92" s="1"/>
  <c r="AX195" i="92"/>
  <c r="BE206" i="92" s="1"/>
  <c r="AW195" i="92"/>
  <c r="AV195" i="92"/>
  <c r="BC206" i="92" s="1"/>
  <c r="AU195" i="92"/>
  <c r="AT195" i="92"/>
  <c r="BA206" i="92" s="1"/>
  <c r="AY194" i="92"/>
  <c r="AX194" i="92"/>
  <c r="AW194" i="92"/>
  <c r="AV194" i="92"/>
  <c r="AU194" i="92"/>
  <c r="AT194" i="92"/>
  <c r="AY193" i="92"/>
  <c r="AX193" i="92"/>
  <c r="AW193" i="92"/>
  <c r="AV193" i="92"/>
  <c r="AU193" i="92"/>
  <c r="AT193" i="92"/>
  <c r="AY192" i="92"/>
  <c r="AX192" i="92"/>
  <c r="AW192" i="92"/>
  <c r="AV192" i="92"/>
  <c r="AU192" i="92"/>
  <c r="AT192" i="92"/>
  <c r="AY191" i="92"/>
  <c r="AX191" i="92"/>
  <c r="AW191" i="92"/>
  <c r="AV191" i="92"/>
  <c r="AU191" i="92"/>
  <c r="AT191" i="92"/>
  <c r="AY190" i="92"/>
  <c r="AX190" i="92"/>
  <c r="AW190" i="92"/>
  <c r="AV190" i="92"/>
  <c r="AU190" i="92"/>
  <c r="AT190" i="92"/>
  <c r="AY189" i="92"/>
  <c r="AX189" i="92"/>
  <c r="AW189" i="92"/>
  <c r="AV189" i="92"/>
  <c r="AU189" i="92"/>
  <c r="AT189" i="92"/>
  <c r="AY188" i="92"/>
  <c r="AX188" i="92"/>
  <c r="AW188" i="92"/>
  <c r="AV188" i="92"/>
  <c r="AU188" i="92"/>
  <c r="AT188" i="92"/>
  <c r="AY187" i="92"/>
  <c r="AX187" i="92"/>
  <c r="AW187" i="92"/>
  <c r="AV187" i="92"/>
  <c r="AU187" i="92"/>
  <c r="AT187" i="92"/>
  <c r="AY186" i="92"/>
  <c r="AX186" i="92"/>
  <c r="AW186" i="92"/>
  <c r="AV186" i="92"/>
  <c r="AU186" i="92"/>
  <c r="AT186" i="92"/>
  <c r="AZ197" i="92" s="1"/>
  <c r="AY185" i="92"/>
  <c r="AX185" i="92"/>
  <c r="AW185" i="92"/>
  <c r="AV185" i="92"/>
  <c r="AU185" i="92"/>
  <c r="AT185" i="92"/>
  <c r="AY184" i="92"/>
  <c r="AX184" i="92"/>
  <c r="AW184" i="92"/>
  <c r="AV184" i="92"/>
  <c r="AU184" i="92"/>
  <c r="AT184" i="92"/>
  <c r="AY183" i="92"/>
  <c r="BF194" i="92" s="1"/>
  <c r="AX183" i="92"/>
  <c r="BE194" i="92" s="1"/>
  <c r="AW183" i="92"/>
  <c r="AV183" i="92"/>
  <c r="BC194" i="92" s="1"/>
  <c r="AU183" i="92"/>
  <c r="AT183" i="92"/>
  <c r="BA194" i="92" s="1"/>
  <c r="AY182" i="92"/>
  <c r="AX182" i="92"/>
  <c r="AW182" i="92"/>
  <c r="AV182" i="92"/>
  <c r="AU182" i="92"/>
  <c r="AT182" i="92"/>
  <c r="AY181" i="92"/>
  <c r="AX181" i="92"/>
  <c r="AW181" i="92"/>
  <c r="AV181" i="92"/>
  <c r="AU181" i="92"/>
  <c r="AT181" i="92"/>
  <c r="AY180" i="92"/>
  <c r="AX180" i="92"/>
  <c r="AW180" i="92"/>
  <c r="AV180" i="92"/>
  <c r="AU180" i="92"/>
  <c r="AT180" i="92"/>
  <c r="AY179" i="92"/>
  <c r="AX179" i="92"/>
  <c r="AW179" i="92"/>
  <c r="AV179" i="92"/>
  <c r="AU179" i="92"/>
  <c r="AT179" i="92"/>
  <c r="AY178" i="92"/>
  <c r="AX178" i="92"/>
  <c r="AW178" i="92"/>
  <c r="AV178" i="92"/>
  <c r="AU178" i="92"/>
  <c r="AT178" i="92"/>
  <c r="AY177" i="92"/>
  <c r="AX177" i="92"/>
  <c r="AW177" i="92"/>
  <c r="AV177" i="92"/>
  <c r="AU177" i="92"/>
  <c r="AT177" i="92"/>
  <c r="AY176" i="92"/>
  <c r="AX176" i="92"/>
  <c r="AW176" i="92"/>
  <c r="AV176" i="92"/>
  <c r="AU176" i="92"/>
  <c r="AT176" i="92"/>
  <c r="AY175" i="92"/>
  <c r="AX175" i="92"/>
  <c r="AW175" i="92"/>
  <c r="AV175" i="92"/>
  <c r="AU175" i="92"/>
  <c r="AT175" i="92"/>
  <c r="AY174" i="92"/>
  <c r="AX174" i="92"/>
  <c r="AW174" i="92"/>
  <c r="AV174" i="92"/>
  <c r="AU174" i="92"/>
  <c r="AT174" i="92"/>
  <c r="AZ185" i="92" s="1"/>
  <c r="AY173" i="92"/>
  <c r="AX173" i="92"/>
  <c r="AW173" i="92"/>
  <c r="AV173" i="92"/>
  <c r="AU173" i="92"/>
  <c r="AT173" i="92"/>
  <c r="AY172" i="92"/>
  <c r="AX172" i="92"/>
  <c r="AW172" i="92"/>
  <c r="AV172" i="92"/>
  <c r="AU172" i="92"/>
  <c r="AT172" i="92"/>
  <c r="AY171" i="92"/>
  <c r="BF182" i="92" s="1"/>
  <c r="AX171" i="92"/>
  <c r="BE182" i="92" s="1"/>
  <c r="AW171" i="92"/>
  <c r="AV171" i="92"/>
  <c r="BC182" i="92" s="1"/>
  <c r="AU171" i="92"/>
  <c r="AT171" i="92"/>
  <c r="BA182" i="92" s="1"/>
  <c r="AY170" i="92"/>
  <c r="AX170" i="92"/>
  <c r="AW170" i="92"/>
  <c r="AV170" i="92"/>
  <c r="AU170" i="92"/>
  <c r="AT170" i="92"/>
  <c r="AY169" i="92"/>
  <c r="AX169" i="92"/>
  <c r="AW169" i="92"/>
  <c r="AV169" i="92"/>
  <c r="AU169" i="92"/>
  <c r="AT169" i="92"/>
  <c r="AY168" i="92"/>
  <c r="AX168" i="92"/>
  <c r="AW168" i="92"/>
  <c r="AV168" i="92"/>
  <c r="AU168" i="92"/>
  <c r="AT168" i="92"/>
  <c r="AY167" i="92"/>
  <c r="AX167" i="92"/>
  <c r="AW167" i="92"/>
  <c r="AV167" i="92"/>
  <c r="AU167" i="92"/>
  <c r="AT167" i="92"/>
  <c r="AY166" i="92"/>
  <c r="AX166" i="92"/>
  <c r="AW166" i="92"/>
  <c r="AV166" i="92"/>
  <c r="AU166" i="92"/>
  <c r="AT166" i="92"/>
  <c r="AY165" i="92"/>
  <c r="AX165" i="92"/>
  <c r="AW165" i="92"/>
  <c r="AV165" i="92"/>
  <c r="AU165" i="92"/>
  <c r="AT165" i="92"/>
  <c r="AY164" i="92"/>
  <c r="AX164" i="92"/>
  <c r="AW164" i="92"/>
  <c r="AV164" i="92"/>
  <c r="AU164" i="92"/>
  <c r="AT164" i="92"/>
  <c r="AY163" i="92"/>
  <c r="AX163" i="92"/>
  <c r="AW163" i="92"/>
  <c r="AV163" i="92"/>
  <c r="AU163" i="92"/>
  <c r="AT163" i="92"/>
  <c r="AY162" i="92"/>
  <c r="AX162" i="92"/>
  <c r="AW162" i="92"/>
  <c r="AZ173" i="92" s="1"/>
  <c r="AV162" i="92"/>
  <c r="AU162" i="92"/>
  <c r="AT162" i="92"/>
  <c r="AY161" i="92"/>
  <c r="AX161" i="92"/>
  <c r="AW161" i="92"/>
  <c r="AV161" i="92"/>
  <c r="AU161" i="92"/>
  <c r="AT161" i="92"/>
  <c r="AY160" i="92"/>
  <c r="AX160" i="92"/>
  <c r="AW160" i="92"/>
  <c r="AV160" i="92"/>
  <c r="AU160" i="92"/>
  <c r="AT160" i="92"/>
  <c r="AY159" i="92"/>
  <c r="BF170" i="92" s="1"/>
  <c r="AX159" i="92"/>
  <c r="BE170" i="92" s="1"/>
  <c r="AW159" i="92"/>
  <c r="AV159" i="92"/>
  <c r="BC170" i="92" s="1"/>
  <c r="AU159" i="92"/>
  <c r="AT159" i="92"/>
  <c r="BA170" i="92" s="1"/>
  <c r="AY158" i="92"/>
  <c r="AX158" i="92"/>
  <c r="AW158" i="92"/>
  <c r="AV158" i="92"/>
  <c r="AU158" i="92"/>
  <c r="AT158" i="92"/>
  <c r="AY157" i="92"/>
  <c r="AX157" i="92"/>
  <c r="AW157" i="92"/>
  <c r="AV157" i="92"/>
  <c r="AU157" i="92"/>
  <c r="AT157" i="92"/>
  <c r="AY156" i="92"/>
  <c r="AX156" i="92"/>
  <c r="AW156" i="92"/>
  <c r="AV156" i="92"/>
  <c r="AU156" i="92"/>
  <c r="AT156" i="92"/>
  <c r="AY155" i="92"/>
  <c r="AX155" i="92"/>
  <c r="AW155" i="92"/>
  <c r="AV155" i="92"/>
  <c r="AU155" i="92"/>
  <c r="AT155" i="92"/>
  <c r="AY154" i="92"/>
  <c r="AX154" i="92"/>
  <c r="AW154" i="92"/>
  <c r="AV154" i="92"/>
  <c r="AU154" i="92"/>
  <c r="AT154" i="92"/>
  <c r="AY153" i="92"/>
  <c r="AX153" i="92"/>
  <c r="AW153" i="92"/>
  <c r="AV153" i="92"/>
  <c r="AU153" i="92"/>
  <c r="AT153" i="92"/>
  <c r="AY152" i="92"/>
  <c r="AX152" i="92"/>
  <c r="AW152" i="92"/>
  <c r="AV152" i="92"/>
  <c r="AU152" i="92"/>
  <c r="AT152" i="92"/>
  <c r="AY151" i="92"/>
  <c r="AX151" i="92"/>
  <c r="AW151" i="92"/>
  <c r="AV151" i="92"/>
  <c r="AU151" i="92"/>
  <c r="AT151" i="92"/>
  <c r="AY150" i="92"/>
  <c r="AX150" i="92"/>
  <c r="AW150" i="92"/>
  <c r="AV150" i="92"/>
  <c r="AU150" i="92"/>
  <c r="AT150" i="92"/>
  <c r="AZ161" i="92" s="1"/>
  <c r="AY149" i="92"/>
  <c r="AX149" i="92"/>
  <c r="AW149" i="92"/>
  <c r="AV149" i="92"/>
  <c r="AU149" i="92"/>
  <c r="AT149" i="92"/>
  <c r="AY148" i="92"/>
  <c r="AX148" i="92"/>
  <c r="AW148" i="92"/>
  <c r="AV148" i="92"/>
  <c r="AU148" i="92"/>
  <c r="AT148" i="92"/>
  <c r="AY147" i="92"/>
  <c r="BF158" i="92" s="1"/>
  <c r="AX147" i="92"/>
  <c r="BE158" i="92" s="1"/>
  <c r="AW147" i="92"/>
  <c r="AV147" i="92"/>
  <c r="BC158" i="92" s="1"/>
  <c r="AU147" i="92"/>
  <c r="AT147" i="92"/>
  <c r="BA158" i="92" s="1"/>
  <c r="AY146" i="92"/>
  <c r="AX146" i="92"/>
  <c r="AW146" i="92"/>
  <c r="AV146" i="92"/>
  <c r="AU146" i="92"/>
  <c r="AT146" i="92"/>
  <c r="AY145" i="92"/>
  <c r="AX145" i="92"/>
  <c r="AW145" i="92"/>
  <c r="AV145" i="92"/>
  <c r="AU145" i="92"/>
  <c r="AT145" i="92"/>
  <c r="AY144" i="92"/>
  <c r="AX144" i="92"/>
  <c r="AW144" i="92"/>
  <c r="AV144" i="92"/>
  <c r="AU144" i="92"/>
  <c r="AT144" i="92"/>
  <c r="AY143" i="92"/>
  <c r="AX143" i="92"/>
  <c r="AW143" i="92"/>
  <c r="AV143" i="92"/>
  <c r="AU143" i="92"/>
  <c r="AT143" i="92"/>
  <c r="AY142" i="92"/>
  <c r="AX142" i="92"/>
  <c r="AW142" i="92"/>
  <c r="AV142" i="92"/>
  <c r="AU142" i="92"/>
  <c r="AT142" i="92"/>
  <c r="AY141" i="92"/>
  <c r="AX141" i="92"/>
  <c r="AW141" i="92"/>
  <c r="AV141" i="92"/>
  <c r="AU141" i="92"/>
  <c r="AT141" i="92"/>
  <c r="AY140" i="92"/>
  <c r="AX140" i="92"/>
  <c r="AW140" i="92"/>
  <c r="AV140" i="92"/>
  <c r="AU140" i="92"/>
  <c r="AT140" i="92"/>
  <c r="AY139" i="92"/>
  <c r="AX139" i="92"/>
  <c r="AW139" i="92"/>
  <c r="AV139" i="92"/>
  <c r="AU139" i="92"/>
  <c r="AT139" i="92"/>
  <c r="AY138" i="92"/>
  <c r="AX138" i="92"/>
  <c r="AW138" i="92"/>
  <c r="AV138" i="92"/>
  <c r="AU138" i="92"/>
  <c r="AT138" i="92"/>
  <c r="AZ149" i="92" s="1"/>
  <c r="AY137" i="92"/>
  <c r="AX137" i="92"/>
  <c r="AW137" i="92"/>
  <c r="AV137" i="92"/>
  <c r="AU137" i="92"/>
  <c r="AT137" i="92"/>
  <c r="AY136" i="92"/>
  <c r="AX136" i="92"/>
  <c r="AW136" i="92"/>
  <c r="AV136" i="92"/>
  <c r="AU136" i="92"/>
  <c r="AT136" i="92"/>
  <c r="AY135" i="92"/>
  <c r="BF146" i="92" s="1"/>
  <c r="AX135" i="92"/>
  <c r="BE146" i="92" s="1"/>
  <c r="AW135" i="92"/>
  <c r="AV135" i="92"/>
  <c r="BC146" i="92" s="1"/>
  <c r="AU135" i="92"/>
  <c r="AT135" i="92"/>
  <c r="BA146" i="92" s="1"/>
  <c r="AY134" i="92"/>
  <c r="AX134" i="92"/>
  <c r="AW134" i="92"/>
  <c r="AV134" i="92"/>
  <c r="AU134" i="92"/>
  <c r="AT134" i="92"/>
  <c r="AY133" i="92"/>
  <c r="AX133" i="92"/>
  <c r="AW133" i="92"/>
  <c r="AV133" i="92"/>
  <c r="AU133" i="92"/>
  <c r="AT133" i="92"/>
  <c r="AY132" i="92"/>
  <c r="AX132" i="92"/>
  <c r="AW132" i="92"/>
  <c r="AV132" i="92"/>
  <c r="AU132" i="92"/>
  <c r="AT132" i="92"/>
  <c r="AY131" i="92"/>
  <c r="AX131" i="92"/>
  <c r="AW131" i="92"/>
  <c r="AV131" i="92"/>
  <c r="AU131" i="92"/>
  <c r="AT131" i="92"/>
  <c r="AY130" i="92"/>
  <c r="AX130" i="92"/>
  <c r="AW130" i="92"/>
  <c r="AV130" i="92"/>
  <c r="AU130" i="92"/>
  <c r="AT130" i="92"/>
  <c r="AY129" i="92"/>
  <c r="AX129" i="92"/>
  <c r="AW129" i="92"/>
  <c r="AV129" i="92"/>
  <c r="AU129" i="92"/>
  <c r="AT129" i="92"/>
  <c r="AY128" i="92"/>
  <c r="AX128" i="92"/>
  <c r="AW128" i="92"/>
  <c r="AV128" i="92"/>
  <c r="AU128" i="92"/>
  <c r="AT128" i="92"/>
  <c r="AY127" i="92"/>
  <c r="AX127" i="92"/>
  <c r="AW127" i="92"/>
  <c r="AV127" i="92"/>
  <c r="AU127" i="92"/>
  <c r="AT127" i="92"/>
  <c r="AY126" i="92"/>
  <c r="AX126" i="92"/>
  <c r="AW126" i="92"/>
  <c r="AV126" i="92"/>
  <c r="AU126" i="92"/>
  <c r="AT126" i="92"/>
  <c r="AZ137" i="92" s="1"/>
  <c r="AY125" i="92"/>
  <c r="AX125" i="92"/>
  <c r="AW125" i="92"/>
  <c r="AV125" i="92"/>
  <c r="AU125" i="92"/>
  <c r="AT125" i="92"/>
  <c r="AY124" i="92"/>
  <c r="AX124" i="92"/>
  <c r="AW124" i="92"/>
  <c r="AV124" i="92"/>
  <c r="AU124" i="92"/>
  <c r="AT124" i="92"/>
  <c r="AY123" i="92"/>
  <c r="BF134" i="92" s="1"/>
  <c r="AX123" i="92"/>
  <c r="BE134" i="92" s="1"/>
  <c r="AW123" i="92"/>
  <c r="AV123" i="92"/>
  <c r="BC134" i="92" s="1"/>
  <c r="AU123" i="92"/>
  <c r="AT123" i="92"/>
  <c r="BA134" i="92" s="1"/>
  <c r="AY122" i="92"/>
  <c r="AX122" i="92"/>
  <c r="AW122" i="92"/>
  <c r="AV122" i="92"/>
  <c r="AU122" i="92"/>
  <c r="AT122" i="92"/>
  <c r="AY121" i="92"/>
  <c r="AX121" i="92"/>
  <c r="AW121" i="92"/>
  <c r="AV121" i="92"/>
  <c r="AU121" i="92"/>
  <c r="AT121" i="92"/>
  <c r="AY120" i="92"/>
  <c r="AX120" i="92"/>
  <c r="AW120" i="92"/>
  <c r="AV120" i="92"/>
  <c r="AU120" i="92"/>
  <c r="AT120" i="92"/>
  <c r="AY119" i="92"/>
  <c r="AX119" i="92"/>
  <c r="AW119" i="92"/>
  <c r="AV119" i="92"/>
  <c r="AU119" i="92"/>
  <c r="AT119" i="92"/>
  <c r="AY118" i="92"/>
  <c r="AX118" i="92"/>
  <c r="AW118" i="92"/>
  <c r="AV118" i="92"/>
  <c r="AU118" i="92"/>
  <c r="AT118" i="92"/>
  <c r="AY117" i="92"/>
  <c r="AX117" i="92"/>
  <c r="AW117" i="92"/>
  <c r="AV117" i="92"/>
  <c r="AU117" i="92"/>
  <c r="AT117" i="92"/>
  <c r="AY116" i="92"/>
  <c r="AX116" i="92"/>
  <c r="AW116" i="92"/>
  <c r="AV116" i="92"/>
  <c r="AU116" i="92"/>
  <c r="AT116" i="92"/>
  <c r="AY115" i="92"/>
  <c r="AX115" i="92"/>
  <c r="AW115" i="92"/>
  <c r="AV115" i="92"/>
  <c r="AU115" i="92"/>
  <c r="AT115" i="92"/>
  <c r="AY114" i="92"/>
  <c r="AX114" i="92"/>
  <c r="AW114" i="92"/>
  <c r="AV114" i="92"/>
  <c r="AU114" i="92"/>
  <c r="AT114" i="92"/>
  <c r="AZ125" i="92" s="1"/>
  <c r="AY113" i="92"/>
  <c r="AX113" i="92"/>
  <c r="AW113" i="92"/>
  <c r="AV113" i="92"/>
  <c r="AU113" i="92"/>
  <c r="AT113" i="92"/>
  <c r="AY112" i="92"/>
  <c r="AX112" i="92"/>
  <c r="AW112" i="92"/>
  <c r="AV112" i="92"/>
  <c r="AU112" i="92"/>
  <c r="AT112" i="92"/>
  <c r="AY111" i="92"/>
  <c r="BF122" i="92" s="1"/>
  <c r="AX111" i="92"/>
  <c r="BE122" i="92" s="1"/>
  <c r="AW111" i="92"/>
  <c r="AV111" i="92"/>
  <c r="BC122" i="92" s="1"/>
  <c r="AU111" i="92"/>
  <c r="AT111" i="92"/>
  <c r="BA122" i="92" s="1"/>
  <c r="AY110" i="92"/>
  <c r="AX110" i="92"/>
  <c r="AW110" i="92"/>
  <c r="AV110" i="92"/>
  <c r="AU110" i="92"/>
  <c r="AT110" i="92"/>
  <c r="AY109" i="92"/>
  <c r="AX109" i="92"/>
  <c r="AW109" i="92"/>
  <c r="AV109" i="92"/>
  <c r="AU109" i="92"/>
  <c r="AT109" i="92"/>
  <c r="AY108" i="92"/>
  <c r="AX108" i="92"/>
  <c r="AW108" i="92"/>
  <c r="AV108" i="92"/>
  <c r="AU108" i="92"/>
  <c r="AT108" i="92"/>
  <c r="AY107" i="92"/>
  <c r="AX107" i="92"/>
  <c r="AW107" i="92"/>
  <c r="AV107" i="92"/>
  <c r="AU107" i="92"/>
  <c r="AT107" i="92"/>
  <c r="AY106" i="92"/>
  <c r="AX106" i="92"/>
  <c r="AW106" i="92"/>
  <c r="AV106" i="92"/>
  <c r="AU106" i="92"/>
  <c r="AT106" i="92"/>
  <c r="AY105" i="92"/>
  <c r="AX105" i="92"/>
  <c r="AW105" i="92"/>
  <c r="AV105" i="92"/>
  <c r="AU105" i="92"/>
  <c r="AT105" i="92"/>
  <c r="AY104" i="92"/>
  <c r="AX104" i="92"/>
  <c r="AW104" i="92"/>
  <c r="AV104" i="92"/>
  <c r="AU104" i="92"/>
  <c r="AT104" i="92"/>
  <c r="AY103" i="92"/>
  <c r="AX103" i="92"/>
  <c r="AW103" i="92"/>
  <c r="AV103" i="92"/>
  <c r="AU103" i="92"/>
  <c r="AT103" i="92"/>
  <c r="AY102" i="92"/>
  <c r="AX102" i="92"/>
  <c r="AW102" i="92"/>
  <c r="AV102" i="92"/>
  <c r="AU102" i="92"/>
  <c r="AT102" i="92"/>
  <c r="AZ113" i="92" s="1"/>
  <c r="AY101" i="92"/>
  <c r="AX101" i="92"/>
  <c r="AW101" i="92"/>
  <c r="AV101" i="92"/>
  <c r="AU101" i="92"/>
  <c r="AT101" i="92"/>
  <c r="AY100" i="92"/>
  <c r="AX100" i="92"/>
  <c r="AW100" i="92"/>
  <c r="AV100" i="92"/>
  <c r="AU100" i="92"/>
  <c r="AT100" i="92"/>
  <c r="AY99" i="92"/>
  <c r="BF110" i="92" s="1"/>
  <c r="AX99" i="92"/>
  <c r="BE110" i="92" s="1"/>
  <c r="AW99" i="92"/>
  <c r="AV99" i="92"/>
  <c r="BC110" i="92" s="1"/>
  <c r="AU99" i="92"/>
  <c r="AT99" i="92"/>
  <c r="BA110" i="92" s="1"/>
  <c r="AY98" i="92"/>
  <c r="AX98" i="92"/>
  <c r="AW98" i="92"/>
  <c r="AV98" i="92"/>
  <c r="AU98" i="92"/>
  <c r="AT98" i="92"/>
  <c r="AY97" i="92"/>
  <c r="AX97" i="92"/>
  <c r="AW97" i="92"/>
  <c r="AV97" i="92"/>
  <c r="AU97" i="92"/>
  <c r="AT97" i="92"/>
  <c r="AY96" i="92"/>
  <c r="AX96" i="92"/>
  <c r="AW96" i="92"/>
  <c r="AV96" i="92"/>
  <c r="AU96" i="92"/>
  <c r="AT96" i="92"/>
  <c r="AY95" i="92"/>
  <c r="AX95" i="92"/>
  <c r="AW95" i="92"/>
  <c r="AV95" i="92"/>
  <c r="AU95" i="92"/>
  <c r="AT95" i="92"/>
  <c r="AY94" i="92"/>
  <c r="AX94" i="92"/>
  <c r="AW94" i="92"/>
  <c r="AV94" i="92"/>
  <c r="AU94" i="92"/>
  <c r="AT94" i="92"/>
  <c r="AY93" i="92"/>
  <c r="AX93" i="92"/>
  <c r="AW93" i="92"/>
  <c r="AV93" i="92"/>
  <c r="AU93" i="92"/>
  <c r="AT93" i="92"/>
  <c r="AY92" i="92"/>
  <c r="AX92" i="92"/>
  <c r="AW92" i="92"/>
  <c r="AV92" i="92"/>
  <c r="AU92" i="92"/>
  <c r="AT92" i="92"/>
  <c r="AY91" i="92"/>
  <c r="AX91" i="92"/>
  <c r="AW91" i="92"/>
  <c r="AV91" i="92"/>
  <c r="AU91" i="92"/>
  <c r="AT91" i="92"/>
  <c r="AY90" i="92"/>
  <c r="AX90" i="92"/>
  <c r="AW90" i="92"/>
  <c r="AV90" i="92"/>
  <c r="AU90" i="92"/>
  <c r="AT90" i="92"/>
  <c r="AZ101" i="92" s="1"/>
  <c r="AY89" i="92"/>
  <c r="AX89" i="92"/>
  <c r="AW89" i="92"/>
  <c r="AV89" i="92"/>
  <c r="AU89" i="92"/>
  <c r="AT89" i="92"/>
  <c r="AY88" i="92"/>
  <c r="AX88" i="92"/>
  <c r="AW88" i="92"/>
  <c r="AV88" i="92"/>
  <c r="AU88" i="92"/>
  <c r="AT88" i="92"/>
  <c r="AY87" i="92"/>
  <c r="BF98" i="92" s="1"/>
  <c r="AX87" i="92"/>
  <c r="BE98" i="92" s="1"/>
  <c r="AW87" i="92"/>
  <c r="AV87" i="92"/>
  <c r="BC98" i="92" s="1"/>
  <c r="AU87" i="92"/>
  <c r="AT87" i="92"/>
  <c r="BA98" i="92" s="1"/>
  <c r="AY86" i="92"/>
  <c r="AX86" i="92"/>
  <c r="AW86" i="92"/>
  <c r="AV86" i="92"/>
  <c r="AU86" i="92"/>
  <c r="AT86" i="92"/>
  <c r="AY85" i="92"/>
  <c r="AX85" i="92"/>
  <c r="AW85" i="92"/>
  <c r="AV85" i="92"/>
  <c r="AU85" i="92"/>
  <c r="AT85" i="92"/>
  <c r="AY84" i="92"/>
  <c r="AX84" i="92"/>
  <c r="AW84" i="92"/>
  <c r="AV84" i="92"/>
  <c r="AU84" i="92"/>
  <c r="AT84" i="92"/>
  <c r="AY83" i="92"/>
  <c r="AX83" i="92"/>
  <c r="AW83" i="92"/>
  <c r="AV83" i="92"/>
  <c r="AU83" i="92"/>
  <c r="AT83" i="92"/>
  <c r="AY82" i="92"/>
  <c r="AX82" i="92"/>
  <c r="AW82" i="92"/>
  <c r="AV82" i="92"/>
  <c r="AU82" i="92"/>
  <c r="AT82" i="92"/>
  <c r="AY81" i="92"/>
  <c r="AX81" i="92"/>
  <c r="AW81" i="92"/>
  <c r="AV81" i="92"/>
  <c r="AU81" i="92"/>
  <c r="AT81" i="92"/>
  <c r="AY80" i="92"/>
  <c r="AX80" i="92"/>
  <c r="AW80" i="92"/>
  <c r="AV80" i="92"/>
  <c r="AU80" i="92"/>
  <c r="AT80" i="92"/>
  <c r="AY79" i="92"/>
  <c r="AX79" i="92"/>
  <c r="AW79" i="92"/>
  <c r="AV79" i="92"/>
  <c r="AU79" i="92"/>
  <c r="AT79" i="92"/>
  <c r="AY78" i="92"/>
  <c r="AX78" i="92"/>
  <c r="AW78" i="92"/>
  <c r="AV78" i="92"/>
  <c r="AU78" i="92"/>
  <c r="AT78" i="92"/>
  <c r="AZ89" i="92" s="1"/>
  <c r="AY77" i="92"/>
  <c r="AX77" i="92"/>
  <c r="AW77" i="92"/>
  <c r="AV77" i="92"/>
  <c r="AU77" i="92"/>
  <c r="AT77" i="92"/>
  <c r="AY76" i="92"/>
  <c r="AX76" i="92"/>
  <c r="AW76" i="92"/>
  <c r="AV76" i="92"/>
  <c r="AU76" i="92"/>
  <c r="AT76" i="92"/>
  <c r="AY75" i="92"/>
  <c r="BF86" i="92" s="1"/>
  <c r="AX75" i="92"/>
  <c r="BE86" i="92" s="1"/>
  <c r="AW75" i="92"/>
  <c r="AV75" i="92"/>
  <c r="BC86" i="92" s="1"/>
  <c r="AU75" i="92"/>
  <c r="AT75" i="92"/>
  <c r="BA86" i="92" s="1"/>
  <c r="AY74" i="92"/>
  <c r="AX74" i="92"/>
  <c r="AW74" i="92"/>
  <c r="AV74" i="92"/>
  <c r="AU74" i="92"/>
  <c r="AT74" i="92"/>
  <c r="AY73" i="92"/>
  <c r="AX73" i="92"/>
  <c r="AW73" i="92"/>
  <c r="AV73" i="92"/>
  <c r="AU73" i="92"/>
  <c r="AT73" i="92"/>
  <c r="AY72" i="92"/>
  <c r="AX72" i="92"/>
  <c r="AW72" i="92"/>
  <c r="AV72" i="92"/>
  <c r="AU72" i="92"/>
  <c r="AT72" i="92"/>
  <c r="AY71" i="92"/>
  <c r="AX71" i="92"/>
  <c r="AW71" i="92"/>
  <c r="AV71" i="92"/>
  <c r="AU71" i="92"/>
  <c r="AT71" i="92"/>
  <c r="AY70" i="92"/>
  <c r="AX70" i="92"/>
  <c r="AW70" i="92"/>
  <c r="AV70" i="92"/>
  <c r="AU70" i="92"/>
  <c r="AT70" i="92"/>
  <c r="AY69" i="92"/>
  <c r="AX69" i="92"/>
  <c r="AW69" i="92"/>
  <c r="AV69" i="92"/>
  <c r="AU69" i="92"/>
  <c r="AT69" i="92"/>
  <c r="AY68" i="92"/>
  <c r="AX68" i="92"/>
  <c r="AW68" i="92"/>
  <c r="AV68" i="92"/>
  <c r="AU68" i="92"/>
  <c r="AT68" i="92"/>
  <c r="AY67" i="92"/>
  <c r="AX67" i="92"/>
  <c r="AW67" i="92"/>
  <c r="AV67" i="92"/>
  <c r="AU67" i="92"/>
  <c r="AT67" i="92"/>
  <c r="AY66" i="92"/>
  <c r="AX66" i="92"/>
  <c r="AW66" i="92"/>
  <c r="AZ77" i="92" s="1"/>
  <c r="AV66" i="92"/>
  <c r="AU66" i="92"/>
  <c r="AT66" i="92"/>
  <c r="AY65" i="92"/>
  <c r="AX65" i="92"/>
  <c r="AW65" i="92"/>
  <c r="AV65" i="92"/>
  <c r="AU65" i="92"/>
  <c r="AT65" i="92"/>
  <c r="AY64" i="92"/>
  <c r="AX64" i="92"/>
  <c r="AW64" i="92"/>
  <c r="AV64" i="92"/>
  <c r="AU64" i="92"/>
  <c r="AT64" i="92"/>
  <c r="AY63" i="92"/>
  <c r="AX63" i="92"/>
  <c r="BE74" i="92" s="1"/>
  <c r="AW63" i="92"/>
  <c r="AV63" i="92"/>
  <c r="BC74" i="92" s="1"/>
  <c r="AU63" i="92"/>
  <c r="AT63" i="92"/>
  <c r="BA74" i="92" s="1"/>
  <c r="AY62" i="92"/>
  <c r="AX62" i="92"/>
  <c r="AW62" i="92"/>
  <c r="AV62" i="92"/>
  <c r="AU62" i="92"/>
  <c r="AT62" i="92"/>
  <c r="AY61" i="92"/>
  <c r="AX61" i="92"/>
  <c r="AW61" i="92"/>
  <c r="AV61" i="92"/>
  <c r="AU61" i="92"/>
  <c r="AT61" i="92"/>
  <c r="AY60" i="92"/>
  <c r="AX60" i="92"/>
  <c r="AW60" i="92"/>
  <c r="AV60" i="92"/>
  <c r="AU60" i="92"/>
  <c r="AT60" i="92"/>
  <c r="AY59" i="92"/>
  <c r="AX59" i="92"/>
  <c r="AW59" i="92"/>
  <c r="AV59" i="92"/>
  <c r="AU59" i="92"/>
  <c r="AT59" i="92"/>
  <c r="AY58" i="92"/>
  <c r="AX58" i="92"/>
  <c r="AW58" i="92"/>
  <c r="AV58" i="92"/>
  <c r="AU58" i="92"/>
  <c r="AT58" i="92"/>
  <c r="AY57" i="92"/>
  <c r="AX57" i="92"/>
  <c r="AW57" i="92"/>
  <c r="AV57" i="92"/>
  <c r="AU57" i="92"/>
  <c r="AT57" i="92"/>
  <c r="AY56" i="92"/>
  <c r="AX56" i="92"/>
  <c r="AW56" i="92"/>
  <c r="AV56" i="92"/>
  <c r="AU56" i="92"/>
  <c r="AT56" i="92"/>
  <c r="AY55" i="92"/>
  <c r="AX55" i="92"/>
  <c r="AW55" i="92"/>
  <c r="AV55" i="92"/>
  <c r="AU55" i="92"/>
  <c r="AT55" i="92"/>
  <c r="AY54" i="92"/>
  <c r="AX54" i="92"/>
  <c r="AW54" i="92"/>
  <c r="AV54" i="92"/>
  <c r="AU54" i="92"/>
  <c r="AT54" i="92"/>
  <c r="AZ65" i="92" s="1"/>
  <c r="AY53" i="92"/>
  <c r="AX53" i="92"/>
  <c r="AW53" i="92"/>
  <c r="AV53" i="92"/>
  <c r="AU53" i="92"/>
  <c r="AT53" i="92"/>
  <c r="AY52" i="92"/>
  <c r="AX52" i="92"/>
  <c r="AW52" i="92"/>
  <c r="AV52" i="92"/>
  <c r="AU52" i="92"/>
  <c r="AT52" i="92"/>
  <c r="AY51" i="92"/>
  <c r="BF62" i="92" s="1"/>
  <c r="AX51" i="92"/>
  <c r="BE62" i="92" s="1"/>
  <c r="AW51" i="92"/>
  <c r="AV51" i="92"/>
  <c r="BC62" i="92" s="1"/>
  <c r="AU51" i="92"/>
  <c r="AT51" i="92"/>
  <c r="BA62" i="92" s="1"/>
  <c r="AY50" i="92"/>
  <c r="AX50" i="92"/>
  <c r="AW50" i="92"/>
  <c r="AV50" i="92"/>
  <c r="AU50" i="92"/>
  <c r="AT50" i="92"/>
  <c r="AY49" i="92"/>
  <c r="AX49" i="92"/>
  <c r="AW49" i="92"/>
  <c r="AV49" i="92"/>
  <c r="AU49" i="92"/>
  <c r="AT49" i="92"/>
  <c r="AY48" i="92"/>
  <c r="AX48" i="92"/>
  <c r="AW48" i="92"/>
  <c r="AV48" i="92"/>
  <c r="AU48" i="92"/>
  <c r="AT48" i="92"/>
  <c r="AY47" i="92"/>
  <c r="AX47" i="92"/>
  <c r="AW47" i="92"/>
  <c r="AV47" i="92"/>
  <c r="AU47" i="92"/>
  <c r="AT47" i="92"/>
  <c r="AY46" i="92"/>
  <c r="AX46" i="92"/>
  <c r="AW46" i="92"/>
  <c r="AV46" i="92"/>
  <c r="AU46" i="92"/>
  <c r="AT46" i="92"/>
  <c r="AY45" i="92"/>
  <c r="AX45" i="92"/>
  <c r="AW45" i="92"/>
  <c r="AV45" i="92"/>
  <c r="AU45" i="92"/>
  <c r="AT45" i="92"/>
  <c r="U45" i="92"/>
  <c r="R45" i="92"/>
  <c r="AY44" i="92"/>
  <c r="AX44" i="92"/>
  <c r="AW44" i="92"/>
  <c r="AV44" i="92"/>
  <c r="AU44" i="92"/>
  <c r="AT44" i="92"/>
  <c r="U44" i="92"/>
  <c r="R44" i="92"/>
  <c r="AY43" i="92"/>
  <c r="AX43" i="92"/>
  <c r="AW43" i="92"/>
  <c r="AV43" i="92"/>
  <c r="AU43" i="92"/>
  <c r="AT43" i="92"/>
  <c r="U43" i="92"/>
  <c r="R43" i="92"/>
  <c r="AY42" i="92"/>
  <c r="AX42" i="92"/>
  <c r="AW42" i="92"/>
  <c r="AV42" i="92"/>
  <c r="AU42" i="92"/>
  <c r="AT42" i="92"/>
  <c r="AZ53" i="92" s="1"/>
  <c r="U42" i="92"/>
  <c r="R42" i="92"/>
  <c r="AY41" i="92"/>
  <c r="AX41" i="92"/>
  <c r="AW41" i="92"/>
  <c r="AV41" i="92"/>
  <c r="AU41" i="92"/>
  <c r="AT41" i="92"/>
  <c r="U41" i="92"/>
  <c r="R41" i="92"/>
  <c r="AY40" i="92"/>
  <c r="AX40" i="92"/>
  <c r="AW40" i="92"/>
  <c r="AV40" i="92"/>
  <c r="AU40" i="92"/>
  <c r="AT40" i="92"/>
  <c r="U40" i="92"/>
  <c r="R40" i="92"/>
  <c r="M40" i="92"/>
  <c r="P40" i="92" s="1"/>
  <c r="AY39" i="92"/>
  <c r="AX39" i="92"/>
  <c r="BE50" i="92" s="1"/>
  <c r="AW39" i="92"/>
  <c r="AV39" i="92"/>
  <c r="BC50" i="92" s="1"/>
  <c r="AU39" i="92"/>
  <c r="AT39" i="92"/>
  <c r="U39" i="92"/>
  <c r="T39" i="92"/>
  <c r="S39" i="92"/>
  <c r="R39" i="92"/>
  <c r="Q39" i="92"/>
  <c r="P39" i="92"/>
  <c r="AY38" i="92"/>
  <c r="AX38" i="92"/>
  <c r="AW38" i="92"/>
  <c r="AV38" i="92"/>
  <c r="AU38" i="92"/>
  <c r="AT38" i="92"/>
  <c r="U38" i="92"/>
  <c r="T38" i="92"/>
  <c r="S38" i="92"/>
  <c r="R38" i="92"/>
  <c r="Q38" i="92"/>
  <c r="P38" i="92"/>
  <c r="AY37" i="92"/>
  <c r="AX37" i="92"/>
  <c r="AW37" i="92"/>
  <c r="AV37" i="92"/>
  <c r="AU37" i="92"/>
  <c r="AT37" i="92"/>
  <c r="U37" i="92"/>
  <c r="T37" i="92"/>
  <c r="S37" i="92"/>
  <c r="R37" i="92"/>
  <c r="Q37" i="92"/>
  <c r="P37" i="92"/>
  <c r="AY36" i="92"/>
  <c r="AX36" i="92"/>
  <c r="AW36" i="92"/>
  <c r="AV36" i="92"/>
  <c r="AU36" i="92"/>
  <c r="AT36" i="92"/>
  <c r="U36" i="92"/>
  <c r="T36" i="92"/>
  <c r="S36" i="92"/>
  <c r="R36" i="92"/>
  <c r="Q36" i="92"/>
  <c r="P36" i="92"/>
  <c r="AY35" i="92"/>
  <c r="AX35" i="92"/>
  <c r="AW35" i="92"/>
  <c r="AV35" i="92"/>
  <c r="AU35" i="92"/>
  <c r="AT35" i="92"/>
  <c r="U35" i="92"/>
  <c r="T35" i="92"/>
  <c r="S35" i="92"/>
  <c r="R35" i="92"/>
  <c r="Q35" i="92"/>
  <c r="P35" i="92"/>
  <c r="AY34" i="92"/>
  <c r="AX34" i="92"/>
  <c r="AW34" i="92"/>
  <c r="AV34" i="92"/>
  <c r="AU34" i="92"/>
  <c r="AT34" i="92"/>
  <c r="U34" i="92"/>
  <c r="T34" i="92"/>
  <c r="S34" i="92"/>
  <c r="R34" i="92"/>
  <c r="Q34" i="92"/>
  <c r="P34" i="92"/>
  <c r="AY33" i="92"/>
  <c r="AX33" i="92"/>
  <c r="AW33" i="92"/>
  <c r="AV33" i="92"/>
  <c r="AU33" i="92"/>
  <c r="AT33" i="92"/>
  <c r="U33" i="92"/>
  <c r="T33" i="92"/>
  <c r="S33" i="92"/>
  <c r="R33" i="92"/>
  <c r="Q33" i="92"/>
  <c r="P33" i="92"/>
  <c r="AY32" i="92"/>
  <c r="AX32" i="92"/>
  <c r="AW32" i="92"/>
  <c r="AV32" i="92"/>
  <c r="AU32" i="92"/>
  <c r="AT32" i="92"/>
  <c r="U32" i="92"/>
  <c r="T32" i="92"/>
  <c r="S32" i="92"/>
  <c r="R32" i="92"/>
  <c r="Q32" i="92"/>
  <c r="P32" i="92"/>
  <c r="AY31" i="92"/>
  <c r="AX31" i="92"/>
  <c r="AW31" i="92"/>
  <c r="AV31" i="92"/>
  <c r="AU31" i="92"/>
  <c r="AT31" i="92"/>
  <c r="U31" i="92"/>
  <c r="T31" i="92"/>
  <c r="S31" i="92"/>
  <c r="R31" i="92"/>
  <c r="Q31" i="92"/>
  <c r="P31" i="92"/>
  <c r="AY30" i="92"/>
  <c r="AX30" i="92"/>
  <c r="AW30" i="92"/>
  <c r="AV30" i="92"/>
  <c r="AU30" i="92"/>
  <c r="AT30" i="92"/>
  <c r="AZ41" i="92" s="1"/>
  <c r="U30" i="92"/>
  <c r="T30" i="92"/>
  <c r="S30" i="92"/>
  <c r="R30" i="92"/>
  <c r="Q30" i="92"/>
  <c r="P30" i="92"/>
  <c r="AY29" i="92"/>
  <c r="AX29" i="92"/>
  <c r="AW29" i="92"/>
  <c r="AV29" i="92"/>
  <c r="AU29" i="92"/>
  <c r="AT29" i="92"/>
  <c r="U29" i="92"/>
  <c r="T29" i="92"/>
  <c r="S29" i="92"/>
  <c r="R29" i="92"/>
  <c r="Q29" i="92"/>
  <c r="P29" i="92"/>
  <c r="AY28" i="92"/>
  <c r="AX28" i="92"/>
  <c r="AW28" i="92"/>
  <c r="AV28" i="92"/>
  <c r="AU28" i="92"/>
  <c r="AT28" i="92"/>
  <c r="U28" i="92"/>
  <c r="T28" i="92"/>
  <c r="S28" i="92"/>
  <c r="R28" i="92"/>
  <c r="Q28" i="92"/>
  <c r="P28" i="92"/>
  <c r="AY27" i="92"/>
  <c r="BF38" i="92" s="1"/>
  <c r="AX27" i="92"/>
  <c r="BE38" i="92" s="1"/>
  <c r="AW27" i="92"/>
  <c r="BD38" i="92" s="1"/>
  <c r="AV27" i="92"/>
  <c r="BC38" i="92" s="1"/>
  <c r="AU27" i="92"/>
  <c r="AT27" i="92"/>
  <c r="U27" i="92"/>
  <c r="T27" i="92"/>
  <c r="S27" i="92"/>
  <c r="R27" i="92"/>
  <c r="Q27" i="92"/>
  <c r="P27" i="92"/>
  <c r="AY26" i="92"/>
  <c r="AX26" i="92"/>
  <c r="AW26" i="92"/>
  <c r="AV26" i="92"/>
  <c r="AU26" i="92"/>
  <c r="AT26" i="92"/>
  <c r="U26" i="92"/>
  <c r="T26" i="92"/>
  <c r="S26" i="92"/>
  <c r="R26" i="92"/>
  <c r="Q26" i="92"/>
  <c r="P26" i="92"/>
  <c r="AY25" i="92"/>
  <c r="AX25" i="92"/>
  <c r="AW25" i="92"/>
  <c r="AV25" i="92"/>
  <c r="AU25" i="92"/>
  <c r="AT25" i="92"/>
  <c r="AC25" i="92"/>
  <c r="Z25" i="92"/>
  <c r="U25" i="92"/>
  <c r="T25" i="92"/>
  <c r="S25" i="92"/>
  <c r="R25" i="92"/>
  <c r="Q25" i="92"/>
  <c r="P25" i="92"/>
  <c r="AY24" i="92"/>
  <c r="AX24" i="92"/>
  <c r="AW24" i="92"/>
  <c r="AV24" i="92"/>
  <c r="AU24" i="92"/>
  <c r="AT24" i="92"/>
  <c r="AC24" i="92"/>
  <c r="Z24" i="92"/>
  <c r="U24" i="92"/>
  <c r="T24" i="92"/>
  <c r="S24" i="92"/>
  <c r="R24" i="92"/>
  <c r="Q24" i="92"/>
  <c r="P24" i="92"/>
  <c r="AY23" i="92"/>
  <c r="AX23" i="92"/>
  <c r="AW23" i="92"/>
  <c r="AV23" i="92"/>
  <c r="AU23" i="92"/>
  <c r="AT23" i="92"/>
  <c r="AC23" i="92"/>
  <c r="Z23" i="92"/>
  <c r="U23" i="92"/>
  <c r="T23" i="92"/>
  <c r="S23" i="92"/>
  <c r="R23" i="92"/>
  <c r="Q23" i="92"/>
  <c r="P23" i="92"/>
  <c r="AY22" i="92"/>
  <c r="AX22" i="92"/>
  <c r="AW22" i="92"/>
  <c r="AV22" i="92"/>
  <c r="AU22" i="92"/>
  <c r="AT22" i="92"/>
  <c r="AC22" i="92"/>
  <c r="M45" i="92" s="1"/>
  <c r="P45" i="92" s="1"/>
  <c r="Z22" i="92"/>
  <c r="L45" i="92" s="1"/>
  <c r="T45" i="92" s="1"/>
  <c r="U22" i="92"/>
  <c r="T22" i="92"/>
  <c r="S22" i="92"/>
  <c r="R22" i="92"/>
  <c r="Q22" i="92"/>
  <c r="P22" i="92"/>
  <c r="AY21" i="92"/>
  <c r="AX21" i="92"/>
  <c r="AW21" i="92"/>
  <c r="AV21" i="92"/>
  <c r="AU21" i="92"/>
  <c r="AT21" i="92"/>
  <c r="AC21" i="92"/>
  <c r="Z21" i="92"/>
  <c r="U21" i="92"/>
  <c r="T21" i="92"/>
  <c r="S21" i="92"/>
  <c r="R21" i="92"/>
  <c r="Q21" i="92"/>
  <c r="P21" i="92"/>
  <c r="AY20" i="92"/>
  <c r="AX20" i="92"/>
  <c r="AW20" i="92"/>
  <c r="AV20" i="92"/>
  <c r="AU20" i="92"/>
  <c r="AT20" i="92"/>
  <c r="AC20" i="92"/>
  <c r="Z20" i="92"/>
  <c r="U20" i="92"/>
  <c r="T20" i="92"/>
  <c r="S20" i="92"/>
  <c r="R20" i="92"/>
  <c r="Q20" i="92"/>
  <c r="P20" i="92"/>
  <c r="AY19" i="92"/>
  <c r="AX19" i="92"/>
  <c r="AW19" i="92"/>
  <c r="AV19" i="92"/>
  <c r="AU19" i="92"/>
  <c r="AT19" i="92"/>
  <c r="AC19" i="92"/>
  <c r="Z19" i="92"/>
  <c r="U19" i="92"/>
  <c r="T19" i="92"/>
  <c r="S19" i="92"/>
  <c r="R19" i="92"/>
  <c r="Q19" i="92"/>
  <c r="P19" i="92"/>
  <c r="AY18" i="92"/>
  <c r="AX18" i="92"/>
  <c r="AW18" i="92"/>
  <c r="AV18" i="92"/>
  <c r="AU18" i="92"/>
  <c r="AT18" i="92"/>
  <c r="AZ29" i="92" s="1"/>
  <c r="AC18" i="92"/>
  <c r="N44" i="92" s="1"/>
  <c r="Q44" i="92" s="1"/>
  <c r="Z18" i="92"/>
  <c r="L44" i="92" s="1"/>
  <c r="T44" i="92" s="1"/>
  <c r="U18" i="92"/>
  <c r="T18" i="92"/>
  <c r="S18" i="92"/>
  <c r="R18" i="92"/>
  <c r="Q18" i="92"/>
  <c r="P18" i="92"/>
  <c r="AY17" i="92"/>
  <c r="AX17" i="92"/>
  <c r="AW17" i="92"/>
  <c r="AV17" i="92"/>
  <c r="AU17" i="92"/>
  <c r="AT17" i="92"/>
  <c r="AC17" i="92"/>
  <c r="Z17" i="92"/>
  <c r="U17" i="92"/>
  <c r="T17" i="92"/>
  <c r="S17" i="92"/>
  <c r="R17" i="92"/>
  <c r="Q17" i="92"/>
  <c r="P17" i="92"/>
  <c r="AY16" i="92"/>
  <c r="AX16" i="92"/>
  <c r="AW16" i="92"/>
  <c r="AV16" i="92"/>
  <c r="BC26" i="92" s="1"/>
  <c r="AU16" i="92"/>
  <c r="AT16" i="92"/>
  <c r="AC16" i="92"/>
  <c r="Z16" i="92"/>
  <c r="U16" i="92"/>
  <c r="T16" i="92"/>
  <c r="S16" i="92"/>
  <c r="R16" i="92"/>
  <c r="Q16" i="92"/>
  <c r="P16" i="92"/>
  <c r="AY15" i="92"/>
  <c r="AX15" i="92"/>
  <c r="BE26" i="92" s="1"/>
  <c r="AW15" i="92"/>
  <c r="AV15" i="92"/>
  <c r="AU15" i="92"/>
  <c r="AT15" i="92"/>
  <c r="AC15" i="92"/>
  <c r="Z15" i="92"/>
  <c r="U15" i="92"/>
  <c r="T15" i="92"/>
  <c r="S15" i="92"/>
  <c r="R15" i="92"/>
  <c r="Q15" i="92"/>
  <c r="P15" i="92"/>
  <c r="AY14" i="92"/>
  <c r="AX14" i="92"/>
  <c r="AW14" i="92"/>
  <c r="AV14" i="92"/>
  <c r="AU14" i="92"/>
  <c r="AT14" i="92"/>
  <c r="AC14" i="92"/>
  <c r="N43" i="92" s="1"/>
  <c r="Q43" i="92" s="1"/>
  <c r="Z14" i="92"/>
  <c r="L43" i="92" s="1"/>
  <c r="T43" i="92" s="1"/>
  <c r="U14" i="92"/>
  <c r="T14" i="92"/>
  <c r="S14" i="92"/>
  <c r="R14" i="92"/>
  <c r="Q14" i="92"/>
  <c r="P14" i="92"/>
  <c r="AY13" i="92"/>
  <c r="AX13" i="92"/>
  <c r="AW13" i="92"/>
  <c r="AV13" i="92"/>
  <c r="AU13" i="92"/>
  <c r="AT13" i="92"/>
  <c r="AC13" i="92"/>
  <c r="Z13" i="92"/>
  <c r="U13" i="92"/>
  <c r="T13" i="92"/>
  <c r="S13" i="92"/>
  <c r="R13" i="92"/>
  <c r="Q13" i="92"/>
  <c r="P13" i="92"/>
  <c r="AY12" i="92"/>
  <c r="AX12" i="92"/>
  <c r="AW12" i="92"/>
  <c r="AV12" i="92"/>
  <c r="AU12" i="92"/>
  <c r="AT12" i="92"/>
  <c r="AC12" i="92"/>
  <c r="Z12" i="92"/>
  <c r="U12" i="92"/>
  <c r="T12" i="92"/>
  <c r="S12" i="92"/>
  <c r="R12" i="92"/>
  <c r="Q12" i="92"/>
  <c r="P12" i="92"/>
  <c r="AY11" i="92"/>
  <c r="AX11" i="92"/>
  <c r="AW11" i="92"/>
  <c r="AV11" i="92"/>
  <c r="AU11" i="92"/>
  <c r="AT11" i="92"/>
  <c r="AC11" i="92"/>
  <c r="Z11" i="92"/>
  <c r="U11" i="92"/>
  <c r="T11" i="92"/>
  <c r="S11" i="92"/>
  <c r="R11" i="92"/>
  <c r="Q11" i="92"/>
  <c r="P11" i="92"/>
  <c r="AY10" i="92"/>
  <c r="AX10" i="92"/>
  <c r="AW10" i="92"/>
  <c r="AV10" i="92"/>
  <c r="AU10" i="92"/>
  <c r="AT10" i="92"/>
  <c r="AC10" i="92"/>
  <c r="N42" i="92" s="1"/>
  <c r="Q42" i="92" s="1"/>
  <c r="Z10" i="92"/>
  <c r="L42" i="92" s="1"/>
  <c r="T42" i="92" s="1"/>
  <c r="U10" i="92"/>
  <c r="T10" i="92"/>
  <c r="S10" i="92"/>
  <c r="R10" i="92"/>
  <c r="Q10" i="92"/>
  <c r="P10" i="92"/>
  <c r="AY9" i="92"/>
  <c r="AX9" i="92"/>
  <c r="AW9" i="92"/>
  <c r="AV9" i="92"/>
  <c r="AU9" i="92"/>
  <c r="AT9" i="92"/>
  <c r="AC9" i="92"/>
  <c r="Z9" i="92"/>
  <c r="U9" i="92"/>
  <c r="T9" i="92"/>
  <c r="S9" i="92"/>
  <c r="R9" i="92"/>
  <c r="Q9" i="92"/>
  <c r="P9" i="92"/>
  <c r="AY8" i="92"/>
  <c r="AX8" i="92"/>
  <c r="AW8" i="92"/>
  <c r="AV8" i="92"/>
  <c r="AU8" i="92"/>
  <c r="AT8" i="92"/>
  <c r="AC8" i="92"/>
  <c r="Z8" i="92"/>
  <c r="U8" i="92"/>
  <c r="T8" i="92"/>
  <c r="S8" i="92"/>
  <c r="R8" i="92"/>
  <c r="Q8" i="92"/>
  <c r="P8" i="92"/>
  <c r="AY7" i="92"/>
  <c r="AX7" i="92"/>
  <c r="AW7" i="92"/>
  <c r="AV7" i="92"/>
  <c r="AU7" i="92"/>
  <c r="AT7" i="92"/>
  <c r="AC7" i="92"/>
  <c r="Z7" i="92"/>
  <c r="U7" i="92"/>
  <c r="T7" i="92"/>
  <c r="S7" i="92"/>
  <c r="R7" i="92"/>
  <c r="Q7" i="92"/>
  <c r="P7" i="92"/>
  <c r="AY6" i="92"/>
  <c r="AX6" i="92"/>
  <c r="AW6" i="92"/>
  <c r="AV6" i="92"/>
  <c r="AU6" i="92"/>
  <c r="AT6" i="92"/>
  <c r="AZ17" i="92" s="1"/>
  <c r="AC6" i="92"/>
  <c r="N41" i="92" s="1"/>
  <c r="Q41" i="92" s="1"/>
  <c r="Z6" i="92"/>
  <c r="L41" i="92" s="1"/>
  <c r="T41" i="92" s="1"/>
  <c r="U6" i="92"/>
  <c r="T6" i="92"/>
  <c r="S6" i="92"/>
  <c r="R6" i="92"/>
  <c r="Q6" i="92"/>
  <c r="P6" i="92"/>
  <c r="AC5" i="92"/>
  <c r="Z5" i="92"/>
  <c r="U5" i="92"/>
  <c r="T5" i="92"/>
  <c r="S5" i="92"/>
  <c r="R5" i="92"/>
  <c r="Q5" i="92"/>
  <c r="P5" i="92"/>
  <c r="AC4" i="92"/>
  <c r="N40" i="92" s="1"/>
  <c r="Q40" i="92" s="1"/>
  <c r="Z4" i="92"/>
  <c r="L40" i="92" s="1"/>
  <c r="T40" i="92" s="1"/>
  <c r="U4" i="92"/>
  <c r="T4" i="92"/>
  <c r="S4" i="92"/>
  <c r="R4" i="92"/>
  <c r="Q4" i="92"/>
  <c r="P4" i="92"/>
  <c r="N45" i="48"/>
  <c r="M45" i="48"/>
  <c r="L45" i="48"/>
  <c r="K45" i="48"/>
  <c r="N44" i="48"/>
  <c r="M44" i="48"/>
  <c r="L44" i="48"/>
  <c r="K44" i="48"/>
  <c r="O41" i="48"/>
  <c r="O42" i="48"/>
  <c r="O43" i="48"/>
  <c r="O40" i="48"/>
  <c r="N43" i="48"/>
  <c r="M43" i="48"/>
  <c r="L43" i="48"/>
  <c r="K43" i="48"/>
  <c r="K41" i="48"/>
  <c r="N42" i="48"/>
  <c r="M42" i="48"/>
  <c r="L42" i="48"/>
  <c r="K42" i="48"/>
  <c r="N41" i="48"/>
  <c r="M41" i="48"/>
  <c r="L41" i="48"/>
  <c r="L40" i="48"/>
  <c r="K40" i="48"/>
  <c r="M40" i="48"/>
  <c r="N40" i="48"/>
  <c r="AC5" i="48"/>
  <c r="AC4" i="48"/>
  <c r="Z4" i="48"/>
  <c r="Z5" i="48"/>
  <c r="AC25" i="48"/>
  <c r="AC24" i="48"/>
  <c r="AC23" i="48"/>
  <c r="AC22" i="48"/>
  <c r="AC21" i="48"/>
  <c r="AC20" i="48"/>
  <c r="AC19" i="48"/>
  <c r="AC18" i="48"/>
  <c r="AC17" i="48"/>
  <c r="AC16" i="48"/>
  <c r="AC15" i="48"/>
  <c r="AC14" i="48"/>
  <c r="AC13" i="48"/>
  <c r="AC12" i="48"/>
  <c r="AC11" i="48"/>
  <c r="AC10" i="48"/>
  <c r="AC9" i="48"/>
  <c r="AC8" i="48"/>
  <c r="AC7" i="48"/>
  <c r="AC6" i="48"/>
  <c r="Z7" i="48"/>
  <c r="Z8" i="48"/>
  <c r="Z9" i="48"/>
  <c r="Z10" i="48"/>
  <c r="Z11" i="48"/>
  <c r="Z12" i="48"/>
  <c r="Z13" i="48"/>
  <c r="Z14" i="48"/>
  <c r="Z15" i="48"/>
  <c r="Z16" i="48"/>
  <c r="Z17" i="48"/>
  <c r="Z18" i="48"/>
  <c r="Z19" i="48"/>
  <c r="Z20" i="48"/>
  <c r="Z21" i="48"/>
  <c r="Z22" i="48"/>
  <c r="Z23" i="48"/>
  <c r="Z24" i="48"/>
  <c r="Z25" i="48"/>
  <c r="Z6" i="48"/>
  <c r="P5" i="48"/>
  <c r="Q5" i="48"/>
  <c r="R5" i="48"/>
  <c r="S5" i="48"/>
  <c r="T5" i="48"/>
  <c r="U5" i="48"/>
  <c r="P6" i="48"/>
  <c r="Q6" i="48"/>
  <c r="R6" i="48"/>
  <c r="S6" i="48"/>
  <c r="T6" i="48"/>
  <c r="U6" i="48"/>
  <c r="P7" i="48"/>
  <c r="Q7" i="48"/>
  <c r="R7" i="48"/>
  <c r="S7" i="48"/>
  <c r="T7" i="48"/>
  <c r="U7" i="48"/>
  <c r="P8" i="48"/>
  <c r="Q8" i="48"/>
  <c r="R8" i="48"/>
  <c r="S8" i="48"/>
  <c r="T8" i="48"/>
  <c r="U8" i="48"/>
  <c r="P9" i="48"/>
  <c r="Q9" i="48"/>
  <c r="R9" i="48"/>
  <c r="S9" i="48"/>
  <c r="T9" i="48"/>
  <c r="U9" i="48"/>
  <c r="P10" i="48"/>
  <c r="Q10" i="48"/>
  <c r="R10" i="48"/>
  <c r="S10" i="48"/>
  <c r="T10" i="48"/>
  <c r="U10" i="48"/>
  <c r="P11" i="48"/>
  <c r="Q11" i="48"/>
  <c r="R11" i="48"/>
  <c r="S11" i="48"/>
  <c r="T11" i="48"/>
  <c r="U11" i="48"/>
  <c r="P12" i="48"/>
  <c r="Q12" i="48"/>
  <c r="R12" i="48"/>
  <c r="S12" i="48"/>
  <c r="T12" i="48"/>
  <c r="U12" i="48"/>
  <c r="P13" i="48"/>
  <c r="Q13" i="48"/>
  <c r="R13" i="48"/>
  <c r="S13" i="48"/>
  <c r="T13" i="48"/>
  <c r="U13" i="48"/>
  <c r="P14" i="48"/>
  <c r="Q14" i="48"/>
  <c r="R14" i="48"/>
  <c r="S14" i="48"/>
  <c r="T14" i="48"/>
  <c r="U14" i="48"/>
  <c r="P15" i="48"/>
  <c r="Q15" i="48"/>
  <c r="R15" i="48"/>
  <c r="S15" i="48"/>
  <c r="T15" i="48"/>
  <c r="U15" i="48"/>
  <c r="P16" i="48"/>
  <c r="Q16" i="48"/>
  <c r="R16" i="48"/>
  <c r="S16" i="48"/>
  <c r="T16" i="48"/>
  <c r="U16" i="48"/>
  <c r="P17" i="48"/>
  <c r="Q17" i="48"/>
  <c r="R17" i="48"/>
  <c r="S17" i="48"/>
  <c r="T17" i="48"/>
  <c r="U17" i="48"/>
  <c r="P18" i="48"/>
  <c r="Q18" i="48"/>
  <c r="R18" i="48"/>
  <c r="S18" i="48"/>
  <c r="T18" i="48"/>
  <c r="U18" i="48"/>
  <c r="P19" i="48"/>
  <c r="Q19" i="48"/>
  <c r="R19" i="48"/>
  <c r="S19" i="48"/>
  <c r="T19" i="48"/>
  <c r="U19" i="48"/>
  <c r="P20" i="48"/>
  <c r="Q20" i="48"/>
  <c r="R20" i="48"/>
  <c r="S20" i="48"/>
  <c r="T20" i="48"/>
  <c r="U20" i="48"/>
  <c r="P21" i="48"/>
  <c r="Q21" i="48"/>
  <c r="R21" i="48"/>
  <c r="S21" i="48"/>
  <c r="T21" i="48"/>
  <c r="U21" i="48"/>
  <c r="P22" i="48"/>
  <c r="Q22" i="48"/>
  <c r="R22" i="48"/>
  <c r="S22" i="48"/>
  <c r="T22" i="48"/>
  <c r="U22" i="48"/>
  <c r="P23" i="48"/>
  <c r="Q23" i="48"/>
  <c r="R23" i="48"/>
  <c r="S23" i="48"/>
  <c r="T23" i="48"/>
  <c r="U23" i="48"/>
  <c r="P24" i="48"/>
  <c r="Q24" i="48"/>
  <c r="R24" i="48"/>
  <c r="S24" i="48"/>
  <c r="T24" i="48"/>
  <c r="U24" i="48"/>
  <c r="P25" i="48"/>
  <c r="Q25" i="48"/>
  <c r="R25" i="48"/>
  <c r="S25" i="48"/>
  <c r="T25" i="48"/>
  <c r="U25" i="48"/>
  <c r="P26" i="48"/>
  <c r="Q26" i="48"/>
  <c r="R26" i="48"/>
  <c r="S26" i="48"/>
  <c r="T26" i="48"/>
  <c r="U26" i="48"/>
  <c r="P27" i="48"/>
  <c r="Q27" i="48"/>
  <c r="R27" i="48"/>
  <c r="S27" i="48"/>
  <c r="T27" i="48"/>
  <c r="U27" i="48"/>
  <c r="P28" i="48"/>
  <c r="Q28" i="48"/>
  <c r="R28" i="48"/>
  <c r="S28" i="48"/>
  <c r="T28" i="48"/>
  <c r="U28" i="48"/>
  <c r="P29" i="48"/>
  <c r="Q29" i="48"/>
  <c r="R29" i="48"/>
  <c r="S29" i="48"/>
  <c r="T29" i="48"/>
  <c r="U29" i="48"/>
  <c r="P30" i="48"/>
  <c r="Q30" i="48"/>
  <c r="R30" i="48"/>
  <c r="S30" i="48"/>
  <c r="T30" i="48"/>
  <c r="U30" i="48"/>
  <c r="P31" i="48"/>
  <c r="Q31" i="48"/>
  <c r="R31" i="48"/>
  <c r="S31" i="48"/>
  <c r="T31" i="48"/>
  <c r="U31" i="48"/>
  <c r="P32" i="48"/>
  <c r="Q32" i="48"/>
  <c r="R32" i="48"/>
  <c r="S32" i="48"/>
  <c r="T32" i="48"/>
  <c r="U32" i="48"/>
  <c r="P33" i="48"/>
  <c r="Q33" i="48"/>
  <c r="R33" i="48"/>
  <c r="S33" i="48"/>
  <c r="T33" i="48"/>
  <c r="U33" i="48"/>
  <c r="P34" i="48"/>
  <c r="Q34" i="48"/>
  <c r="R34" i="48"/>
  <c r="S34" i="48"/>
  <c r="T34" i="48"/>
  <c r="U34" i="48"/>
  <c r="P35" i="48"/>
  <c r="Q35" i="48"/>
  <c r="R35" i="48"/>
  <c r="S35" i="48"/>
  <c r="T35" i="48"/>
  <c r="U35" i="48"/>
  <c r="P36" i="48"/>
  <c r="Q36" i="48"/>
  <c r="R36" i="48"/>
  <c r="S36" i="48"/>
  <c r="T36" i="48"/>
  <c r="U36" i="48"/>
  <c r="P37" i="48"/>
  <c r="Q37" i="48"/>
  <c r="R37" i="48"/>
  <c r="S37" i="48"/>
  <c r="T37" i="48"/>
  <c r="U37" i="48"/>
  <c r="P38" i="48"/>
  <c r="Q38" i="48"/>
  <c r="R38" i="48"/>
  <c r="S38" i="48"/>
  <c r="T38" i="48"/>
  <c r="U38" i="48"/>
  <c r="P39" i="48"/>
  <c r="Q39" i="48"/>
  <c r="R39" i="48"/>
  <c r="S39" i="48"/>
  <c r="T39" i="48"/>
  <c r="U39" i="48"/>
  <c r="R40" i="48"/>
  <c r="U40" i="48"/>
  <c r="R41" i="48"/>
  <c r="U41" i="48"/>
  <c r="R42" i="48"/>
  <c r="U42" i="48"/>
  <c r="R43" i="48"/>
  <c r="U43" i="48"/>
  <c r="R44" i="48"/>
  <c r="U44" i="48"/>
  <c r="R45" i="48"/>
  <c r="U45" i="48"/>
  <c r="U4" i="48"/>
  <c r="R4" i="48"/>
  <c r="T4" i="48"/>
  <c r="S4" i="48"/>
  <c r="Q4" i="48"/>
  <c r="P4" i="48"/>
  <c r="BV47" i="93" l="1"/>
  <c r="CD47" i="93" s="1"/>
  <c r="EG47" i="96"/>
  <c r="AV56" i="93"/>
  <c r="AW56" i="93" s="1"/>
  <c r="AM51" i="93"/>
  <c r="AM52" i="93" s="1"/>
  <c r="AM53" i="93" s="1"/>
  <c r="AM54" i="93" s="1"/>
  <c r="AM55" i="93" s="1"/>
  <c r="AT59" i="93"/>
  <c r="AU59" i="93" s="1"/>
  <c r="AI51" i="93"/>
  <c r="AI52" i="93" s="1"/>
  <c r="AI53" i="93" s="1"/>
  <c r="AI54" i="93" s="1"/>
  <c r="AI55" i="93" s="1"/>
  <c r="AI56" i="93" s="1"/>
  <c r="AI57" i="93" s="1"/>
  <c r="AI58" i="93" s="1"/>
  <c r="AL51" i="93"/>
  <c r="AL52" i="93" s="1"/>
  <c r="AL53" i="93" s="1"/>
  <c r="AL54" i="93" s="1"/>
  <c r="AL55" i="93" s="1"/>
  <c r="FF61" i="93"/>
  <c r="FE61" i="93" s="1"/>
  <c r="G46" i="98"/>
  <c r="G47" i="98" s="1"/>
  <c r="G48" i="98" s="1"/>
  <c r="G49" i="98" s="1"/>
  <c r="G50" i="98" s="1"/>
  <c r="G51" i="98" s="1"/>
  <c r="G52" i="98" s="1"/>
  <c r="G53" i="98" s="1"/>
  <c r="G54" i="98" s="1"/>
  <c r="G55" i="98" s="1"/>
  <c r="G56" i="98" s="1"/>
  <c r="G57" i="98" s="1"/>
  <c r="G58" i="98" s="1"/>
  <c r="G59" i="98" s="1"/>
  <c r="G60" i="98" s="1"/>
  <c r="G61" i="98" s="1"/>
  <c r="G62" i="98" s="1"/>
  <c r="G63" i="98" s="1"/>
  <c r="G64" i="98" s="1"/>
  <c r="FS48" i="93"/>
  <c r="BU48" i="93"/>
  <c r="EF48" i="93" s="1"/>
  <c r="AE48" i="93"/>
  <c r="CE53" i="96"/>
  <c r="CC52" i="96"/>
  <c r="CA55" i="96"/>
  <c r="CA56" i="96" s="1"/>
  <c r="CE51" i="93"/>
  <c r="CC51" i="93"/>
  <c r="CA53" i="93"/>
  <c r="CA54" i="93" s="1"/>
  <c r="ES59" i="97"/>
  <c r="EW58" i="97"/>
  <c r="EZ58" i="97" s="1"/>
  <c r="EY58" i="97"/>
  <c r="FB58" i="97" s="1"/>
  <c r="EX58" i="97"/>
  <c r="FA58" i="97" s="1"/>
  <c r="FI52" i="97"/>
  <c r="AW49" i="97"/>
  <c r="CW50" i="97"/>
  <c r="CV60" i="97"/>
  <c r="CW47" i="97"/>
  <c r="CJ47" i="97"/>
  <c r="CJ48" i="97" s="1"/>
  <c r="CJ49" i="97" s="1"/>
  <c r="CJ50" i="97" s="1"/>
  <c r="CJ51" i="97" s="1"/>
  <c r="CJ52" i="97" s="1"/>
  <c r="CJ53" i="97" s="1"/>
  <c r="CJ54" i="97" s="1"/>
  <c r="CJ55" i="97" s="1"/>
  <c r="CJ56" i="97" s="1"/>
  <c r="CJ57" i="97" s="1"/>
  <c r="AW57" i="97"/>
  <c r="AW51" i="97"/>
  <c r="DN50" i="97"/>
  <c r="DN51" i="97"/>
  <c r="DO56" i="97"/>
  <c r="EH49" i="97"/>
  <c r="BW50" i="97"/>
  <c r="CY55" i="97"/>
  <c r="CV59" i="97"/>
  <c r="AW55" i="97"/>
  <c r="FL47" i="97"/>
  <c r="EM48" i="97" s="1"/>
  <c r="T47" i="97"/>
  <c r="AY54" i="97"/>
  <c r="DO55" i="97"/>
  <c r="AW53" i="97"/>
  <c r="CW49" i="97"/>
  <c r="AV60" i="97"/>
  <c r="CQ63" i="97"/>
  <c r="CW48" i="97"/>
  <c r="AX50" i="97"/>
  <c r="AQ62" i="97"/>
  <c r="CX54" i="97"/>
  <c r="FH64" i="97"/>
  <c r="DJ51" i="97"/>
  <c r="CP62" i="97"/>
  <c r="CT62" i="97" s="1"/>
  <c r="CW57" i="97"/>
  <c r="CI48" i="97"/>
  <c r="CW51" i="97"/>
  <c r="DM53" i="97"/>
  <c r="AP61" i="97"/>
  <c r="AT61" i="97" s="1"/>
  <c r="BV48" i="97"/>
  <c r="FM48" i="97"/>
  <c r="EG49" i="97" s="1"/>
  <c r="AW52" i="97"/>
  <c r="AW48" i="97"/>
  <c r="CV58" i="97"/>
  <c r="DK49" i="97"/>
  <c r="AV59" i="97"/>
  <c r="AI59" i="97"/>
  <c r="AI60" i="97" s="1"/>
  <c r="CW56" i="97"/>
  <c r="CV61" i="97"/>
  <c r="BU51" i="97"/>
  <c r="EF50" i="97"/>
  <c r="BS52" i="97"/>
  <c r="ED51" i="97"/>
  <c r="AJ47" i="97"/>
  <c r="AJ48" i="97" s="1"/>
  <c r="AJ49" i="97" s="1"/>
  <c r="AJ50" i="97" s="1"/>
  <c r="AJ51" i="97" s="1"/>
  <c r="AJ52" i="97" s="1"/>
  <c r="AJ53" i="97" s="1"/>
  <c r="AJ54" i="97" s="1"/>
  <c r="AJ55" i="97" s="1"/>
  <c r="AJ56" i="97" s="1"/>
  <c r="AJ57" i="97" s="1"/>
  <c r="AJ58" i="97" s="1"/>
  <c r="AW47" i="97"/>
  <c r="AA47" i="97"/>
  <c r="AW56" i="97"/>
  <c r="FF62" i="97"/>
  <c r="CW53" i="97"/>
  <c r="AX58" i="97"/>
  <c r="DL50" i="97"/>
  <c r="CH57" i="93"/>
  <c r="CH58" i="93" s="1"/>
  <c r="CH59" i="93" s="1"/>
  <c r="CH60" i="93" s="1"/>
  <c r="CH61" i="93" s="1"/>
  <c r="CH62" i="93" s="1"/>
  <c r="CH63" i="93" s="1"/>
  <c r="CH64" i="93" s="1"/>
  <c r="CU62" i="96"/>
  <c r="CH62" i="96"/>
  <c r="T48" i="96"/>
  <c r="FL48" i="96"/>
  <c r="EM49" i="96" s="1"/>
  <c r="CV61" i="96"/>
  <c r="CW52" i="96"/>
  <c r="CW47" i="96"/>
  <c r="CJ47" i="96"/>
  <c r="CJ48" i="96" s="1"/>
  <c r="CJ49" i="96" s="1"/>
  <c r="CJ50" i="96" s="1"/>
  <c r="CJ51" i="96" s="1"/>
  <c r="CJ52" i="96" s="1"/>
  <c r="CJ53" i="96" s="1"/>
  <c r="CJ54" i="96" s="1"/>
  <c r="CJ55" i="96" s="1"/>
  <c r="CJ56" i="96" s="1"/>
  <c r="CJ57" i="96" s="1"/>
  <c r="AW53" i="96"/>
  <c r="CW57" i="96"/>
  <c r="AX47" i="96"/>
  <c r="AK47" i="96"/>
  <c r="CW54" i="96"/>
  <c r="FF62" i="96"/>
  <c r="FE62" i="96" s="1"/>
  <c r="CW48" i="96"/>
  <c r="CW53" i="96"/>
  <c r="AW55" i="96"/>
  <c r="AQ61" i="96"/>
  <c r="AP61" i="96" s="1"/>
  <c r="AT61" i="96" s="1"/>
  <c r="CV59" i="96"/>
  <c r="CI48" i="96"/>
  <c r="BS48" i="96" s="1"/>
  <c r="ED48" i="96" s="1"/>
  <c r="AX57" i="96"/>
  <c r="FQ47" i="96"/>
  <c r="AA47" i="96"/>
  <c r="AH60" i="96"/>
  <c r="AU60" i="96"/>
  <c r="AX51" i="96"/>
  <c r="CW50" i="96"/>
  <c r="CX56" i="96"/>
  <c r="CW49" i="96"/>
  <c r="AX52" i="96"/>
  <c r="CW55" i="96"/>
  <c r="FH61" i="96"/>
  <c r="FG61" i="96" s="1"/>
  <c r="FI61" i="96" s="1"/>
  <c r="CV58" i="96"/>
  <c r="CW51" i="96"/>
  <c r="AW49" i="96"/>
  <c r="FG60" i="96"/>
  <c r="FI60" i="96" s="1"/>
  <c r="CQ63" i="96"/>
  <c r="CP63" i="96" s="1"/>
  <c r="CT63" i="96" s="1"/>
  <c r="AV59" i="96"/>
  <c r="CV60" i="96"/>
  <c r="AX54" i="96"/>
  <c r="AW48" i="96"/>
  <c r="AJ48" i="96"/>
  <c r="AJ49" i="96" s="1"/>
  <c r="AJ50" i="96" s="1"/>
  <c r="AJ51" i="96" s="1"/>
  <c r="AJ52" i="96" s="1"/>
  <c r="AJ53" i="96" s="1"/>
  <c r="AJ54" i="96" s="1"/>
  <c r="AJ55" i="96" s="1"/>
  <c r="AJ56" i="96" s="1"/>
  <c r="AJ57" i="96" s="1"/>
  <c r="AW56" i="96"/>
  <c r="AV58" i="96"/>
  <c r="AI58" i="96"/>
  <c r="AI59" i="96" s="1"/>
  <c r="AB47" i="96"/>
  <c r="CB47" i="96" s="1"/>
  <c r="FR47" i="96" s="1"/>
  <c r="CI49" i="93"/>
  <c r="BS49" i="93" s="1"/>
  <c r="ED49" i="93" s="1"/>
  <c r="CM49" i="93"/>
  <c r="CK49" i="93"/>
  <c r="CJ49" i="93"/>
  <c r="T47" i="93"/>
  <c r="AB47" i="93" s="1"/>
  <c r="CB47" i="93" s="1"/>
  <c r="FL47" i="93"/>
  <c r="EM48" i="93" s="1"/>
  <c r="AC47" i="93"/>
  <c r="AC48" i="93" s="1"/>
  <c r="U48" i="93" s="1"/>
  <c r="AD47" i="93"/>
  <c r="V47" i="93" s="1"/>
  <c r="EO47" i="93" s="1"/>
  <c r="FT47" i="93"/>
  <c r="AA47" i="93"/>
  <c r="AA48" i="93" s="1"/>
  <c r="FI60" i="93"/>
  <c r="AJ51" i="93"/>
  <c r="FH61" i="93"/>
  <c r="FH62" i="93" s="1"/>
  <c r="FG62" i="93" s="1"/>
  <c r="CL49" i="93"/>
  <c r="AH49" i="93"/>
  <c r="AQ60" i="93"/>
  <c r="AP60" i="93" s="1"/>
  <c r="CQ65" i="93"/>
  <c r="CP65" i="93" s="1"/>
  <c r="CT65" i="93" s="1"/>
  <c r="CU65" i="93" s="1"/>
  <c r="CV65" i="93" s="1"/>
  <c r="CW65" i="93" s="1"/>
  <c r="CX65" i="93" s="1"/>
  <c r="CY65" i="93" s="1"/>
  <c r="GC32" i="28"/>
  <c r="GD26" i="28"/>
  <c r="GC24" i="28"/>
  <c r="FU24" i="28"/>
  <c r="FT46" i="28"/>
  <c r="GE46" i="28"/>
  <c r="GC29" i="28"/>
  <c r="GC45" i="28"/>
  <c r="GD27" i="28"/>
  <c r="FT27" i="28"/>
  <c r="GE26" i="28"/>
  <c r="GD30" i="28"/>
  <c r="GC23" i="28"/>
  <c r="FU17" i="28"/>
  <c r="FT34" i="28"/>
  <c r="FT35" i="28"/>
  <c r="FU8" i="28"/>
  <c r="FT29" i="28"/>
  <c r="GE29" i="28"/>
  <c r="GC27" i="28"/>
  <c r="GD35" i="28"/>
  <c r="FV38" i="28"/>
  <c r="FT26" i="28"/>
  <c r="FV16" i="28"/>
  <c r="GE34" i="28"/>
  <c r="GD34" i="28"/>
  <c r="GD29" i="28"/>
  <c r="FU11" i="28"/>
  <c r="FU9" i="28"/>
  <c r="FV27" i="28"/>
  <c r="FV13" i="28"/>
  <c r="FU29" i="28"/>
  <c r="FU13" i="28"/>
  <c r="AT12" i="28"/>
  <c r="AT13" i="28"/>
  <c r="FV29" i="28"/>
  <c r="FU38" i="28"/>
  <c r="FV40" i="28"/>
  <c r="FV22" i="28"/>
  <c r="FU21" i="28"/>
  <c r="FU30" i="28"/>
  <c r="FV39" i="28"/>
  <c r="FT14" i="28"/>
  <c r="FV45" i="28"/>
  <c r="FU44" i="28"/>
  <c r="FU45" i="28"/>
  <c r="FU43" i="28"/>
  <c r="FV44" i="28"/>
  <c r="FU37" i="28"/>
  <c r="FT30" i="28"/>
  <c r="FV37" i="28"/>
  <c r="FV14" i="28"/>
  <c r="FU22" i="28"/>
  <c r="FV23" i="28"/>
  <c r="FU39" i="28"/>
  <c r="FU15" i="28"/>
  <c r="FV15" i="28"/>
  <c r="FU23" i="28"/>
  <c r="FU31" i="28"/>
  <c r="FV31" i="28"/>
  <c r="CP16" i="28"/>
  <c r="AR7" i="28"/>
  <c r="AR8" i="28"/>
  <c r="AP11" i="28"/>
  <c r="AT16" i="28"/>
  <c r="AP7" i="28"/>
  <c r="AT8" i="28"/>
  <c r="AT9" i="28"/>
  <c r="CM8" i="28"/>
  <c r="AP14" i="28"/>
  <c r="AR16" i="28"/>
  <c r="AP15" i="28"/>
  <c r="AR15" i="28"/>
  <c r="AU18" i="28"/>
  <c r="CQ19" i="28"/>
  <c r="CM12" i="28"/>
  <c r="CQ7" i="28"/>
  <c r="CL17" i="28"/>
  <c r="CN19" i="28"/>
  <c r="CM19" i="28"/>
  <c r="CN17" i="28"/>
  <c r="CQ8" i="28"/>
  <c r="CM7" i="28"/>
  <c r="CM9" i="28"/>
  <c r="CO11" i="28"/>
  <c r="CQ11" i="28"/>
  <c r="CN9" i="28"/>
  <c r="CM10" i="28"/>
  <c r="CM14" i="28"/>
  <c r="CL13" i="28"/>
  <c r="CN18" i="28"/>
  <c r="CO16" i="28"/>
  <c r="CP13" i="28"/>
  <c r="CP8" i="28"/>
  <c r="AU8" i="28"/>
  <c r="CQ13" i="28"/>
  <c r="CP17" i="28"/>
  <c r="CM15" i="28"/>
  <c r="CN16" i="28"/>
  <c r="CO8" i="28"/>
  <c r="AQ16" i="28"/>
  <c r="CL14" i="28"/>
  <c r="CQ12" i="28"/>
  <c r="CO14" i="28"/>
  <c r="CO19" i="28"/>
  <c r="AQ9" i="28"/>
  <c r="CM16" i="28"/>
  <c r="CP11" i="28"/>
  <c r="CN12" i="28"/>
  <c r="AP8" i="28"/>
  <c r="CP14" i="28"/>
  <c r="CN8" i="28"/>
  <c r="CQ15" i="28"/>
  <c r="CN11" i="28"/>
  <c r="CQ17" i="28"/>
  <c r="CP10" i="28"/>
  <c r="CP18" i="28"/>
  <c r="CL12" i="28"/>
  <c r="AU9" i="28"/>
  <c r="CQ16" i="28"/>
  <c r="CP19" i="28"/>
  <c r="CO15" i="28"/>
  <c r="CN15" i="28"/>
  <c r="CQ18" i="28"/>
  <c r="CL7" i="28"/>
  <c r="CL18" i="28"/>
  <c r="CL10" i="28"/>
  <c r="CP7" i="28"/>
  <c r="CN14" i="28"/>
  <c r="AU11" i="28"/>
  <c r="CO12" i="28"/>
  <c r="CN10" i="28"/>
  <c r="AU17" i="28"/>
  <c r="AS17" i="28"/>
  <c r="CM18" i="28"/>
  <c r="CQ9" i="28"/>
  <c r="CP15" i="28"/>
  <c r="CO9" i="28"/>
  <c r="AU10" i="28"/>
  <c r="AP12" i="28"/>
  <c r="CN13" i="28"/>
  <c r="CO7" i="28"/>
  <c r="CM11" i="28"/>
  <c r="CN7" i="28"/>
  <c r="CM13" i="28"/>
  <c r="AQ8" i="28"/>
  <c r="CO17" i="28"/>
  <c r="CL9" i="28"/>
  <c r="AP9" i="28"/>
  <c r="AQ19" i="28"/>
  <c r="CQ10" i="28"/>
  <c r="AQ11" i="28"/>
  <c r="CL16" i="28"/>
  <c r="AQ7" i="28"/>
  <c r="AU13" i="28"/>
  <c r="AS18" i="28"/>
  <c r="CP12" i="28"/>
  <c r="CO10" i="28"/>
  <c r="CO13" i="28"/>
  <c r="AP10" i="28"/>
  <c r="CL19" i="28"/>
  <c r="CM17" i="28"/>
  <c r="CL15" i="28"/>
  <c r="CQ14" i="28"/>
  <c r="CO18" i="28"/>
  <c r="CL11" i="28"/>
  <c r="AR13" i="28"/>
  <c r="AP17" i="28"/>
  <c r="AR17" i="28"/>
  <c r="AT14" i="28"/>
  <c r="AS16" i="28"/>
  <c r="AS9" i="28"/>
  <c r="AS7" i="28"/>
  <c r="AP16" i="28"/>
  <c r="AU16" i="28"/>
  <c r="AS13" i="28"/>
  <c r="AT10" i="28"/>
  <c r="AS12" i="28"/>
  <c r="AS11" i="28"/>
  <c r="AP18" i="28"/>
  <c r="AP13" i="28"/>
  <c r="AQ13" i="28"/>
  <c r="AU7" i="28"/>
  <c r="AT15" i="28"/>
  <c r="AS15" i="28"/>
  <c r="AS14" i="28"/>
  <c r="AQ18" i="28"/>
  <c r="AQ12" i="28"/>
  <c r="AT19" i="28"/>
  <c r="AQ14" i="28"/>
  <c r="AT18" i="28"/>
  <c r="AS10" i="28"/>
  <c r="AU12" i="28"/>
  <c r="AT11" i="28"/>
  <c r="AQ15" i="28"/>
  <c r="AP19" i="28"/>
  <c r="AR14" i="28"/>
  <c r="AU15" i="28"/>
  <c r="AR19" i="28"/>
  <c r="AR10" i="28"/>
  <c r="AQ17" i="28"/>
  <c r="AR9" i="28"/>
  <c r="AQ10" i="28"/>
  <c r="AU19" i="28"/>
  <c r="AR18" i="28"/>
  <c r="AT7" i="28"/>
  <c r="AS19" i="28"/>
  <c r="BG98" i="92"/>
  <c r="BG146" i="92"/>
  <c r="BG218" i="92"/>
  <c r="BG338" i="92"/>
  <c r="BG434" i="92"/>
  <c r="BG482" i="92"/>
  <c r="BD50" i="92"/>
  <c r="BB26" i="92"/>
  <c r="BF50" i="92"/>
  <c r="BD26" i="92"/>
  <c r="BB62" i="92"/>
  <c r="BG62" i="92" s="1"/>
  <c r="BB74" i="92"/>
  <c r="BG74" i="92" s="1"/>
  <c r="BB86" i="92"/>
  <c r="BG86" i="92" s="1"/>
  <c r="BB98" i="92"/>
  <c r="BB110" i="92"/>
  <c r="BB122" i="92"/>
  <c r="BG122" i="92" s="1"/>
  <c r="BB134" i="92"/>
  <c r="BG134" i="92" s="1"/>
  <c r="BB146" i="92"/>
  <c r="BB158" i="92"/>
  <c r="BG158" i="92" s="1"/>
  <c r="BB170" i="92"/>
  <c r="BG170" i="92" s="1"/>
  <c r="BB182" i="92"/>
  <c r="BG182" i="92" s="1"/>
  <c r="BB194" i="92"/>
  <c r="BG194" i="92" s="1"/>
  <c r="BB206" i="92"/>
  <c r="BB218" i="92"/>
  <c r="BB230" i="92"/>
  <c r="BG230" i="92" s="1"/>
  <c r="BB242" i="92"/>
  <c r="BG242" i="92" s="1"/>
  <c r="BB254" i="92"/>
  <c r="BG254" i="92" s="1"/>
  <c r="BB266" i="92"/>
  <c r="BG266" i="92" s="1"/>
  <c r="BB278" i="92"/>
  <c r="BG278" i="92" s="1"/>
  <c r="BB290" i="92"/>
  <c r="BG290" i="92" s="1"/>
  <c r="BB302" i="92"/>
  <c r="BG302" i="92" s="1"/>
  <c r="BB314" i="92"/>
  <c r="BG314" i="92" s="1"/>
  <c r="BB326" i="92"/>
  <c r="BB338" i="92"/>
  <c r="BB350" i="92"/>
  <c r="BG350" i="92" s="1"/>
  <c r="BB362" i="92"/>
  <c r="BB374" i="92"/>
  <c r="BB386" i="92"/>
  <c r="BG386" i="92" s="1"/>
  <c r="BB398" i="92"/>
  <c r="BG398" i="92" s="1"/>
  <c r="BB410" i="92"/>
  <c r="BG410" i="92" s="1"/>
  <c r="BB422" i="92"/>
  <c r="BG422" i="92" s="1"/>
  <c r="BB434" i="92"/>
  <c r="BB446" i="92"/>
  <c r="BG446" i="92" s="1"/>
  <c r="BB458" i="92"/>
  <c r="BG458" i="92" s="1"/>
  <c r="BB470" i="92"/>
  <c r="BB482" i="92"/>
  <c r="BB494" i="92"/>
  <c r="BG494" i="92" s="1"/>
  <c r="BB506" i="92"/>
  <c r="BG506" i="92" s="1"/>
  <c r="BF326" i="92"/>
  <c r="BA38" i="92"/>
  <c r="BG38" i="92" s="1"/>
  <c r="BF74" i="92"/>
  <c r="BF26" i="92"/>
  <c r="BB38" i="92"/>
  <c r="BA50" i="92"/>
  <c r="BD62" i="92"/>
  <c r="BD74" i="92"/>
  <c r="BD86" i="92"/>
  <c r="BD98" i="92"/>
  <c r="BD110" i="92"/>
  <c r="BG110" i="92" s="1"/>
  <c r="BD122" i="92"/>
  <c r="BD134" i="92"/>
  <c r="BD146" i="92"/>
  <c r="BD158" i="92"/>
  <c r="BD170" i="92"/>
  <c r="BD182" i="92"/>
  <c r="BD194" i="92"/>
  <c r="BD206" i="92"/>
  <c r="BG206" i="92" s="1"/>
  <c r="BD218" i="92"/>
  <c r="BD230" i="92"/>
  <c r="BD242" i="92"/>
  <c r="BD254" i="92"/>
  <c r="BD266" i="92"/>
  <c r="BD278" i="92"/>
  <c r="BD290" i="92"/>
  <c r="BD302" i="92"/>
  <c r="BD314" i="92"/>
  <c r="BD326" i="92"/>
  <c r="BD338" i="92"/>
  <c r="BD350" i="92"/>
  <c r="BD362" i="92"/>
  <c r="BD374" i="92"/>
  <c r="BG374" i="92" s="1"/>
  <c r="BD386" i="92"/>
  <c r="BD398" i="92"/>
  <c r="BD410" i="92"/>
  <c r="BD422" i="92"/>
  <c r="BD434" i="92"/>
  <c r="BD446" i="92"/>
  <c r="BD458" i="92"/>
  <c r="BD470" i="92"/>
  <c r="BG470" i="92" s="1"/>
  <c r="BD482" i="92"/>
  <c r="BD494" i="92"/>
  <c r="BD506" i="92"/>
  <c r="BB50" i="92"/>
  <c r="BE326" i="92"/>
  <c r="BE338" i="92"/>
  <c r="BE350" i="92"/>
  <c r="BE362" i="92"/>
  <c r="BG362" i="92" s="1"/>
  <c r="BE374" i="92"/>
  <c r="BE410" i="92"/>
  <c r="K40" i="92"/>
  <c r="N45" i="92"/>
  <c r="Q45" i="92" s="1"/>
  <c r="K42" i="92"/>
  <c r="M41" i="92"/>
  <c r="P41" i="92" s="1"/>
  <c r="K43" i="92"/>
  <c r="M42" i="92"/>
  <c r="P42" i="92" s="1"/>
  <c r="K44" i="92"/>
  <c r="M43" i="92"/>
  <c r="P43" i="92" s="1"/>
  <c r="K45" i="92"/>
  <c r="M44" i="92"/>
  <c r="P44" i="92" s="1"/>
  <c r="O45" i="48"/>
  <c r="O44" i="48"/>
  <c r="AT509" i="48"/>
  <c r="AT18" i="48"/>
  <c r="AU18" i="48"/>
  <c r="AV18" i="48"/>
  <c r="AW18" i="48"/>
  <c r="AX18" i="48"/>
  <c r="AY18" i="48"/>
  <c r="AT19" i="48"/>
  <c r="AU19" i="48"/>
  <c r="AV19" i="48"/>
  <c r="AW19" i="48"/>
  <c r="AX19" i="48"/>
  <c r="AY19" i="48"/>
  <c r="AT20" i="48"/>
  <c r="AU20" i="48"/>
  <c r="AV20" i="48"/>
  <c r="AW20" i="48"/>
  <c r="AX20" i="48"/>
  <c r="AY20" i="48"/>
  <c r="AT21" i="48"/>
  <c r="AU21" i="48"/>
  <c r="AV21" i="48"/>
  <c r="AW21" i="48"/>
  <c r="AX21" i="48"/>
  <c r="AY21" i="48"/>
  <c r="AT22" i="48"/>
  <c r="AU22" i="48"/>
  <c r="AV22" i="48"/>
  <c r="AW22" i="48"/>
  <c r="AX22" i="48"/>
  <c r="AY22" i="48"/>
  <c r="AT23" i="48"/>
  <c r="AU23" i="48"/>
  <c r="AV23" i="48"/>
  <c r="AW23" i="48"/>
  <c r="AX23" i="48"/>
  <c r="AY23" i="48"/>
  <c r="AT24" i="48"/>
  <c r="AU24" i="48"/>
  <c r="AV24" i="48"/>
  <c r="AW24" i="48"/>
  <c r="AX24" i="48"/>
  <c r="AY24" i="48"/>
  <c r="AT25" i="48"/>
  <c r="AU25" i="48"/>
  <c r="AV25" i="48"/>
  <c r="AW25" i="48"/>
  <c r="AX25" i="48"/>
  <c r="AY25" i="48"/>
  <c r="AT26" i="48"/>
  <c r="AU26" i="48"/>
  <c r="AV26" i="48"/>
  <c r="AW26" i="48"/>
  <c r="AX26" i="48"/>
  <c r="AY26" i="48"/>
  <c r="AT27" i="48"/>
  <c r="AU27" i="48"/>
  <c r="AV27" i="48"/>
  <c r="AW27" i="48"/>
  <c r="AX27" i="48"/>
  <c r="AY27" i="48"/>
  <c r="AT28" i="48"/>
  <c r="AU28" i="48"/>
  <c r="AV28" i="48"/>
  <c r="AW28" i="48"/>
  <c r="AX28" i="48"/>
  <c r="AY28" i="48"/>
  <c r="AT29" i="48"/>
  <c r="AU29" i="48"/>
  <c r="AV29" i="48"/>
  <c r="AW29" i="48"/>
  <c r="AX29" i="48"/>
  <c r="AY29" i="48"/>
  <c r="AT30" i="48"/>
  <c r="AU30" i="48"/>
  <c r="AV30" i="48"/>
  <c r="AW30" i="48"/>
  <c r="AX30" i="48"/>
  <c r="AY30" i="48"/>
  <c r="AT31" i="48"/>
  <c r="AU31" i="48"/>
  <c r="AV31" i="48"/>
  <c r="AW31" i="48"/>
  <c r="AX31" i="48"/>
  <c r="AY31" i="48"/>
  <c r="AT32" i="48"/>
  <c r="AU32" i="48"/>
  <c r="AV32" i="48"/>
  <c r="AW32" i="48"/>
  <c r="AX32" i="48"/>
  <c r="AY32" i="48"/>
  <c r="AT33" i="48"/>
  <c r="AU33" i="48"/>
  <c r="AV33" i="48"/>
  <c r="AW33" i="48"/>
  <c r="AX33" i="48"/>
  <c r="AY33" i="48"/>
  <c r="AT34" i="48"/>
  <c r="AU34" i="48"/>
  <c r="AV34" i="48"/>
  <c r="AW34" i="48"/>
  <c r="AX34" i="48"/>
  <c r="AY34" i="48"/>
  <c r="AT35" i="48"/>
  <c r="AU35" i="48"/>
  <c r="AV35" i="48"/>
  <c r="AW35" i="48"/>
  <c r="AX35" i="48"/>
  <c r="AY35" i="48"/>
  <c r="AT36" i="48"/>
  <c r="AU36" i="48"/>
  <c r="AV36" i="48"/>
  <c r="AW36" i="48"/>
  <c r="AX36" i="48"/>
  <c r="AY36" i="48"/>
  <c r="AT37" i="48"/>
  <c r="AU37" i="48"/>
  <c r="AV37" i="48"/>
  <c r="AW37" i="48"/>
  <c r="AX37" i="48"/>
  <c r="AY37" i="48"/>
  <c r="AT38" i="48"/>
  <c r="AU38" i="48"/>
  <c r="AV38" i="48"/>
  <c r="AW38" i="48"/>
  <c r="AX38" i="48"/>
  <c r="AY38" i="48"/>
  <c r="AT39" i="48"/>
  <c r="AU39" i="48"/>
  <c r="AV39" i="48"/>
  <c r="AW39" i="48"/>
  <c r="AX39" i="48"/>
  <c r="AY39" i="48"/>
  <c r="AT40" i="48"/>
  <c r="AU40" i="48"/>
  <c r="AV40" i="48"/>
  <c r="AW40" i="48"/>
  <c r="AX40" i="48"/>
  <c r="AY40" i="48"/>
  <c r="AT41" i="48"/>
  <c r="AU41" i="48"/>
  <c r="AV41" i="48"/>
  <c r="AW41" i="48"/>
  <c r="AX41" i="48"/>
  <c r="AY41" i="48"/>
  <c r="AT42" i="48"/>
  <c r="AU42" i="48"/>
  <c r="AV42" i="48"/>
  <c r="AW42" i="48"/>
  <c r="AX42" i="48"/>
  <c r="AY42" i="48"/>
  <c r="AT43" i="48"/>
  <c r="AU43" i="48"/>
  <c r="AV43" i="48"/>
  <c r="AW43" i="48"/>
  <c r="AX43" i="48"/>
  <c r="AY43" i="48"/>
  <c r="AT44" i="48"/>
  <c r="AU44" i="48"/>
  <c r="AV44" i="48"/>
  <c r="AW44" i="48"/>
  <c r="AX44" i="48"/>
  <c r="AY44" i="48"/>
  <c r="AT45" i="48"/>
  <c r="AU45" i="48"/>
  <c r="AV45" i="48"/>
  <c r="AW45" i="48"/>
  <c r="AX45" i="48"/>
  <c r="AY45" i="48"/>
  <c r="AT46" i="48"/>
  <c r="AU46" i="48"/>
  <c r="AV46" i="48"/>
  <c r="AW46" i="48"/>
  <c r="AX46" i="48"/>
  <c r="AY46" i="48"/>
  <c r="AT47" i="48"/>
  <c r="AU47" i="48"/>
  <c r="AV47" i="48"/>
  <c r="AW47" i="48"/>
  <c r="AX47" i="48"/>
  <c r="AY47" i="48"/>
  <c r="AT48" i="48"/>
  <c r="AU48" i="48"/>
  <c r="AV48" i="48"/>
  <c r="AW48" i="48"/>
  <c r="AX48" i="48"/>
  <c r="AY48" i="48"/>
  <c r="AT49" i="48"/>
  <c r="AU49" i="48"/>
  <c r="AV49" i="48"/>
  <c r="AW49" i="48"/>
  <c r="AX49" i="48"/>
  <c r="AY49" i="48"/>
  <c r="AT50" i="48"/>
  <c r="AU50" i="48"/>
  <c r="AV50" i="48"/>
  <c r="AW50" i="48"/>
  <c r="AX50" i="48"/>
  <c r="AY50" i="48"/>
  <c r="AT51" i="48"/>
  <c r="AU51" i="48"/>
  <c r="AV51" i="48"/>
  <c r="AW51" i="48"/>
  <c r="AX51" i="48"/>
  <c r="AY51" i="48"/>
  <c r="AT52" i="48"/>
  <c r="AU52" i="48"/>
  <c r="AV52" i="48"/>
  <c r="AW52" i="48"/>
  <c r="AX52" i="48"/>
  <c r="AY52" i="48"/>
  <c r="AT53" i="48"/>
  <c r="AU53" i="48"/>
  <c r="AV53" i="48"/>
  <c r="AW53" i="48"/>
  <c r="AX53" i="48"/>
  <c r="AY53" i="48"/>
  <c r="AT54" i="48"/>
  <c r="AU54" i="48"/>
  <c r="AV54" i="48"/>
  <c r="AW54" i="48"/>
  <c r="AX54" i="48"/>
  <c r="AY54" i="48"/>
  <c r="AT55" i="48"/>
  <c r="AU55" i="48"/>
  <c r="AV55" i="48"/>
  <c r="AW55" i="48"/>
  <c r="AX55" i="48"/>
  <c r="AY55" i="48"/>
  <c r="AT56" i="48"/>
  <c r="AU56" i="48"/>
  <c r="AV56" i="48"/>
  <c r="AW56" i="48"/>
  <c r="AX56" i="48"/>
  <c r="AY56" i="48"/>
  <c r="AT57" i="48"/>
  <c r="AU57" i="48"/>
  <c r="AV57" i="48"/>
  <c r="AW57" i="48"/>
  <c r="AX57" i="48"/>
  <c r="AY57" i="48"/>
  <c r="AT58" i="48"/>
  <c r="AU58" i="48"/>
  <c r="AV58" i="48"/>
  <c r="AW58" i="48"/>
  <c r="AX58" i="48"/>
  <c r="AY58" i="48"/>
  <c r="AT59" i="48"/>
  <c r="AU59" i="48"/>
  <c r="AV59" i="48"/>
  <c r="AW59" i="48"/>
  <c r="AX59" i="48"/>
  <c r="AY59" i="48"/>
  <c r="AT60" i="48"/>
  <c r="AU60" i="48"/>
  <c r="AV60" i="48"/>
  <c r="AW60" i="48"/>
  <c r="AX60" i="48"/>
  <c r="AY60" i="48"/>
  <c r="AT61" i="48"/>
  <c r="AU61" i="48"/>
  <c r="AV61" i="48"/>
  <c r="AW61" i="48"/>
  <c r="AX61" i="48"/>
  <c r="AY61" i="48"/>
  <c r="AT62" i="48"/>
  <c r="AU62" i="48"/>
  <c r="AV62" i="48"/>
  <c r="AW62" i="48"/>
  <c r="AX62" i="48"/>
  <c r="AY62" i="48"/>
  <c r="AT63" i="48"/>
  <c r="AU63" i="48"/>
  <c r="AV63" i="48"/>
  <c r="AW63" i="48"/>
  <c r="AX63" i="48"/>
  <c r="AY63" i="48"/>
  <c r="AT64" i="48"/>
  <c r="AU64" i="48"/>
  <c r="AV64" i="48"/>
  <c r="AW64" i="48"/>
  <c r="AX64" i="48"/>
  <c r="AY64" i="48"/>
  <c r="AT65" i="48"/>
  <c r="AU65" i="48"/>
  <c r="AV65" i="48"/>
  <c r="AW65" i="48"/>
  <c r="AX65" i="48"/>
  <c r="AY65" i="48"/>
  <c r="AT66" i="48"/>
  <c r="AU66" i="48"/>
  <c r="AV66" i="48"/>
  <c r="AW66" i="48"/>
  <c r="AX66" i="48"/>
  <c r="AY66" i="48"/>
  <c r="AT67" i="48"/>
  <c r="AU67" i="48"/>
  <c r="AV67" i="48"/>
  <c r="AW67" i="48"/>
  <c r="AX67" i="48"/>
  <c r="AY67" i="48"/>
  <c r="AT68" i="48"/>
  <c r="AU68" i="48"/>
  <c r="AV68" i="48"/>
  <c r="AW68" i="48"/>
  <c r="AX68" i="48"/>
  <c r="AY68" i="48"/>
  <c r="AT69" i="48"/>
  <c r="AU69" i="48"/>
  <c r="AV69" i="48"/>
  <c r="AW69" i="48"/>
  <c r="AX69" i="48"/>
  <c r="AY69" i="48"/>
  <c r="AT70" i="48"/>
  <c r="AU70" i="48"/>
  <c r="AV70" i="48"/>
  <c r="AW70" i="48"/>
  <c r="AX70" i="48"/>
  <c r="AY70" i="48"/>
  <c r="AT71" i="48"/>
  <c r="AU71" i="48"/>
  <c r="AV71" i="48"/>
  <c r="AW71" i="48"/>
  <c r="AX71" i="48"/>
  <c r="AY71" i="48"/>
  <c r="AT72" i="48"/>
  <c r="AU72" i="48"/>
  <c r="AV72" i="48"/>
  <c r="AW72" i="48"/>
  <c r="AX72" i="48"/>
  <c r="AY72" i="48"/>
  <c r="AT73" i="48"/>
  <c r="AU73" i="48"/>
  <c r="AV73" i="48"/>
  <c r="AW73" i="48"/>
  <c r="AX73" i="48"/>
  <c r="AY73" i="48"/>
  <c r="AT74" i="48"/>
  <c r="AU74" i="48"/>
  <c r="AV74" i="48"/>
  <c r="AW74" i="48"/>
  <c r="AX74" i="48"/>
  <c r="AY74" i="48"/>
  <c r="AT75" i="48"/>
  <c r="AU75" i="48"/>
  <c r="AV75" i="48"/>
  <c r="AW75" i="48"/>
  <c r="AX75" i="48"/>
  <c r="AY75" i="48"/>
  <c r="AT76" i="48"/>
  <c r="AU76" i="48"/>
  <c r="AV76" i="48"/>
  <c r="AW76" i="48"/>
  <c r="AX76" i="48"/>
  <c r="AY76" i="48"/>
  <c r="AT77" i="48"/>
  <c r="AU77" i="48"/>
  <c r="AV77" i="48"/>
  <c r="AW77" i="48"/>
  <c r="AX77" i="48"/>
  <c r="AY77" i="48"/>
  <c r="AT78" i="48"/>
  <c r="AU78" i="48"/>
  <c r="AV78" i="48"/>
  <c r="AW78" i="48"/>
  <c r="AX78" i="48"/>
  <c r="AY78" i="48"/>
  <c r="AT79" i="48"/>
  <c r="AU79" i="48"/>
  <c r="AV79" i="48"/>
  <c r="AW79" i="48"/>
  <c r="AX79" i="48"/>
  <c r="AY79" i="48"/>
  <c r="AT80" i="48"/>
  <c r="AU80" i="48"/>
  <c r="AV80" i="48"/>
  <c r="AW80" i="48"/>
  <c r="AX80" i="48"/>
  <c r="AY80" i="48"/>
  <c r="AT81" i="48"/>
  <c r="AU81" i="48"/>
  <c r="AV81" i="48"/>
  <c r="AW81" i="48"/>
  <c r="AX81" i="48"/>
  <c r="AY81" i="48"/>
  <c r="AT82" i="48"/>
  <c r="AU82" i="48"/>
  <c r="AV82" i="48"/>
  <c r="AW82" i="48"/>
  <c r="AX82" i="48"/>
  <c r="AY82" i="48"/>
  <c r="AT83" i="48"/>
  <c r="AU83" i="48"/>
  <c r="AV83" i="48"/>
  <c r="AW83" i="48"/>
  <c r="AX83" i="48"/>
  <c r="AY83" i="48"/>
  <c r="AT84" i="48"/>
  <c r="AU84" i="48"/>
  <c r="AV84" i="48"/>
  <c r="AW84" i="48"/>
  <c r="AX84" i="48"/>
  <c r="AY84" i="48"/>
  <c r="AT85" i="48"/>
  <c r="AU85" i="48"/>
  <c r="AV85" i="48"/>
  <c r="AW85" i="48"/>
  <c r="AX85" i="48"/>
  <c r="AY85" i="48"/>
  <c r="AT86" i="48"/>
  <c r="AU86" i="48"/>
  <c r="AV86" i="48"/>
  <c r="AW86" i="48"/>
  <c r="AX86" i="48"/>
  <c r="AY86" i="48"/>
  <c r="AT87" i="48"/>
  <c r="AU87" i="48"/>
  <c r="AV87" i="48"/>
  <c r="AW87" i="48"/>
  <c r="AX87" i="48"/>
  <c r="AY87" i="48"/>
  <c r="AT88" i="48"/>
  <c r="AU88" i="48"/>
  <c r="AV88" i="48"/>
  <c r="AW88" i="48"/>
  <c r="AX88" i="48"/>
  <c r="AY88" i="48"/>
  <c r="AT89" i="48"/>
  <c r="AU89" i="48"/>
  <c r="AV89" i="48"/>
  <c r="AW89" i="48"/>
  <c r="AX89" i="48"/>
  <c r="AY89" i="48"/>
  <c r="AT90" i="48"/>
  <c r="AU90" i="48"/>
  <c r="AV90" i="48"/>
  <c r="AW90" i="48"/>
  <c r="AX90" i="48"/>
  <c r="AY90" i="48"/>
  <c r="AT91" i="48"/>
  <c r="AU91" i="48"/>
  <c r="AV91" i="48"/>
  <c r="AW91" i="48"/>
  <c r="AX91" i="48"/>
  <c r="AY91" i="48"/>
  <c r="AT92" i="48"/>
  <c r="AU92" i="48"/>
  <c r="AV92" i="48"/>
  <c r="AW92" i="48"/>
  <c r="AX92" i="48"/>
  <c r="AY92" i="48"/>
  <c r="AT93" i="48"/>
  <c r="AU93" i="48"/>
  <c r="AV93" i="48"/>
  <c r="AW93" i="48"/>
  <c r="AX93" i="48"/>
  <c r="AY93" i="48"/>
  <c r="AT94" i="48"/>
  <c r="AU94" i="48"/>
  <c r="AV94" i="48"/>
  <c r="AW94" i="48"/>
  <c r="AX94" i="48"/>
  <c r="AY94" i="48"/>
  <c r="AT95" i="48"/>
  <c r="AU95" i="48"/>
  <c r="AV95" i="48"/>
  <c r="AW95" i="48"/>
  <c r="AX95" i="48"/>
  <c r="AY95" i="48"/>
  <c r="AT96" i="48"/>
  <c r="AU96" i="48"/>
  <c r="AV96" i="48"/>
  <c r="AW96" i="48"/>
  <c r="AX96" i="48"/>
  <c r="AY96" i="48"/>
  <c r="AT97" i="48"/>
  <c r="AU97" i="48"/>
  <c r="AV97" i="48"/>
  <c r="AW97" i="48"/>
  <c r="AX97" i="48"/>
  <c r="AY97" i="48"/>
  <c r="AT98" i="48"/>
  <c r="AU98" i="48"/>
  <c r="AV98" i="48"/>
  <c r="AW98" i="48"/>
  <c r="AX98" i="48"/>
  <c r="AY98" i="48"/>
  <c r="AT99" i="48"/>
  <c r="AU99" i="48"/>
  <c r="AV99" i="48"/>
  <c r="AW99" i="48"/>
  <c r="AX99" i="48"/>
  <c r="AY99" i="48"/>
  <c r="AT100" i="48"/>
  <c r="AU100" i="48"/>
  <c r="AV100" i="48"/>
  <c r="AW100" i="48"/>
  <c r="AX100" i="48"/>
  <c r="AY100" i="48"/>
  <c r="AT101" i="48"/>
  <c r="AU101" i="48"/>
  <c r="AV101" i="48"/>
  <c r="AW101" i="48"/>
  <c r="AX101" i="48"/>
  <c r="AY101" i="48"/>
  <c r="AT102" i="48"/>
  <c r="AU102" i="48"/>
  <c r="AV102" i="48"/>
  <c r="AW102" i="48"/>
  <c r="AX102" i="48"/>
  <c r="AY102" i="48"/>
  <c r="AT103" i="48"/>
  <c r="AU103" i="48"/>
  <c r="AV103" i="48"/>
  <c r="AW103" i="48"/>
  <c r="AX103" i="48"/>
  <c r="AY103" i="48"/>
  <c r="AT104" i="48"/>
  <c r="AU104" i="48"/>
  <c r="AV104" i="48"/>
  <c r="AW104" i="48"/>
  <c r="AX104" i="48"/>
  <c r="AY104" i="48"/>
  <c r="AT105" i="48"/>
  <c r="AU105" i="48"/>
  <c r="AV105" i="48"/>
  <c r="AW105" i="48"/>
  <c r="AX105" i="48"/>
  <c r="AY105" i="48"/>
  <c r="AT106" i="48"/>
  <c r="AU106" i="48"/>
  <c r="AV106" i="48"/>
  <c r="AW106" i="48"/>
  <c r="AX106" i="48"/>
  <c r="AY106" i="48"/>
  <c r="AT107" i="48"/>
  <c r="AU107" i="48"/>
  <c r="AV107" i="48"/>
  <c r="AW107" i="48"/>
  <c r="AX107" i="48"/>
  <c r="AY107" i="48"/>
  <c r="AT108" i="48"/>
  <c r="AU108" i="48"/>
  <c r="AV108" i="48"/>
  <c r="AW108" i="48"/>
  <c r="AX108" i="48"/>
  <c r="AY108" i="48"/>
  <c r="AT109" i="48"/>
  <c r="AU109" i="48"/>
  <c r="AV109" i="48"/>
  <c r="AW109" i="48"/>
  <c r="AX109" i="48"/>
  <c r="AY109" i="48"/>
  <c r="AT110" i="48"/>
  <c r="AU110" i="48"/>
  <c r="AV110" i="48"/>
  <c r="AW110" i="48"/>
  <c r="AX110" i="48"/>
  <c r="AY110" i="48"/>
  <c r="AT111" i="48"/>
  <c r="AU111" i="48"/>
  <c r="AV111" i="48"/>
  <c r="AW111" i="48"/>
  <c r="AX111" i="48"/>
  <c r="AY111" i="48"/>
  <c r="AT112" i="48"/>
  <c r="AU112" i="48"/>
  <c r="AV112" i="48"/>
  <c r="AW112" i="48"/>
  <c r="AX112" i="48"/>
  <c r="AY112" i="48"/>
  <c r="AT113" i="48"/>
  <c r="AU113" i="48"/>
  <c r="AV113" i="48"/>
  <c r="AW113" i="48"/>
  <c r="AX113" i="48"/>
  <c r="AY113" i="48"/>
  <c r="AT114" i="48"/>
  <c r="AU114" i="48"/>
  <c r="AV114" i="48"/>
  <c r="AW114" i="48"/>
  <c r="AX114" i="48"/>
  <c r="AY114" i="48"/>
  <c r="AT115" i="48"/>
  <c r="AU115" i="48"/>
  <c r="AV115" i="48"/>
  <c r="AW115" i="48"/>
  <c r="AX115" i="48"/>
  <c r="AY115" i="48"/>
  <c r="AT116" i="48"/>
  <c r="AU116" i="48"/>
  <c r="AV116" i="48"/>
  <c r="AW116" i="48"/>
  <c r="AX116" i="48"/>
  <c r="AY116" i="48"/>
  <c r="AT117" i="48"/>
  <c r="AU117" i="48"/>
  <c r="AV117" i="48"/>
  <c r="AW117" i="48"/>
  <c r="AX117" i="48"/>
  <c r="AY117" i="48"/>
  <c r="AT118" i="48"/>
  <c r="AU118" i="48"/>
  <c r="AV118" i="48"/>
  <c r="AW118" i="48"/>
  <c r="AX118" i="48"/>
  <c r="AY118" i="48"/>
  <c r="AT119" i="48"/>
  <c r="AU119" i="48"/>
  <c r="AV119" i="48"/>
  <c r="AW119" i="48"/>
  <c r="AX119" i="48"/>
  <c r="AY119" i="48"/>
  <c r="AT120" i="48"/>
  <c r="AU120" i="48"/>
  <c r="AV120" i="48"/>
  <c r="AW120" i="48"/>
  <c r="AX120" i="48"/>
  <c r="AY120" i="48"/>
  <c r="AT121" i="48"/>
  <c r="AU121" i="48"/>
  <c r="AV121" i="48"/>
  <c r="AW121" i="48"/>
  <c r="AX121" i="48"/>
  <c r="AY121" i="48"/>
  <c r="AT122" i="48"/>
  <c r="AU122" i="48"/>
  <c r="AV122" i="48"/>
  <c r="AW122" i="48"/>
  <c r="AX122" i="48"/>
  <c r="AY122" i="48"/>
  <c r="AT123" i="48"/>
  <c r="AU123" i="48"/>
  <c r="AV123" i="48"/>
  <c r="AW123" i="48"/>
  <c r="AX123" i="48"/>
  <c r="AY123" i="48"/>
  <c r="AT124" i="48"/>
  <c r="AU124" i="48"/>
  <c r="AV124" i="48"/>
  <c r="AW124" i="48"/>
  <c r="AX124" i="48"/>
  <c r="AY124" i="48"/>
  <c r="AT125" i="48"/>
  <c r="AU125" i="48"/>
  <c r="AV125" i="48"/>
  <c r="AW125" i="48"/>
  <c r="AX125" i="48"/>
  <c r="AY125" i="48"/>
  <c r="AT126" i="48"/>
  <c r="AU126" i="48"/>
  <c r="AV126" i="48"/>
  <c r="AW126" i="48"/>
  <c r="AX126" i="48"/>
  <c r="AY126" i="48"/>
  <c r="AT127" i="48"/>
  <c r="AU127" i="48"/>
  <c r="AV127" i="48"/>
  <c r="AW127" i="48"/>
  <c r="AX127" i="48"/>
  <c r="AY127" i="48"/>
  <c r="AT128" i="48"/>
  <c r="AU128" i="48"/>
  <c r="AV128" i="48"/>
  <c r="AW128" i="48"/>
  <c r="AX128" i="48"/>
  <c r="AY128" i="48"/>
  <c r="AT129" i="48"/>
  <c r="AU129" i="48"/>
  <c r="AV129" i="48"/>
  <c r="AW129" i="48"/>
  <c r="AX129" i="48"/>
  <c r="AY129" i="48"/>
  <c r="AT130" i="48"/>
  <c r="AU130" i="48"/>
  <c r="AV130" i="48"/>
  <c r="AW130" i="48"/>
  <c r="AX130" i="48"/>
  <c r="AY130" i="48"/>
  <c r="AT131" i="48"/>
  <c r="AU131" i="48"/>
  <c r="AV131" i="48"/>
  <c r="AW131" i="48"/>
  <c r="AX131" i="48"/>
  <c r="AY131" i="48"/>
  <c r="AT132" i="48"/>
  <c r="AU132" i="48"/>
  <c r="AV132" i="48"/>
  <c r="AW132" i="48"/>
  <c r="AX132" i="48"/>
  <c r="AY132" i="48"/>
  <c r="AT133" i="48"/>
  <c r="AU133" i="48"/>
  <c r="AV133" i="48"/>
  <c r="AW133" i="48"/>
  <c r="AX133" i="48"/>
  <c r="AY133" i="48"/>
  <c r="AT134" i="48"/>
  <c r="AU134" i="48"/>
  <c r="AV134" i="48"/>
  <c r="AW134" i="48"/>
  <c r="AX134" i="48"/>
  <c r="AY134" i="48"/>
  <c r="AT135" i="48"/>
  <c r="AU135" i="48"/>
  <c r="AV135" i="48"/>
  <c r="AW135" i="48"/>
  <c r="AX135" i="48"/>
  <c r="AY135" i="48"/>
  <c r="AT136" i="48"/>
  <c r="AU136" i="48"/>
  <c r="AV136" i="48"/>
  <c r="AW136" i="48"/>
  <c r="AX136" i="48"/>
  <c r="AY136" i="48"/>
  <c r="AT137" i="48"/>
  <c r="AU137" i="48"/>
  <c r="AV137" i="48"/>
  <c r="AW137" i="48"/>
  <c r="AX137" i="48"/>
  <c r="AY137" i="48"/>
  <c r="AT138" i="48"/>
  <c r="AU138" i="48"/>
  <c r="AV138" i="48"/>
  <c r="AW138" i="48"/>
  <c r="AX138" i="48"/>
  <c r="AY138" i="48"/>
  <c r="AT139" i="48"/>
  <c r="AU139" i="48"/>
  <c r="AV139" i="48"/>
  <c r="AW139" i="48"/>
  <c r="AX139" i="48"/>
  <c r="AY139" i="48"/>
  <c r="AT140" i="48"/>
  <c r="AU140" i="48"/>
  <c r="AV140" i="48"/>
  <c r="AW140" i="48"/>
  <c r="AX140" i="48"/>
  <c r="AY140" i="48"/>
  <c r="AT141" i="48"/>
  <c r="AU141" i="48"/>
  <c r="AV141" i="48"/>
  <c r="AW141" i="48"/>
  <c r="AX141" i="48"/>
  <c r="AY141" i="48"/>
  <c r="AT142" i="48"/>
  <c r="AU142" i="48"/>
  <c r="AV142" i="48"/>
  <c r="AW142" i="48"/>
  <c r="AX142" i="48"/>
  <c r="AY142" i="48"/>
  <c r="AT143" i="48"/>
  <c r="AU143" i="48"/>
  <c r="AV143" i="48"/>
  <c r="AW143" i="48"/>
  <c r="AX143" i="48"/>
  <c r="AY143" i="48"/>
  <c r="AT144" i="48"/>
  <c r="AU144" i="48"/>
  <c r="AV144" i="48"/>
  <c r="AW144" i="48"/>
  <c r="AX144" i="48"/>
  <c r="AY144" i="48"/>
  <c r="AT145" i="48"/>
  <c r="AU145" i="48"/>
  <c r="AV145" i="48"/>
  <c r="AW145" i="48"/>
  <c r="AX145" i="48"/>
  <c r="AY145" i="48"/>
  <c r="AT146" i="48"/>
  <c r="AU146" i="48"/>
  <c r="AV146" i="48"/>
  <c r="AW146" i="48"/>
  <c r="AX146" i="48"/>
  <c r="AY146" i="48"/>
  <c r="AT147" i="48"/>
  <c r="AU147" i="48"/>
  <c r="AV147" i="48"/>
  <c r="AW147" i="48"/>
  <c r="AX147" i="48"/>
  <c r="AY147" i="48"/>
  <c r="AT148" i="48"/>
  <c r="AU148" i="48"/>
  <c r="AV148" i="48"/>
  <c r="AW148" i="48"/>
  <c r="AX148" i="48"/>
  <c r="AY148" i="48"/>
  <c r="AT149" i="48"/>
  <c r="AU149" i="48"/>
  <c r="AV149" i="48"/>
  <c r="AW149" i="48"/>
  <c r="AX149" i="48"/>
  <c r="AY149" i="48"/>
  <c r="AT150" i="48"/>
  <c r="AU150" i="48"/>
  <c r="AV150" i="48"/>
  <c r="AW150" i="48"/>
  <c r="AX150" i="48"/>
  <c r="AY150" i="48"/>
  <c r="AT151" i="48"/>
  <c r="AU151" i="48"/>
  <c r="AV151" i="48"/>
  <c r="AW151" i="48"/>
  <c r="AX151" i="48"/>
  <c r="AY151" i="48"/>
  <c r="AT152" i="48"/>
  <c r="AU152" i="48"/>
  <c r="AV152" i="48"/>
  <c r="AW152" i="48"/>
  <c r="AX152" i="48"/>
  <c r="AY152" i="48"/>
  <c r="AT153" i="48"/>
  <c r="AU153" i="48"/>
  <c r="AV153" i="48"/>
  <c r="AW153" i="48"/>
  <c r="AX153" i="48"/>
  <c r="AY153" i="48"/>
  <c r="AT154" i="48"/>
  <c r="AU154" i="48"/>
  <c r="AV154" i="48"/>
  <c r="AW154" i="48"/>
  <c r="AX154" i="48"/>
  <c r="AY154" i="48"/>
  <c r="AT155" i="48"/>
  <c r="AU155" i="48"/>
  <c r="AV155" i="48"/>
  <c r="AW155" i="48"/>
  <c r="AX155" i="48"/>
  <c r="AY155" i="48"/>
  <c r="AT156" i="48"/>
  <c r="AU156" i="48"/>
  <c r="AV156" i="48"/>
  <c r="AW156" i="48"/>
  <c r="AX156" i="48"/>
  <c r="AY156" i="48"/>
  <c r="AT157" i="48"/>
  <c r="AU157" i="48"/>
  <c r="AV157" i="48"/>
  <c r="AW157" i="48"/>
  <c r="AX157" i="48"/>
  <c r="AY157" i="48"/>
  <c r="AT158" i="48"/>
  <c r="AU158" i="48"/>
  <c r="AV158" i="48"/>
  <c r="AW158" i="48"/>
  <c r="AX158" i="48"/>
  <c r="AY158" i="48"/>
  <c r="AT159" i="48"/>
  <c r="AU159" i="48"/>
  <c r="AV159" i="48"/>
  <c r="AW159" i="48"/>
  <c r="AX159" i="48"/>
  <c r="AY159" i="48"/>
  <c r="AT160" i="48"/>
  <c r="AU160" i="48"/>
  <c r="AV160" i="48"/>
  <c r="AW160" i="48"/>
  <c r="AX160" i="48"/>
  <c r="AY160" i="48"/>
  <c r="AT161" i="48"/>
  <c r="AU161" i="48"/>
  <c r="AV161" i="48"/>
  <c r="AW161" i="48"/>
  <c r="AX161" i="48"/>
  <c r="AY161" i="48"/>
  <c r="AT162" i="48"/>
  <c r="AZ173" i="48" s="1"/>
  <c r="AU162" i="48"/>
  <c r="AV162" i="48"/>
  <c r="AW162" i="48"/>
  <c r="AX162" i="48"/>
  <c r="AY162" i="48"/>
  <c r="AT163" i="48"/>
  <c r="AU163" i="48"/>
  <c r="AV163" i="48"/>
  <c r="AW163" i="48"/>
  <c r="AX163" i="48"/>
  <c r="AY163" i="48"/>
  <c r="AT164" i="48"/>
  <c r="AU164" i="48"/>
  <c r="AV164" i="48"/>
  <c r="AW164" i="48"/>
  <c r="AX164" i="48"/>
  <c r="AY164" i="48"/>
  <c r="AT165" i="48"/>
  <c r="AU165" i="48"/>
  <c r="AV165" i="48"/>
  <c r="AW165" i="48"/>
  <c r="AX165" i="48"/>
  <c r="AY165" i="48"/>
  <c r="AT166" i="48"/>
  <c r="AU166" i="48"/>
  <c r="AV166" i="48"/>
  <c r="AW166" i="48"/>
  <c r="AX166" i="48"/>
  <c r="AY166" i="48"/>
  <c r="AT167" i="48"/>
  <c r="AU167" i="48"/>
  <c r="AV167" i="48"/>
  <c r="AW167" i="48"/>
  <c r="AX167" i="48"/>
  <c r="AY167" i="48"/>
  <c r="AT168" i="48"/>
  <c r="AU168" i="48"/>
  <c r="AV168" i="48"/>
  <c r="AW168" i="48"/>
  <c r="AX168" i="48"/>
  <c r="AY168" i="48"/>
  <c r="AT169" i="48"/>
  <c r="AU169" i="48"/>
  <c r="AV169" i="48"/>
  <c r="AW169" i="48"/>
  <c r="AX169" i="48"/>
  <c r="AY169" i="48"/>
  <c r="AT170" i="48"/>
  <c r="AU170" i="48"/>
  <c r="AV170" i="48"/>
  <c r="AW170" i="48"/>
  <c r="AX170" i="48"/>
  <c r="AY170" i="48"/>
  <c r="AT171" i="48"/>
  <c r="AU171" i="48"/>
  <c r="AV171" i="48"/>
  <c r="AW171" i="48"/>
  <c r="AX171" i="48"/>
  <c r="AY171" i="48"/>
  <c r="AT172" i="48"/>
  <c r="AU172" i="48"/>
  <c r="AV172" i="48"/>
  <c r="AW172" i="48"/>
  <c r="AX172" i="48"/>
  <c r="AY172" i="48"/>
  <c r="AT173" i="48"/>
  <c r="AU173" i="48"/>
  <c r="AV173" i="48"/>
  <c r="AW173" i="48"/>
  <c r="AX173" i="48"/>
  <c r="AY173" i="48"/>
  <c r="AT174" i="48"/>
  <c r="AU174" i="48"/>
  <c r="AV174" i="48"/>
  <c r="AW174" i="48"/>
  <c r="AX174" i="48"/>
  <c r="AY174" i="48"/>
  <c r="AT175" i="48"/>
  <c r="AU175" i="48"/>
  <c r="AV175" i="48"/>
  <c r="AW175" i="48"/>
  <c r="AX175" i="48"/>
  <c r="AY175" i="48"/>
  <c r="AT176" i="48"/>
  <c r="AU176" i="48"/>
  <c r="AV176" i="48"/>
  <c r="AW176" i="48"/>
  <c r="AX176" i="48"/>
  <c r="AY176" i="48"/>
  <c r="AT177" i="48"/>
  <c r="AU177" i="48"/>
  <c r="AV177" i="48"/>
  <c r="AW177" i="48"/>
  <c r="AX177" i="48"/>
  <c r="AY177" i="48"/>
  <c r="AT178" i="48"/>
  <c r="AU178" i="48"/>
  <c r="AV178" i="48"/>
  <c r="AW178" i="48"/>
  <c r="AX178" i="48"/>
  <c r="AY178" i="48"/>
  <c r="AT179" i="48"/>
  <c r="AU179" i="48"/>
  <c r="AV179" i="48"/>
  <c r="AW179" i="48"/>
  <c r="AX179" i="48"/>
  <c r="AY179" i="48"/>
  <c r="AT180" i="48"/>
  <c r="AU180" i="48"/>
  <c r="AV180" i="48"/>
  <c r="AW180" i="48"/>
  <c r="AX180" i="48"/>
  <c r="AY180" i="48"/>
  <c r="AT181" i="48"/>
  <c r="AU181" i="48"/>
  <c r="AV181" i="48"/>
  <c r="AW181" i="48"/>
  <c r="AX181" i="48"/>
  <c r="AY181" i="48"/>
  <c r="AT182" i="48"/>
  <c r="AU182" i="48"/>
  <c r="AV182" i="48"/>
  <c r="AW182" i="48"/>
  <c r="AX182" i="48"/>
  <c r="AY182" i="48"/>
  <c r="AT183" i="48"/>
  <c r="AU183" i="48"/>
  <c r="AV183" i="48"/>
  <c r="AW183" i="48"/>
  <c r="AX183" i="48"/>
  <c r="AY183" i="48"/>
  <c r="AT184" i="48"/>
  <c r="AU184" i="48"/>
  <c r="AV184" i="48"/>
  <c r="AW184" i="48"/>
  <c r="AX184" i="48"/>
  <c r="AY184" i="48"/>
  <c r="AT185" i="48"/>
  <c r="AU185" i="48"/>
  <c r="AV185" i="48"/>
  <c r="AW185" i="48"/>
  <c r="AX185" i="48"/>
  <c r="AY185" i="48"/>
  <c r="AT186" i="48"/>
  <c r="AU186" i="48"/>
  <c r="AV186" i="48"/>
  <c r="AW186" i="48"/>
  <c r="AX186" i="48"/>
  <c r="AY186" i="48"/>
  <c r="AT187" i="48"/>
  <c r="AU187" i="48"/>
  <c r="AV187" i="48"/>
  <c r="AW187" i="48"/>
  <c r="AX187" i="48"/>
  <c r="AY187" i="48"/>
  <c r="AT188" i="48"/>
  <c r="AU188" i="48"/>
  <c r="AV188" i="48"/>
  <c r="AW188" i="48"/>
  <c r="AX188" i="48"/>
  <c r="AY188" i="48"/>
  <c r="AT189" i="48"/>
  <c r="AU189" i="48"/>
  <c r="AV189" i="48"/>
  <c r="AW189" i="48"/>
  <c r="AX189" i="48"/>
  <c r="AY189" i="48"/>
  <c r="AT190" i="48"/>
  <c r="AU190" i="48"/>
  <c r="AV190" i="48"/>
  <c r="AW190" i="48"/>
  <c r="AX190" i="48"/>
  <c r="AY190" i="48"/>
  <c r="AT191" i="48"/>
  <c r="AU191" i="48"/>
  <c r="AV191" i="48"/>
  <c r="AW191" i="48"/>
  <c r="AX191" i="48"/>
  <c r="AY191" i="48"/>
  <c r="AT192" i="48"/>
  <c r="AU192" i="48"/>
  <c r="AV192" i="48"/>
  <c r="AW192" i="48"/>
  <c r="AX192" i="48"/>
  <c r="AY192" i="48"/>
  <c r="AT193" i="48"/>
  <c r="AU193" i="48"/>
  <c r="AV193" i="48"/>
  <c r="AW193" i="48"/>
  <c r="AX193" i="48"/>
  <c r="AY193" i="48"/>
  <c r="AT194" i="48"/>
  <c r="AU194" i="48"/>
  <c r="AV194" i="48"/>
  <c r="AW194" i="48"/>
  <c r="AX194" i="48"/>
  <c r="AY194" i="48"/>
  <c r="AT195" i="48"/>
  <c r="AU195" i="48"/>
  <c r="AV195" i="48"/>
  <c r="AW195" i="48"/>
  <c r="AX195" i="48"/>
  <c r="AY195" i="48"/>
  <c r="AT196" i="48"/>
  <c r="AU196" i="48"/>
  <c r="AV196" i="48"/>
  <c r="AW196" i="48"/>
  <c r="AX196" i="48"/>
  <c r="AY196" i="48"/>
  <c r="AT197" i="48"/>
  <c r="AU197" i="48"/>
  <c r="AV197" i="48"/>
  <c r="AW197" i="48"/>
  <c r="AX197" i="48"/>
  <c r="AY197" i="48"/>
  <c r="AT198" i="48"/>
  <c r="AU198" i="48"/>
  <c r="AV198" i="48"/>
  <c r="AW198" i="48"/>
  <c r="AX198" i="48"/>
  <c r="AY198" i="48"/>
  <c r="AT199" i="48"/>
  <c r="AU199" i="48"/>
  <c r="AV199" i="48"/>
  <c r="AW199" i="48"/>
  <c r="AX199" i="48"/>
  <c r="AY199" i="48"/>
  <c r="AT200" i="48"/>
  <c r="AU200" i="48"/>
  <c r="AV200" i="48"/>
  <c r="AW200" i="48"/>
  <c r="AX200" i="48"/>
  <c r="AY200" i="48"/>
  <c r="AT201" i="48"/>
  <c r="AU201" i="48"/>
  <c r="AV201" i="48"/>
  <c r="AW201" i="48"/>
  <c r="AX201" i="48"/>
  <c r="AY201" i="48"/>
  <c r="AT202" i="48"/>
  <c r="AU202" i="48"/>
  <c r="AV202" i="48"/>
  <c r="AW202" i="48"/>
  <c r="AX202" i="48"/>
  <c r="AY202" i="48"/>
  <c r="AT203" i="48"/>
  <c r="AU203" i="48"/>
  <c r="AV203" i="48"/>
  <c r="AW203" i="48"/>
  <c r="AX203" i="48"/>
  <c r="AY203" i="48"/>
  <c r="AT204" i="48"/>
  <c r="AU204" i="48"/>
  <c r="AV204" i="48"/>
  <c r="AW204" i="48"/>
  <c r="AX204" i="48"/>
  <c r="AY204" i="48"/>
  <c r="AT205" i="48"/>
  <c r="AU205" i="48"/>
  <c r="AV205" i="48"/>
  <c r="AW205" i="48"/>
  <c r="AX205" i="48"/>
  <c r="AY205" i="48"/>
  <c r="AT206" i="48"/>
  <c r="AU206" i="48"/>
  <c r="AV206" i="48"/>
  <c r="AW206" i="48"/>
  <c r="AX206" i="48"/>
  <c r="AY206" i="48"/>
  <c r="AT207" i="48"/>
  <c r="AU207" i="48"/>
  <c r="AV207" i="48"/>
  <c r="AW207" i="48"/>
  <c r="AX207" i="48"/>
  <c r="AY207" i="48"/>
  <c r="AT208" i="48"/>
  <c r="AU208" i="48"/>
  <c r="AV208" i="48"/>
  <c r="AW208" i="48"/>
  <c r="AX208" i="48"/>
  <c r="AY208" i="48"/>
  <c r="AT209" i="48"/>
  <c r="AU209" i="48"/>
  <c r="AV209" i="48"/>
  <c r="AW209" i="48"/>
  <c r="AX209" i="48"/>
  <c r="AY209" i="48"/>
  <c r="AT210" i="48"/>
  <c r="AU210" i="48"/>
  <c r="AV210" i="48"/>
  <c r="AW210" i="48"/>
  <c r="AX210" i="48"/>
  <c r="AY210" i="48"/>
  <c r="AT211" i="48"/>
  <c r="AU211" i="48"/>
  <c r="AV211" i="48"/>
  <c r="AW211" i="48"/>
  <c r="AX211" i="48"/>
  <c r="AY211" i="48"/>
  <c r="AT212" i="48"/>
  <c r="AU212" i="48"/>
  <c r="AV212" i="48"/>
  <c r="AW212" i="48"/>
  <c r="AX212" i="48"/>
  <c r="AY212" i="48"/>
  <c r="AT213" i="48"/>
  <c r="AU213" i="48"/>
  <c r="AV213" i="48"/>
  <c r="AW213" i="48"/>
  <c r="AX213" i="48"/>
  <c r="AY213" i="48"/>
  <c r="AT214" i="48"/>
  <c r="AU214" i="48"/>
  <c r="AV214" i="48"/>
  <c r="AW214" i="48"/>
  <c r="AX214" i="48"/>
  <c r="AY214" i="48"/>
  <c r="AT215" i="48"/>
  <c r="AU215" i="48"/>
  <c r="AV215" i="48"/>
  <c r="AW215" i="48"/>
  <c r="AX215" i="48"/>
  <c r="AY215" i="48"/>
  <c r="AT216" i="48"/>
  <c r="AU216" i="48"/>
  <c r="AV216" i="48"/>
  <c r="AW216" i="48"/>
  <c r="AX216" i="48"/>
  <c r="AY216" i="48"/>
  <c r="AT217" i="48"/>
  <c r="AU217" i="48"/>
  <c r="AV217" i="48"/>
  <c r="AW217" i="48"/>
  <c r="AX217" i="48"/>
  <c r="AY217" i="48"/>
  <c r="AT218" i="48"/>
  <c r="AU218" i="48"/>
  <c r="AV218" i="48"/>
  <c r="AW218" i="48"/>
  <c r="AX218" i="48"/>
  <c r="AY218" i="48"/>
  <c r="AT219" i="48"/>
  <c r="AU219" i="48"/>
  <c r="AV219" i="48"/>
  <c r="AW219" i="48"/>
  <c r="AX219" i="48"/>
  <c r="AY219" i="48"/>
  <c r="AT220" i="48"/>
  <c r="AU220" i="48"/>
  <c r="AV220" i="48"/>
  <c r="AW220" i="48"/>
  <c r="AX220" i="48"/>
  <c r="AY220" i="48"/>
  <c r="AT221" i="48"/>
  <c r="AU221" i="48"/>
  <c r="AV221" i="48"/>
  <c r="AW221" i="48"/>
  <c r="AX221" i="48"/>
  <c r="AY221" i="48"/>
  <c r="AT222" i="48"/>
  <c r="AZ233" i="48" s="1"/>
  <c r="AU222" i="48"/>
  <c r="AV222" i="48"/>
  <c r="AW222" i="48"/>
  <c r="AX222" i="48"/>
  <c r="AY222" i="48"/>
  <c r="AT223" i="48"/>
  <c r="AU223" i="48"/>
  <c r="AV223" i="48"/>
  <c r="AW223" i="48"/>
  <c r="AX223" i="48"/>
  <c r="AY223" i="48"/>
  <c r="AT224" i="48"/>
  <c r="AU224" i="48"/>
  <c r="AV224" i="48"/>
  <c r="AW224" i="48"/>
  <c r="AX224" i="48"/>
  <c r="AY224" i="48"/>
  <c r="AT225" i="48"/>
  <c r="AU225" i="48"/>
  <c r="AV225" i="48"/>
  <c r="AW225" i="48"/>
  <c r="AX225" i="48"/>
  <c r="AY225" i="48"/>
  <c r="AT226" i="48"/>
  <c r="AU226" i="48"/>
  <c r="AV226" i="48"/>
  <c r="AW226" i="48"/>
  <c r="AX226" i="48"/>
  <c r="AY226" i="48"/>
  <c r="AT227" i="48"/>
  <c r="AU227" i="48"/>
  <c r="AV227" i="48"/>
  <c r="AW227" i="48"/>
  <c r="AX227" i="48"/>
  <c r="AY227" i="48"/>
  <c r="AT228" i="48"/>
  <c r="AU228" i="48"/>
  <c r="AV228" i="48"/>
  <c r="AW228" i="48"/>
  <c r="AX228" i="48"/>
  <c r="AY228" i="48"/>
  <c r="AT229" i="48"/>
  <c r="AU229" i="48"/>
  <c r="AV229" i="48"/>
  <c r="AW229" i="48"/>
  <c r="AX229" i="48"/>
  <c r="AY229" i="48"/>
  <c r="AT230" i="48"/>
  <c r="AU230" i="48"/>
  <c r="AV230" i="48"/>
  <c r="AW230" i="48"/>
  <c r="AX230" i="48"/>
  <c r="AY230" i="48"/>
  <c r="AT231" i="48"/>
  <c r="AU231" i="48"/>
  <c r="AV231" i="48"/>
  <c r="AW231" i="48"/>
  <c r="AX231" i="48"/>
  <c r="AY231" i="48"/>
  <c r="AT232" i="48"/>
  <c r="AU232" i="48"/>
  <c r="AV232" i="48"/>
  <c r="AW232" i="48"/>
  <c r="AX232" i="48"/>
  <c r="AY232" i="48"/>
  <c r="AT233" i="48"/>
  <c r="AU233" i="48"/>
  <c r="AV233" i="48"/>
  <c r="AW233" i="48"/>
  <c r="AX233" i="48"/>
  <c r="AY233" i="48"/>
  <c r="AT234" i="48"/>
  <c r="AU234" i="48"/>
  <c r="AV234" i="48"/>
  <c r="AW234" i="48"/>
  <c r="AX234" i="48"/>
  <c r="AY234" i="48"/>
  <c r="AT235" i="48"/>
  <c r="AU235" i="48"/>
  <c r="AV235" i="48"/>
  <c r="AW235" i="48"/>
  <c r="AX235" i="48"/>
  <c r="AY235" i="48"/>
  <c r="AT236" i="48"/>
  <c r="AU236" i="48"/>
  <c r="AV236" i="48"/>
  <c r="AW236" i="48"/>
  <c r="AX236" i="48"/>
  <c r="AY236" i="48"/>
  <c r="AT237" i="48"/>
  <c r="AU237" i="48"/>
  <c r="AV237" i="48"/>
  <c r="AW237" i="48"/>
  <c r="AX237" i="48"/>
  <c r="AY237" i="48"/>
  <c r="AT238" i="48"/>
  <c r="AU238" i="48"/>
  <c r="AV238" i="48"/>
  <c r="AW238" i="48"/>
  <c r="AX238" i="48"/>
  <c r="AY238" i="48"/>
  <c r="AT239" i="48"/>
  <c r="AU239" i="48"/>
  <c r="AV239" i="48"/>
  <c r="AW239" i="48"/>
  <c r="AX239" i="48"/>
  <c r="AY239" i="48"/>
  <c r="AT240" i="48"/>
  <c r="AU240" i="48"/>
  <c r="AV240" i="48"/>
  <c r="AW240" i="48"/>
  <c r="AX240" i="48"/>
  <c r="AY240" i="48"/>
  <c r="AT241" i="48"/>
  <c r="AU241" i="48"/>
  <c r="AV241" i="48"/>
  <c r="AW241" i="48"/>
  <c r="AX241" i="48"/>
  <c r="AY241" i="48"/>
  <c r="AT242" i="48"/>
  <c r="AU242" i="48"/>
  <c r="AV242" i="48"/>
  <c r="AW242" i="48"/>
  <c r="AX242" i="48"/>
  <c r="AY242" i="48"/>
  <c r="AT243" i="48"/>
  <c r="AU243" i="48"/>
  <c r="AV243" i="48"/>
  <c r="AW243" i="48"/>
  <c r="AX243" i="48"/>
  <c r="AY243" i="48"/>
  <c r="AT244" i="48"/>
  <c r="AU244" i="48"/>
  <c r="AV244" i="48"/>
  <c r="AW244" i="48"/>
  <c r="AX244" i="48"/>
  <c r="AY244" i="48"/>
  <c r="AT245" i="48"/>
  <c r="AU245" i="48"/>
  <c r="AV245" i="48"/>
  <c r="AW245" i="48"/>
  <c r="AX245" i="48"/>
  <c r="AY245" i="48"/>
  <c r="AT246" i="48"/>
  <c r="AZ257" i="48" s="1"/>
  <c r="AU246" i="48"/>
  <c r="AV246" i="48"/>
  <c r="AW246" i="48"/>
  <c r="AX246" i="48"/>
  <c r="AY246" i="48"/>
  <c r="AT247" i="48"/>
  <c r="AU247" i="48"/>
  <c r="AV247" i="48"/>
  <c r="AW247" i="48"/>
  <c r="AX247" i="48"/>
  <c r="AY247" i="48"/>
  <c r="AT248" i="48"/>
  <c r="AU248" i="48"/>
  <c r="AV248" i="48"/>
  <c r="AW248" i="48"/>
  <c r="AX248" i="48"/>
  <c r="AY248" i="48"/>
  <c r="AT249" i="48"/>
  <c r="AU249" i="48"/>
  <c r="AV249" i="48"/>
  <c r="AW249" i="48"/>
  <c r="AX249" i="48"/>
  <c r="AY249" i="48"/>
  <c r="AT250" i="48"/>
  <c r="AU250" i="48"/>
  <c r="AV250" i="48"/>
  <c r="AW250" i="48"/>
  <c r="AX250" i="48"/>
  <c r="AY250" i="48"/>
  <c r="AT251" i="48"/>
  <c r="AU251" i="48"/>
  <c r="AV251" i="48"/>
  <c r="AW251" i="48"/>
  <c r="AX251" i="48"/>
  <c r="AY251" i="48"/>
  <c r="AT252" i="48"/>
  <c r="AU252" i="48"/>
  <c r="AV252" i="48"/>
  <c r="AW252" i="48"/>
  <c r="AX252" i="48"/>
  <c r="AY252" i="48"/>
  <c r="AT253" i="48"/>
  <c r="AU253" i="48"/>
  <c r="AV253" i="48"/>
  <c r="AW253" i="48"/>
  <c r="AX253" i="48"/>
  <c r="AY253" i="48"/>
  <c r="AT254" i="48"/>
  <c r="AU254" i="48"/>
  <c r="AV254" i="48"/>
  <c r="AW254" i="48"/>
  <c r="AX254" i="48"/>
  <c r="AY254" i="48"/>
  <c r="AT255" i="48"/>
  <c r="AU255" i="48"/>
  <c r="AV255" i="48"/>
  <c r="AW255" i="48"/>
  <c r="AX255" i="48"/>
  <c r="AY255" i="48"/>
  <c r="AT256" i="48"/>
  <c r="AU256" i="48"/>
  <c r="AV256" i="48"/>
  <c r="AW256" i="48"/>
  <c r="AX256" i="48"/>
  <c r="AY256" i="48"/>
  <c r="AT257" i="48"/>
  <c r="AU257" i="48"/>
  <c r="AV257" i="48"/>
  <c r="AW257" i="48"/>
  <c r="AX257" i="48"/>
  <c r="AY257" i="48"/>
  <c r="AT258" i="48"/>
  <c r="AU258" i="48"/>
  <c r="AV258" i="48"/>
  <c r="AW258" i="48"/>
  <c r="AX258" i="48"/>
  <c r="AY258" i="48"/>
  <c r="AT259" i="48"/>
  <c r="AU259" i="48"/>
  <c r="AV259" i="48"/>
  <c r="AW259" i="48"/>
  <c r="AX259" i="48"/>
  <c r="AY259" i="48"/>
  <c r="AT260" i="48"/>
  <c r="AU260" i="48"/>
  <c r="AV260" i="48"/>
  <c r="AW260" i="48"/>
  <c r="AX260" i="48"/>
  <c r="AY260" i="48"/>
  <c r="AT261" i="48"/>
  <c r="AU261" i="48"/>
  <c r="AV261" i="48"/>
  <c r="AW261" i="48"/>
  <c r="AX261" i="48"/>
  <c r="AY261" i="48"/>
  <c r="AT262" i="48"/>
  <c r="AU262" i="48"/>
  <c r="AV262" i="48"/>
  <c r="AW262" i="48"/>
  <c r="AX262" i="48"/>
  <c r="AY262" i="48"/>
  <c r="AT263" i="48"/>
  <c r="AU263" i="48"/>
  <c r="AV263" i="48"/>
  <c r="AW263" i="48"/>
  <c r="AX263" i="48"/>
  <c r="AY263" i="48"/>
  <c r="AT264" i="48"/>
  <c r="AU264" i="48"/>
  <c r="AV264" i="48"/>
  <c r="AW264" i="48"/>
  <c r="AX264" i="48"/>
  <c r="AY264" i="48"/>
  <c r="AT265" i="48"/>
  <c r="AU265" i="48"/>
  <c r="AV265" i="48"/>
  <c r="AW265" i="48"/>
  <c r="AX265" i="48"/>
  <c r="AY265" i="48"/>
  <c r="AT266" i="48"/>
  <c r="AU266" i="48"/>
  <c r="AV266" i="48"/>
  <c r="AW266" i="48"/>
  <c r="AX266" i="48"/>
  <c r="AY266" i="48"/>
  <c r="AT267" i="48"/>
  <c r="AU267" i="48"/>
  <c r="AV267" i="48"/>
  <c r="AW267" i="48"/>
  <c r="AX267" i="48"/>
  <c r="AY267" i="48"/>
  <c r="AT268" i="48"/>
  <c r="AU268" i="48"/>
  <c r="AV268" i="48"/>
  <c r="AW268" i="48"/>
  <c r="AX268" i="48"/>
  <c r="AY268" i="48"/>
  <c r="AT269" i="48"/>
  <c r="AU269" i="48"/>
  <c r="AV269" i="48"/>
  <c r="AW269" i="48"/>
  <c r="AX269" i="48"/>
  <c r="AY269" i="48"/>
  <c r="AT270" i="48"/>
  <c r="AZ281" i="48" s="1"/>
  <c r="AU270" i="48"/>
  <c r="AV270" i="48"/>
  <c r="AW270" i="48"/>
  <c r="AX270" i="48"/>
  <c r="AY270" i="48"/>
  <c r="AT271" i="48"/>
  <c r="AU271" i="48"/>
  <c r="AV271" i="48"/>
  <c r="AW271" i="48"/>
  <c r="AX271" i="48"/>
  <c r="AY271" i="48"/>
  <c r="AT272" i="48"/>
  <c r="AU272" i="48"/>
  <c r="AV272" i="48"/>
  <c r="AW272" i="48"/>
  <c r="AX272" i="48"/>
  <c r="AY272" i="48"/>
  <c r="AT273" i="48"/>
  <c r="AU273" i="48"/>
  <c r="AV273" i="48"/>
  <c r="AW273" i="48"/>
  <c r="AX273" i="48"/>
  <c r="AY273" i="48"/>
  <c r="AT274" i="48"/>
  <c r="AU274" i="48"/>
  <c r="AV274" i="48"/>
  <c r="AW274" i="48"/>
  <c r="AX274" i="48"/>
  <c r="AY274" i="48"/>
  <c r="AT275" i="48"/>
  <c r="AU275" i="48"/>
  <c r="AV275" i="48"/>
  <c r="AW275" i="48"/>
  <c r="AX275" i="48"/>
  <c r="AY275" i="48"/>
  <c r="AT276" i="48"/>
  <c r="AU276" i="48"/>
  <c r="AV276" i="48"/>
  <c r="AW276" i="48"/>
  <c r="AX276" i="48"/>
  <c r="AY276" i="48"/>
  <c r="AT277" i="48"/>
  <c r="AU277" i="48"/>
  <c r="AV277" i="48"/>
  <c r="AW277" i="48"/>
  <c r="AX277" i="48"/>
  <c r="AY277" i="48"/>
  <c r="AT278" i="48"/>
  <c r="AU278" i="48"/>
  <c r="AV278" i="48"/>
  <c r="AW278" i="48"/>
  <c r="AX278" i="48"/>
  <c r="AY278" i="48"/>
  <c r="AT279" i="48"/>
  <c r="AU279" i="48"/>
  <c r="AV279" i="48"/>
  <c r="AW279" i="48"/>
  <c r="AX279" i="48"/>
  <c r="AY279" i="48"/>
  <c r="AT280" i="48"/>
  <c r="AU280" i="48"/>
  <c r="AV280" i="48"/>
  <c r="AW280" i="48"/>
  <c r="AX280" i="48"/>
  <c r="AY280" i="48"/>
  <c r="AT281" i="48"/>
  <c r="AU281" i="48"/>
  <c r="AV281" i="48"/>
  <c r="AW281" i="48"/>
  <c r="AX281" i="48"/>
  <c r="AY281" i="48"/>
  <c r="AT282" i="48"/>
  <c r="AU282" i="48"/>
  <c r="AV282" i="48"/>
  <c r="AW282" i="48"/>
  <c r="AX282" i="48"/>
  <c r="AY282" i="48"/>
  <c r="AT283" i="48"/>
  <c r="AU283" i="48"/>
  <c r="AV283" i="48"/>
  <c r="AW283" i="48"/>
  <c r="AX283" i="48"/>
  <c r="AY283" i="48"/>
  <c r="AT284" i="48"/>
  <c r="AU284" i="48"/>
  <c r="AV284" i="48"/>
  <c r="AW284" i="48"/>
  <c r="AX284" i="48"/>
  <c r="AY284" i="48"/>
  <c r="AT285" i="48"/>
  <c r="AU285" i="48"/>
  <c r="AV285" i="48"/>
  <c r="AW285" i="48"/>
  <c r="AX285" i="48"/>
  <c r="AY285" i="48"/>
  <c r="AT286" i="48"/>
  <c r="AU286" i="48"/>
  <c r="AV286" i="48"/>
  <c r="AW286" i="48"/>
  <c r="AX286" i="48"/>
  <c r="AY286" i="48"/>
  <c r="AT287" i="48"/>
  <c r="AU287" i="48"/>
  <c r="AV287" i="48"/>
  <c r="AW287" i="48"/>
  <c r="AX287" i="48"/>
  <c r="AY287" i="48"/>
  <c r="AT288" i="48"/>
  <c r="AU288" i="48"/>
  <c r="AV288" i="48"/>
  <c r="AW288" i="48"/>
  <c r="AX288" i="48"/>
  <c r="AY288" i="48"/>
  <c r="AT289" i="48"/>
  <c r="AU289" i="48"/>
  <c r="AV289" i="48"/>
  <c r="AW289" i="48"/>
  <c r="AX289" i="48"/>
  <c r="AY289" i="48"/>
  <c r="AT290" i="48"/>
  <c r="AU290" i="48"/>
  <c r="AV290" i="48"/>
  <c r="AW290" i="48"/>
  <c r="AX290" i="48"/>
  <c r="AY290" i="48"/>
  <c r="AT291" i="48"/>
  <c r="AU291" i="48"/>
  <c r="AV291" i="48"/>
  <c r="AW291" i="48"/>
  <c r="AX291" i="48"/>
  <c r="AY291" i="48"/>
  <c r="AT292" i="48"/>
  <c r="AU292" i="48"/>
  <c r="AV292" i="48"/>
  <c r="AW292" i="48"/>
  <c r="AX292" i="48"/>
  <c r="AY292" i="48"/>
  <c r="AT293" i="48"/>
  <c r="AU293" i="48"/>
  <c r="AV293" i="48"/>
  <c r="AW293" i="48"/>
  <c r="AX293" i="48"/>
  <c r="AY293" i="48"/>
  <c r="AT294" i="48"/>
  <c r="AU294" i="48"/>
  <c r="AV294" i="48"/>
  <c r="AW294" i="48"/>
  <c r="AX294" i="48"/>
  <c r="AY294" i="48"/>
  <c r="AT295" i="48"/>
  <c r="AU295" i="48"/>
  <c r="AV295" i="48"/>
  <c r="AW295" i="48"/>
  <c r="AX295" i="48"/>
  <c r="AY295" i="48"/>
  <c r="AT296" i="48"/>
  <c r="AU296" i="48"/>
  <c r="AV296" i="48"/>
  <c r="AW296" i="48"/>
  <c r="AX296" i="48"/>
  <c r="AY296" i="48"/>
  <c r="AT297" i="48"/>
  <c r="AU297" i="48"/>
  <c r="AV297" i="48"/>
  <c r="AW297" i="48"/>
  <c r="AX297" i="48"/>
  <c r="AY297" i="48"/>
  <c r="AT298" i="48"/>
  <c r="AU298" i="48"/>
  <c r="AV298" i="48"/>
  <c r="AW298" i="48"/>
  <c r="AX298" i="48"/>
  <c r="AY298" i="48"/>
  <c r="AT299" i="48"/>
  <c r="AU299" i="48"/>
  <c r="AV299" i="48"/>
  <c r="AW299" i="48"/>
  <c r="AX299" i="48"/>
  <c r="AY299" i="48"/>
  <c r="AT300" i="48"/>
  <c r="AU300" i="48"/>
  <c r="AV300" i="48"/>
  <c r="AW300" i="48"/>
  <c r="AX300" i="48"/>
  <c r="AY300" i="48"/>
  <c r="AT301" i="48"/>
  <c r="AU301" i="48"/>
  <c r="AV301" i="48"/>
  <c r="AW301" i="48"/>
  <c r="AX301" i="48"/>
  <c r="AY301" i="48"/>
  <c r="AT302" i="48"/>
  <c r="AU302" i="48"/>
  <c r="AV302" i="48"/>
  <c r="AW302" i="48"/>
  <c r="AX302" i="48"/>
  <c r="AY302" i="48"/>
  <c r="AT303" i="48"/>
  <c r="AU303" i="48"/>
  <c r="AV303" i="48"/>
  <c r="AW303" i="48"/>
  <c r="AX303" i="48"/>
  <c r="AY303" i="48"/>
  <c r="AT304" i="48"/>
  <c r="AU304" i="48"/>
  <c r="AV304" i="48"/>
  <c r="AW304" i="48"/>
  <c r="AX304" i="48"/>
  <c r="AY304" i="48"/>
  <c r="AT305" i="48"/>
  <c r="AU305" i="48"/>
  <c r="AV305" i="48"/>
  <c r="AW305" i="48"/>
  <c r="AX305" i="48"/>
  <c r="AY305" i="48"/>
  <c r="AT306" i="48"/>
  <c r="AU306" i="48"/>
  <c r="AV306" i="48"/>
  <c r="AW306" i="48"/>
  <c r="AX306" i="48"/>
  <c r="AY306" i="48"/>
  <c r="AT307" i="48"/>
  <c r="AU307" i="48"/>
  <c r="AV307" i="48"/>
  <c r="AW307" i="48"/>
  <c r="AX307" i="48"/>
  <c r="AY307" i="48"/>
  <c r="AT308" i="48"/>
  <c r="AU308" i="48"/>
  <c r="AV308" i="48"/>
  <c r="AW308" i="48"/>
  <c r="AX308" i="48"/>
  <c r="AY308" i="48"/>
  <c r="AT309" i="48"/>
  <c r="AU309" i="48"/>
  <c r="AV309" i="48"/>
  <c r="AW309" i="48"/>
  <c r="AX309" i="48"/>
  <c r="AY309" i="48"/>
  <c r="AT310" i="48"/>
  <c r="AU310" i="48"/>
  <c r="AV310" i="48"/>
  <c r="AW310" i="48"/>
  <c r="AX310" i="48"/>
  <c r="AY310" i="48"/>
  <c r="AT311" i="48"/>
  <c r="AU311" i="48"/>
  <c r="AV311" i="48"/>
  <c r="AW311" i="48"/>
  <c r="AX311" i="48"/>
  <c r="AY311" i="48"/>
  <c r="AT312" i="48"/>
  <c r="AU312" i="48"/>
  <c r="AV312" i="48"/>
  <c r="AW312" i="48"/>
  <c r="AX312" i="48"/>
  <c r="AY312" i="48"/>
  <c r="AT313" i="48"/>
  <c r="AU313" i="48"/>
  <c r="AV313" i="48"/>
  <c r="AW313" i="48"/>
  <c r="AX313" i="48"/>
  <c r="AY313" i="48"/>
  <c r="AT314" i="48"/>
  <c r="AU314" i="48"/>
  <c r="AV314" i="48"/>
  <c r="AW314" i="48"/>
  <c r="AX314" i="48"/>
  <c r="AY314" i="48"/>
  <c r="AT315" i="48"/>
  <c r="AU315" i="48"/>
  <c r="AV315" i="48"/>
  <c r="AW315" i="48"/>
  <c r="AX315" i="48"/>
  <c r="AY315" i="48"/>
  <c r="AT316" i="48"/>
  <c r="AU316" i="48"/>
  <c r="AV316" i="48"/>
  <c r="AW316" i="48"/>
  <c r="AX316" i="48"/>
  <c r="AY316" i="48"/>
  <c r="AT317" i="48"/>
  <c r="AU317" i="48"/>
  <c r="AV317" i="48"/>
  <c r="AW317" i="48"/>
  <c r="AX317" i="48"/>
  <c r="AY317" i="48"/>
  <c r="AT318" i="48"/>
  <c r="AZ329" i="48" s="1"/>
  <c r="AU318" i="48"/>
  <c r="AV318" i="48"/>
  <c r="AW318" i="48"/>
  <c r="AX318" i="48"/>
  <c r="AY318" i="48"/>
  <c r="AT319" i="48"/>
  <c r="AU319" i="48"/>
  <c r="AV319" i="48"/>
  <c r="AW319" i="48"/>
  <c r="AX319" i="48"/>
  <c r="AY319" i="48"/>
  <c r="AT320" i="48"/>
  <c r="AU320" i="48"/>
  <c r="AV320" i="48"/>
  <c r="AW320" i="48"/>
  <c r="AX320" i="48"/>
  <c r="AY320" i="48"/>
  <c r="AT321" i="48"/>
  <c r="AU321" i="48"/>
  <c r="AV321" i="48"/>
  <c r="AW321" i="48"/>
  <c r="AX321" i="48"/>
  <c r="AY321" i="48"/>
  <c r="AT322" i="48"/>
  <c r="AU322" i="48"/>
  <c r="AV322" i="48"/>
  <c r="AW322" i="48"/>
  <c r="AX322" i="48"/>
  <c r="AY322" i="48"/>
  <c r="AT323" i="48"/>
  <c r="AU323" i="48"/>
  <c r="AV323" i="48"/>
  <c r="AW323" i="48"/>
  <c r="AX323" i="48"/>
  <c r="AY323" i="48"/>
  <c r="AT324" i="48"/>
  <c r="AU324" i="48"/>
  <c r="AV324" i="48"/>
  <c r="AW324" i="48"/>
  <c r="AX324" i="48"/>
  <c r="AY324" i="48"/>
  <c r="AT325" i="48"/>
  <c r="AU325" i="48"/>
  <c r="AV325" i="48"/>
  <c r="AW325" i="48"/>
  <c r="AX325" i="48"/>
  <c r="AY325" i="48"/>
  <c r="AT326" i="48"/>
  <c r="AU326" i="48"/>
  <c r="AV326" i="48"/>
  <c r="AW326" i="48"/>
  <c r="AX326" i="48"/>
  <c r="AY326" i="48"/>
  <c r="AT327" i="48"/>
  <c r="AU327" i="48"/>
  <c r="AV327" i="48"/>
  <c r="AW327" i="48"/>
  <c r="AX327" i="48"/>
  <c r="AY327" i="48"/>
  <c r="AT328" i="48"/>
  <c r="AU328" i="48"/>
  <c r="AV328" i="48"/>
  <c r="AW328" i="48"/>
  <c r="AX328" i="48"/>
  <c r="AY328" i="48"/>
  <c r="AT329" i="48"/>
  <c r="AU329" i="48"/>
  <c r="AV329" i="48"/>
  <c r="AW329" i="48"/>
  <c r="AX329" i="48"/>
  <c r="AY329" i="48"/>
  <c r="AT330" i="48"/>
  <c r="AU330" i="48"/>
  <c r="AV330" i="48"/>
  <c r="AW330" i="48"/>
  <c r="AX330" i="48"/>
  <c r="AY330" i="48"/>
  <c r="AT331" i="48"/>
  <c r="AU331" i="48"/>
  <c r="AV331" i="48"/>
  <c r="AW331" i="48"/>
  <c r="AX331" i="48"/>
  <c r="AY331" i="48"/>
  <c r="AT332" i="48"/>
  <c r="AU332" i="48"/>
  <c r="AV332" i="48"/>
  <c r="AW332" i="48"/>
  <c r="AX332" i="48"/>
  <c r="AY332" i="48"/>
  <c r="AT333" i="48"/>
  <c r="AU333" i="48"/>
  <c r="AV333" i="48"/>
  <c r="AW333" i="48"/>
  <c r="AX333" i="48"/>
  <c r="AY333" i="48"/>
  <c r="AT334" i="48"/>
  <c r="AU334" i="48"/>
  <c r="AV334" i="48"/>
  <c r="AW334" i="48"/>
  <c r="AX334" i="48"/>
  <c r="AY334" i="48"/>
  <c r="AT335" i="48"/>
  <c r="AU335" i="48"/>
  <c r="AV335" i="48"/>
  <c r="AW335" i="48"/>
  <c r="AX335" i="48"/>
  <c r="AY335" i="48"/>
  <c r="AT336" i="48"/>
  <c r="AU336" i="48"/>
  <c r="AV336" i="48"/>
  <c r="AW336" i="48"/>
  <c r="AX336" i="48"/>
  <c r="AY336" i="48"/>
  <c r="AT337" i="48"/>
  <c r="AU337" i="48"/>
  <c r="AV337" i="48"/>
  <c r="AW337" i="48"/>
  <c r="AX337" i="48"/>
  <c r="AY337" i="48"/>
  <c r="AT338" i="48"/>
  <c r="AU338" i="48"/>
  <c r="AV338" i="48"/>
  <c r="AW338" i="48"/>
  <c r="AX338" i="48"/>
  <c r="AY338" i="48"/>
  <c r="AT339" i="48"/>
  <c r="AU339" i="48"/>
  <c r="AV339" i="48"/>
  <c r="AW339" i="48"/>
  <c r="AX339" i="48"/>
  <c r="AY339" i="48"/>
  <c r="AT340" i="48"/>
  <c r="AU340" i="48"/>
  <c r="AV340" i="48"/>
  <c r="AW340" i="48"/>
  <c r="AX340" i="48"/>
  <c r="AY340" i="48"/>
  <c r="AT341" i="48"/>
  <c r="AU341" i="48"/>
  <c r="AV341" i="48"/>
  <c r="AW341" i="48"/>
  <c r="AX341" i="48"/>
  <c r="AY341" i="48"/>
  <c r="AT342" i="48"/>
  <c r="AZ353" i="48" s="1"/>
  <c r="AU342" i="48"/>
  <c r="AV342" i="48"/>
  <c r="AW342" i="48"/>
  <c r="AX342" i="48"/>
  <c r="AY342" i="48"/>
  <c r="AT343" i="48"/>
  <c r="AU343" i="48"/>
  <c r="AV343" i="48"/>
  <c r="AW343" i="48"/>
  <c r="AX343" i="48"/>
  <c r="AY343" i="48"/>
  <c r="AT344" i="48"/>
  <c r="AU344" i="48"/>
  <c r="AV344" i="48"/>
  <c r="AW344" i="48"/>
  <c r="AX344" i="48"/>
  <c r="AY344" i="48"/>
  <c r="AT345" i="48"/>
  <c r="AU345" i="48"/>
  <c r="AV345" i="48"/>
  <c r="AW345" i="48"/>
  <c r="AX345" i="48"/>
  <c r="AY345" i="48"/>
  <c r="AT346" i="48"/>
  <c r="AU346" i="48"/>
  <c r="AV346" i="48"/>
  <c r="AW346" i="48"/>
  <c r="AX346" i="48"/>
  <c r="AY346" i="48"/>
  <c r="AT347" i="48"/>
  <c r="AU347" i="48"/>
  <c r="AV347" i="48"/>
  <c r="AW347" i="48"/>
  <c r="AX347" i="48"/>
  <c r="AY347" i="48"/>
  <c r="AT348" i="48"/>
  <c r="AU348" i="48"/>
  <c r="AV348" i="48"/>
  <c r="AW348" i="48"/>
  <c r="AX348" i="48"/>
  <c r="AY348" i="48"/>
  <c r="AT349" i="48"/>
  <c r="AU349" i="48"/>
  <c r="AV349" i="48"/>
  <c r="AW349" i="48"/>
  <c r="AX349" i="48"/>
  <c r="AY349" i="48"/>
  <c r="AT350" i="48"/>
  <c r="AU350" i="48"/>
  <c r="AV350" i="48"/>
  <c r="AW350" i="48"/>
  <c r="AX350" i="48"/>
  <c r="AY350" i="48"/>
  <c r="AT351" i="48"/>
  <c r="AU351" i="48"/>
  <c r="AV351" i="48"/>
  <c r="AW351" i="48"/>
  <c r="AX351" i="48"/>
  <c r="AY351" i="48"/>
  <c r="AT352" i="48"/>
  <c r="AU352" i="48"/>
  <c r="AV352" i="48"/>
  <c r="AW352" i="48"/>
  <c r="AX352" i="48"/>
  <c r="AY352" i="48"/>
  <c r="AT353" i="48"/>
  <c r="AU353" i="48"/>
  <c r="AV353" i="48"/>
  <c r="AW353" i="48"/>
  <c r="AX353" i="48"/>
  <c r="AY353" i="48"/>
  <c r="AT354" i="48"/>
  <c r="AU354" i="48"/>
  <c r="AV354" i="48"/>
  <c r="AW354" i="48"/>
  <c r="AX354" i="48"/>
  <c r="AY354" i="48"/>
  <c r="AT355" i="48"/>
  <c r="AU355" i="48"/>
  <c r="AV355" i="48"/>
  <c r="AW355" i="48"/>
  <c r="AX355" i="48"/>
  <c r="AY355" i="48"/>
  <c r="AT356" i="48"/>
  <c r="AU356" i="48"/>
  <c r="AV356" i="48"/>
  <c r="AW356" i="48"/>
  <c r="AX356" i="48"/>
  <c r="AY356" i="48"/>
  <c r="AT357" i="48"/>
  <c r="AU357" i="48"/>
  <c r="AV357" i="48"/>
  <c r="AW357" i="48"/>
  <c r="AX357" i="48"/>
  <c r="AY357" i="48"/>
  <c r="AT358" i="48"/>
  <c r="AU358" i="48"/>
  <c r="AV358" i="48"/>
  <c r="AW358" i="48"/>
  <c r="AX358" i="48"/>
  <c r="AY358" i="48"/>
  <c r="AT359" i="48"/>
  <c r="AU359" i="48"/>
  <c r="AV359" i="48"/>
  <c r="AW359" i="48"/>
  <c r="AX359" i="48"/>
  <c r="AY359" i="48"/>
  <c r="AT360" i="48"/>
  <c r="AU360" i="48"/>
  <c r="AV360" i="48"/>
  <c r="AW360" i="48"/>
  <c r="AX360" i="48"/>
  <c r="AY360" i="48"/>
  <c r="AT361" i="48"/>
  <c r="AU361" i="48"/>
  <c r="AV361" i="48"/>
  <c r="AW361" i="48"/>
  <c r="AX361" i="48"/>
  <c r="AY361" i="48"/>
  <c r="AT362" i="48"/>
  <c r="AU362" i="48"/>
  <c r="AV362" i="48"/>
  <c r="AW362" i="48"/>
  <c r="AX362" i="48"/>
  <c r="AY362" i="48"/>
  <c r="AT363" i="48"/>
  <c r="AU363" i="48"/>
  <c r="AV363" i="48"/>
  <c r="AW363" i="48"/>
  <c r="AX363" i="48"/>
  <c r="AY363" i="48"/>
  <c r="AT364" i="48"/>
  <c r="AU364" i="48"/>
  <c r="AV364" i="48"/>
  <c r="AW364" i="48"/>
  <c r="AX364" i="48"/>
  <c r="AY364" i="48"/>
  <c r="AT365" i="48"/>
  <c r="AU365" i="48"/>
  <c r="AV365" i="48"/>
  <c r="AW365" i="48"/>
  <c r="AX365" i="48"/>
  <c r="AY365" i="48"/>
  <c r="AT366" i="48"/>
  <c r="AU366" i="48"/>
  <c r="AV366" i="48"/>
  <c r="AW366" i="48"/>
  <c r="AX366" i="48"/>
  <c r="AY366" i="48"/>
  <c r="AT367" i="48"/>
  <c r="AU367" i="48"/>
  <c r="AV367" i="48"/>
  <c r="AW367" i="48"/>
  <c r="AX367" i="48"/>
  <c r="AY367" i="48"/>
  <c r="AT368" i="48"/>
  <c r="AU368" i="48"/>
  <c r="AV368" i="48"/>
  <c r="AW368" i="48"/>
  <c r="AX368" i="48"/>
  <c r="AY368" i="48"/>
  <c r="AT369" i="48"/>
  <c r="AU369" i="48"/>
  <c r="AV369" i="48"/>
  <c r="AW369" i="48"/>
  <c r="AX369" i="48"/>
  <c r="AY369" i="48"/>
  <c r="AT370" i="48"/>
  <c r="AU370" i="48"/>
  <c r="AV370" i="48"/>
  <c r="AW370" i="48"/>
  <c r="AX370" i="48"/>
  <c r="AY370" i="48"/>
  <c r="AT371" i="48"/>
  <c r="AU371" i="48"/>
  <c r="AV371" i="48"/>
  <c r="AW371" i="48"/>
  <c r="AX371" i="48"/>
  <c r="AY371" i="48"/>
  <c r="AT372" i="48"/>
  <c r="AU372" i="48"/>
  <c r="AV372" i="48"/>
  <c r="AW372" i="48"/>
  <c r="AX372" i="48"/>
  <c r="AY372" i="48"/>
  <c r="AT373" i="48"/>
  <c r="AU373" i="48"/>
  <c r="AV373" i="48"/>
  <c r="AW373" i="48"/>
  <c r="AX373" i="48"/>
  <c r="AY373" i="48"/>
  <c r="AT374" i="48"/>
  <c r="AU374" i="48"/>
  <c r="AV374" i="48"/>
  <c r="AW374" i="48"/>
  <c r="AX374" i="48"/>
  <c r="AY374" i="48"/>
  <c r="AT375" i="48"/>
  <c r="AU375" i="48"/>
  <c r="AV375" i="48"/>
  <c r="AW375" i="48"/>
  <c r="AX375" i="48"/>
  <c r="AY375" i="48"/>
  <c r="AT376" i="48"/>
  <c r="AU376" i="48"/>
  <c r="AV376" i="48"/>
  <c r="AW376" i="48"/>
  <c r="AX376" i="48"/>
  <c r="AY376" i="48"/>
  <c r="AT377" i="48"/>
  <c r="AU377" i="48"/>
  <c r="AV377" i="48"/>
  <c r="AW377" i="48"/>
  <c r="AX377" i="48"/>
  <c r="AY377" i="48"/>
  <c r="AT378" i="48"/>
  <c r="AU378" i="48"/>
  <c r="AV378" i="48"/>
  <c r="AW378" i="48"/>
  <c r="AX378" i="48"/>
  <c r="AY378" i="48"/>
  <c r="AT379" i="48"/>
  <c r="AU379" i="48"/>
  <c r="AV379" i="48"/>
  <c r="AW379" i="48"/>
  <c r="AX379" i="48"/>
  <c r="AY379" i="48"/>
  <c r="AT380" i="48"/>
  <c r="AU380" i="48"/>
  <c r="AV380" i="48"/>
  <c r="AW380" i="48"/>
  <c r="AX380" i="48"/>
  <c r="AY380" i="48"/>
  <c r="AT381" i="48"/>
  <c r="AU381" i="48"/>
  <c r="AV381" i="48"/>
  <c r="AW381" i="48"/>
  <c r="AX381" i="48"/>
  <c r="AY381" i="48"/>
  <c r="AT382" i="48"/>
  <c r="AU382" i="48"/>
  <c r="AV382" i="48"/>
  <c r="AW382" i="48"/>
  <c r="AX382" i="48"/>
  <c r="AY382" i="48"/>
  <c r="AT383" i="48"/>
  <c r="AU383" i="48"/>
  <c r="AV383" i="48"/>
  <c r="AW383" i="48"/>
  <c r="AX383" i="48"/>
  <c r="AY383" i="48"/>
  <c r="AT384" i="48"/>
  <c r="AU384" i="48"/>
  <c r="AV384" i="48"/>
  <c r="AW384" i="48"/>
  <c r="AX384" i="48"/>
  <c r="AY384" i="48"/>
  <c r="AT385" i="48"/>
  <c r="AU385" i="48"/>
  <c r="AV385" i="48"/>
  <c r="AW385" i="48"/>
  <c r="AX385" i="48"/>
  <c r="AY385" i="48"/>
  <c r="AT386" i="48"/>
  <c r="AU386" i="48"/>
  <c r="AV386" i="48"/>
  <c r="AW386" i="48"/>
  <c r="AX386" i="48"/>
  <c r="AY386" i="48"/>
  <c r="AT387" i="48"/>
  <c r="AU387" i="48"/>
  <c r="AV387" i="48"/>
  <c r="AW387" i="48"/>
  <c r="AX387" i="48"/>
  <c r="AY387" i="48"/>
  <c r="AT388" i="48"/>
  <c r="AU388" i="48"/>
  <c r="AV388" i="48"/>
  <c r="AW388" i="48"/>
  <c r="AX388" i="48"/>
  <c r="AY388" i="48"/>
  <c r="AT389" i="48"/>
  <c r="AU389" i="48"/>
  <c r="AV389" i="48"/>
  <c r="AW389" i="48"/>
  <c r="AX389" i="48"/>
  <c r="AY389" i="48"/>
  <c r="AT390" i="48"/>
  <c r="AU390" i="48"/>
  <c r="AV390" i="48"/>
  <c r="AW390" i="48"/>
  <c r="AX390" i="48"/>
  <c r="AY390" i="48"/>
  <c r="AT391" i="48"/>
  <c r="AU391" i="48"/>
  <c r="AV391" i="48"/>
  <c r="AW391" i="48"/>
  <c r="AX391" i="48"/>
  <c r="AY391" i="48"/>
  <c r="AT392" i="48"/>
  <c r="AU392" i="48"/>
  <c r="AV392" i="48"/>
  <c r="AW392" i="48"/>
  <c r="AX392" i="48"/>
  <c r="AY392" i="48"/>
  <c r="AT393" i="48"/>
  <c r="AU393" i="48"/>
  <c r="AV393" i="48"/>
  <c r="AW393" i="48"/>
  <c r="AX393" i="48"/>
  <c r="AY393" i="48"/>
  <c r="AT394" i="48"/>
  <c r="AU394" i="48"/>
  <c r="AV394" i="48"/>
  <c r="AW394" i="48"/>
  <c r="AX394" i="48"/>
  <c r="AY394" i="48"/>
  <c r="AT395" i="48"/>
  <c r="AU395" i="48"/>
  <c r="AV395" i="48"/>
  <c r="AW395" i="48"/>
  <c r="AX395" i="48"/>
  <c r="AY395" i="48"/>
  <c r="AT396" i="48"/>
  <c r="AU396" i="48"/>
  <c r="AV396" i="48"/>
  <c r="AW396" i="48"/>
  <c r="AX396" i="48"/>
  <c r="AY396" i="48"/>
  <c r="AT397" i="48"/>
  <c r="AU397" i="48"/>
  <c r="AV397" i="48"/>
  <c r="AW397" i="48"/>
  <c r="AX397" i="48"/>
  <c r="AY397" i="48"/>
  <c r="AT398" i="48"/>
  <c r="AU398" i="48"/>
  <c r="AV398" i="48"/>
  <c r="AW398" i="48"/>
  <c r="AX398" i="48"/>
  <c r="AY398" i="48"/>
  <c r="AT399" i="48"/>
  <c r="AU399" i="48"/>
  <c r="AV399" i="48"/>
  <c r="AW399" i="48"/>
  <c r="AX399" i="48"/>
  <c r="AY399" i="48"/>
  <c r="AT400" i="48"/>
  <c r="AU400" i="48"/>
  <c r="AV400" i="48"/>
  <c r="AW400" i="48"/>
  <c r="AX400" i="48"/>
  <c r="AY400" i="48"/>
  <c r="AT401" i="48"/>
  <c r="AU401" i="48"/>
  <c r="AV401" i="48"/>
  <c r="AW401" i="48"/>
  <c r="AX401" i="48"/>
  <c r="AY401" i="48"/>
  <c r="AT402" i="48"/>
  <c r="AU402" i="48"/>
  <c r="AV402" i="48"/>
  <c r="AW402" i="48"/>
  <c r="AX402" i="48"/>
  <c r="AY402" i="48"/>
  <c r="AT403" i="48"/>
  <c r="AU403" i="48"/>
  <c r="AV403" i="48"/>
  <c r="AW403" i="48"/>
  <c r="AX403" i="48"/>
  <c r="AY403" i="48"/>
  <c r="AT404" i="48"/>
  <c r="AU404" i="48"/>
  <c r="AV404" i="48"/>
  <c r="AW404" i="48"/>
  <c r="AX404" i="48"/>
  <c r="AY404" i="48"/>
  <c r="AT405" i="48"/>
  <c r="AU405" i="48"/>
  <c r="AV405" i="48"/>
  <c r="AW405" i="48"/>
  <c r="AX405" i="48"/>
  <c r="AY405" i="48"/>
  <c r="AT406" i="48"/>
  <c r="AU406" i="48"/>
  <c r="AV406" i="48"/>
  <c r="AW406" i="48"/>
  <c r="AX406" i="48"/>
  <c r="AY406" i="48"/>
  <c r="AT407" i="48"/>
  <c r="AU407" i="48"/>
  <c r="AV407" i="48"/>
  <c r="AW407" i="48"/>
  <c r="AX407" i="48"/>
  <c r="AY407" i="48"/>
  <c r="AT408" i="48"/>
  <c r="AU408" i="48"/>
  <c r="AV408" i="48"/>
  <c r="AW408" i="48"/>
  <c r="AX408" i="48"/>
  <c r="AY408" i="48"/>
  <c r="AT409" i="48"/>
  <c r="AU409" i="48"/>
  <c r="AV409" i="48"/>
  <c r="AW409" i="48"/>
  <c r="AX409" i="48"/>
  <c r="AY409" i="48"/>
  <c r="AT410" i="48"/>
  <c r="AU410" i="48"/>
  <c r="AV410" i="48"/>
  <c r="AW410" i="48"/>
  <c r="AX410" i="48"/>
  <c r="AY410" i="48"/>
  <c r="AT411" i="48"/>
  <c r="AU411" i="48"/>
  <c r="AV411" i="48"/>
  <c r="AW411" i="48"/>
  <c r="AX411" i="48"/>
  <c r="AY411" i="48"/>
  <c r="AT412" i="48"/>
  <c r="AU412" i="48"/>
  <c r="AV412" i="48"/>
  <c r="AW412" i="48"/>
  <c r="AX412" i="48"/>
  <c r="AY412" i="48"/>
  <c r="AT413" i="48"/>
  <c r="AU413" i="48"/>
  <c r="AV413" i="48"/>
  <c r="AW413" i="48"/>
  <c r="AX413" i="48"/>
  <c r="AY413" i="48"/>
  <c r="AT414" i="48"/>
  <c r="AU414" i="48"/>
  <c r="AV414" i="48"/>
  <c r="AW414" i="48"/>
  <c r="AX414" i="48"/>
  <c r="AY414" i="48"/>
  <c r="AT415" i="48"/>
  <c r="AU415" i="48"/>
  <c r="AV415" i="48"/>
  <c r="AW415" i="48"/>
  <c r="AX415" i="48"/>
  <c r="AY415" i="48"/>
  <c r="AT416" i="48"/>
  <c r="AU416" i="48"/>
  <c r="AV416" i="48"/>
  <c r="AW416" i="48"/>
  <c r="AX416" i="48"/>
  <c r="AY416" i="48"/>
  <c r="AT417" i="48"/>
  <c r="AU417" i="48"/>
  <c r="AV417" i="48"/>
  <c r="AW417" i="48"/>
  <c r="AX417" i="48"/>
  <c r="AY417" i="48"/>
  <c r="AT418" i="48"/>
  <c r="AU418" i="48"/>
  <c r="AV418" i="48"/>
  <c r="AW418" i="48"/>
  <c r="AX418" i="48"/>
  <c r="AY418" i="48"/>
  <c r="AT419" i="48"/>
  <c r="AU419" i="48"/>
  <c r="AV419" i="48"/>
  <c r="AW419" i="48"/>
  <c r="AX419" i="48"/>
  <c r="AY419" i="48"/>
  <c r="AT420" i="48"/>
  <c r="AU420" i="48"/>
  <c r="AV420" i="48"/>
  <c r="AW420" i="48"/>
  <c r="AX420" i="48"/>
  <c r="AY420" i="48"/>
  <c r="AT421" i="48"/>
  <c r="AU421" i="48"/>
  <c r="AV421" i="48"/>
  <c r="AW421" i="48"/>
  <c r="AX421" i="48"/>
  <c r="AY421" i="48"/>
  <c r="AT422" i="48"/>
  <c r="AU422" i="48"/>
  <c r="AV422" i="48"/>
  <c r="AW422" i="48"/>
  <c r="AX422" i="48"/>
  <c r="AY422" i="48"/>
  <c r="AT423" i="48"/>
  <c r="AU423" i="48"/>
  <c r="AV423" i="48"/>
  <c r="AW423" i="48"/>
  <c r="AX423" i="48"/>
  <c r="AY423" i="48"/>
  <c r="AT424" i="48"/>
  <c r="AU424" i="48"/>
  <c r="AV424" i="48"/>
  <c r="AW424" i="48"/>
  <c r="AX424" i="48"/>
  <c r="AY424" i="48"/>
  <c r="AT425" i="48"/>
  <c r="AU425" i="48"/>
  <c r="AV425" i="48"/>
  <c r="AW425" i="48"/>
  <c r="AX425" i="48"/>
  <c r="AY425" i="48"/>
  <c r="AT426" i="48"/>
  <c r="AU426" i="48"/>
  <c r="AV426" i="48"/>
  <c r="AW426" i="48"/>
  <c r="AX426" i="48"/>
  <c r="AY426" i="48"/>
  <c r="AT427" i="48"/>
  <c r="AU427" i="48"/>
  <c r="AV427" i="48"/>
  <c r="AW427" i="48"/>
  <c r="AX427" i="48"/>
  <c r="AY427" i="48"/>
  <c r="AT428" i="48"/>
  <c r="AU428" i="48"/>
  <c r="AV428" i="48"/>
  <c r="AW428" i="48"/>
  <c r="AX428" i="48"/>
  <c r="AY428" i="48"/>
  <c r="AT429" i="48"/>
  <c r="AU429" i="48"/>
  <c r="AV429" i="48"/>
  <c r="AW429" i="48"/>
  <c r="AX429" i="48"/>
  <c r="AY429" i="48"/>
  <c r="AT430" i="48"/>
  <c r="AU430" i="48"/>
  <c r="AV430" i="48"/>
  <c r="AW430" i="48"/>
  <c r="AX430" i="48"/>
  <c r="AY430" i="48"/>
  <c r="AT431" i="48"/>
  <c r="AU431" i="48"/>
  <c r="AV431" i="48"/>
  <c r="AW431" i="48"/>
  <c r="AX431" i="48"/>
  <c r="AY431" i="48"/>
  <c r="AT432" i="48"/>
  <c r="AU432" i="48"/>
  <c r="AV432" i="48"/>
  <c r="AW432" i="48"/>
  <c r="AX432" i="48"/>
  <c r="AY432" i="48"/>
  <c r="AT433" i="48"/>
  <c r="AU433" i="48"/>
  <c r="AV433" i="48"/>
  <c r="AW433" i="48"/>
  <c r="AX433" i="48"/>
  <c r="AY433" i="48"/>
  <c r="AT434" i="48"/>
  <c r="AU434" i="48"/>
  <c r="AV434" i="48"/>
  <c r="AW434" i="48"/>
  <c r="AX434" i="48"/>
  <c r="AY434" i="48"/>
  <c r="AT435" i="48"/>
  <c r="AU435" i="48"/>
  <c r="AV435" i="48"/>
  <c r="AW435" i="48"/>
  <c r="AX435" i="48"/>
  <c r="AY435" i="48"/>
  <c r="AT436" i="48"/>
  <c r="AU436" i="48"/>
  <c r="AV436" i="48"/>
  <c r="AW436" i="48"/>
  <c r="AX436" i="48"/>
  <c r="AY436" i="48"/>
  <c r="AT437" i="48"/>
  <c r="AU437" i="48"/>
  <c r="AV437" i="48"/>
  <c r="AW437" i="48"/>
  <c r="AX437" i="48"/>
  <c r="AY437" i="48"/>
  <c r="AT438" i="48"/>
  <c r="AU438" i="48"/>
  <c r="AV438" i="48"/>
  <c r="AW438" i="48"/>
  <c r="AX438" i="48"/>
  <c r="AY438" i="48"/>
  <c r="AT439" i="48"/>
  <c r="AU439" i="48"/>
  <c r="AV439" i="48"/>
  <c r="AW439" i="48"/>
  <c r="AX439" i="48"/>
  <c r="AY439" i="48"/>
  <c r="AT440" i="48"/>
  <c r="AU440" i="48"/>
  <c r="AV440" i="48"/>
  <c r="AW440" i="48"/>
  <c r="AX440" i="48"/>
  <c r="AY440" i="48"/>
  <c r="AT441" i="48"/>
  <c r="AU441" i="48"/>
  <c r="AV441" i="48"/>
  <c r="AW441" i="48"/>
  <c r="AX441" i="48"/>
  <c r="AY441" i="48"/>
  <c r="AT442" i="48"/>
  <c r="AU442" i="48"/>
  <c r="AV442" i="48"/>
  <c r="AW442" i="48"/>
  <c r="AX442" i="48"/>
  <c r="AY442" i="48"/>
  <c r="AT443" i="48"/>
  <c r="AU443" i="48"/>
  <c r="AV443" i="48"/>
  <c r="AW443" i="48"/>
  <c r="AX443" i="48"/>
  <c r="AY443" i="48"/>
  <c r="AT444" i="48"/>
  <c r="AU444" i="48"/>
  <c r="AV444" i="48"/>
  <c r="AW444" i="48"/>
  <c r="AX444" i="48"/>
  <c r="AY444" i="48"/>
  <c r="AT445" i="48"/>
  <c r="AU445" i="48"/>
  <c r="AV445" i="48"/>
  <c r="AW445" i="48"/>
  <c r="AX445" i="48"/>
  <c r="AY445" i="48"/>
  <c r="AT446" i="48"/>
  <c r="AU446" i="48"/>
  <c r="AV446" i="48"/>
  <c r="AW446" i="48"/>
  <c r="AX446" i="48"/>
  <c r="AY446" i="48"/>
  <c r="AT447" i="48"/>
  <c r="AU447" i="48"/>
  <c r="AV447" i="48"/>
  <c r="AW447" i="48"/>
  <c r="AX447" i="48"/>
  <c r="AY447" i="48"/>
  <c r="AT448" i="48"/>
  <c r="AU448" i="48"/>
  <c r="AV448" i="48"/>
  <c r="AW448" i="48"/>
  <c r="AX448" i="48"/>
  <c r="AY448" i="48"/>
  <c r="AT449" i="48"/>
  <c r="AU449" i="48"/>
  <c r="AV449" i="48"/>
  <c r="AW449" i="48"/>
  <c r="AX449" i="48"/>
  <c r="AY449" i="48"/>
  <c r="AT450" i="48"/>
  <c r="AU450" i="48"/>
  <c r="AV450" i="48"/>
  <c r="AW450" i="48"/>
  <c r="AX450" i="48"/>
  <c r="AY450" i="48"/>
  <c r="AT451" i="48"/>
  <c r="AU451" i="48"/>
  <c r="AV451" i="48"/>
  <c r="AW451" i="48"/>
  <c r="AX451" i="48"/>
  <c r="AY451" i="48"/>
  <c r="AT452" i="48"/>
  <c r="AU452" i="48"/>
  <c r="AV452" i="48"/>
  <c r="AW452" i="48"/>
  <c r="AX452" i="48"/>
  <c r="AY452" i="48"/>
  <c r="AT453" i="48"/>
  <c r="AU453" i="48"/>
  <c r="AV453" i="48"/>
  <c r="AW453" i="48"/>
  <c r="AX453" i="48"/>
  <c r="AY453" i="48"/>
  <c r="AT454" i="48"/>
  <c r="AU454" i="48"/>
  <c r="AV454" i="48"/>
  <c r="AW454" i="48"/>
  <c r="AX454" i="48"/>
  <c r="AY454" i="48"/>
  <c r="AT455" i="48"/>
  <c r="AU455" i="48"/>
  <c r="AV455" i="48"/>
  <c r="AW455" i="48"/>
  <c r="AX455" i="48"/>
  <c r="AY455" i="48"/>
  <c r="AT456" i="48"/>
  <c r="AU456" i="48"/>
  <c r="AV456" i="48"/>
  <c r="AW456" i="48"/>
  <c r="AX456" i="48"/>
  <c r="AY456" i="48"/>
  <c r="AT457" i="48"/>
  <c r="AU457" i="48"/>
  <c r="AV457" i="48"/>
  <c r="AW457" i="48"/>
  <c r="AX457" i="48"/>
  <c r="AY457" i="48"/>
  <c r="AT458" i="48"/>
  <c r="AU458" i="48"/>
  <c r="AV458" i="48"/>
  <c r="AW458" i="48"/>
  <c r="AX458" i="48"/>
  <c r="AY458" i="48"/>
  <c r="AT459" i="48"/>
  <c r="AU459" i="48"/>
  <c r="AV459" i="48"/>
  <c r="AW459" i="48"/>
  <c r="AX459" i="48"/>
  <c r="AY459" i="48"/>
  <c r="AT460" i="48"/>
  <c r="AU460" i="48"/>
  <c r="AV460" i="48"/>
  <c r="AW460" i="48"/>
  <c r="AX460" i="48"/>
  <c r="AY460" i="48"/>
  <c r="AT461" i="48"/>
  <c r="AU461" i="48"/>
  <c r="AV461" i="48"/>
  <c r="AW461" i="48"/>
  <c r="AX461" i="48"/>
  <c r="AY461" i="48"/>
  <c r="AT462" i="48"/>
  <c r="AU462" i="48"/>
  <c r="AV462" i="48"/>
  <c r="AW462" i="48"/>
  <c r="AX462" i="48"/>
  <c r="AY462" i="48"/>
  <c r="AT463" i="48"/>
  <c r="AU463" i="48"/>
  <c r="AV463" i="48"/>
  <c r="AW463" i="48"/>
  <c r="AX463" i="48"/>
  <c r="AY463" i="48"/>
  <c r="AT464" i="48"/>
  <c r="AU464" i="48"/>
  <c r="AV464" i="48"/>
  <c r="AW464" i="48"/>
  <c r="AX464" i="48"/>
  <c r="AY464" i="48"/>
  <c r="AT465" i="48"/>
  <c r="AU465" i="48"/>
  <c r="AV465" i="48"/>
  <c r="AW465" i="48"/>
  <c r="AX465" i="48"/>
  <c r="AY465" i="48"/>
  <c r="AT466" i="48"/>
  <c r="AU466" i="48"/>
  <c r="AV466" i="48"/>
  <c r="AW466" i="48"/>
  <c r="AX466" i="48"/>
  <c r="AY466" i="48"/>
  <c r="AT467" i="48"/>
  <c r="AU467" i="48"/>
  <c r="AV467" i="48"/>
  <c r="AW467" i="48"/>
  <c r="AX467" i="48"/>
  <c r="AY467" i="48"/>
  <c r="AT468" i="48"/>
  <c r="AU468" i="48"/>
  <c r="AV468" i="48"/>
  <c r="AW468" i="48"/>
  <c r="AX468" i="48"/>
  <c r="AY468" i="48"/>
  <c r="AT469" i="48"/>
  <c r="AU469" i="48"/>
  <c r="AV469" i="48"/>
  <c r="AW469" i="48"/>
  <c r="AX469" i="48"/>
  <c r="AY469" i="48"/>
  <c r="AT470" i="48"/>
  <c r="AU470" i="48"/>
  <c r="AV470" i="48"/>
  <c r="AW470" i="48"/>
  <c r="AX470" i="48"/>
  <c r="AY470" i="48"/>
  <c r="AT471" i="48"/>
  <c r="AU471" i="48"/>
  <c r="AV471" i="48"/>
  <c r="AW471" i="48"/>
  <c r="AX471" i="48"/>
  <c r="AY471" i="48"/>
  <c r="AT472" i="48"/>
  <c r="AU472" i="48"/>
  <c r="AV472" i="48"/>
  <c r="AW472" i="48"/>
  <c r="AX472" i="48"/>
  <c r="AY472" i="48"/>
  <c r="AT473" i="48"/>
  <c r="AU473" i="48"/>
  <c r="AV473" i="48"/>
  <c r="AW473" i="48"/>
  <c r="AX473" i="48"/>
  <c r="AY473" i="48"/>
  <c r="AT474" i="48"/>
  <c r="AZ485" i="48" s="1"/>
  <c r="AU474" i="48"/>
  <c r="AV474" i="48"/>
  <c r="AW474" i="48"/>
  <c r="AX474" i="48"/>
  <c r="AY474" i="48"/>
  <c r="AT475" i="48"/>
  <c r="AU475" i="48"/>
  <c r="AV475" i="48"/>
  <c r="AW475" i="48"/>
  <c r="AX475" i="48"/>
  <c r="AY475" i="48"/>
  <c r="AT476" i="48"/>
  <c r="AU476" i="48"/>
  <c r="AV476" i="48"/>
  <c r="AW476" i="48"/>
  <c r="AX476" i="48"/>
  <c r="AY476" i="48"/>
  <c r="AT477" i="48"/>
  <c r="AU477" i="48"/>
  <c r="AV477" i="48"/>
  <c r="AW477" i="48"/>
  <c r="AX477" i="48"/>
  <c r="AY477" i="48"/>
  <c r="AT478" i="48"/>
  <c r="AU478" i="48"/>
  <c r="AV478" i="48"/>
  <c r="AW478" i="48"/>
  <c r="AX478" i="48"/>
  <c r="AY478" i="48"/>
  <c r="AT479" i="48"/>
  <c r="AU479" i="48"/>
  <c r="AV479" i="48"/>
  <c r="AW479" i="48"/>
  <c r="AX479" i="48"/>
  <c r="AY479" i="48"/>
  <c r="AT480" i="48"/>
  <c r="AU480" i="48"/>
  <c r="AV480" i="48"/>
  <c r="AW480" i="48"/>
  <c r="AX480" i="48"/>
  <c r="AY480" i="48"/>
  <c r="AT481" i="48"/>
  <c r="AU481" i="48"/>
  <c r="AV481" i="48"/>
  <c r="AW481" i="48"/>
  <c r="AX481" i="48"/>
  <c r="AY481" i="48"/>
  <c r="AT482" i="48"/>
  <c r="AU482" i="48"/>
  <c r="AV482" i="48"/>
  <c r="AW482" i="48"/>
  <c r="AX482" i="48"/>
  <c r="AY482" i="48"/>
  <c r="AT483" i="48"/>
  <c r="AU483" i="48"/>
  <c r="AV483" i="48"/>
  <c r="AW483" i="48"/>
  <c r="AX483" i="48"/>
  <c r="AY483" i="48"/>
  <c r="AT484" i="48"/>
  <c r="AU484" i="48"/>
  <c r="AV484" i="48"/>
  <c r="AW484" i="48"/>
  <c r="AX484" i="48"/>
  <c r="AY484" i="48"/>
  <c r="AT485" i="48"/>
  <c r="AU485" i="48"/>
  <c r="AV485" i="48"/>
  <c r="AW485" i="48"/>
  <c r="AX485" i="48"/>
  <c r="AY485" i="48"/>
  <c r="AT486" i="48"/>
  <c r="AU486" i="48"/>
  <c r="AV486" i="48"/>
  <c r="AW486" i="48"/>
  <c r="AX486" i="48"/>
  <c r="AY486" i="48"/>
  <c r="AT487" i="48"/>
  <c r="AU487" i="48"/>
  <c r="AV487" i="48"/>
  <c r="AW487" i="48"/>
  <c r="AX487" i="48"/>
  <c r="AY487" i="48"/>
  <c r="AT488" i="48"/>
  <c r="AU488" i="48"/>
  <c r="AV488" i="48"/>
  <c r="AW488" i="48"/>
  <c r="AX488" i="48"/>
  <c r="AY488" i="48"/>
  <c r="AT489" i="48"/>
  <c r="AU489" i="48"/>
  <c r="AV489" i="48"/>
  <c r="AW489" i="48"/>
  <c r="AX489" i="48"/>
  <c r="AY489" i="48"/>
  <c r="AT490" i="48"/>
  <c r="AU490" i="48"/>
  <c r="AV490" i="48"/>
  <c r="AW490" i="48"/>
  <c r="AX490" i="48"/>
  <c r="AY490" i="48"/>
  <c r="AT491" i="48"/>
  <c r="AU491" i="48"/>
  <c r="AV491" i="48"/>
  <c r="AW491" i="48"/>
  <c r="AX491" i="48"/>
  <c r="AY491" i="48"/>
  <c r="AT492" i="48"/>
  <c r="AU492" i="48"/>
  <c r="AV492" i="48"/>
  <c r="AW492" i="48"/>
  <c r="AX492" i="48"/>
  <c r="AY492" i="48"/>
  <c r="AT493" i="48"/>
  <c r="AU493" i="48"/>
  <c r="AV493" i="48"/>
  <c r="AW493" i="48"/>
  <c r="AX493" i="48"/>
  <c r="AY493" i="48"/>
  <c r="AT494" i="48"/>
  <c r="AU494" i="48"/>
  <c r="AV494" i="48"/>
  <c r="AW494" i="48"/>
  <c r="AX494" i="48"/>
  <c r="AY494" i="48"/>
  <c r="AT495" i="48"/>
  <c r="AU495" i="48"/>
  <c r="AV495" i="48"/>
  <c r="AW495" i="48"/>
  <c r="AX495" i="48"/>
  <c r="AY495" i="48"/>
  <c r="AT496" i="48"/>
  <c r="AU496" i="48"/>
  <c r="AV496" i="48"/>
  <c r="AW496" i="48"/>
  <c r="AX496" i="48"/>
  <c r="AY496" i="48"/>
  <c r="AT497" i="48"/>
  <c r="AU497" i="48"/>
  <c r="AV497" i="48"/>
  <c r="AW497" i="48"/>
  <c r="AX497" i="48"/>
  <c r="AY497" i="48"/>
  <c r="AT498" i="48"/>
  <c r="AU498" i="48"/>
  <c r="AV498" i="48"/>
  <c r="AW498" i="48"/>
  <c r="AX498" i="48"/>
  <c r="AY498" i="48"/>
  <c r="AT499" i="48"/>
  <c r="AU499" i="48"/>
  <c r="AV499" i="48"/>
  <c r="AW499" i="48"/>
  <c r="AX499" i="48"/>
  <c r="AY499" i="48"/>
  <c r="AT500" i="48"/>
  <c r="AU500" i="48"/>
  <c r="AV500" i="48"/>
  <c r="AW500" i="48"/>
  <c r="AX500" i="48"/>
  <c r="AY500" i="48"/>
  <c r="AT501" i="48"/>
  <c r="AU501" i="48"/>
  <c r="AV501" i="48"/>
  <c r="AW501" i="48"/>
  <c r="AX501" i="48"/>
  <c r="AY501" i="48"/>
  <c r="AT502" i="48"/>
  <c r="AU502" i="48"/>
  <c r="AV502" i="48"/>
  <c r="AW502" i="48"/>
  <c r="AX502" i="48"/>
  <c r="AY502" i="48"/>
  <c r="AT503" i="48"/>
  <c r="AU503" i="48"/>
  <c r="AV503" i="48"/>
  <c r="AW503" i="48"/>
  <c r="AX503" i="48"/>
  <c r="AY503" i="48"/>
  <c r="AT504" i="48"/>
  <c r="AU504" i="48"/>
  <c r="AV504" i="48"/>
  <c r="AW504" i="48"/>
  <c r="AX504" i="48"/>
  <c r="AY504" i="48"/>
  <c r="AT505" i="48"/>
  <c r="AU505" i="48"/>
  <c r="AV505" i="48"/>
  <c r="AW505" i="48"/>
  <c r="AX505" i="48"/>
  <c r="AY505" i="48"/>
  <c r="AT506" i="48"/>
  <c r="AU506" i="48"/>
  <c r="AV506" i="48"/>
  <c r="AW506" i="48"/>
  <c r="AX506" i="48"/>
  <c r="AY506" i="48"/>
  <c r="AT507" i="48"/>
  <c r="AU507" i="48"/>
  <c r="AV507" i="48"/>
  <c r="AW507" i="48"/>
  <c r="AX507" i="48"/>
  <c r="AY507" i="48"/>
  <c r="AT508" i="48"/>
  <c r="AU508" i="48"/>
  <c r="AV508" i="48"/>
  <c r="AW508" i="48"/>
  <c r="AX508" i="48"/>
  <c r="AY508" i="48"/>
  <c r="AU509" i="48"/>
  <c r="AV509" i="48"/>
  <c r="AW509" i="48"/>
  <c r="AX509" i="48"/>
  <c r="AY509" i="48"/>
  <c r="FM47" i="96" l="1"/>
  <c r="EG48" i="96" s="1"/>
  <c r="BV47" i="96"/>
  <c r="AV59" i="93"/>
  <c r="AW59" i="93" s="1"/>
  <c r="AI59" i="93"/>
  <c r="AT60" i="93"/>
  <c r="AU60" i="93" s="1"/>
  <c r="AX56" i="93"/>
  <c r="AK56" i="93"/>
  <c r="AK57" i="93" s="1"/>
  <c r="AK58" i="93" s="1"/>
  <c r="AA49" i="93"/>
  <c r="S49" i="93" s="1"/>
  <c r="S48" i="93"/>
  <c r="EL48" i="93" s="1"/>
  <c r="CC52" i="93"/>
  <c r="AC49" i="93"/>
  <c r="AC50" i="93" s="1"/>
  <c r="FF62" i="93"/>
  <c r="CH65" i="93"/>
  <c r="CA55" i="93"/>
  <c r="CA56" i="93" s="1"/>
  <c r="F46" i="98"/>
  <c r="F47" i="98" s="1"/>
  <c r="F48" i="98" s="1"/>
  <c r="F49" i="98" s="1"/>
  <c r="F50" i="98" s="1"/>
  <c r="F51" i="98" s="1"/>
  <c r="F52" i="98" s="1"/>
  <c r="F53" i="98" s="1"/>
  <c r="F54" i="98" s="1"/>
  <c r="F55" i="98" s="1"/>
  <c r="F56" i="98" s="1"/>
  <c r="F57" i="98" s="1"/>
  <c r="F58" i="98" s="1"/>
  <c r="F59" i="98" s="1"/>
  <c r="F60" i="98" s="1"/>
  <c r="F61" i="98" s="1"/>
  <c r="F62" i="98" s="1"/>
  <c r="F63" i="98" s="1"/>
  <c r="F64" i="98" s="1"/>
  <c r="FS49" i="93"/>
  <c r="B45" i="59" s="1"/>
  <c r="BU49" i="93"/>
  <c r="EF49" i="93" s="1"/>
  <c r="FU49" i="93"/>
  <c r="B45" i="60" s="1"/>
  <c r="BW49" i="93"/>
  <c r="EH49" i="93" s="1"/>
  <c r="AA50" i="93"/>
  <c r="AE49" i="93"/>
  <c r="W48" i="93"/>
  <c r="EP48" i="93" s="1"/>
  <c r="CE54" i="96"/>
  <c r="CC53" i="96"/>
  <c r="CC54" i="96" s="1"/>
  <c r="CA57" i="96"/>
  <c r="CA58" i="96" s="1"/>
  <c r="CE52" i="93"/>
  <c r="CE53" i="93" s="1"/>
  <c r="ES60" i="97"/>
  <c r="EY59" i="97"/>
  <c r="FB59" i="97" s="1"/>
  <c r="EX59" i="97"/>
  <c r="FA59" i="97" s="1"/>
  <c r="EW59" i="97"/>
  <c r="EZ59" i="97" s="1"/>
  <c r="FI53" i="97"/>
  <c r="AW60" i="97"/>
  <c r="AY58" i="97"/>
  <c r="AX56" i="97"/>
  <c r="CX56" i="97"/>
  <c r="CJ58" i="97"/>
  <c r="CJ59" i="97" s="1"/>
  <c r="CJ60" i="97" s="1"/>
  <c r="CJ61" i="97" s="1"/>
  <c r="CW58" i="97"/>
  <c r="CX57" i="97"/>
  <c r="AQ63" i="97"/>
  <c r="CQ64" i="97"/>
  <c r="CP64" i="97" s="1"/>
  <c r="CT64" i="97" s="1"/>
  <c r="AX57" i="97"/>
  <c r="CX50" i="97"/>
  <c r="S47" i="97"/>
  <c r="EL47" i="97" s="1"/>
  <c r="EK47" i="97" s="1"/>
  <c r="AH61" i="97"/>
  <c r="AU61" i="97"/>
  <c r="CU62" i="97"/>
  <c r="CH62" i="97"/>
  <c r="AP62" i="97"/>
  <c r="AT62" i="97" s="1"/>
  <c r="AX53" i="97"/>
  <c r="AX55" i="97"/>
  <c r="AX49" i="97"/>
  <c r="AJ59" i="97"/>
  <c r="AJ60" i="97" s="1"/>
  <c r="AW59" i="97"/>
  <c r="CX53" i="97"/>
  <c r="DK50" i="97"/>
  <c r="AX52" i="97"/>
  <c r="FH65" i="97"/>
  <c r="AY50" i="97"/>
  <c r="CX49" i="97"/>
  <c r="CK47" i="97"/>
  <c r="CC47" i="97" s="1"/>
  <c r="CX47" i="97"/>
  <c r="AX47" i="97"/>
  <c r="AK47" i="97"/>
  <c r="DJ52" i="97"/>
  <c r="BU52" i="97"/>
  <c r="EF51" i="97"/>
  <c r="DK51" i="97"/>
  <c r="CX51" i="97"/>
  <c r="DN53" i="97"/>
  <c r="CW60" i="97"/>
  <c r="AX48" i="97"/>
  <c r="AK48" i="97"/>
  <c r="AK49" i="97" s="1"/>
  <c r="AK50" i="97" s="1"/>
  <c r="AK51" i="97" s="1"/>
  <c r="AK52" i="97" s="1"/>
  <c r="AK53" i="97" s="1"/>
  <c r="AK54" i="97" s="1"/>
  <c r="AK55" i="97" s="1"/>
  <c r="AK56" i="97" s="1"/>
  <c r="AK57" i="97" s="1"/>
  <c r="AK58" i="97" s="1"/>
  <c r="CW61" i="97"/>
  <c r="FM49" i="97"/>
  <c r="EG50" i="97" s="1"/>
  <c r="BV49" i="97"/>
  <c r="DO57" i="97"/>
  <c r="DN52" i="97"/>
  <c r="DN54" i="97" s="1"/>
  <c r="FF63" i="97"/>
  <c r="ED52" i="97"/>
  <c r="BS53" i="97"/>
  <c r="CA48" i="97"/>
  <c r="FQ48" i="97" s="1"/>
  <c r="CI49" i="97"/>
  <c r="CX48" i="97"/>
  <c r="AB47" i="97"/>
  <c r="CB47" i="97" s="1"/>
  <c r="EH50" i="97"/>
  <c r="BW51" i="97"/>
  <c r="AX51" i="97"/>
  <c r="CW59" i="97"/>
  <c r="DL51" i="97"/>
  <c r="CY54" i="97"/>
  <c r="CP63" i="97"/>
  <c r="CT63" i="97" s="1"/>
  <c r="FL48" i="97"/>
  <c r="EM49" i="97" s="1"/>
  <c r="T48" i="97"/>
  <c r="AB48" i="97" s="1"/>
  <c r="DM54" i="97"/>
  <c r="CW61" i="96"/>
  <c r="BT47" i="96"/>
  <c r="EE47" i="96" s="1"/>
  <c r="FH62" i="96"/>
  <c r="FG62" i="96" s="1"/>
  <c r="FI62" i="96" s="1"/>
  <c r="AV60" i="96"/>
  <c r="AI60" i="96"/>
  <c r="AX53" i="96"/>
  <c r="AW59" i="96"/>
  <c r="CW58" i="96"/>
  <c r="CJ58" i="96"/>
  <c r="CJ59" i="96" s="1"/>
  <c r="CJ60" i="96" s="1"/>
  <c r="CJ61" i="96" s="1"/>
  <c r="CY56" i="96"/>
  <c r="CW59" i="96"/>
  <c r="FF63" i="96"/>
  <c r="FE63" i="96" s="1"/>
  <c r="AL47" i="96"/>
  <c r="AY47" i="96"/>
  <c r="AM47" i="96" s="1"/>
  <c r="CX47" i="96"/>
  <c r="CK47" i="96"/>
  <c r="BU47" i="96" s="1"/>
  <c r="EF47" i="96" s="1"/>
  <c r="AJ58" i="96"/>
  <c r="AJ59" i="96" s="1"/>
  <c r="AW58" i="96"/>
  <c r="CU63" i="96"/>
  <c r="CH63" i="96"/>
  <c r="CX55" i="96"/>
  <c r="S47" i="96"/>
  <c r="EL47" i="96" s="1"/>
  <c r="EK47" i="96" s="1"/>
  <c r="AU61" i="96"/>
  <c r="AH61" i="96"/>
  <c r="CX54" i="96"/>
  <c r="FL49" i="96"/>
  <c r="EM50" i="96" s="1"/>
  <c r="T49" i="96"/>
  <c r="AB49" i="96" s="1"/>
  <c r="CW60" i="96"/>
  <c r="AX56" i="96"/>
  <c r="CQ64" i="96"/>
  <c r="CP64" i="96" s="1"/>
  <c r="CT64" i="96" s="1"/>
  <c r="AX49" i="96"/>
  <c r="AY52" i="96"/>
  <c r="AQ62" i="96"/>
  <c r="AP62" i="96" s="1"/>
  <c r="AT62" i="96" s="1"/>
  <c r="CX53" i="96"/>
  <c r="CX52" i="96"/>
  <c r="AB48" i="96"/>
  <c r="CB48" i="96" s="1"/>
  <c r="FQ48" i="96"/>
  <c r="CI49" i="96"/>
  <c r="BS49" i="96" s="1"/>
  <c r="ED49" i="96" s="1"/>
  <c r="CX50" i="96"/>
  <c r="CX57" i="96"/>
  <c r="AX55" i="96"/>
  <c r="AY54" i="96"/>
  <c r="AY57" i="96"/>
  <c r="AX48" i="96"/>
  <c r="AK48" i="96"/>
  <c r="AK49" i="96" s="1"/>
  <c r="AK50" i="96" s="1"/>
  <c r="AK51" i="96" s="1"/>
  <c r="AK52" i="96" s="1"/>
  <c r="AK53" i="96" s="1"/>
  <c r="AK54" i="96" s="1"/>
  <c r="AK55" i="96" s="1"/>
  <c r="AK56" i="96" s="1"/>
  <c r="AK57" i="96" s="1"/>
  <c r="CX51" i="96"/>
  <c r="CX49" i="96"/>
  <c r="AY51" i="96"/>
  <c r="CX48" i="96"/>
  <c r="CV62" i="96"/>
  <c r="CK50" i="93"/>
  <c r="BU50" i="93" s="1"/>
  <c r="EF50" i="93" s="1"/>
  <c r="CM50" i="93"/>
  <c r="BW50" i="93" s="1"/>
  <c r="EH50" i="93" s="1"/>
  <c r="CI50" i="93"/>
  <c r="BS50" i="93" s="1"/>
  <c r="ED50" i="93" s="1"/>
  <c r="FQ49" i="93"/>
  <c r="B45" i="58" s="1"/>
  <c r="CJ50" i="93"/>
  <c r="T48" i="93"/>
  <c r="AB48" i="93" s="1"/>
  <c r="CB48" i="93" s="1"/>
  <c r="FL48" i="93"/>
  <c r="EM49" i="93" s="1"/>
  <c r="BT47" i="93"/>
  <c r="EE47" i="93" s="1"/>
  <c r="FR47" i="93"/>
  <c r="U47" i="93"/>
  <c r="EN47" i="93" s="1"/>
  <c r="EP47" i="93"/>
  <c r="S47" i="93"/>
  <c r="EL47" i="93" s="1"/>
  <c r="EK47" i="93" s="1"/>
  <c r="R47" i="93" s="1"/>
  <c r="EN48" i="93"/>
  <c r="FG61" i="93"/>
  <c r="FI61" i="93" s="1"/>
  <c r="AH50" i="93"/>
  <c r="AH51" i="93" s="1"/>
  <c r="FS50" i="93"/>
  <c r="B46" i="59" s="1"/>
  <c r="AJ52" i="93"/>
  <c r="CL50" i="93"/>
  <c r="FU50" i="93"/>
  <c r="B46" i="60" s="1"/>
  <c r="AQ61" i="93"/>
  <c r="AP61" i="93" s="1"/>
  <c r="CQ66" i="93"/>
  <c r="CP66" i="93" s="1"/>
  <c r="CT66" i="93" s="1"/>
  <c r="CU66" i="93" s="1"/>
  <c r="CV66" i="93" s="1"/>
  <c r="CW66" i="93" s="1"/>
  <c r="CX66" i="93" s="1"/>
  <c r="CY66" i="93" s="1"/>
  <c r="FH63" i="93"/>
  <c r="FG63" i="93" s="1"/>
  <c r="BG326" i="92"/>
  <c r="BG50" i="92"/>
  <c r="AZ509" i="48"/>
  <c r="AZ473" i="48"/>
  <c r="AZ413" i="48"/>
  <c r="AZ365" i="48"/>
  <c r="AZ197" i="48"/>
  <c r="AZ185" i="48"/>
  <c r="AZ161" i="48"/>
  <c r="AZ149" i="48"/>
  <c r="AZ137" i="48"/>
  <c r="AZ125" i="48"/>
  <c r="AZ113" i="48"/>
  <c r="AZ101" i="48"/>
  <c r="AZ89" i="48"/>
  <c r="AZ77" i="48"/>
  <c r="AZ65" i="48"/>
  <c r="AZ53" i="48"/>
  <c r="AZ41" i="48"/>
  <c r="AZ29" i="48"/>
  <c r="AZ317" i="48"/>
  <c r="AZ269" i="48"/>
  <c r="AZ221" i="48"/>
  <c r="AZ293" i="48"/>
  <c r="AZ437" i="48"/>
  <c r="AZ425" i="48"/>
  <c r="AZ389" i="48"/>
  <c r="AZ377" i="48"/>
  <c r="AZ305" i="48"/>
  <c r="AZ245" i="48"/>
  <c r="AZ209" i="48"/>
  <c r="AZ497" i="48"/>
  <c r="AZ461" i="48"/>
  <c r="AZ341" i="48"/>
  <c r="AZ449" i="48"/>
  <c r="AZ401" i="48"/>
  <c r="S44" i="92"/>
  <c r="O44" i="92"/>
  <c r="O43" i="92"/>
  <c r="S43" i="92"/>
  <c r="O41" i="92"/>
  <c r="S41" i="92"/>
  <c r="O42" i="92"/>
  <c r="S42" i="92"/>
  <c r="S45" i="92"/>
  <c r="O45" i="92"/>
  <c r="O40" i="92"/>
  <c r="S40" i="92"/>
  <c r="BC302" i="48"/>
  <c r="BC326" i="48"/>
  <c r="BC110" i="48"/>
  <c r="BC362" i="48"/>
  <c r="BC206" i="48"/>
  <c r="BC506" i="48"/>
  <c r="BC470" i="48"/>
  <c r="BC374" i="48"/>
  <c r="BC254" i="48"/>
  <c r="BC158" i="48"/>
  <c r="BC86" i="48"/>
  <c r="BB506" i="48"/>
  <c r="BB494" i="48"/>
  <c r="BB482" i="48"/>
  <c r="BB470" i="48"/>
  <c r="BB458" i="48"/>
  <c r="BB446" i="48"/>
  <c r="BB434" i="48"/>
  <c r="BB422" i="48"/>
  <c r="BB410" i="48"/>
  <c r="BB398" i="48"/>
  <c r="BB386" i="48"/>
  <c r="BB374" i="48"/>
  <c r="BB362" i="48"/>
  <c r="BB350" i="48"/>
  <c r="BB338" i="48"/>
  <c r="BB326" i="48"/>
  <c r="BB314" i="48"/>
  <c r="BB302" i="48"/>
  <c r="BB290" i="48"/>
  <c r="BB278" i="48"/>
  <c r="BB266" i="48"/>
  <c r="BB254" i="48"/>
  <c r="BB242" i="48"/>
  <c r="BB230" i="48"/>
  <c r="BB218" i="48"/>
  <c r="BB206" i="48"/>
  <c r="BB194" i="48"/>
  <c r="BB182" i="48"/>
  <c r="BB170" i="48"/>
  <c r="BB158" i="48"/>
  <c r="BB146" i="48"/>
  <c r="BB134" i="48"/>
  <c r="BB122" i="48"/>
  <c r="BB110" i="48"/>
  <c r="BB98" i="48"/>
  <c r="BB86" i="48"/>
  <c r="BD74" i="48"/>
  <c r="BB74" i="48"/>
  <c r="BB62" i="48"/>
  <c r="BD50" i="48"/>
  <c r="BB50" i="48"/>
  <c r="BB38" i="48"/>
  <c r="BC458" i="48"/>
  <c r="BC350" i="48"/>
  <c r="BC182" i="48"/>
  <c r="BC170" i="48"/>
  <c r="BC122" i="48"/>
  <c r="BA506" i="48"/>
  <c r="BE494" i="48"/>
  <c r="BA494" i="48"/>
  <c r="BC482" i="48"/>
  <c r="BA482" i="48"/>
  <c r="BA470" i="48"/>
  <c r="BA458" i="48"/>
  <c r="BE446" i="48"/>
  <c r="BA446" i="48"/>
  <c r="BC434" i="48"/>
  <c r="BA434" i="48"/>
  <c r="BA422" i="48"/>
  <c r="BA410" i="48"/>
  <c r="BE398" i="48"/>
  <c r="BA398" i="48"/>
  <c r="BC386" i="48"/>
  <c r="BA386" i="48"/>
  <c r="BA374" i="48"/>
  <c r="BA362" i="48"/>
  <c r="BE350" i="48"/>
  <c r="BA350" i="48"/>
  <c r="BC338" i="48"/>
  <c r="BA338" i="48"/>
  <c r="BA326" i="48"/>
  <c r="BA314" i="48"/>
  <c r="BE302" i="48"/>
  <c r="BA302" i="48"/>
  <c r="BC290" i="48"/>
  <c r="BA290" i="48"/>
  <c r="BA278" i="48"/>
  <c r="BA266" i="48"/>
  <c r="BE254" i="48"/>
  <c r="BA254" i="48"/>
  <c r="BC242" i="48"/>
  <c r="BA242" i="48"/>
  <c r="BA230" i="48"/>
  <c r="BA218" i="48"/>
  <c r="BE206" i="48"/>
  <c r="BA206" i="48"/>
  <c r="BC194" i="48"/>
  <c r="BA194" i="48"/>
  <c r="BA182" i="48"/>
  <c r="BA170" i="48"/>
  <c r="BE158" i="48"/>
  <c r="BA158" i="48"/>
  <c r="BC146" i="48"/>
  <c r="BA146" i="48"/>
  <c r="BA134" i="48"/>
  <c r="BA122" i="48"/>
  <c r="BE110" i="48"/>
  <c r="BA110" i="48"/>
  <c r="BC98" i="48"/>
  <c r="BA98" i="48"/>
  <c r="BA86" i="48"/>
  <c r="BA74" i="48"/>
  <c r="BE62" i="48"/>
  <c r="BA62" i="48"/>
  <c r="BC50" i="48"/>
  <c r="BA50" i="48"/>
  <c r="BA38" i="48"/>
  <c r="BC410" i="48"/>
  <c r="BC314" i="48"/>
  <c r="BC230" i="48"/>
  <c r="BC134" i="48"/>
  <c r="BC446" i="48"/>
  <c r="BC278" i="48"/>
  <c r="BC494" i="48"/>
  <c r="BC422" i="48"/>
  <c r="BC398" i="48"/>
  <c r="BC218" i="48"/>
  <c r="BE50" i="48"/>
  <c r="BF506" i="48"/>
  <c r="BF494" i="48"/>
  <c r="BF482" i="48"/>
  <c r="BF470" i="48"/>
  <c r="BF458" i="48"/>
  <c r="BF446" i="48"/>
  <c r="BF434" i="48"/>
  <c r="BF422" i="48"/>
  <c r="BF410" i="48"/>
  <c r="BF398" i="48"/>
  <c r="BF386" i="48"/>
  <c r="BF374" i="48"/>
  <c r="BF362" i="48"/>
  <c r="BF350" i="48"/>
  <c r="BF338" i="48"/>
  <c r="BF326" i="48"/>
  <c r="BF314" i="48"/>
  <c r="BF302" i="48"/>
  <c r="BF290" i="48"/>
  <c r="BF278" i="48"/>
  <c r="BF266" i="48"/>
  <c r="BF254" i="48"/>
  <c r="BF242" i="48"/>
  <c r="BF230" i="48"/>
  <c r="BF218" i="48"/>
  <c r="BF206" i="48"/>
  <c r="BF194" i="48"/>
  <c r="BF182" i="48"/>
  <c r="BF170" i="48"/>
  <c r="BF158" i="48"/>
  <c r="BF146" i="48"/>
  <c r="BF134" i="48"/>
  <c r="BF122" i="48"/>
  <c r="BF110" i="48"/>
  <c r="BF98" i="48"/>
  <c r="BF86" i="48"/>
  <c r="BF74" i="48"/>
  <c r="BF62" i="48"/>
  <c r="BF50" i="48"/>
  <c r="BF38" i="48"/>
  <c r="BC74" i="48"/>
  <c r="BC62" i="48"/>
  <c r="BC38" i="48"/>
  <c r="BE506" i="48"/>
  <c r="BE482" i="48"/>
  <c r="BE470" i="48"/>
  <c r="BE458" i="48"/>
  <c r="BE434" i="48"/>
  <c r="BE422" i="48"/>
  <c r="BE410" i="48"/>
  <c r="BE386" i="48"/>
  <c r="BE374" i="48"/>
  <c r="BE362" i="48"/>
  <c r="BE338" i="48"/>
  <c r="BE326" i="48"/>
  <c r="BE314" i="48"/>
  <c r="BE290" i="48"/>
  <c r="BE278" i="48"/>
  <c r="BE266" i="48"/>
  <c r="BE242" i="48"/>
  <c r="BE230" i="48"/>
  <c r="BE218" i="48"/>
  <c r="BE194" i="48"/>
  <c r="BE182" i="48"/>
  <c r="BE170" i="48"/>
  <c r="BE146" i="48"/>
  <c r="BE134" i="48"/>
  <c r="BE122" i="48"/>
  <c r="BE98" i="48"/>
  <c r="BE86" i="48"/>
  <c r="BE38" i="48"/>
  <c r="BC266" i="48"/>
  <c r="BE74" i="48"/>
  <c r="BD506" i="48"/>
  <c r="BD494" i="48"/>
  <c r="BD482" i="48"/>
  <c r="BD470" i="48"/>
  <c r="BD458" i="48"/>
  <c r="BD446" i="48"/>
  <c r="BD434" i="48"/>
  <c r="BD422" i="48"/>
  <c r="BD410" i="48"/>
  <c r="BD398" i="48"/>
  <c r="BD386" i="48"/>
  <c r="BD374" i="48"/>
  <c r="BD362" i="48"/>
  <c r="BD350" i="48"/>
  <c r="BD338" i="48"/>
  <c r="BD326" i="48"/>
  <c r="BD314" i="48"/>
  <c r="BD302" i="48"/>
  <c r="BD290" i="48"/>
  <c r="BD278" i="48"/>
  <c r="BD266" i="48"/>
  <c r="BD254" i="48"/>
  <c r="BD242" i="48"/>
  <c r="BD230" i="48"/>
  <c r="BD218" i="48"/>
  <c r="BD206" i="48"/>
  <c r="BD194" i="48"/>
  <c r="BD182" i="48"/>
  <c r="BD170" i="48"/>
  <c r="BD158" i="48"/>
  <c r="BD146" i="48"/>
  <c r="BD134" i="48"/>
  <c r="BD122" i="48"/>
  <c r="BD110" i="48"/>
  <c r="BD98" i="48"/>
  <c r="BD86" i="48"/>
  <c r="BD62" i="48"/>
  <c r="BD38" i="48"/>
  <c r="B41" i="41"/>
  <c r="C41" i="41"/>
  <c r="E41" i="41" s="1"/>
  <c r="D41" i="41"/>
  <c r="N44" i="7"/>
  <c r="O44" i="7" s="1"/>
  <c r="G44" i="7"/>
  <c r="G43" i="7"/>
  <c r="F44" i="7"/>
  <c r="F43" i="7"/>
  <c r="F793" i="22"/>
  <c r="F781" i="22"/>
  <c r="F769" i="22"/>
  <c r="F757" i="22"/>
  <c r="F745" i="22"/>
  <c r="F733" i="22"/>
  <c r="F721" i="22"/>
  <c r="F709" i="22"/>
  <c r="F697" i="22"/>
  <c r="F685" i="22"/>
  <c r="F673" i="22"/>
  <c r="F661" i="22"/>
  <c r="F649" i="22"/>
  <c r="F637" i="22"/>
  <c r="F625" i="22"/>
  <c r="F613" i="22"/>
  <c r="F601" i="22"/>
  <c r="F589" i="22"/>
  <c r="F577" i="22"/>
  <c r="F565" i="22"/>
  <c r="F553" i="22"/>
  <c r="F541" i="22"/>
  <c r="F529" i="22"/>
  <c r="F517" i="22"/>
  <c r="F505" i="22"/>
  <c r="F493" i="22"/>
  <c r="F481" i="22"/>
  <c r="F469" i="22"/>
  <c r="F457" i="22"/>
  <c r="F445" i="22"/>
  <c r="F433" i="22"/>
  <c r="F421" i="22"/>
  <c r="F409" i="22"/>
  <c r="F397" i="22"/>
  <c r="F385" i="22"/>
  <c r="F373" i="22"/>
  <c r="F361" i="22"/>
  <c r="F349" i="22"/>
  <c r="F337" i="22"/>
  <c r="F325" i="22"/>
  <c r="F313" i="22"/>
  <c r="F301" i="22"/>
  <c r="F289" i="22"/>
  <c r="F277" i="22"/>
  <c r="F265" i="22"/>
  <c r="F253" i="22"/>
  <c r="F241" i="22"/>
  <c r="F229" i="22"/>
  <c r="F217" i="22"/>
  <c r="F205" i="22"/>
  <c r="F193" i="22"/>
  <c r="F181" i="22"/>
  <c r="F169" i="22"/>
  <c r="F157" i="22"/>
  <c r="F145" i="22"/>
  <c r="F133" i="22"/>
  <c r="F121" i="22"/>
  <c r="F109" i="22"/>
  <c r="F97" i="22"/>
  <c r="F85" i="22"/>
  <c r="F73" i="22"/>
  <c r="F61" i="22"/>
  <c r="F49" i="22"/>
  <c r="F37" i="22"/>
  <c r="F25" i="22"/>
  <c r="F13" i="22"/>
  <c r="P43" i="19"/>
  <c r="M3" i="19"/>
  <c r="J3" i="19"/>
  <c r="F4" i="19"/>
  <c r="F5" i="19"/>
  <c r="F6" i="19"/>
  <c r="F7" i="19"/>
  <c r="F8" i="19"/>
  <c r="F9" i="19"/>
  <c r="F10" i="19"/>
  <c r="F11" i="19"/>
  <c r="F12" i="19"/>
  <c r="F13" i="19"/>
  <c r="F14" i="19"/>
  <c r="F15" i="19"/>
  <c r="F16" i="19"/>
  <c r="F17" i="19"/>
  <c r="F18" i="19"/>
  <c r="F19" i="19"/>
  <c r="F20" i="19"/>
  <c r="F21" i="19"/>
  <c r="F22" i="19"/>
  <c r="F23" i="19"/>
  <c r="F24" i="19"/>
  <c r="F25" i="19"/>
  <c r="F26" i="19"/>
  <c r="F27" i="19"/>
  <c r="F28" i="19"/>
  <c r="F29" i="19"/>
  <c r="F30" i="19"/>
  <c r="F31" i="19"/>
  <c r="F32" i="19"/>
  <c r="F33" i="19"/>
  <c r="F34" i="19"/>
  <c r="F35" i="19"/>
  <c r="F36" i="19"/>
  <c r="F37" i="19"/>
  <c r="F38" i="19"/>
  <c r="F39" i="19"/>
  <c r="F40" i="19"/>
  <c r="F41" i="19"/>
  <c r="F42" i="19"/>
  <c r="F43" i="19"/>
  <c r="F3" i="19"/>
  <c r="E5" i="19"/>
  <c r="E6" i="19"/>
  <c r="E7" i="19"/>
  <c r="E8" i="19"/>
  <c r="E9" i="19"/>
  <c r="E10" i="19"/>
  <c r="E11"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 i="19"/>
  <c r="D5" i="19"/>
  <c r="D6" i="19"/>
  <c r="D7" i="19"/>
  <c r="D8" i="19"/>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 i="19"/>
  <c r="K25" i="12"/>
  <c r="K37" i="12"/>
  <c r="K49" i="12"/>
  <c r="K61" i="12"/>
  <c r="K73" i="12"/>
  <c r="K85" i="12"/>
  <c r="K97" i="12"/>
  <c r="K109" i="12"/>
  <c r="K121" i="12"/>
  <c r="K133" i="12"/>
  <c r="K145" i="12"/>
  <c r="K157" i="12"/>
  <c r="K169" i="12"/>
  <c r="K181" i="12"/>
  <c r="K193" i="12"/>
  <c r="K205" i="12"/>
  <c r="K217" i="12"/>
  <c r="K229" i="12"/>
  <c r="K241" i="12"/>
  <c r="K253" i="12"/>
  <c r="K265" i="12"/>
  <c r="K277" i="12"/>
  <c r="K289" i="12"/>
  <c r="K301" i="12"/>
  <c r="K313" i="12"/>
  <c r="K325" i="12"/>
  <c r="K337" i="12"/>
  <c r="K349" i="12"/>
  <c r="K361" i="12"/>
  <c r="K373" i="12"/>
  <c r="K385" i="12"/>
  <c r="K397" i="12"/>
  <c r="K409" i="12"/>
  <c r="K421" i="12"/>
  <c r="K433" i="12"/>
  <c r="K445" i="12"/>
  <c r="K457" i="12"/>
  <c r="K469" i="12"/>
  <c r="K481" i="12"/>
  <c r="K493" i="12"/>
  <c r="K505" i="12"/>
  <c r="K517" i="12"/>
  <c r="K529" i="12"/>
  <c r="K541" i="12"/>
  <c r="K553" i="12"/>
  <c r="K565" i="12"/>
  <c r="K577" i="12"/>
  <c r="K13" i="12"/>
  <c r="K19" i="9"/>
  <c r="J19" i="9"/>
  <c r="I19" i="9"/>
  <c r="J31" i="9"/>
  <c r="K31" i="9"/>
  <c r="J43" i="9"/>
  <c r="K43" i="9"/>
  <c r="J55" i="9"/>
  <c r="K55" i="9"/>
  <c r="J67" i="9"/>
  <c r="K67" i="9"/>
  <c r="J79" i="9"/>
  <c r="K79" i="9"/>
  <c r="J91" i="9"/>
  <c r="K91" i="9"/>
  <c r="J103" i="9"/>
  <c r="K103" i="9"/>
  <c r="J115" i="9"/>
  <c r="K115" i="9"/>
  <c r="J127" i="9"/>
  <c r="K127" i="9"/>
  <c r="J139" i="9"/>
  <c r="K139" i="9"/>
  <c r="J151" i="9"/>
  <c r="K151" i="9"/>
  <c r="J163" i="9"/>
  <c r="K163" i="9"/>
  <c r="J175" i="9"/>
  <c r="K175" i="9"/>
  <c r="J187" i="9"/>
  <c r="K187" i="9"/>
  <c r="J199" i="9"/>
  <c r="K199" i="9"/>
  <c r="J211" i="9"/>
  <c r="K211" i="9"/>
  <c r="J223" i="9"/>
  <c r="K223" i="9"/>
  <c r="J235" i="9"/>
  <c r="K235" i="9"/>
  <c r="J247" i="9"/>
  <c r="K247" i="9"/>
  <c r="J259" i="9"/>
  <c r="K259" i="9"/>
  <c r="J271" i="9"/>
  <c r="K271" i="9"/>
  <c r="J283" i="9"/>
  <c r="K283" i="9"/>
  <c r="J295" i="9"/>
  <c r="K295" i="9"/>
  <c r="J307" i="9"/>
  <c r="K307" i="9"/>
  <c r="J319" i="9"/>
  <c r="K319" i="9"/>
  <c r="J331" i="9"/>
  <c r="K331" i="9"/>
  <c r="J343" i="9"/>
  <c r="K343" i="9"/>
  <c r="J355" i="9"/>
  <c r="K355" i="9"/>
  <c r="J367" i="9"/>
  <c r="K367" i="9"/>
  <c r="J379" i="9"/>
  <c r="K379" i="9"/>
  <c r="J391" i="9"/>
  <c r="K391" i="9"/>
  <c r="J403" i="9"/>
  <c r="K403" i="9"/>
  <c r="J415" i="9"/>
  <c r="K415" i="9"/>
  <c r="J427" i="9"/>
  <c r="K427" i="9"/>
  <c r="J439" i="9"/>
  <c r="K439" i="9"/>
  <c r="J451" i="9"/>
  <c r="K451" i="9"/>
  <c r="J463" i="9"/>
  <c r="K463" i="9"/>
  <c r="J475" i="9"/>
  <c r="K475" i="9"/>
  <c r="J487" i="9"/>
  <c r="K487" i="9"/>
  <c r="J499" i="9"/>
  <c r="K499" i="9"/>
  <c r="J511" i="9"/>
  <c r="K511" i="9"/>
  <c r="J523" i="9"/>
  <c r="K523" i="9"/>
  <c r="J535" i="9"/>
  <c r="K535" i="9"/>
  <c r="J547" i="9"/>
  <c r="K547" i="9"/>
  <c r="J559" i="9"/>
  <c r="K559" i="9"/>
  <c r="J571" i="9"/>
  <c r="K571" i="9"/>
  <c r="J583" i="9"/>
  <c r="K583" i="9"/>
  <c r="I583" i="9"/>
  <c r="I571" i="9"/>
  <c r="I559" i="9"/>
  <c r="I547" i="9"/>
  <c r="I535" i="9"/>
  <c r="I523" i="9"/>
  <c r="I511" i="9"/>
  <c r="I499" i="9"/>
  <c r="I487" i="9"/>
  <c r="I475" i="9"/>
  <c r="I463" i="9"/>
  <c r="I451" i="9"/>
  <c r="I439" i="9"/>
  <c r="I427" i="9"/>
  <c r="I415" i="9"/>
  <c r="I403" i="9"/>
  <c r="I391" i="9"/>
  <c r="I379" i="9"/>
  <c r="I367" i="9"/>
  <c r="I355" i="9"/>
  <c r="I343" i="9"/>
  <c r="I331" i="9"/>
  <c r="I319" i="9"/>
  <c r="I307" i="9"/>
  <c r="I295" i="9"/>
  <c r="I283" i="9"/>
  <c r="I271" i="9"/>
  <c r="I259" i="9"/>
  <c r="I247" i="9"/>
  <c r="I235" i="9"/>
  <c r="I223" i="9"/>
  <c r="I211" i="9"/>
  <c r="I199" i="9"/>
  <c r="I187" i="9"/>
  <c r="I175" i="9"/>
  <c r="I163" i="9"/>
  <c r="I151" i="9"/>
  <c r="I139" i="9"/>
  <c r="I127" i="9"/>
  <c r="I115" i="9"/>
  <c r="I103" i="9"/>
  <c r="I91" i="9"/>
  <c r="I79" i="9"/>
  <c r="I67" i="9"/>
  <c r="I55" i="9"/>
  <c r="I43" i="9"/>
  <c r="I31" i="9"/>
  <c r="G583" i="9"/>
  <c r="G571" i="9"/>
  <c r="G559" i="9"/>
  <c r="G547" i="9"/>
  <c r="G535" i="9"/>
  <c r="G523" i="9"/>
  <c r="G511" i="9"/>
  <c r="G499" i="9"/>
  <c r="G487" i="9"/>
  <c r="G475" i="9"/>
  <c r="G463" i="9"/>
  <c r="G451" i="9"/>
  <c r="G439" i="9"/>
  <c r="G427" i="9"/>
  <c r="G415" i="9"/>
  <c r="G403" i="9"/>
  <c r="G391" i="9"/>
  <c r="G379" i="9"/>
  <c r="G367" i="9"/>
  <c r="G355" i="9"/>
  <c r="G343" i="9"/>
  <c r="G331" i="9"/>
  <c r="G319" i="9"/>
  <c r="G307" i="9"/>
  <c r="G295" i="9"/>
  <c r="G283" i="9"/>
  <c r="G271" i="9"/>
  <c r="G259" i="9"/>
  <c r="G247" i="9"/>
  <c r="G235" i="9"/>
  <c r="G223" i="9"/>
  <c r="G211" i="9"/>
  <c r="G199" i="9"/>
  <c r="G187" i="9"/>
  <c r="G175" i="9"/>
  <c r="G163" i="9"/>
  <c r="G151" i="9"/>
  <c r="G139" i="9"/>
  <c r="G127" i="9"/>
  <c r="G115" i="9"/>
  <c r="G103" i="9"/>
  <c r="G91" i="9"/>
  <c r="G79" i="9"/>
  <c r="G67" i="9"/>
  <c r="G55" i="9"/>
  <c r="G43" i="9"/>
  <c r="G31" i="9"/>
  <c r="G19" i="9"/>
  <c r="E583" i="9"/>
  <c r="E571" i="9"/>
  <c r="E559" i="9"/>
  <c r="E547" i="9"/>
  <c r="E535" i="9"/>
  <c r="E523" i="9"/>
  <c r="E511" i="9"/>
  <c r="E499" i="9"/>
  <c r="E487" i="9"/>
  <c r="E475" i="9"/>
  <c r="E463" i="9"/>
  <c r="E451" i="9"/>
  <c r="E439" i="9"/>
  <c r="E427" i="9"/>
  <c r="E415" i="9"/>
  <c r="E403" i="9"/>
  <c r="E391" i="9"/>
  <c r="E379" i="9"/>
  <c r="E367" i="9"/>
  <c r="E355" i="9"/>
  <c r="E343" i="9"/>
  <c r="E331" i="9"/>
  <c r="E319" i="9"/>
  <c r="E307" i="9"/>
  <c r="E295" i="9"/>
  <c r="E283" i="9"/>
  <c r="E271" i="9"/>
  <c r="E259" i="9"/>
  <c r="E247" i="9"/>
  <c r="E235" i="9"/>
  <c r="E223" i="9"/>
  <c r="E211" i="9"/>
  <c r="E199" i="9"/>
  <c r="E187" i="9"/>
  <c r="E175" i="9"/>
  <c r="E163" i="9"/>
  <c r="E151" i="9"/>
  <c r="E139" i="9"/>
  <c r="E127" i="9"/>
  <c r="E115" i="9"/>
  <c r="E103" i="9"/>
  <c r="E91" i="9"/>
  <c r="E79" i="9"/>
  <c r="E67" i="9"/>
  <c r="E55" i="9"/>
  <c r="E43" i="9"/>
  <c r="E31" i="9"/>
  <c r="E19" i="9"/>
  <c r="C31" i="9"/>
  <c r="C43" i="9"/>
  <c r="C55" i="9"/>
  <c r="C67" i="9"/>
  <c r="C79" i="9"/>
  <c r="C91" i="9"/>
  <c r="C103" i="9"/>
  <c r="C115" i="9"/>
  <c r="C127" i="9"/>
  <c r="C139" i="9"/>
  <c r="C151" i="9"/>
  <c r="C163" i="9"/>
  <c r="C175" i="9"/>
  <c r="C187" i="9"/>
  <c r="C199" i="9"/>
  <c r="C211" i="9"/>
  <c r="C223" i="9"/>
  <c r="C235" i="9"/>
  <c r="C247" i="9"/>
  <c r="C259" i="9"/>
  <c r="C271" i="9"/>
  <c r="C283" i="9"/>
  <c r="C295" i="9"/>
  <c r="C307" i="9"/>
  <c r="C319" i="9"/>
  <c r="C331" i="9"/>
  <c r="C343" i="9"/>
  <c r="C355" i="9"/>
  <c r="C367" i="9"/>
  <c r="C379" i="9"/>
  <c r="C391" i="9"/>
  <c r="C403" i="9"/>
  <c r="C415" i="9"/>
  <c r="C427" i="9"/>
  <c r="C439" i="9"/>
  <c r="C451" i="9"/>
  <c r="C463" i="9"/>
  <c r="C475" i="9"/>
  <c r="C487" i="9"/>
  <c r="C499" i="9"/>
  <c r="C511" i="9"/>
  <c r="C523" i="9"/>
  <c r="C535" i="9"/>
  <c r="C547" i="9"/>
  <c r="C559" i="9"/>
  <c r="C571" i="9"/>
  <c r="C583" i="9"/>
  <c r="C19" i="9"/>
  <c r="K67" i="8"/>
  <c r="F25" i="8"/>
  <c r="F37" i="8"/>
  <c r="F49" i="8"/>
  <c r="F61" i="8"/>
  <c r="F73" i="8"/>
  <c r="F85" i="8"/>
  <c r="F97" i="8"/>
  <c r="F109" i="8"/>
  <c r="F121" i="8"/>
  <c r="F133" i="8"/>
  <c r="F145" i="8"/>
  <c r="F157" i="8"/>
  <c r="F169" i="8"/>
  <c r="F181" i="8"/>
  <c r="F193" i="8"/>
  <c r="F205" i="8"/>
  <c r="F217" i="8"/>
  <c r="F229" i="8"/>
  <c r="F241" i="8"/>
  <c r="F253" i="8"/>
  <c r="F265" i="8"/>
  <c r="F277" i="8"/>
  <c r="F289" i="8"/>
  <c r="F301" i="8"/>
  <c r="F313" i="8"/>
  <c r="F325" i="8"/>
  <c r="F337" i="8"/>
  <c r="F349" i="8"/>
  <c r="F361" i="8"/>
  <c r="F373" i="8"/>
  <c r="F385" i="8"/>
  <c r="F397" i="8"/>
  <c r="F409" i="8"/>
  <c r="F421" i="8"/>
  <c r="F433" i="8"/>
  <c r="F445" i="8"/>
  <c r="F457" i="8"/>
  <c r="F469" i="8"/>
  <c r="F481" i="8"/>
  <c r="F493" i="8"/>
  <c r="F505" i="8"/>
  <c r="F517" i="8"/>
  <c r="F529" i="8"/>
  <c r="F541" i="8"/>
  <c r="F553" i="8"/>
  <c r="F565" i="8"/>
  <c r="F577" i="8"/>
  <c r="F589" i="8"/>
  <c r="F601" i="8"/>
  <c r="F613" i="8"/>
  <c r="F625" i="8"/>
  <c r="F637" i="8"/>
  <c r="F649" i="8"/>
  <c r="F661" i="8"/>
  <c r="F673" i="8"/>
  <c r="F685" i="8"/>
  <c r="F697" i="8"/>
  <c r="F709" i="8"/>
  <c r="F721" i="8"/>
  <c r="F733" i="8"/>
  <c r="F745" i="8"/>
  <c r="F757" i="8"/>
  <c r="F769" i="8"/>
  <c r="F781" i="8"/>
  <c r="F793" i="8"/>
  <c r="F13" i="8"/>
  <c r="Y17" i="6"/>
  <c r="F12" i="83" s="1"/>
  <c r="Y18" i="6"/>
  <c r="T82" i="6"/>
  <c r="U298" i="6"/>
  <c r="U310" i="6"/>
  <c r="U322" i="6"/>
  <c r="U334" i="6"/>
  <c r="U346" i="6"/>
  <c r="U358" i="6"/>
  <c r="U370" i="6"/>
  <c r="U382" i="6"/>
  <c r="U394" i="6"/>
  <c r="U406" i="6"/>
  <c r="U418" i="6"/>
  <c r="U430" i="6"/>
  <c r="U442" i="6"/>
  <c r="U454" i="6"/>
  <c r="U466" i="6"/>
  <c r="U478" i="6"/>
  <c r="U490" i="6"/>
  <c r="U502" i="6"/>
  <c r="U514" i="6"/>
  <c r="U526" i="6"/>
  <c r="U538" i="6"/>
  <c r="U550" i="6"/>
  <c r="U562" i="6"/>
  <c r="U574" i="6"/>
  <c r="U586" i="6"/>
  <c r="U598" i="6"/>
  <c r="U610" i="6"/>
  <c r="U622" i="6"/>
  <c r="U634" i="6"/>
  <c r="U286" i="6"/>
  <c r="O5" i="7"/>
  <c r="N6" i="7"/>
  <c r="M4" i="7"/>
  <c r="L4" i="7"/>
  <c r="N43" i="7"/>
  <c r="O43" i="7" s="1"/>
  <c r="N42" i="7"/>
  <c r="O42" i="7" s="1"/>
  <c r="N41" i="7"/>
  <c r="O41" i="7" s="1"/>
  <c r="N40" i="7"/>
  <c r="O40" i="7" s="1"/>
  <c r="N39" i="7"/>
  <c r="O39" i="7" s="1"/>
  <c r="N38" i="7"/>
  <c r="O38" i="7" s="1"/>
  <c r="N37" i="7"/>
  <c r="O37" i="7" s="1"/>
  <c r="N36" i="7"/>
  <c r="O36" i="7" s="1"/>
  <c r="N35" i="7"/>
  <c r="O35" i="7" s="1"/>
  <c r="N34" i="7"/>
  <c r="O34" i="7" s="1"/>
  <c r="N33" i="7"/>
  <c r="O33" i="7" s="1"/>
  <c r="N32" i="7"/>
  <c r="O32" i="7" s="1"/>
  <c r="N31" i="7"/>
  <c r="O31" i="7" s="1"/>
  <c r="N30" i="7"/>
  <c r="O30" i="7" s="1"/>
  <c r="N29" i="7"/>
  <c r="O29" i="7" s="1"/>
  <c r="N28" i="7"/>
  <c r="O28" i="7" s="1"/>
  <c r="N27" i="7"/>
  <c r="O27" i="7" s="1"/>
  <c r="N26" i="7"/>
  <c r="O26" i="7" s="1"/>
  <c r="N25" i="7"/>
  <c r="O25" i="7" s="1"/>
  <c r="N24" i="7"/>
  <c r="O24" i="7" s="1"/>
  <c r="N23" i="7"/>
  <c r="O23" i="7" s="1"/>
  <c r="N22" i="7"/>
  <c r="O22" i="7" s="1"/>
  <c r="N21" i="7"/>
  <c r="O21" i="7" s="1"/>
  <c r="N20" i="7"/>
  <c r="O20" i="7" s="1"/>
  <c r="N19" i="7"/>
  <c r="O19" i="7" s="1"/>
  <c r="G37" i="7"/>
  <c r="F19" i="7"/>
  <c r="G19" i="7" s="1"/>
  <c r="F20" i="7"/>
  <c r="G20" i="7" s="1"/>
  <c r="F21" i="7"/>
  <c r="G21" i="7" s="1"/>
  <c r="F22" i="7"/>
  <c r="G22" i="7" s="1"/>
  <c r="F23" i="7"/>
  <c r="G23" i="7" s="1"/>
  <c r="F24" i="7"/>
  <c r="G24" i="7" s="1"/>
  <c r="F25" i="7"/>
  <c r="G25" i="7" s="1"/>
  <c r="F26" i="7"/>
  <c r="G26" i="7" s="1"/>
  <c r="F27" i="7"/>
  <c r="G27" i="7" s="1"/>
  <c r="F28" i="7"/>
  <c r="G28" i="7" s="1"/>
  <c r="F29" i="7"/>
  <c r="G29" i="7" s="1"/>
  <c r="F30" i="7"/>
  <c r="G30" i="7" s="1"/>
  <c r="F31" i="7"/>
  <c r="G31" i="7" s="1"/>
  <c r="F32" i="7"/>
  <c r="G32" i="7" s="1"/>
  <c r="F33" i="7"/>
  <c r="G33" i="7" s="1"/>
  <c r="F34" i="7"/>
  <c r="G34" i="7" s="1"/>
  <c r="F35" i="7"/>
  <c r="G35" i="7" s="1"/>
  <c r="F36" i="7"/>
  <c r="G36" i="7" s="1"/>
  <c r="F37" i="7"/>
  <c r="F38" i="7"/>
  <c r="G38" i="7" s="1"/>
  <c r="F39" i="7"/>
  <c r="G39" i="7" s="1"/>
  <c r="F40" i="7"/>
  <c r="G40" i="7" s="1"/>
  <c r="F41" i="7"/>
  <c r="G41" i="7" s="1"/>
  <c r="F42" i="7"/>
  <c r="G42" i="7" s="1"/>
  <c r="AE5" i="19"/>
  <c r="AE6" i="19"/>
  <c r="AE7" i="19"/>
  <c r="AE8" i="19"/>
  <c r="AE9" i="19"/>
  <c r="AE10" i="19"/>
  <c r="AE11" i="19"/>
  <c r="AE12" i="19"/>
  <c r="AE13" i="19"/>
  <c r="AE14" i="19"/>
  <c r="AE15" i="19"/>
  <c r="AE16" i="19"/>
  <c r="AE17" i="19"/>
  <c r="AE18" i="19"/>
  <c r="AE19" i="19"/>
  <c r="AE20" i="19"/>
  <c r="AE21" i="19"/>
  <c r="AE22" i="19"/>
  <c r="AE23" i="19"/>
  <c r="AE24" i="19"/>
  <c r="AE25" i="19"/>
  <c r="AE26" i="19"/>
  <c r="AE27" i="19"/>
  <c r="AE28" i="19"/>
  <c r="AE29" i="19"/>
  <c r="AE30" i="19"/>
  <c r="AE31" i="19"/>
  <c r="AE32" i="19"/>
  <c r="AE33" i="19"/>
  <c r="AE34" i="19"/>
  <c r="AE35" i="19"/>
  <c r="AE36" i="19"/>
  <c r="AE37" i="19"/>
  <c r="AE38" i="19"/>
  <c r="AE39" i="19"/>
  <c r="AE40" i="19"/>
  <c r="AE41" i="19"/>
  <c r="AE42" i="19"/>
  <c r="AE43" i="19"/>
  <c r="AE4" i="19"/>
  <c r="B3" i="42"/>
  <c r="C3" i="42" s="1"/>
  <c r="D3" i="42" s="1"/>
  <c r="E3" i="42" s="1"/>
  <c r="B4" i="42"/>
  <c r="B5" i="42"/>
  <c r="B6" i="42"/>
  <c r="B7" i="42"/>
  <c r="B8" i="42"/>
  <c r="C8" i="42" s="1"/>
  <c r="D8" i="42" s="1"/>
  <c r="E8" i="42" s="1"/>
  <c r="B9" i="42"/>
  <c r="C9" i="42" s="1"/>
  <c r="D9" i="42" s="1"/>
  <c r="E9" i="42" s="1"/>
  <c r="B10" i="42"/>
  <c r="C10" i="42" s="1"/>
  <c r="D10" i="42" s="1"/>
  <c r="E10" i="42" s="1"/>
  <c r="B11" i="42"/>
  <c r="C11" i="42" s="1"/>
  <c r="D11" i="42" s="1"/>
  <c r="E11" i="42" s="1"/>
  <c r="B12" i="42"/>
  <c r="B13" i="42"/>
  <c r="C13" i="42" s="1"/>
  <c r="D13" i="42" s="1"/>
  <c r="E13" i="42" s="1"/>
  <c r="B14" i="42"/>
  <c r="B15" i="42"/>
  <c r="B16" i="42"/>
  <c r="C16" i="42" s="1"/>
  <c r="D16" i="42" s="1"/>
  <c r="E16" i="42" s="1"/>
  <c r="B17" i="42"/>
  <c r="C17" i="42" s="1"/>
  <c r="D17" i="42" s="1"/>
  <c r="E17" i="42" s="1"/>
  <c r="B18" i="42"/>
  <c r="C18" i="42" s="1"/>
  <c r="D18" i="42" s="1"/>
  <c r="E18" i="42" s="1"/>
  <c r="B19" i="42"/>
  <c r="C19" i="42" s="1"/>
  <c r="D19" i="42" s="1"/>
  <c r="E19" i="42" s="1"/>
  <c r="B20" i="42"/>
  <c r="B21" i="42"/>
  <c r="B22" i="42"/>
  <c r="B23" i="42"/>
  <c r="B24" i="42"/>
  <c r="C24" i="42" s="1"/>
  <c r="D24" i="42" s="1"/>
  <c r="E24" i="42" s="1"/>
  <c r="B25" i="42"/>
  <c r="C25" i="42" s="1"/>
  <c r="D25" i="42" s="1"/>
  <c r="E25" i="42" s="1"/>
  <c r="B26" i="42"/>
  <c r="C26" i="42" s="1"/>
  <c r="D26" i="42" s="1"/>
  <c r="E26" i="42" s="1"/>
  <c r="B27" i="42"/>
  <c r="C27" i="42" s="1"/>
  <c r="D27" i="42" s="1"/>
  <c r="E27" i="42" s="1"/>
  <c r="B28" i="42"/>
  <c r="B29" i="42"/>
  <c r="B30" i="42"/>
  <c r="B31" i="42"/>
  <c r="B32" i="42"/>
  <c r="C32" i="42" s="1"/>
  <c r="D32" i="42" s="1"/>
  <c r="E32" i="42" s="1"/>
  <c r="B33" i="42"/>
  <c r="C33" i="42" s="1"/>
  <c r="D33" i="42" s="1"/>
  <c r="E33" i="42" s="1"/>
  <c r="B34" i="42"/>
  <c r="C34" i="42" s="1"/>
  <c r="D34" i="42" s="1"/>
  <c r="E34" i="42" s="1"/>
  <c r="B35" i="42"/>
  <c r="C35" i="42" s="1"/>
  <c r="D35" i="42" s="1"/>
  <c r="E35" i="42" s="1"/>
  <c r="B36" i="42"/>
  <c r="B37" i="42"/>
  <c r="C37" i="42" s="1"/>
  <c r="D37" i="42" s="1"/>
  <c r="E37" i="42" s="1"/>
  <c r="B38" i="42"/>
  <c r="B39" i="42"/>
  <c r="B40" i="42"/>
  <c r="C40" i="42" s="1"/>
  <c r="D40" i="42" s="1"/>
  <c r="E40" i="42" s="1"/>
  <c r="B41" i="42"/>
  <c r="C41" i="42" s="1"/>
  <c r="D41" i="42" s="1"/>
  <c r="E41" i="42" s="1"/>
  <c r="B42" i="42"/>
  <c r="C42" i="42" s="1"/>
  <c r="D42" i="42" s="1"/>
  <c r="E42" i="42" s="1"/>
  <c r="C2" i="42"/>
  <c r="D2" i="42" s="1"/>
  <c r="E2" i="42" s="1"/>
  <c r="C39" i="42"/>
  <c r="D39" i="42" s="1"/>
  <c r="E39" i="42" s="1"/>
  <c r="C38" i="42"/>
  <c r="D38" i="42" s="1"/>
  <c r="E38" i="42" s="1"/>
  <c r="C36" i="42"/>
  <c r="D36" i="42" s="1"/>
  <c r="E36" i="42" s="1"/>
  <c r="C31" i="42"/>
  <c r="D31" i="42" s="1"/>
  <c r="E31" i="42" s="1"/>
  <c r="C30" i="42"/>
  <c r="D30" i="42" s="1"/>
  <c r="E30" i="42" s="1"/>
  <c r="C29" i="42"/>
  <c r="D29" i="42" s="1"/>
  <c r="E29" i="42" s="1"/>
  <c r="C28" i="42"/>
  <c r="D28" i="42" s="1"/>
  <c r="E28" i="42" s="1"/>
  <c r="C23" i="42"/>
  <c r="D23" i="42" s="1"/>
  <c r="E23" i="42" s="1"/>
  <c r="C22" i="42"/>
  <c r="D22" i="42" s="1"/>
  <c r="E22" i="42" s="1"/>
  <c r="C21" i="42"/>
  <c r="D21" i="42" s="1"/>
  <c r="E21" i="42" s="1"/>
  <c r="D20" i="42"/>
  <c r="E20" i="42" s="1"/>
  <c r="C20" i="42"/>
  <c r="C15" i="42"/>
  <c r="D15" i="42" s="1"/>
  <c r="E15" i="42" s="1"/>
  <c r="C14" i="42"/>
  <c r="D14" i="42" s="1"/>
  <c r="E14" i="42" s="1"/>
  <c r="C12" i="42"/>
  <c r="D12" i="42" s="1"/>
  <c r="E12" i="42" s="1"/>
  <c r="C7" i="42"/>
  <c r="D7" i="42" s="1"/>
  <c r="E7" i="42" s="1"/>
  <c r="C6" i="42"/>
  <c r="D6" i="42" s="1"/>
  <c r="E6" i="42" s="1"/>
  <c r="C5" i="42"/>
  <c r="D5" i="42" s="1"/>
  <c r="E5" i="42" s="1"/>
  <c r="C4" i="42"/>
  <c r="D4" i="42" s="1"/>
  <c r="E4" i="42" s="1"/>
  <c r="J22" i="40"/>
  <c r="I22" i="40"/>
  <c r="H22" i="40"/>
  <c r="K58" i="82"/>
  <c r="K53" i="82"/>
  <c r="D62" i="103"/>
  <c r="D58" i="103"/>
  <c r="E63" i="83"/>
  <c r="C63" i="83"/>
  <c r="E62" i="83"/>
  <c r="C62" i="83"/>
  <c r="E61" i="83"/>
  <c r="C61" i="83"/>
  <c r="E60" i="83"/>
  <c r="C60" i="83"/>
  <c r="E59" i="83"/>
  <c r="C59" i="83"/>
  <c r="V44" i="83"/>
  <c r="V45" i="83" s="1"/>
  <c r="D44" i="83"/>
  <c r="B44" i="83"/>
  <c r="P43" i="83"/>
  <c r="N43" i="83"/>
  <c r="I43" i="83"/>
  <c r="I44" i="83" s="1"/>
  <c r="F43" i="83"/>
  <c r="F44" i="83" s="1"/>
  <c r="F45" i="83" s="1"/>
  <c r="F46" i="83" s="1"/>
  <c r="F47" i="83" s="1"/>
  <c r="F48" i="83" s="1"/>
  <c r="F49" i="83" s="1"/>
  <c r="F50" i="83" s="1"/>
  <c r="F51" i="83" s="1"/>
  <c r="F52" i="83" s="1"/>
  <c r="F53" i="83" s="1"/>
  <c r="F54" i="83" s="1"/>
  <c r="F55" i="83" s="1"/>
  <c r="F56" i="83" s="1"/>
  <c r="F57" i="83" s="1"/>
  <c r="F58" i="83" s="1"/>
  <c r="F59" i="83" s="1"/>
  <c r="F60" i="83" s="1"/>
  <c r="F61" i="83" s="1"/>
  <c r="F62" i="83" s="1"/>
  <c r="F63" i="83" s="1"/>
  <c r="D43" i="83"/>
  <c r="B43" i="83"/>
  <c r="P42" i="83"/>
  <c r="Q43" i="83" s="1"/>
  <c r="N42" i="83"/>
  <c r="I42" i="83"/>
  <c r="F42" i="83"/>
  <c r="D42" i="83"/>
  <c r="B42" i="83"/>
  <c r="P41" i="83"/>
  <c r="N41" i="83"/>
  <c r="I41" i="83"/>
  <c r="F41" i="83"/>
  <c r="D41" i="83"/>
  <c r="B41" i="83"/>
  <c r="P40" i="83"/>
  <c r="Q40" i="83" s="1"/>
  <c r="N40" i="83"/>
  <c r="I40" i="83"/>
  <c r="F40" i="83"/>
  <c r="D40" i="83"/>
  <c r="B40" i="83"/>
  <c r="P39" i="83"/>
  <c r="N39" i="83"/>
  <c r="I39" i="83"/>
  <c r="F39" i="83"/>
  <c r="D39" i="83"/>
  <c r="B39" i="83"/>
  <c r="P38" i="83"/>
  <c r="N38" i="83"/>
  <c r="I38" i="83"/>
  <c r="F38" i="83"/>
  <c r="D38" i="83"/>
  <c r="B38" i="83"/>
  <c r="P37" i="83"/>
  <c r="N37" i="83"/>
  <c r="I37" i="83"/>
  <c r="F37" i="83"/>
  <c r="D37" i="83"/>
  <c r="B37" i="83"/>
  <c r="P36" i="83"/>
  <c r="Q36" i="83" s="1"/>
  <c r="N36" i="83"/>
  <c r="I36" i="83"/>
  <c r="F36" i="83"/>
  <c r="D36" i="83"/>
  <c r="B36" i="83"/>
  <c r="P35" i="83"/>
  <c r="N35" i="83"/>
  <c r="I35" i="83"/>
  <c r="F35" i="83"/>
  <c r="D35" i="83"/>
  <c r="B35" i="83"/>
  <c r="P34" i="83"/>
  <c r="N34" i="83"/>
  <c r="I34" i="83"/>
  <c r="F34" i="83"/>
  <c r="D34" i="83"/>
  <c r="B34" i="83"/>
  <c r="P33" i="83"/>
  <c r="N33" i="83"/>
  <c r="I33" i="83"/>
  <c r="F33" i="83"/>
  <c r="D33" i="83"/>
  <c r="B33" i="83"/>
  <c r="P32" i="83"/>
  <c r="N32" i="83"/>
  <c r="I32" i="83"/>
  <c r="F32" i="83"/>
  <c r="D32" i="83"/>
  <c r="B32" i="83"/>
  <c r="P31" i="83"/>
  <c r="N31" i="83"/>
  <c r="I31" i="83"/>
  <c r="F31" i="83"/>
  <c r="D31" i="83"/>
  <c r="B31" i="83"/>
  <c r="P30" i="83"/>
  <c r="N30" i="83"/>
  <c r="I30" i="83"/>
  <c r="F30" i="83"/>
  <c r="D30" i="83"/>
  <c r="B30" i="83"/>
  <c r="P29" i="83"/>
  <c r="N29" i="83"/>
  <c r="I29" i="83"/>
  <c r="F29" i="83"/>
  <c r="D29" i="83"/>
  <c r="B29" i="83"/>
  <c r="P28" i="83"/>
  <c r="Q28" i="83" s="1"/>
  <c r="N28" i="83"/>
  <c r="I28" i="83"/>
  <c r="F28" i="83"/>
  <c r="D28" i="83"/>
  <c r="B28" i="83"/>
  <c r="G28" i="83" s="1"/>
  <c r="P27" i="83"/>
  <c r="N27" i="83"/>
  <c r="I27" i="83"/>
  <c r="F27" i="83"/>
  <c r="D27" i="83"/>
  <c r="B27" i="83"/>
  <c r="P26" i="83"/>
  <c r="N26" i="83"/>
  <c r="I26" i="83"/>
  <c r="F26" i="83"/>
  <c r="D26" i="83"/>
  <c r="B26" i="83"/>
  <c r="P25" i="83"/>
  <c r="N25" i="83"/>
  <c r="I25" i="83"/>
  <c r="F25" i="83"/>
  <c r="D25" i="83"/>
  <c r="B25" i="83"/>
  <c r="P24" i="83"/>
  <c r="Q25" i="83" s="1"/>
  <c r="N24" i="83"/>
  <c r="I24" i="83"/>
  <c r="F24" i="83"/>
  <c r="D24" i="83"/>
  <c r="B24" i="83"/>
  <c r="P23" i="83"/>
  <c r="N23" i="83"/>
  <c r="I23" i="83"/>
  <c r="F23" i="83"/>
  <c r="D23" i="83"/>
  <c r="B23" i="83"/>
  <c r="P22" i="83"/>
  <c r="N22" i="83"/>
  <c r="I22" i="83"/>
  <c r="F22" i="83"/>
  <c r="D22" i="83"/>
  <c r="B22" i="83"/>
  <c r="P21" i="83"/>
  <c r="N21" i="83"/>
  <c r="I21" i="83"/>
  <c r="F21" i="83"/>
  <c r="D21" i="83"/>
  <c r="B21" i="83"/>
  <c r="Q20" i="83"/>
  <c r="P20" i="83"/>
  <c r="N20" i="83"/>
  <c r="I20" i="83"/>
  <c r="F20" i="83"/>
  <c r="D20" i="83"/>
  <c r="B20" i="83"/>
  <c r="P19" i="83"/>
  <c r="N19" i="83"/>
  <c r="I19" i="83"/>
  <c r="F19" i="83"/>
  <c r="D19" i="83"/>
  <c r="B19" i="83"/>
  <c r="P18" i="83"/>
  <c r="Q19" i="83" s="1"/>
  <c r="N18" i="83"/>
  <c r="I18" i="83"/>
  <c r="F18" i="83"/>
  <c r="D18" i="83"/>
  <c r="B18" i="83"/>
  <c r="P17" i="83"/>
  <c r="Q17" i="83" s="1"/>
  <c r="N17" i="83"/>
  <c r="I17" i="83"/>
  <c r="F17" i="83"/>
  <c r="D17" i="83"/>
  <c r="B17" i="83"/>
  <c r="P16" i="83"/>
  <c r="Q16" i="83" s="1"/>
  <c r="N16" i="83"/>
  <c r="I16" i="83"/>
  <c r="F16" i="83"/>
  <c r="D16" i="83"/>
  <c r="B16" i="83"/>
  <c r="P15" i="83"/>
  <c r="N15" i="83"/>
  <c r="I15" i="83"/>
  <c r="F15" i="83"/>
  <c r="D15" i="83"/>
  <c r="B15" i="83"/>
  <c r="P14" i="83"/>
  <c r="N14" i="83"/>
  <c r="I14" i="83"/>
  <c r="F14" i="83"/>
  <c r="D14" i="83"/>
  <c r="B14" i="83"/>
  <c r="P13" i="83"/>
  <c r="N13" i="83"/>
  <c r="I13" i="83"/>
  <c r="F13" i="83"/>
  <c r="D13" i="83"/>
  <c r="B13" i="83"/>
  <c r="P12" i="83"/>
  <c r="N12" i="83"/>
  <c r="I12" i="83"/>
  <c r="D12" i="83"/>
  <c r="B12" i="83"/>
  <c r="P11" i="83"/>
  <c r="N11" i="83"/>
  <c r="I11" i="83"/>
  <c r="D11" i="83"/>
  <c r="B11" i="83"/>
  <c r="P10" i="83"/>
  <c r="N10" i="83"/>
  <c r="I10" i="83"/>
  <c r="D10" i="83"/>
  <c r="B10" i="83"/>
  <c r="P9" i="83"/>
  <c r="N9" i="83"/>
  <c r="I9" i="83"/>
  <c r="D9" i="83"/>
  <c r="B9" i="83"/>
  <c r="P8" i="83"/>
  <c r="Q8" i="83" s="1"/>
  <c r="N8" i="83"/>
  <c r="I8" i="83"/>
  <c r="D8" i="83"/>
  <c r="B8" i="83"/>
  <c r="P7" i="83"/>
  <c r="N7" i="83"/>
  <c r="I7" i="83"/>
  <c r="D7" i="83"/>
  <c r="B7" i="83"/>
  <c r="P6" i="83"/>
  <c r="N6" i="83"/>
  <c r="I6" i="83"/>
  <c r="D6" i="83"/>
  <c r="B6" i="83"/>
  <c r="P5" i="83"/>
  <c r="N5" i="83"/>
  <c r="I5" i="83"/>
  <c r="D5" i="83"/>
  <c r="B5" i="83"/>
  <c r="P4" i="83"/>
  <c r="N4" i="83"/>
  <c r="I4" i="83"/>
  <c r="D4" i="83"/>
  <c r="B4" i="83"/>
  <c r="N3" i="83"/>
  <c r="I3" i="83"/>
  <c r="K63" i="82"/>
  <c r="E63" i="82"/>
  <c r="C63" i="82"/>
  <c r="E62" i="82"/>
  <c r="C62" i="82"/>
  <c r="E61" i="82"/>
  <c r="C61" i="82"/>
  <c r="E60" i="82"/>
  <c r="C60" i="82"/>
  <c r="E59" i="82"/>
  <c r="C59" i="82"/>
  <c r="J13" i="40"/>
  <c r="J9" i="40"/>
  <c r="I13" i="40"/>
  <c r="I9" i="40"/>
  <c r="H13" i="40"/>
  <c r="H9" i="40"/>
  <c r="V44" i="82"/>
  <c r="V45" i="82" s="1"/>
  <c r="V46" i="82" s="1"/>
  <c r="F44" i="82"/>
  <c r="D44" i="82"/>
  <c r="B44" i="82"/>
  <c r="P43" i="82"/>
  <c r="N43" i="82"/>
  <c r="I43" i="82"/>
  <c r="F43" i="82"/>
  <c r="D43" i="82"/>
  <c r="G43" i="82" s="1"/>
  <c r="C42" i="107" s="1"/>
  <c r="D42" i="107" s="1"/>
  <c r="B43" i="82"/>
  <c r="P42" i="82"/>
  <c r="N42" i="82"/>
  <c r="I42" i="82"/>
  <c r="F42" i="82"/>
  <c r="D42" i="82"/>
  <c r="B42" i="82"/>
  <c r="P41" i="82"/>
  <c r="Q42" i="82" s="1"/>
  <c r="N41" i="82"/>
  <c r="I41" i="82"/>
  <c r="F41" i="82"/>
  <c r="D41" i="82"/>
  <c r="B41" i="82"/>
  <c r="P40" i="82"/>
  <c r="N40" i="82"/>
  <c r="I40" i="82"/>
  <c r="F40" i="82"/>
  <c r="D40" i="82"/>
  <c r="B40" i="82"/>
  <c r="P39" i="82"/>
  <c r="N39" i="82"/>
  <c r="I39" i="82"/>
  <c r="F39" i="82"/>
  <c r="D39" i="82"/>
  <c r="B39" i="82"/>
  <c r="P38" i="82"/>
  <c r="N38" i="82"/>
  <c r="I38" i="82"/>
  <c r="F38" i="82"/>
  <c r="D38" i="82"/>
  <c r="B38" i="82"/>
  <c r="P37" i="82"/>
  <c r="N37" i="82"/>
  <c r="I37" i="82"/>
  <c r="F37" i="82"/>
  <c r="D37" i="82"/>
  <c r="B37" i="82"/>
  <c r="Q36" i="82"/>
  <c r="P36" i="82"/>
  <c r="N36" i="82"/>
  <c r="I36" i="82"/>
  <c r="F36" i="82"/>
  <c r="D36" i="82"/>
  <c r="B36" i="82"/>
  <c r="P35" i="82"/>
  <c r="Q35" i="82" s="1"/>
  <c r="N35" i="82"/>
  <c r="I35" i="82"/>
  <c r="F35" i="82"/>
  <c r="D35" i="82"/>
  <c r="B35" i="82"/>
  <c r="P34" i="82"/>
  <c r="N34" i="82"/>
  <c r="I34" i="82"/>
  <c r="F34" i="82"/>
  <c r="D34" i="82"/>
  <c r="B34" i="82"/>
  <c r="P33" i="82"/>
  <c r="Q34" i="82" s="1"/>
  <c r="N33" i="82"/>
  <c r="I33" i="82"/>
  <c r="F33" i="82"/>
  <c r="D33" i="82"/>
  <c r="B33" i="82"/>
  <c r="P32" i="82"/>
  <c r="N32" i="82"/>
  <c r="I32" i="82"/>
  <c r="F32" i="82"/>
  <c r="D32" i="82"/>
  <c r="B32" i="82"/>
  <c r="G32" i="82" s="1"/>
  <c r="C31" i="107" s="1"/>
  <c r="D31" i="107" s="1"/>
  <c r="P31" i="82"/>
  <c r="Q31" i="82" s="1"/>
  <c r="N31" i="82"/>
  <c r="I31" i="82"/>
  <c r="F31" i="82"/>
  <c r="D31" i="82"/>
  <c r="B31" i="82"/>
  <c r="P30" i="82"/>
  <c r="N30" i="82"/>
  <c r="I30" i="82"/>
  <c r="F30" i="82"/>
  <c r="D30" i="82"/>
  <c r="B30" i="82"/>
  <c r="P29" i="82"/>
  <c r="N29" i="82"/>
  <c r="I29" i="82"/>
  <c r="F29" i="82"/>
  <c r="D29" i="82"/>
  <c r="B29" i="82"/>
  <c r="P28" i="82"/>
  <c r="N28" i="82"/>
  <c r="I28" i="82"/>
  <c r="F28" i="82"/>
  <c r="D28" i="82"/>
  <c r="B28" i="82"/>
  <c r="P27" i="82"/>
  <c r="N27" i="82"/>
  <c r="I27" i="82"/>
  <c r="F27" i="82"/>
  <c r="D27" i="82"/>
  <c r="B27" i="82"/>
  <c r="P26" i="82"/>
  <c r="N26" i="82"/>
  <c r="I26" i="82"/>
  <c r="F26" i="82"/>
  <c r="D26" i="82"/>
  <c r="B26" i="82"/>
  <c r="P25" i="82"/>
  <c r="N25" i="82"/>
  <c r="I25" i="82"/>
  <c r="F25" i="82"/>
  <c r="D25" i="82"/>
  <c r="B25" i="82"/>
  <c r="P24" i="82"/>
  <c r="Q24" i="82" s="1"/>
  <c r="N24" i="82"/>
  <c r="I24" i="82"/>
  <c r="F24" i="82"/>
  <c r="D24" i="82"/>
  <c r="B24" i="82"/>
  <c r="G24" i="82" s="1"/>
  <c r="C23" i="107" s="1"/>
  <c r="D23" i="107" s="1"/>
  <c r="P23" i="82"/>
  <c r="N23" i="82"/>
  <c r="I23" i="82"/>
  <c r="F23" i="82"/>
  <c r="D23" i="82"/>
  <c r="B23" i="82"/>
  <c r="P22" i="82"/>
  <c r="N22" i="82"/>
  <c r="I22" i="82"/>
  <c r="F22" i="82"/>
  <c r="D22" i="82"/>
  <c r="B22" i="82"/>
  <c r="P21" i="82"/>
  <c r="N21" i="82"/>
  <c r="I21" i="82"/>
  <c r="F21" i="82"/>
  <c r="D21" i="82"/>
  <c r="B21" i="82"/>
  <c r="Q20" i="82"/>
  <c r="P20" i="82"/>
  <c r="N20" i="82"/>
  <c r="I20" i="82"/>
  <c r="F20" i="82"/>
  <c r="D20" i="82"/>
  <c r="B20" i="82"/>
  <c r="P19" i="82"/>
  <c r="N19" i="82"/>
  <c r="I19" i="82"/>
  <c r="F19" i="82"/>
  <c r="D19" i="82"/>
  <c r="B19" i="82"/>
  <c r="P18" i="82"/>
  <c r="N18" i="82"/>
  <c r="I18" i="82"/>
  <c r="F18" i="82"/>
  <c r="D18" i="82"/>
  <c r="B18" i="82"/>
  <c r="P17" i="82"/>
  <c r="N17" i="82"/>
  <c r="I17" i="82"/>
  <c r="F17" i="82"/>
  <c r="D17" i="82"/>
  <c r="B17" i="82"/>
  <c r="P16" i="82"/>
  <c r="Q16" i="82" s="1"/>
  <c r="N16" i="82"/>
  <c r="I16" i="82"/>
  <c r="F16" i="82"/>
  <c r="D16" i="82"/>
  <c r="B16" i="82"/>
  <c r="P15" i="82"/>
  <c r="N15" i="82"/>
  <c r="I15" i="82"/>
  <c r="F15" i="82"/>
  <c r="D15" i="82"/>
  <c r="B15" i="82"/>
  <c r="P14" i="82"/>
  <c r="N14" i="82"/>
  <c r="I14" i="82"/>
  <c r="F14" i="82"/>
  <c r="D14" i="82"/>
  <c r="B14" i="82"/>
  <c r="P13" i="82"/>
  <c r="N13" i="82"/>
  <c r="I13" i="82"/>
  <c r="F13" i="82"/>
  <c r="D13" i="82"/>
  <c r="B13" i="82"/>
  <c r="P12" i="82"/>
  <c r="Q12" i="82" s="1"/>
  <c r="N12" i="82"/>
  <c r="I12" i="82"/>
  <c r="D12" i="82"/>
  <c r="B12" i="82"/>
  <c r="P11" i="82"/>
  <c r="Q11" i="82" s="1"/>
  <c r="N11" i="82"/>
  <c r="I11" i="82"/>
  <c r="D11" i="82"/>
  <c r="B11" i="82"/>
  <c r="P10" i="82"/>
  <c r="N10" i="82"/>
  <c r="I10" i="82"/>
  <c r="D10" i="82"/>
  <c r="B10" i="82"/>
  <c r="P9" i="82"/>
  <c r="N9" i="82"/>
  <c r="I9" i="82"/>
  <c r="D9" i="82"/>
  <c r="B9" i="82"/>
  <c r="P8" i="82"/>
  <c r="Q8" i="82" s="1"/>
  <c r="N8" i="82"/>
  <c r="I8" i="82"/>
  <c r="D8" i="82"/>
  <c r="B8" i="82"/>
  <c r="P7" i="82"/>
  <c r="Q7" i="82" s="1"/>
  <c r="N7" i="82"/>
  <c r="I7" i="82"/>
  <c r="D7" i="82"/>
  <c r="B7" i="82"/>
  <c r="P6" i="82"/>
  <c r="N6" i="82"/>
  <c r="I6" i="82"/>
  <c r="D6" i="82"/>
  <c r="B6" i="82"/>
  <c r="P5" i="82"/>
  <c r="N5" i="82"/>
  <c r="I5" i="82"/>
  <c r="D5" i="82"/>
  <c r="B5" i="82"/>
  <c r="P4" i="82"/>
  <c r="N4" i="82"/>
  <c r="I4" i="82"/>
  <c r="D4" i="82"/>
  <c r="B4" i="82"/>
  <c r="N3" i="82"/>
  <c r="I3" i="82"/>
  <c r="V3" i="19"/>
  <c r="P5" i="81"/>
  <c r="P6" i="81"/>
  <c r="P7" i="81"/>
  <c r="P8" i="81"/>
  <c r="Q9" i="81" s="1"/>
  <c r="P9" i="81"/>
  <c r="P10" i="81"/>
  <c r="P11" i="81"/>
  <c r="Q11" i="81" s="1"/>
  <c r="P12" i="81"/>
  <c r="P13" i="81"/>
  <c r="P14" i="81"/>
  <c r="P15" i="81"/>
  <c r="P16" i="81"/>
  <c r="Q16" i="81" s="1"/>
  <c r="P17" i="81"/>
  <c r="P18" i="81"/>
  <c r="P19" i="81"/>
  <c r="Q19" i="81" s="1"/>
  <c r="P20" i="81"/>
  <c r="P21" i="81"/>
  <c r="P22" i="81"/>
  <c r="P23" i="81"/>
  <c r="P24" i="81"/>
  <c r="Q25" i="81" s="1"/>
  <c r="P25" i="81"/>
  <c r="P26" i="81"/>
  <c r="P27" i="81"/>
  <c r="Q27" i="81" s="1"/>
  <c r="P28" i="81"/>
  <c r="P29" i="81"/>
  <c r="P30" i="81"/>
  <c r="P31" i="81"/>
  <c r="P32" i="81"/>
  <c r="Q32" i="81" s="1"/>
  <c r="P33" i="81"/>
  <c r="P34" i="81"/>
  <c r="P35" i="81"/>
  <c r="Q35" i="81" s="1"/>
  <c r="P36" i="81"/>
  <c r="P37" i="81"/>
  <c r="P38" i="81"/>
  <c r="P39" i="81"/>
  <c r="P40" i="81"/>
  <c r="Q41" i="81" s="1"/>
  <c r="P41" i="81"/>
  <c r="P42" i="81"/>
  <c r="G3" i="40"/>
  <c r="G4" i="40" s="1"/>
  <c r="P4" i="81"/>
  <c r="N4" i="81"/>
  <c r="N5" i="81"/>
  <c r="N6" i="81"/>
  <c r="N7" i="81"/>
  <c r="N8" i="81"/>
  <c r="N9" i="81"/>
  <c r="N10" i="81"/>
  <c r="N11" i="81"/>
  <c r="N12" i="81"/>
  <c r="N13" i="81"/>
  <c r="D28" i="40" s="1"/>
  <c r="D29" i="40" s="1"/>
  <c r="N14" i="81"/>
  <c r="N15" i="81"/>
  <c r="N16" i="81"/>
  <c r="N17" i="81"/>
  <c r="N18" i="81"/>
  <c r="N19" i="81"/>
  <c r="N20" i="81"/>
  <c r="N21" i="81"/>
  <c r="N22" i="81"/>
  <c r="N23" i="81"/>
  <c r="E28" i="40" s="1"/>
  <c r="E29" i="40" s="1"/>
  <c r="N24" i="81"/>
  <c r="N25" i="81"/>
  <c r="N26" i="81"/>
  <c r="N27" i="81"/>
  <c r="N28" i="81"/>
  <c r="N29" i="81"/>
  <c r="N30" i="81"/>
  <c r="N31" i="81"/>
  <c r="N32" i="81"/>
  <c r="N33" i="81"/>
  <c r="F28" i="40" s="1"/>
  <c r="F29" i="40" s="1"/>
  <c r="N34" i="81"/>
  <c r="N35" i="81"/>
  <c r="N36" i="81"/>
  <c r="N37" i="81"/>
  <c r="N38" i="81"/>
  <c r="N39" i="81"/>
  <c r="N40" i="81"/>
  <c r="N41" i="81"/>
  <c r="N42" i="81"/>
  <c r="N43" i="81"/>
  <c r="G28" i="40" s="1"/>
  <c r="G29" i="40" s="1"/>
  <c r="N3" i="81"/>
  <c r="D4" i="81"/>
  <c r="V45" i="81"/>
  <c r="V46" i="81" s="1"/>
  <c r="V47" i="81" s="1"/>
  <c r="V48" i="81" s="1"/>
  <c r="V49" i="81" s="1"/>
  <c r="V50" i="81" s="1"/>
  <c r="V51" i="81" s="1"/>
  <c r="V52" i="81" s="1"/>
  <c r="V53" i="81" s="1"/>
  <c r="V54" i="81" s="1"/>
  <c r="V55" i="81" s="1"/>
  <c r="V56" i="81" s="1"/>
  <c r="V57" i="81" s="1"/>
  <c r="V58" i="81" s="1"/>
  <c r="V59" i="81" s="1"/>
  <c r="V60" i="81" s="1"/>
  <c r="V61" i="81" s="1"/>
  <c r="V62" i="81" s="1"/>
  <c r="V63" i="81" s="1"/>
  <c r="B47" i="103"/>
  <c r="B52" i="103"/>
  <c r="B58" i="103"/>
  <c r="B62" i="103"/>
  <c r="J59" i="81"/>
  <c r="J60" i="81" s="1"/>
  <c r="J61" i="81" s="1"/>
  <c r="J62" i="81" s="1"/>
  <c r="B61" i="103" s="1"/>
  <c r="J54" i="81"/>
  <c r="J55" i="81" s="1"/>
  <c r="J56" i="81" s="1"/>
  <c r="J57" i="81" s="1"/>
  <c r="B56" i="103" s="1"/>
  <c r="J49" i="81"/>
  <c r="J50" i="81" s="1"/>
  <c r="J51" i="81" s="1"/>
  <c r="J52" i="81" s="1"/>
  <c r="B51" i="103" s="1"/>
  <c r="H12" i="40"/>
  <c r="I12" i="40"/>
  <c r="J12" i="40"/>
  <c r="E59" i="81"/>
  <c r="E60" i="81"/>
  <c r="E61" i="81"/>
  <c r="E62" i="81"/>
  <c r="E63" i="81"/>
  <c r="H8" i="40"/>
  <c r="I8" i="40"/>
  <c r="J8" i="40"/>
  <c r="G8" i="40"/>
  <c r="G9" i="40" s="1"/>
  <c r="D44" i="81"/>
  <c r="G19" i="40"/>
  <c r="G20" i="40" s="1"/>
  <c r="H20" i="40" s="1"/>
  <c r="I20" i="40" s="1"/>
  <c r="F43" i="81"/>
  <c r="F44" i="81" s="1"/>
  <c r="D43" i="81"/>
  <c r="B43" i="81"/>
  <c r="G6" i="40" s="1"/>
  <c r="G7" i="40" s="1"/>
  <c r="Q42" i="81"/>
  <c r="I42" i="81"/>
  <c r="F42" i="81"/>
  <c r="D42" i="81"/>
  <c r="B42" i="81"/>
  <c r="I41" i="81"/>
  <c r="F41" i="81"/>
  <c r="D41" i="81"/>
  <c r="B41" i="81"/>
  <c r="I40" i="81"/>
  <c r="F40" i="81"/>
  <c r="D40" i="81"/>
  <c r="B40" i="81"/>
  <c r="Q39" i="81"/>
  <c r="I39" i="81"/>
  <c r="F39" i="81"/>
  <c r="D39" i="81"/>
  <c r="B39" i="81"/>
  <c r="Q38" i="81"/>
  <c r="I38" i="81"/>
  <c r="F38" i="81"/>
  <c r="D38" i="81"/>
  <c r="B38" i="81"/>
  <c r="I37" i="81"/>
  <c r="F37" i="81"/>
  <c r="D37" i="81"/>
  <c r="B37" i="81"/>
  <c r="I36" i="81"/>
  <c r="F36" i="81"/>
  <c r="D36" i="81"/>
  <c r="B36" i="81"/>
  <c r="I35" i="81"/>
  <c r="F35" i="81"/>
  <c r="D35" i="81"/>
  <c r="B35" i="81"/>
  <c r="Q34" i="81"/>
  <c r="I34" i="81"/>
  <c r="F34" i="81"/>
  <c r="D34" i="81"/>
  <c r="B34" i="81"/>
  <c r="I33" i="81"/>
  <c r="F19" i="40" s="1"/>
  <c r="F20" i="40" s="1"/>
  <c r="F33" i="81"/>
  <c r="F14" i="40" s="1"/>
  <c r="F15" i="40" s="1"/>
  <c r="D33" i="81"/>
  <c r="F10" i="40" s="1"/>
  <c r="F11" i="40" s="1"/>
  <c r="B33" i="81"/>
  <c r="F6" i="40" s="1"/>
  <c r="F7" i="40" s="1"/>
  <c r="I32" i="81"/>
  <c r="F32" i="81"/>
  <c r="D32" i="81"/>
  <c r="B32" i="81"/>
  <c r="Q31" i="81"/>
  <c r="I31" i="81"/>
  <c r="F31" i="81"/>
  <c r="D31" i="81"/>
  <c r="B31" i="81"/>
  <c r="Q30" i="81"/>
  <c r="I30" i="81"/>
  <c r="F30" i="81"/>
  <c r="D30" i="81"/>
  <c r="B30" i="81"/>
  <c r="I29" i="81"/>
  <c r="F29" i="81"/>
  <c r="D29" i="81"/>
  <c r="B29" i="81"/>
  <c r="I28" i="81"/>
  <c r="F28" i="81"/>
  <c r="D28" i="81"/>
  <c r="B28" i="81"/>
  <c r="I27" i="81"/>
  <c r="F27" i="81"/>
  <c r="D27" i="81"/>
  <c r="B27" i="81"/>
  <c r="Q26" i="81"/>
  <c r="I26" i="81"/>
  <c r="F26" i="81"/>
  <c r="D26" i="81"/>
  <c r="B26" i="81"/>
  <c r="I25" i="81"/>
  <c r="F25" i="81"/>
  <c r="D25" i="81"/>
  <c r="B25" i="81"/>
  <c r="I24" i="81"/>
  <c r="F24" i="81"/>
  <c r="D24" i="81"/>
  <c r="B24" i="81"/>
  <c r="Q23" i="81"/>
  <c r="E3" i="40" s="1"/>
  <c r="E4" i="40" s="1"/>
  <c r="I23" i="81"/>
  <c r="E19" i="40" s="1"/>
  <c r="E20" i="40" s="1"/>
  <c r="F23" i="81"/>
  <c r="E14" i="40" s="1"/>
  <c r="E15" i="40" s="1"/>
  <c r="D23" i="81"/>
  <c r="E10" i="40" s="1"/>
  <c r="E11" i="40" s="1"/>
  <c r="B23" i="81"/>
  <c r="E6" i="40" s="1"/>
  <c r="E7" i="40" s="1"/>
  <c r="Q22" i="81"/>
  <c r="I22" i="81"/>
  <c r="F22" i="81"/>
  <c r="D22" i="81"/>
  <c r="B22" i="81"/>
  <c r="I21" i="81"/>
  <c r="F21" i="81"/>
  <c r="D21" i="81"/>
  <c r="B21" i="81"/>
  <c r="I20" i="81"/>
  <c r="F20" i="81"/>
  <c r="D20" i="81"/>
  <c r="B20" i="81"/>
  <c r="I19" i="81"/>
  <c r="F19" i="81"/>
  <c r="D19" i="81"/>
  <c r="B19" i="81"/>
  <c r="Q18" i="81"/>
  <c r="I18" i="81"/>
  <c r="F18" i="81"/>
  <c r="D18" i="81"/>
  <c r="B18" i="81"/>
  <c r="Q17" i="81"/>
  <c r="I17" i="81"/>
  <c r="F17" i="81"/>
  <c r="D17" i="81"/>
  <c r="B17" i="81"/>
  <c r="I16" i="81"/>
  <c r="F16" i="81"/>
  <c r="D16" i="81"/>
  <c r="B16" i="81"/>
  <c r="Q15" i="81"/>
  <c r="I15" i="81"/>
  <c r="F15" i="81"/>
  <c r="D15" i="81"/>
  <c r="B15" i="81"/>
  <c r="Q14" i="81"/>
  <c r="I14" i="81"/>
  <c r="F14" i="81"/>
  <c r="D14" i="81"/>
  <c r="B14" i="81"/>
  <c r="I13" i="81"/>
  <c r="D19" i="40" s="1"/>
  <c r="F13" i="81"/>
  <c r="D14" i="40" s="1"/>
  <c r="D15" i="40" s="1"/>
  <c r="D13" i="81"/>
  <c r="D10" i="40" s="1"/>
  <c r="D11" i="40" s="1"/>
  <c r="B13" i="81"/>
  <c r="D6" i="40" s="1"/>
  <c r="D7" i="40" s="1"/>
  <c r="I12" i="81"/>
  <c r="D12" i="81"/>
  <c r="B12" i="81"/>
  <c r="I11" i="81"/>
  <c r="D11" i="81"/>
  <c r="B11" i="81"/>
  <c r="Q10" i="81"/>
  <c r="I10" i="81"/>
  <c r="D10" i="81"/>
  <c r="B10" i="81"/>
  <c r="I9" i="81"/>
  <c r="D9" i="81"/>
  <c r="B9" i="81"/>
  <c r="I8" i="81"/>
  <c r="D8" i="81"/>
  <c r="B8" i="81"/>
  <c r="Q7" i="81"/>
  <c r="I7" i="81"/>
  <c r="D7" i="81"/>
  <c r="B7" i="81"/>
  <c r="Q6" i="81"/>
  <c r="I6" i="81"/>
  <c r="D6" i="81"/>
  <c r="B6" i="81"/>
  <c r="I5" i="81"/>
  <c r="D5" i="81"/>
  <c r="B5" i="81"/>
  <c r="I4" i="81"/>
  <c r="B4" i="81"/>
  <c r="I3" i="81"/>
  <c r="FM48" i="93" l="1"/>
  <c r="EG49" i="93" s="1"/>
  <c r="FM48" i="96"/>
  <c r="EG49" i="96" s="1"/>
  <c r="BV48" i="96"/>
  <c r="AV60" i="93"/>
  <c r="AW60" i="93" s="1"/>
  <c r="AI60" i="93"/>
  <c r="AT61" i="93"/>
  <c r="AU61" i="93" s="1"/>
  <c r="AY56" i="93"/>
  <c r="AM56" i="93" s="1"/>
  <c r="AM57" i="93" s="1"/>
  <c r="AM58" i="93" s="1"/>
  <c r="AL56" i="93"/>
  <c r="AL57" i="93" s="1"/>
  <c r="AL58" i="93" s="1"/>
  <c r="U49" i="93"/>
  <c r="AX59" i="93"/>
  <c r="AK59" i="93"/>
  <c r="CC53" i="93"/>
  <c r="FF63" i="93"/>
  <c r="FE63" i="93" s="1"/>
  <c r="FI63" i="93" s="1"/>
  <c r="FE62" i="93"/>
  <c r="FI62" i="93" s="1"/>
  <c r="D57" i="103"/>
  <c r="J23" i="40"/>
  <c r="D47" i="103"/>
  <c r="H23" i="40"/>
  <c r="D52" i="103"/>
  <c r="I23" i="40"/>
  <c r="I26" i="40" s="1"/>
  <c r="F45" i="82"/>
  <c r="F46" i="82" s="1"/>
  <c r="F47" i="82" s="1"/>
  <c r="F48" i="82" s="1"/>
  <c r="F49" i="82" s="1"/>
  <c r="F50" i="82" s="1"/>
  <c r="F51" i="82" s="1"/>
  <c r="F52" i="82" s="1"/>
  <c r="F53" i="82" s="1"/>
  <c r="F54" i="82" s="1"/>
  <c r="F55" i="82" s="1"/>
  <c r="F56" i="82" s="1"/>
  <c r="F57" i="82" s="1"/>
  <c r="F58" i="82" s="1"/>
  <c r="F59" i="82" s="1"/>
  <c r="F60" i="82" s="1"/>
  <c r="F61" i="82" s="1"/>
  <c r="F62" i="82" s="1"/>
  <c r="F63" i="82" s="1"/>
  <c r="C43" i="105"/>
  <c r="B50" i="103"/>
  <c r="B48" i="103"/>
  <c r="J21" i="40"/>
  <c r="B57" i="103"/>
  <c r="F57" i="103" s="1"/>
  <c r="B49" i="103"/>
  <c r="B55" i="103"/>
  <c r="B54" i="103"/>
  <c r="B53" i="103"/>
  <c r="F45" i="81"/>
  <c r="F46" i="81" s="1"/>
  <c r="F47" i="81" s="1"/>
  <c r="F49" i="81" s="1"/>
  <c r="F50" i="81" s="1"/>
  <c r="F51" i="81" s="1"/>
  <c r="F52" i="81" s="1"/>
  <c r="F53" i="81" s="1"/>
  <c r="B43" i="105"/>
  <c r="B60" i="103"/>
  <c r="B59" i="103"/>
  <c r="D53" i="103"/>
  <c r="D49" i="103"/>
  <c r="D48" i="103"/>
  <c r="AA51" i="93"/>
  <c r="S50" i="93"/>
  <c r="AC51" i="93"/>
  <c r="U50" i="93"/>
  <c r="AE50" i="93"/>
  <c r="W49" i="93"/>
  <c r="EP49" i="93" s="1"/>
  <c r="CE55" i="96"/>
  <c r="CE56" i="96" s="1"/>
  <c r="CC55" i="96"/>
  <c r="CA59" i="96"/>
  <c r="CE54" i="93"/>
  <c r="CA57" i="93"/>
  <c r="CA58" i="93" s="1"/>
  <c r="EY60" i="97"/>
  <c r="FB60" i="97" s="1"/>
  <c r="EX60" i="97"/>
  <c r="FA60" i="97" s="1"/>
  <c r="EW60" i="97"/>
  <c r="EZ60" i="97" s="1"/>
  <c r="EW61" i="97"/>
  <c r="EZ61" i="97" s="1"/>
  <c r="ES61" i="97"/>
  <c r="FI54" i="97"/>
  <c r="CB48" i="97"/>
  <c r="FR48" i="97" s="1"/>
  <c r="CU64" i="97"/>
  <c r="CH64" i="97"/>
  <c r="CU63" i="97"/>
  <c r="CH63" i="97"/>
  <c r="CK48" i="97"/>
  <c r="DO58" i="97"/>
  <c r="AY47" i="97"/>
  <c r="AM47" i="97" s="1"/>
  <c r="AL47" i="97"/>
  <c r="AL48" i="97" s="1"/>
  <c r="AL49" i="97" s="1"/>
  <c r="AL50" i="97" s="1"/>
  <c r="AL51" i="97" s="1"/>
  <c r="AL52" i="97" s="1"/>
  <c r="AL53" i="97" s="1"/>
  <c r="AL54" i="97" s="1"/>
  <c r="AL55" i="97" s="1"/>
  <c r="AL56" i="97" s="1"/>
  <c r="AL57" i="97" s="1"/>
  <c r="AL58" i="97" s="1"/>
  <c r="AY55" i="97"/>
  <c r="R47" i="97"/>
  <c r="Z47" i="97" s="1"/>
  <c r="BZ47" i="97" s="1"/>
  <c r="FK47" i="97"/>
  <c r="AQ64" i="97"/>
  <c r="AY56" i="97"/>
  <c r="CY48" i="97"/>
  <c r="AY48" i="97"/>
  <c r="AM48" i="97" s="1"/>
  <c r="CY47" i="97"/>
  <c r="CM47" i="97" s="1"/>
  <c r="CE47" i="97" s="1"/>
  <c r="CL47" i="97"/>
  <c r="CD47" i="97" s="1"/>
  <c r="CY53" i="97"/>
  <c r="AA48" i="97"/>
  <c r="AP63" i="97"/>
  <c r="AT63" i="97" s="1"/>
  <c r="BV50" i="97"/>
  <c r="FM50" i="97"/>
  <c r="EG51" i="97" s="1"/>
  <c r="AY51" i="97"/>
  <c r="EF52" i="97"/>
  <c r="BU53" i="97"/>
  <c r="DN55" i="97"/>
  <c r="AY52" i="97"/>
  <c r="AH62" i="97"/>
  <c r="AU62" i="97"/>
  <c r="CY50" i="97"/>
  <c r="CY57" i="97"/>
  <c r="FF64" i="97"/>
  <c r="CX60" i="97"/>
  <c r="DL52" i="97"/>
  <c r="DL53" i="97"/>
  <c r="DO59" i="97"/>
  <c r="CX61" i="97"/>
  <c r="DN58" i="97"/>
  <c r="AY49" i="97"/>
  <c r="AM49" i="97" s="1"/>
  <c r="AM50" i="97" s="1"/>
  <c r="CX58" i="97"/>
  <c r="AK59" i="97"/>
  <c r="AX59" i="97"/>
  <c r="BW52" i="97"/>
  <c r="EH51" i="97"/>
  <c r="DM55" i="97"/>
  <c r="DM56" i="97" s="1"/>
  <c r="DK52" i="97"/>
  <c r="CV62" i="97"/>
  <c r="AY57" i="97"/>
  <c r="AK60" i="97"/>
  <c r="AX60" i="97"/>
  <c r="CA49" i="97"/>
  <c r="FQ49" i="97" s="1"/>
  <c r="CI50" i="97"/>
  <c r="FS47" i="97"/>
  <c r="AC47" i="97"/>
  <c r="FH66" i="97"/>
  <c r="AY53" i="97"/>
  <c r="BS54" i="97"/>
  <c r="ED53" i="97"/>
  <c r="CY51" i="97"/>
  <c r="CY49" i="97"/>
  <c r="DK53" i="97"/>
  <c r="AI61" i="97"/>
  <c r="AV61" i="97"/>
  <c r="FL49" i="97"/>
  <c r="EM50" i="97" s="1"/>
  <c r="T49" i="97"/>
  <c r="AB49" i="97" s="1"/>
  <c r="CB49" i="97" s="1"/>
  <c r="CX59" i="97"/>
  <c r="FR47" i="97"/>
  <c r="BT47" i="97"/>
  <c r="EE47" i="97" s="1"/>
  <c r="DN57" i="97"/>
  <c r="DN56" i="97"/>
  <c r="DK54" i="97"/>
  <c r="CQ65" i="97"/>
  <c r="CP65" i="97"/>
  <c r="CT65" i="97" s="1"/>
  <c r="CY56" i="97"/>
  <c r="DJ53" i="97"/>
  <c r="BV48" i="93"/>
  <c r="CD48" i="93" s="1"/>
  <c r="AD48" i="93" s="1"/>
  <c r="V48" i="93" s="1"/>
  <c r="EO48" i="93" s="1"/>
  <c r="CU64" i="96"/>
  <c r="CH64" i="96"/>
  <c r="AY49" i="96"/>
  <c r="AA48" i="96"/>
  <c r="AX58" i="96"/>
  <c r="AK58" i="96"/>
  <c r="AK59" i="96" s="1"/>
  <c r="CX58" i="96"/>
  <c r="CX61" i="96"/>
  <c r="CK48" i="96"/>
  <c r="BU48" i="96" s="1"/>
  <c r="EF48" i="96" s="1"/>
  <c r="CY51" i="96"/>
  <c r="CY57" i="96"/>
  <c r="CI50" i="96"/>
  <c r="BS50" i="96" s="1"/>
  <c r="ED50" i="96" s="1"/>
  <c r="FQ49" i="96"/>
  <c r="C45" i="58" s="1"/>
  <c r="CY53" i="96"/>
  <c r="CX60" i="96"/>
  <c r="R47" i="96"/>
  <c r="Z47" i="96" s="1"/>
  <c r="BZ47" i="96" s="1"/>
  <c r="FK47" i="96"/>
  <c r="FF64" i="96"/>
  <c r="AW60" i="96"/>
  <c r="AJ60" i="96"/>
  <c r="CY48" i="96"/>
  <c r="AH62" i="96"/>
  <c r="AU62" i="96"/>
  <c r="CQ65" i="96"/>
  <c r="CP65" i="96" s="1"/>
  <c r="CT65" i="96" s="1"/>
  <c r="CB49" i="96"/>
  <c r="CY55" i="96"/>
  <c r="CY52" i="96"/>
  <c r="AV61" i="96"/>
  <c r="AI61" i="96"/>
  <c r="AY48" i="96"/>
  <c r="AM48" i="96" s="1"/>
  <c r="AL48" i="96"/>
  <c r="AL49" i="96" s="1"/>
  <c r="AL50" i="96" s="1"/>
  <c r="AL51" i="96" s="1"/>
  <c r="AL52" i="96" s="1"/>
  <c r="AL53" i="96" s="1"/>
  <c r="AL54" i="96" s="1"/>
  <c r="AL55" i="96" s="1"/>
  <c r="AL56" i="96" s="1"/>
  <c r="AL57" i="96" s="1"/>
  <c r="AQ63" i="96"/>
  <c r="AP63" i="96" s="1"/>
  <c r="AT63" i="96" s="1"/>
  <c r="T50" i="96"/>
  <c r="AB50" i="96" s="1"/>
  <c r="CB50" i="96" s="1"/>
  <c r="FL50" i="96"/>
  <c r="EM51" i="96" s="1"/>
  <c r="AX59" i="96"/>
  <c r="FH63" i="96"/>
  <c r="FG63" i="96" s="1"/>
  <c r="FI63" i="96" s="1"/>
  <c r="FS47" i="96"/>
  <c r="AC47" i="96"/>
  <c r="CX59" i="96"/>
  <c r="AY53" i="96"/>
  <c r="CY49" i="96"/>
  <c r="FR48" i="96"/>
  <c r="BT48" i="96"/>
  <c r="EE48" i="96" s="1"/>
  <c r="AY56" i="96"/>
  <c r="CY54" i="96"/>
  <c r="CY47" i="96"/>
  <c r="CM47" i="96" s="1"/>
  <c r="BW47" i="96" s="1"/>
  <c r="EH47" i="96" s="1"/>
  <c r="CL47" i="96"/>
  <c r="CD47" i="96" s="1"/>
  <c r="CW62" i="96"/>
  <c r="CJ62" i="96"/>
  <c r="AY55" i="96"/>
  <c r="CY50" i="96"/>
  <c r="CV63" i="96"/>
  <c r="CI51" i="93"/>
  <c r="BS51" i="93" s="1"/>
  <c r="ED51" i="93" s="1"/>
  <c r="FQ50" i="93"/>
  <c r="B46" i="58" s="1"/>
  <c r="CH66" i="93"/>
  <c r="CM51" i="93"/>
  <c r="BW51" i="93" s="1"/>
  <c r="EH51" i="93" s="1"/>
  <c r="EL49" i="93"/>
  <c r="CJ51" i="93"/>
  <c r="CK51" i="93"/>
  <c r="BU51" i="93" s="1"/>
  <c r="EF51" i="93" s="1"/>
  <c r="T49" i="93"/>
  <c r="AB49" i="93" s="1"/>
  <c r="CB49" i="93" s="1"/>
  <c r="FL49" i="93"/>
  <c r="EM50" i="93" s="1"/>
  <c r="BT48" i="93"/>
  <c r="EE48" i="93" s="1"/>
  <c r="FR48" i="93"/>
  <c r="Z47" i="93"/>
  <c r="BZ47" i="93" s="1"/>
  <c r="FP47" i="93" s="1"/>
  <c r="CL51" i="93"/>
  <c r="FU51" i="93"/>
  <c r="B47" i="60" s="1"/>
  <c r="AJ53" i="93"/>
  <c r="EN49" i="93"/>
  <c r="AQ62" i="93"/>
  <c r="AP62" i="93" s="1"/>
  <c r="FH64" i="93"/>
  <c r="FG64" i="93" s="1"/>
  <c r="Q24" i="81"/>
  <c r="Q15" i="83"/>
  <c r="Q8" i="81"/>
  <c r="Q33" i="81"/>
  <c r="F3" i="40" s="1"/>
  <c r="F4" i="40" s="1"/>
  <c r="Q40" i="81"/>
  <c r="Q32" i="83"/>
  <c r="Q35" i="83"/>
  <c r="Q39" i="83"/>
  <c r="Q5" i="81"/>
  <c r="Q28" i="82"/>
  <c r="Q7" i="83"/>
  <c r="Q15" i="82"/>
  <c r="Q19" i="82"/>
  <c r="Q40" i="82"/>
  <c r="Q33" i="83"/>
  <c r="Q41" i="83"/>
  <c r="Q12" i="83"/>
  <c r="N45" i="81"/>
  <c r="Q39" i="82"/>
  <c r="Q11" i="83"/>
  <c r="Q24" i="83"/>
  <c r="Q26" i="82"/>
  <c r="Q27" i="83"/>
  <c r="Q23" i="82"/>
  <c r="Q36" i="81"/>
  <c r="Q12" i="81"/>
  <c r="Q27" i="82"/>
  <c r="Q32" i="82"/>
  <c r="Q41" i="82"/>
  <c r="Q34" i="83"/>
  <c r="N44" i="83"/>
  <c r="N45" i="83" s="1"/>
  <c r="N46" i="83" s="1"/>
  <c r="N47" i="83" s="1"/>
  <c r="N48" i="83" s="1"/>
  <c r="N49" i="83" s="1"/>
  <c r="N50" i="83" s="1"/>
  <c r="N51" i="83" s="1"/>
  <c r="N52" i="83" s="1"/>
  <c r="N53" i="83" s="1"/>
  <c r="N54" i="83" s="1"/>
  <c r="N55" i="83" s="1"/>
  <c r="N56" i="83" s="1"/>
  <c r="N57" i="83" s="1"/>
  <c r="N58" i="83" s="1"/>
  <c r="N59" i="83" s="1"/>
  <c r="N60" i="83" s="1"/>
  <c r="N61" i="83" s="1"/>
  <c r="N62" i="83" s="1"/>
  <c r="N63" i="83" s="1"/>
  <c r="H21" i="40"/>
  <c r="I21" i="40"/>
  <c r="D20" i="40"/>
  <c r="J20" i="40"/>
  <c r="J25" i="40" s="1"/>
  <c r="I25" i="40"/>
  <c r="I44" i="82"/>
  <c r="G12" i="83"/>
  <c r="F12" i="81"/>
  <c r="Y16" i="6"/>
  <c r="F12" i="82"/>
  <c r="G12" i="82" s="1"/>
  <c r="C11" i="107" s="1"/>
  <c r="D11" i="107" s="1"/>
  <c r="G14" i="40"/>
  <c r="G15" i="40" s="1"/>
  <c r="G42" i="82"/>
  <c r="C41" i="107" s="1"/>
  <c r="D41" i="107" s="1"/>
  <c r="H15" i="40"/>
  <c r="G44" i="83"/>
  <c r="G29" i="83"/>
  <c r="G22" i="82"/>
  <c r="C21" i="107" s="1"/>
  <c r="D21" i="107" s="1"/>
  <c r="G16" i="83"/>
  <c r="G26" i="83"/>
  <c r="G27" i="83"/>
  <c r="G36" i="83"/>
  <c r="G29" i="82"/>
  <c r="C28" i="107" s="1"/>
  <c r="D28" i="107" s="1"/>
  <c r="G30" i="83"/>
  <c r="G40" i="83"/>
  <c r="G17" i="82"/>
  <c r="C16" i="107" s="1"/>
  <c r="D16" i="107" s="1"/>
  <c r="G39" i="82"/>
  <c r="C38" i="107" s="1"/>
  <c r="D38" i="107" s="1"/>
  <c r="G15" i="83"/>
  <c r="G24" i="83"/>
  <c r="G25" i="83"/>
  <c r="F17" i="40"/>
  <c r="G25" i="82"/>
  <c r="C24" i="107" s="1"/>
  <c r="D24" i="107" s="1"/>
  <c r="G27" i="82"/>
  <c r="C26" i="107" s="1"/>
  <c r="D26" i="107" s="1"/>
  <c r="G19" i="83"/>
  <c r="G39" i="83"/>
  <c r="G14" i="82"/>
  <c r="C13" i="107" s="1"/>
  <c r="D13" i="107" s="1"/>
  <c r="G35" i="82"/>
  <c r="C34" i="107" s="1"/>
  <c r="D34" i="107" s="1"/>
  <c r="G21" i="83"/>
  <c r="G22" i="83"/>
  <c r="G32" i="83"/>
  <c r="G41" i="83"/>
  <c r="C40" i="83"/>
  <c r="C32" i="82"/>
  <c r="C24" i="83"/>
  <c r="D17" i="40"/>
  <c r="G16" i="82"/>
  <c r="C15" i="107" s="1"/>
  <c r="D15" i="107" s="1"/>
  <c r="G37" i="82"/>
  <c r="C36" i="107" s="1"/>
  <c r="D36" i="107" s="1"/>
  <c r="G13" i="83"/>
  <c r="G23" i="83"/>
  <c r="G34" i="83"/>
  <c r="G35" i="83"/>
  <c r="G43" i="83"/>
  <c r="G36" i="82"/>
  <c r="C35" i="107" s="1"/>
  <c r="D35" i="107" s="1"/>
  <c r="G42" i="83"/>
  <c r="G18" i="83"/>
  <c r="G19" i="82"/>
  <c r="C18" i="107" s="1"/>
  <c r="D18" i="107" s="1"/>
  <c r="G20" i="82"/>
  <c r="C19" i="107" s="1"/>
  <c r="D19" i="107" s="1"/>
  <c r="G44" i="81"/>
  <c r="B43" i="107" s="1"/>
  <c r="C36" i="81"/>
  <c r="C28" i="81"/>
  <c r="C28" i="83"/>
  <c r="E17" i="40"/>
  <c r="C20" i="81"/>
  <c r="C20" i="82"/>
  <c r="C20" i="83"/>
  <c r="G43" i="81"/>
  <c r="B42" i="107" s="1"/>
  <c r="G10" i="40"/>
  <c r="G11" i="40" s="1"/>
  <c r="G13" i="82"/>
  <c r="C12" i="107" s="1"/>
  <c r="D12" i="107" s="1"/>
  <c r="G23" i="82"/>
  <c r="C22" i="107" s="1"/>
  <c r="D22" i="107" s="1"/>
  <c r="G26" i="82"/>
  <c r="C25" i="107" s="1"/>
  <c r="D25" i="107" s="1"/>
  <c r="G33" i="82"/>
  <c r="C32" i="107" s="1"/>
  <c r="D32" i="107" s="1"/>
  <c r="G38" i="82"/>
  <c r="C37" i="107" s="1"/>
  <c r="D37" i="107" s="1"/>
  <c r="G14" i="83"/>
  <c r="G17" i="83"/>
  <c r="G18" i="82"/>
  <c r="C17" i="107" s="1"/>
  <c r="D17" i="107" s="1"/>
  <c r="G15" i="82"/>
  <c r="C14" i="107" s="1"/>
  <c r="D14" i="107" s="1"/>
  <c r="G28" i="82"/>
  <c r="C27" i="107" s="1"/>
  <c r="D27" i="107" s="1"/>
  <c r="G30" i="82"/>
  <c r="C29" i="107" s="1"/>
  <c r="D29" i="107" s="1"/>
  <c r="G40" i="82"/>
  <c r="C39" i="107" s="1"/>
  <c r="D39" i="107" s="1"/>
  <c r="G33" i="83"/>
  <c r="G12" i="40"/>
  <c r="G13" i="40" s="1"/>
  <c r="G34" i="82"/>
  <c r="C33" i="107" s="1"/>
  <c r="D33" i="107" s="1"/>
  <c r="G37" i="83"/>
  <c r="G21" i="82"/>
  <c r="C20" i="107" s="1"/>
  <c r="D20" i="107" s="1"/>
  <c r="G31" i="82"/>
  <c r="C30" i="107" s="1"/>
  <c r="D30" i="107" s="1"/>
  <c r="G41" i="82"/>
  <c r="C40" i="107" s="1"/>
  <c r="D40" i="107" s="1"/>
  <c r="G20" i="83"/>
  <c r="G31" i="83"/>
  <c r="G38" i="83"/>
  <c r="C42" i="81"/>
  <c r="C42" i="83"/>
  <c r="C42" i="82"/>
  <c r="C29" i="82"/>
  <c r="C29" i="81"/>
  <c r="C29" i="83"/>
  <c r="C23" i="82"/>
  <c r="C23" i="81"/>
  <c r="C23" i="83"/>
  <c r="C30" i="83"/>
  <c r="C30" i="81"/>
  <c r="C30" i="82"/>
  <c r="C41" i="82"/>
  <c r="C41" i="83"/>
  <c r="C41" i="81"/>
  <c r="C35" i="81"/>
  <c r="C35" i="82"/>
  <c r="C35" i="83"/>
  <c r="C22" i="83"/>
  <c r="C22" i="82"/>
  <c r="C22" i="81"/>
  <c r="C34" i="82"/>
  <c r="C34" i="81"/>
  <c r="C34" i="83"/>
  <c r="C21" i="81"/>
  <c r="C21" i="83"/>
  <c r="C21" i="82"/>
  <c r="C33" i="83"/>
  <c r="C33" i="82"/>
  <c r="C33" i="81"/>
  <c r="C27" i="81"/>
  <c r="C27" i="83"/>
  <c r="C27" i="82"/>
  <c r="C39" i="83"/>
  <c r="C39" i="81"/>
  <c r="C39" i="82"/>
  <c r="C26" i="82"/>
  <c r="C26" i="81"/>
  <c r="C26" i="83"/>
  <c r="C38" i="82"/>
  <c r="C38" i="83"/>
  <c r="C38" i="81"/>
  <c r="C25" i="83"/>
  <c r="C25" i="82"/>
  <c r="C25" i="81"/>
  <c r="C19" i="81"/>
  <c r="C19" i="82"/>
  <c r="C19" i="83"/>
  <c r="C37" i="83"/>
  <c r="C37" i="81"/>
  <c r="C37" i="82"/>
  <c r="C31" i="81"/>
  <c r="C31" i="82"/>
  <c r="C31" i="83"/>
  <c r="C18" i="81"/>
  <c r="C18" i="82"/>
  <c r="C18" i="83"/>
  <c r="C36" i="82"/>
  <c r="C40" i="81"/>
  <c r="C32" i="81"/>
  <c r="C24" i="81"/>
  <c r="C24" i="82"/>
  <c r="C36" i="83"/>
  <c r="C40" i="82"/>
  <c r="C32" i="83"/>
  <c r="C28" i="82"/>
  <c r="E16" i="40"/>
  <c r="H25" i="40"/>
  <c r="D16" i="40"/>
  <c r="F16" i="40"/>
  <c r="D56" i="103"/>
  <c r="D55" i="103"/>
  <c r="D59" i="103"/>
  <c r="D51" i="103"/>
  <c r="D50" i="103"/>
  <c r="D54" i="103"/>
  <c r="I45" i="83"/>
  <c r="V46" i="83"/>
  <c r="V47" i="83" s="1"/>
  <c r="V48" i="83" s="1"/>
  <c r="Q5" i="83"/>
  <c r="Q13" i="83"/>
  <c r="Q21" i="83"/>
  <c r="Q29" i="83"/>
  <c r="Q37" i="83"/>
  <c r="Q6" i="83"/>
  <c r="Q14" i="83"/>
  <c r="Q22" i="83"/>
  <c r="Q30" i="83"/>
  <c r="Q38" i="83"/>
  <c r="Q23" i="83"/>
  <c r="Q31" i="83"/>
  <c r="Q9" i="83"/>
  <c r="Q10" i="83"/>
  <c r="Q18" i="83"/>
  <c r="Q26" i="83"/>
  <c r="Q42" i="83"/>
  <c r="K49" i="82"/>
  <c r="K59" i="82"/>
  <c r="K54" i="82"/>
  <c r="C53" i="103" s="1"/>
  <c r="Q5" i="82"/>
  <c r="Q13" i="82"/>
  <c r="Q21" i="82"/>
  <c r="V47" i="82"/>
  <c r="V48" i="82" s="1"/>
  <c r="N44" i="82"/>
  <c r="N45" i="82" s="1"/>
  <c r="N46" i="82" s="1"/>
  <c r="N47" i="82" s="1"/>
  <c r="N48" i="82" s="1"/>
  <c r="N49" i="82" s="1"/>
  <c r="N50" i="82" s="1"/>
  <c r="N51" i="82" s="1"/>
  <c r="N52" i="82" s="1"/>
  <c r="N53" i="82" s="1"/>
  <c r="N54" i="82" s="1"/>
  <c r="N55" i="82" s="1"/>
  <c r="N56" i="82" s="1"/>
  <c r="N57" i="82" s="1"/>
  <c r="N58" i="82" s="1"/>
  <c r="N59" i="82" s="1"/>
  <c r="N60" i="82" s="1"/>
  <c r="N61" i="82" s="1"/>
  <c r="N62" i="82" s="1"/>
  <c r="N63" i="82" s="1"/>
  <c r="Q29" i="82"/>
  <c r="Q37" i="82"/>
  <c r="G44" i="82"/>
  <c r="C43" i="107" s="1"/>
  <c r="Q6" i="82"/>
  <c r="Q14" i="82"/>
  <c r="Q22" i="82"/>
  <c r="Q30" i="82"/>
  <c r="Q38" i="82"/>
  <c r="Q9" i="82"/>
  <c r="Q17" i="82"/>
  <c r="Q25" i="82"/>
  <c r="Q33" i="82"/>
  <c r="Q10" i="82"/>
  <c r="Q18" i="82"/>
  <c r="Q43" i="82"/>
  <c r="Q13" i="81"/>
  <c r="D3" i="40" s="1"/>
  <c r="D4" i="40" s="1"/>
  <c r="Q21" i="81"/>
  <c r="Q29" i="81"/>
  <c r="Q37" i="81"/>
  <c r="Q20" i="81"/>
  <c r="Q28" i="81"/>
  <c r="G18" i="81"/>
  <c r="B17" i="107" s="1"/>
  <c r="G34" i="81"/>
  <c r="B33" i="107" s="1"/>
  <c r="G19" i="81"/>
  <c r="B18" i="107" s="1"/>
  <c r="G12" i="81"/>
  <c r="B11" i="107" s="1"/>
  <c r="G26" i="81"/>
  <c r="B25" i="107" s="1"/>
  <c r="G14" i="81"/>
  <c r="B13" i="107" s="1"/>
  <c r="G21" i="81"/>
  <c r="B20" i="107" s="1"/>
  <c r="G29" i="81"/>
  <c r="B28" i="107" s="1"/>
  <c r="G33" i="81"/>
  <c r="B32" i="107" s="1"/>
  <c r="G42" i="81"/>
  <c r="B41" i="107" s="1"/>
  <c r="G22" i="81"/>
  <c r="B21" i="107" s="1"/>
  <c r="G16" i="81"/>
  <c r="B15" i="107" s="1"/>
  <c r="G40" i="81"/>
  <c r="B39" i="107" s="1"/>
  <c r="G27" i="81"/>
  <c r="B26" i="107" s="1"/>
  <c r="G32" i="81"/>
  <c r="B31" i="107" s="1"/>
  <c r="G15" i="81"/>
  <c r="B14" i="107" s="1"/>
  <c r="G17" i="81"/>
  <c r="B16" i="107" s="1"/>
  <c r="G24" i="81"/>
  <c r="B23" i="107" s="1"/>
  <c r="G20" i="81"/>
  <c r="B19" i="107" s="1"/>
  <c r="G35" i="81"/>
  <c r="B34" i="107" s="1"/>
  <c r="G37" i="81"/>
  <c r="B36" i="107" s="1"/>
  <c r="G23" i="81"/>
  <c r="B22" i="107" s="1"/>
  <c r="G31" i="81"/>
  <c r="B30" i="107" s="1"/>
  <c r="G28" i="81"/>
  <c r="B27" i="107" s="1"/>
  <c r="G30" i="81"/>
  <c r="B29" i="107" s="1"/>
  <c r="G36" i="81"/>
  <c r="B35" i="107" s="1"/>
  <c r="G38" i="81"/>
  <c r="B37" i="107" s="1"/>
  <c r="G25" i="81"/>
  <c r="B24" i="107" s="1"/>
  <c r="G39" i="81"/>
  <c r="B38" i="107" s="1"/>
  <c r="G41" i="81"/>
  <c r="B40" i="107" s="1"/>
  <c r="G13" i="81"/>
  <c r="B12" i="107" s="1"/>
  <c r="B16" i="41"/>
  <c r="D16" i="41" s="1"/>
  <c r="B17" i="41"/>
  <c r="D17" i="41" s="1"/>
  <c r="B18" i="41"/>
  <c r="D18" i="41" s="1"/>
  <c r="B19" i="41"/>
  <c r="D19" i="41" s="1"/>
  <c r="B20" i="41"/>
  <c r="D20" i="41" s="1"/>
  <c r="B21" i="41"/>
  <c r="D21" i="41" s="1"/>
  <c r="B22" i="41"/>
  <c r="D22" i="41" s="1"/>
  <c r="B23" i="41"/>
  <c r="D23" i="41" s="1"/>
  <c r="B24" i="41"/>
  <c r="D24" i="41" s="1"/>
  <c r="B25" i="41"/>
  <c r="B26" i="41"/>
  <c r="D26" i="41" s="1"/>
  <c r="B27" i="41"/>
  <c r="D27" i="41" s="1"/>
  <c r="B28" i="41"/>
  <c r="D28" i="41" s="1"/>
  <c r="B29" i="41"/>
  <c r="D29" i="41" s="1"/>
  <c r="B30" i="41"/>
  <c r="D30" i="41" s="1"/>
  <c r="B31" i="41"/>
  <c r="D31" i="41" s="1"/>
  <c r="B32" i="41"/>
  <c r="D32" i="41" s="1"/>
  <c r="B33" i="41"/>
  <c r="D33" i="41" s="1"/>
  <c r="B34" i="41"/>
  <c r="D34" i="41" s="1"/>
  <c r="B35" i="41"/>
  <c r="D35" i="41" s="1"/>
  <c r="B36" i="41"/>
  <c r="D36" i="41" s="1"/>
  <c r="B37" i="41"/>
  <c r="D37" i="41" s="1"/>
  <c r="B38" i="41"/>
  <c r="D38" i="41" s="1"/>
  <c r="B39" i="41"/>
  <c r="D39" i="41" s="1"/>
  <c r="B40" i="41"/>
  <c r="D40" i="41" s="1"/>
  <c r="D25" i="41"/>
  <c r="C30" i="41"/>
  <c r="E30" i="41" s="1"/>
  <c r="C26" i="41"/>
  <c r="E26" i="41" s="1"/>
  <c r="AB6" i="19"/>
  <c r="E4" i="7"/>
  <c r="E17" i="7"/>
  <c r="M17" i="7"/>
  <c r="M16" i="7"/>
  <c r="M15" i="7"/>
  <c r="M14" i="7"/>
  <c r="M13" i="7"/>
  <c r="M12" i="7"/>
  <c r="M11" i="7"/>
  <c r="M10" i="7"/>
  <c r="M9" i="7"/>
  <c r="M8" i="7"/>
  <c r="M7" i="7"/>
  <c r="M6" i="7"/>
  <c r="M5" i="7"/>
  <c r="E5" i="7"/>
  <c r="E6" i="7"/>
  <c r="E7" i="7"/>
  <c r="E8" i="7"/>
  <c r="E9" i="7"/>
  <c r="E10" i="7"/>
  <c r="E11" i="7"/>
  <c r="E12" i="7"/>
  <c r="E13" i="7"/>
  <c r="E14" i="7"/>
  <c r="E15" i="7"/>
  <c r="E16" i="7"/>
  <c r="D17" i="7"/>
  <c r="AB10" i="19"/>
  <c r="AB25" i="19"/>
  <c r="H5" i="19"/>
  <c r="I5" i="19"/>
  <c r="H6" i="19"/>
  <c r="I6" i="19"/>
  <c r="H7" i="19"/>
  <c r="I7" i="19"/>
  <c r="H8" i="19"/>
  <c r="I8" i="19"/>
  <c r="H9" i="19"/>
  <c r="I9" i="19"/>
  <c r="H10" i="19"/>
  <c r="I10" i="19"/>
  <c r="H11" i="19"/>
  <c r="I11" i="19"/>
  <c r="H12" i="19"/>
  <c r="I12" i="19"/>
  <c r="H13" i="19"/>
  <c r="I13" i="19"/>
  <c r="H14" i="19"/>
  <c r="I14" i="19"/>
  <c r="H15" i="19"/>
  <c r="I15" i="19"/>
  <c r="H16" i="19"/>
  <c r="I16" i="19"/>
  <c r="H17" i="19"/>
  <c r="I17" i="19"/>
  <c r="H18" i="19"/>
  <c r="I18" i="19"/>
  <c r="H19" i="19"/>
  <c r="I19" i="19"/>
  <c r="H20" i="19"/>
  <c r="I20" i="19"/>
  <c r="H21" i="19"/>
  <c r="I21" i="19"/>
  <c r="H22" i="19"/>
  <c r="I22" i="19"/>
  <c r="H23" i="19"/>
  <c r="I23" i="19"/>
  <c r="H24" i="19"/>
  <c r="I24" i="19"/>
  <c r="H25" i="19"/>
  <c r="I25" i="19"/>
  <c r="H26" i="19"/>
  <c r="I26" i="19"/>
  <c r="H27" i="19"/>
  <c r="I27" i="19"/>
  <c r="H28" i="19"/>
  <c r="I28" i="19"/>
  <c r="H29" i="19"/>
  <c r="I29" i="19"/>
  <c r="H30" i="19"/>
  <c r="I30" i="19"/>
  <c r="H31" i="19"/>
  <c r="I31" i="19"/>
  <c r="H32" i="19"/>
  <c r="I32" i="19"/>
  <c r="H33" i="19"/>
  <c r="I33" i="19"/>
  <c r="H34" i="19"/>
  <c r="I34" i="19"/>
  <c r="H35" i="19"/>
  <c r="I35" i="19"/>
  <c r="H36" i="19"/>
  <c r="I36" i="19"/>
  <c r="H37" i="19"/>
  <c r="I37" i="19"/>
  <c r="H38" i="19"/>
  <c r="I38" i="19"/>
  <c r="H39" i="19"/>
  <c r="I39" i="19"/>
  <c r="H40" i="19"/>
  <c r="I40" i="19"/>
  <c r="H41" i="19"/>
  <c r="I41" i="19"/>
  <c r="H42" i="19"/>
  <c r="I42" i="19"/>
  <c r="H43" i="19"/>
  <c r="I43" i="19"/>
  <c r="H44" i="19"/>
  <c r="I44" i="19"/>
  <c r="I4" i="19"/>
  <c r="H4" i="19"/>
  <c r="FM49" i="93" l="1"/>
  <c r="BV49" i="93"/>
  <c r="CD49" i="93" s="1"/>
  <c r="FT49" i="93" s="1"/>
  <c r="B45" i="64" s="1"/>
  <c r="FM49" i="96"/>
  <c r="EG50" i="96" s="1"/>
  <c r="BV49" i="96"/>
  <c r="CA60" i="96"/>
  <c r="CA61" i="96" s="1"/>
  <c r="AV61" i="93"/>
  <c r="AW61" i="93" s="1"/>
  <c r="AI61" i="93"/>
  <c r="AY59" i="93"/>
  <c r="AM59" i="93" s="1"/>
  <c r="AL59" i="93"/>
  <c r="AT62" i="93"/>
  <c r="AU62" i="93" s="1"/>
  <c r="AV62" i="93" s="1"/>
  <c r="AW62" i="93" s="1"/>
  <c r="AX62" i="93" s="1"/>
  <c r="AY62" i="93" s="1"/>
  <c r="AX60" i="93"/>
  <c r="AK60" i="93"/>
  <c r="CC54" i="93"/>
  <c r="FF64" i="93"/>
  <c r="H26" i="40"/>
  <c r="K55" i="82"/>
  <c r="K56" i="82" s="1"/>
  <c r="I15" i="40"/>
  <c r="Q44" i="83"/>
  <c r="Q45" i="83" s="1"/>
  <c r="Q46" i="83" s="1"/>
  <c r="Q47" i="83" s="1"/>
  <c r="Q48" i="83" s="1"/>
  <c r="Q49" i="83" s="1"/>
  <c r="Q50" i="83" s="1"/>
  <c r="Q51" i="83" s="1"/>
  <c r="Q52" i="83" s="1"/>
  <c r="Q53" i="83" s="1"/>
  <c r="Q54" i="83" s="1"/>
  <c r="Q55" i="83" s="1"/>
  <c r="Q56" i="83" s="1"/>
  <c r="Q57" i="83" s="1"/>
  <c r="Q58" i="83" s="1"/>
  <c r="Q59" i="83" s="1"/>
  <c r="Q60" i="83" s="1"/>
  <c r="Q61" i="83" s="1"/>
  <c r="Q62" i="83" s="1"/>
  <c r="Q63" i="83" s="1"/>
  <c r="J15" i="40"/>
  <c r="I45" i="82"/>
  <c r="C43" i="102"/>
  <c r="D43" i="102" s="1"/>
  <c r="Q44" i="82"/>
  <c r="K60" i="82"/>
  <c r="C58" i="103"/>
  <c r="K50" i="82"/>
  <c r="C48" i="103"/>
  <c r="C54" i="103"/>
  <c r="G16" i="40"/>
  <c r="G17" i="40"/>
  <c r="H14" i="40"/>
  <c r="FT48" i="93"/>
  <c r="AC52" i="93"/>
  <c r="U51" i="93"/>
  <c r="AA52" i="93"/>
  <c r="S51" i="93"/>
  <c r="AE51" i="93"/>
  <c r="W50" i="93"/>
  <c r="EP50" i="93" s="1"/>
  <c r="CE57" i="96"/>
  <c r="CE58" i="96" s="1"/>
  <c r="CC56" i="96"/>
  <c r="CE55" i="93"/>
  <c r="CE56" i="93" s="1"/>
  <c r="CA59" i="93"/>
  <c r="CA60" i="93" s="1"/>
  <c r="ES62" i="97"/>
  <c r="EW62" i="97" s="1"/>
  <c r="EZ62" i="97" s="1"/>
  <c r="EY61" i="97"/>
  <c r="FB61" i="97" s="1"/>
  <c r="EX61" i="97"/>
  <c r="FA61" i="97" s="1"/>
  <c r="BT48" i="97"/>
  <c r="EE48" i="97" s="1"/>
  <c r="FI55" i="97"/>
  <c r="DM57" i="97"/>
  <c r="CQ66" i="97"/>
  <c r="CP66" i="97"/>
  <c r="CT66" i="97" s="1"/>
  <c r="BT49" i="97"/>
  <c r="EE49" i="97" s="1"/>
  <c r="FR49" i="97"/>
  <c r="CY60" i="97"/>
  <c r="AM51" i="97"/>
  <c r="AM52" i="97" s="1"/>
  <c r="AM53" i="97" s="1"/>
  <c r="AM54" i="97" s="1"/>
  <c r="AM55" i="97" s="1"/>
  <c r="AM56" i="97" s="1"/>
  <c r="AM57" i="97" s="1"/>
  <c r="AM58" i="97" s="1"/>
  <c r="FT47" i="97"/>
  <c r="AD47" i="97"/>
  <c r="CU65" i="97"/>
  <c r="CH65" i="97"/>
  <c r="CI51" i="97"/>
  <c r="CA50" i="97"/>
  <c r="FQ50" i="97" s="1"/>
  <c r="CV63" i="97"/>
  <c r="FL50" i="97"/>
  <c r="EM51" i="97" s="1"/>
  <c r="T50" i="97"/>
  <c r="AB50" i="97" s="1"/>
  <c r="CB50" i="97" s="1"/>
  <c r="CY58" i="97"/>
  <c r="CY61" i="97"/>
  <c r="FU47" i="97"/>
  <c r="AE47" i="97"/>
  <c r="AQ65" i="97"/>
  <c r="CV64" i="97"/>
  <c r="CY59" i="97"/>
  <c r="AW61" i="97"/>
  <c r="AJ61" i="97"/>
  <c r="AY60" i="97"/>
  <c r="FF65" i="97"/>
  <c r="FM51" i="97"/>
  <c r="EG52" i="97" s="1"/>
  <c r="BV51" i="97"/>
  <c r="AP64" i="97"/>
  <c r="AT64" i="97" s="1"/>
  <c r="DJ54" i="97"/>
  <c r="DL54" i="97"/>
  <c r="BU54" i="97"/>
  <c r="EF53" i="97"/>
  <c r="AU63" i="97"/>
  <c r="AH63" i="97"/>
  <c r="FP47" i="97"/>
  <c r="BR47" i="97"/>
  <c r="EC47" i="97" s="1"/>
  <c r="AL59" i="97"/>
  <c r="AL60" i="97" s="1"/>
  <c r="AY59" i="97"/>
  <c r="AV62" i="97"/>
  <c r="AI62" i="97"/>
  <c r="BS55" i="97"/>
  <c r="ED54" i="97"/>
  <c r="U47" i="97"/>
  <c r="EN47" i="97" s="1"/>
  <c r="BW53" i="97"/>
  <c r="EH52" i="97"/>
  <c r="DO60" i="97"/>
  <c r="S48" i="97"/>
  <c r="EL48" i="97" s="1"/>
  <c r="EK48" i="97" s="1"/>
  <c r="AA49" i="97"/>
  <c r="CL48" i="97"/>
  <c r="CC48" i="97"/>
  <c r="FS48" i="97" s="1"/>
  <c r="CK49" i="97"/>
  <c r="DK55" i="97"/>
  <c r="CW62" i="97"/>
  <c r="CJ62" i="97"/>
  <c r="CM48" i="97"/>
  <c r="CE48" i="97" s="1"/>
  <c r="FU48" i="97" s="1"/>
  <c r="DN59" i="97"/>
  <c r="AM49" i="96"/>
  <c r="AM50" i="96" s="1"/>
  <c r="AM51" i="96" s="1"/>
  <c r="AM52" i="96" s="1"/>
  <c r="AM53" i="96" s="1"/>
  <c r="AM54" i="96" s="1"/>
  <c r="AM55" i="96" s="1"/>
  <c r="AM56" i="96" s="1"/>
  <c r="AM57" i="96" s="1"/>
  <c r="EL50" i="93"/>
  <c r="FR49" i="96"/>
  <c r="C45" i="63" s="1"/>
  <c r="BT49" i="96"/>
  <c r="EE49" i="96" s="1"/>
  <c r="FF65" i="96"/>
  <c r="FE65" i="96" s="1"/>
  <c r="FS48" i="96"/>
  <c r="CK49" i="96"/>
  <c r="BU49" i="96" s="1"/>
  <c r="EF49" i="96" s="1"/>
  <c r="CU65" i="96"/>
  <c r="CH65" i="96"/>
  <c r="CL48" i="96"/>
  <c r="CW63" i="96"/>
  <c r="CJ63" i="96"/>
  <c r="CI51" i="96"/>
  <c r="BS51" i="96" s="1"/>
  <c r="ED51" i="96" s="1"/>
  <c r="FQ50" i="96"/>
  <c r="C46" i="58" s="1"/>
  <c r="CX62" i="96"/>
  <c r="CQ66" i="96"/>
  <c r="CP66" i="96" s="1"/>
  <c r="CT66" i="96" s="1"/>
  <c r="CM48" i="96"/>
  <c r="BR47" i="96"/>
  <c r="EC47" i="96" s="1"/>
  <c r="FP47" i="96"/>
  <c r="CY61" i="96"/>
  <c r="CY59" i="96"/>
  <c r="T51" i="96"/>
  <c r="AB51" i="96" s="1"/>
  <c r="CB51" i="96" s="1"/>
  <c r="FL51" i="96"/>
  <c r="EM52" i="96" s="1"/>
  <c r="AV62" i="96"/>
  <c r="AI62" i="96"/>
  <c r="FT47" i="96"/>
  <c r="AD47" i="96"/>
  <c r="U47" i="96"/>
  <c r="EN47" i="96" s="1"/>
  <c r="FR50" i="96"/>
  <c r="C46" i="63" s="1"/>
  <c r="BT50" i="96"/>
  <c r="EE50" i="96" s="1"/>
  <c r="CY60" i="96"/>
  <c r="CY58" i="96"/>
  <c r="FU47" i="96"/>
  <c r="AE47" i="96"/>
  <c r="FH64" i="96"/>
  <c r="AW61" i="96"/>
  <c r="AJ61" i="96"/>
  <c r="AK60" i="96"/>
  <c r="AX60" i="96"/>
  <c r="AU63" i="96"/>
  <c r="AH63" i="96"/>
  <c r="AY58" i="96"/>
  <c r="AL58" i="96"/>
  <c r="AL59" i="96" s="1"/>
  <c r="AY59" i="96"/>
  <c r="AQ64" i="96"/>
  <c r="AP64" i="96" s="1"/>
  <c r="AT64" i="96" s="1"/>
  <c r="FE64" i="96"/>
  <c r="S48" i="96"/>
  <c r="EL48" i="96" s="1"/>
  <c r="EK48" i="96" s="1"/>
  <c r="AA49" i="96"/>
  <c r="CV64" i="96"/>
  <c r="CM52" i="93"/>
  <c r="BW52" i="93" s="1"/>
  <c r="EH52" i="93" s="1"/>
  <c r="CK52" i="93"/>
  <c r="CJ52" i="93"/>
  <c r="CI52" i="93"/>
  <c r="BS52" i="93" s="1"/>
  <c r="ED52" i="93" s="1"/>
  <c r="FQ51" i="93"/>
  <c r="B47" i="58" s="1"/>
  <c r="FS51" i="93"/>
  <c r="B47" i="59" s="1"/>
  <c r="T50" i="93"/>
  <c r="AB50" i="93" s="1"/>
  <c r="CB50" i="93" s="1"/>
  <c r="FL50" i="93"/>
  <c r="EM51" i="93" s="1"/>
  <c r="BT49" i="93"/>
  <c r="EE49" i="93" s="1"/>
  <c r="FR49" i="93"/>
  <c r="B45" i="63" s="1"/>
  <c r="BR47" i="93"/>
  <c r="EC47" i="93" s="1"/>
  <c r="FV47" i="93"/>
  <c r="FK47" i="93"/>
  <c r="EK48" i="93" s="1"/>
  <c r="CL52" i="93"/>
  <c r="EN50" i="93"/>
  <c r="FU52" i="93"/>
  <c r="B48" i="60" s="1"/>
  <c r="AJ54" i="93"/>
  <c r="AH52" i="93"/>
  <c r="AQ63" i="93"/>
  <c r="FH65" i="93"/>
  <c r="FG65" i="93" s="1"/>
  <c r="Q45" i="81"/>
  <c r="Q46" i="81" s="1"/>
  <c r="Q47" i="81" s="1"/>
  <c r="Q48" i="81" s="1"/>
  <c r="H3" i="40" s="1"/>
  <c r="J26" i="40"/>
  <c r="F11" i="81"/>
  <c r="G11" i="81" s="1"/>
  <c r="B10" i="107" s="1"/>
  <c r="F11" i="82"/>
  <c r="G11" i="82" s="1"/>
  <c r="C10" i="107" s="1"/>
  <c r="D10" i="107" s="1"/>
  <c r="F11" i="83"/>
  <c r="G11" i="83" s="1"/>
  <c r="Y15" i="6"/>
  <c r="F54" i="81"/>
  <c r="F55" i="81" s="1"/>
  <c r="F56" i="81" s="1"/>
  <c r="F57" i="81" s="1"/>
  <c r="F58" i="81" s="1"/>
  <c r="I14" i="40"/>
  <c r="F18" i="7"/>
  <c r="G18" i="7" s="1"/>
  <c r="E20" i="82"/>
  <c r="E20" i="81"/>
  <c r="E20" i="83"/>
  <c r="E40" i="82"/>
  <c r="E40" i="81"/>
  <c r="E40" i="83"/>
  <c r="E24" i="82"/>
  <c r="E24" i="81"/>
  <c r="E24" i="83"/>
  <c r="E36" i="81"/>
  <c r="E36" i="83"/>
  <c r="E36" i="82"/>
  <c r="C34" i="41"/>
  <c r="E34" i="41" s="1"/>
  <c r="E28" i="81"/>
  <c r="E28" i="82"/>
  <c r="E28" i="83"/>
  <c r="C18" i="41"/>
  <c r="E18" i="41" s="1"/>
  <c r="C38" i="41"/>
  <c r="E38" i="41" s="1"/>
  <c r="C22" i="41"/>
  <c r="E22" i="41" s="1"/>
  <c r="E32" i="81"/>
  <c r="E32" i="83"/>
  <c r="E32" i="82"/>
  <c r="F8" i="40"/>
  <c r="F9" i="40" s="1"/>
  <c r="E8" i="40"/>
  <c r="E9" i="40" s="1"/>
  <c r="D61" i="103"/>
  <c r="D60" i="103"/>
  <c r="V49" i="83"/>
  <c r="I46" i="83"/>
  <c r="V49" i="82"/>
  <c r="N46" i="81"/>
  <c r="D16" i="7"/>
  <c r="D15" i="7"/>
  <c r="F15" i="7" s="1"/>
  <c r="G15" i="7" s="1"/>
  <c r="D14" i="7"/>
  <c r="D13" i="7"/>
  <c r="F13" i="7" s="1"/>
  <c r="G13" i="7" s="1"/>
  <c r="D12" i="7"/>
  <c r="F12" i="7" s="1"/>
  <c r="G12" i="7" s="1"/>
  <c r="D11" i="7"/>
  <c r="D10" i="7"/>
  <c r="D9" i="7"/>
  <c r="F9" i="7" s="1"/>
  <c r="G9" i="7" s="1"/>
  <c r="D8" i="7"/>
  <c r="D6" i="7"/>
  <c r="F6" i="7" s="1"/>
  <c r="G6" i="7" s="1"/>
  <c r="D5" i="7"/>
  <c r="F5" i="7" s="1"/>
  <c r="G5" i="7" s="1"/>
  <c r="D7" i="7"/>
  <c r="L5" i="7"/>
  <c r="L17" i="7"/>
  <c r="L16" i="7"/>
  <c r="L15" i="7"/>
  <c r="N15" i="7" s="1"/>
  <c r="O15" i="7" s="1"/>
  <c r="L14" i="7"/>
  <c r="N14" i="7" s="1"/>
  <c r="O14" i="7" s="1"/>
  <c r="L13" i="7"/>
  <c r="N13" i="7" s="1"/>
  <c r="O13" i="7" s="1"/>
  <c r="L12" i="7"/>
  <c r="L11" i="7"/>
  <c r="N11" i="7" s="1"/>
  <c r="O11" i="7" s="1"/>
  <c r="L10" i="7"/>
  <c r="N10" i="7" s="1"/>
  <c r="O10" i="7" s="1"/>
  <c r="L9" i="7"/>
  <c r="L8" i="7"/>
  <c r="L7" i="7"/>
  <c r="N7" i="7" s="1"/>
  <c r="O7" i="7" s="1"/>
  <c r="L6" i="7"/>
  <c r="O6" i="7" s="1"/>
  <c r="K67" i="22"/>
  <c r="D733" i="22"/>
  <c r="V7" i="19"/>
  <c r="V11" i="19"/>
  <c r="V15" i="19"/>
  <c r="V19" i="19"/>
  <c r="V23" i="19"/>
  <c r="V27" i="19"/>
  <c r="V31" i="19"/>
  <c r="V35" i="19"/>
  <c r="V39" i="19"/>
  <c r="V43" i="19"/>
  <c r="AB43" i="19"/>
  <c r="AB42" i="19"/>
  <c r="V4" i="19"/>
  <c r="V5" i="19"/>
  <c r="V6" i="19"/>
  <c r="V8" i="19"/>
  <c r="V9" i="19"/>
  <c r="V10" i="19"/>
  <c r="V12" i="19"/>
  <c r="V13" i="19"/>
  <c r="V14" i="19"/>
  <c r="V16" i="19"/>
  <c r="V17" i="19"/>
  <c r="V18" i="19"/>
  <c r="V20" i="19"/>
  <c r="V21" i="19"/>
  <c r="V22" i="19"/>
  <c r="V24" i="19"/>
  <c r="V25" i="19"/>
  <c r="V26" i="19"/>
  <c r="V28" i="19"/>
  <c r="V29" i="19"/>
  <c r="V30" i="19"/>
  <c r="V32" i="19"/>
  <c r="V33" i="19"/>
  <c r="V34" i="19"/>
  <c r="V36" i="19"/>
  <c r="V37" i="19"/>
  <c r="V38" i="19"/>
  <c r="V40" i="19"/>
  <c r="V41" i="19"/>
  <c r="V42" i="19"/>
  <c r="P4" i="19"/>
  <c r="P5" i="19"/>
  <c r="P6" i="19"/>
  <c r="P7" i="19"/>
  <c r="P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3" i="19"/>
  <c r="N4" i="19"/>
  <c r="N5" i="19"/>
  <c r="N6" i="19"/>
  <c r="N7" i="19"/>
  <c r="N8" i="19"/>
  <c r="N9" i="19"/>
  <c r="N10" i="19"/>
  <c r="N11" i="19"/>
  <c r="N12" i="19"/>
  <c r="N13" i="19"/>
  <c r="N14" i="19"/>
  <c r="N15" i="19"/>
  <c r="N16" i="19"/>
  <c r="N17" i="19"/>
  <c r="N18" i="19"/>
  <c r="N19" i="19"/>
  <c r="N20" i="19"/>
  <c r="N21" i="19"/>
  <c r="N22" i="19"/>
  <c r="N23" i="19"/>
  <c r="N24" i="19"/>
  <c r="N25" i="19"/>
  <c r="N26" i="19"/>
  <c r="N27" i="19"/>
  <c r="N28" i="19"/>
  <c r="N29" i="19"/>
  <c r="N30" i="19"/>
  <c r="N31" i="19"/>
  <c r="N32" i="19"/>
  <c r="N33" i="19"/>
  <c r="N34" i="19"/>
  <c r="N35" i="19"/>
  <c r="N36" i="19"/>
  <c r="N37" i="19"/>
  <c r="N38" i="19"/>
  <c r="N39" i="19"/>
  <c r="N40" i="19"/>
  <c r="N41" i="19"/>
  <c r="N42" i="19"/>
  <c r="N43" i="19"/>
  <c r="N3" i="19"/>
  <c r="M4" i="19"/>
  <c r="M5" i="19"/>
  <c r="M6" i="19"/>
  <c r="M7" i="19"/>
  <c r="M8" i="19"/>
  <c r="M9" i="19"/>
  <c r="M10" i="19"/>
  <c r="M11" i="19"/>
  <c r="M12" i="19"/>
  <c r="M13" i="19"/>
  <c r="M14" i="19"/>
  <c r="M15" i="19"/>
  <c r="M16" i="19"/>
  <c r="M17" i="19"/>
  <c r="M18" i="19"/>
  <c r="M19" i="19"/>
  <c r="M20" i="19"/>
  <c r="M21" i="19"/>
  <c r="M22" i="19"/>
  <c r="M23" i="19"/>
  <c r="M24" i="19"/>
  <c r="M25" i="19"/>
  <c r="M26" i="19"/>
  <c r="M27" i="19"/>
  <c r="M28" i="19"/>
  <c r="M29" i="19"/>
  <c r="M30" i="19"/>
  <c r="M31" i="19"/>
  <c r="M32" i="19"/>
  <c r="M33" i="19"/>
  <c r="M34" i="19"/>
  <c r="M35" i="19"/>
  <c r="M36" i="19"/>
  <c r="M37" i="19"/>
  <c r="M38" i="19"/>
  <c r="M39" i="19"/>
  <c r="M40" i="19"/>
  <c r="M41" i="19"/>
  <c r="M42" i="19"/>
  <c r="M43" i="19"/>
  <c r="O3" i="19"/>
  <c r="J10" i="19"/>
  <c r="J11" i="19"/>
  <c r="J12" i="19"/>
  <c r="J13" i="19"/>
  <c r="J14" i="19"/>
  <c r="J15" i="19"/>
  <c r="J16" i="19"/>
  <c r="J17" i="19"/>
  <c r="J18" i="19"/>
  <c r="J19" i="19"/>
  <c r="J20" i="19"/>
  <c r="J21" i="19"/>
  <c r="J22" i="19"/>
  <c r="J23" i="19"/>
  <c r="J24" i="19"/>
  <c r="J25" i="19"/>
  <c r="J26" i="19"/>
  <c r="J27" i="19"/>
  <c r="J28" i="19"/>
  <c r="J29" i="19"/>
  <c r="J30" i="19"/>
  <c r="J31" i="19"/>
  <c r="J32" i="19"/>
  <c r="J33" i="19"/>
  <c r="J34" i="19"/>
  <c r="J35" i="19"/>
  <c r="J36" i="19"/>
  <c r="J37" i="19"/>
  <c r="J38" i="19"/>
  <c r="J39" i="19"/>
  <c r="J40" i="19"/>
  <c r="J41" i="19"/>
  <c r="J42" i="19"/>
  <c r="J43" i="19"/>
  <c r="AD49" i="93" l="1"/>
  <c r="V49" i="93" s="1"/>
  <c r="EO49" i="93" s="1"/>
  <c r="EG50" i="93"/>
  <c r="FM50" i="93" s="1"/>
  <c r="EG51" i="93" s="1"/>
  <c r="FM50" i="96"/>
  <c r="EG51" i="96" s="1"/>
  <c r="BV50" i="96"/>
  <c r="AI62" i="93"/>
  <c r="FK48" i="93"/>
  <c r="EK49" i="93" s="1"/>
  <c r="R49" i="93" s="1"/>
  <c r="R48" i="93"/>
  <c r="Z48" i="93" s="1"/>
  <c r="BZ48" i="93" s="1"/>
  <c r="FP48" i="93" s="1"/>
  <c r="CA62" i="96"/>
  <c r="CA63" i="96" s="1"/>
  <c r="AY60" i="93"/>
  <c r="AM60" i="93" s="1"/>
  <c r="AL60" i="93"/>
  <c r="AX61" i="93"/>
  <c r="AK61" i="93"/>
  <c r="AK62" i="93" s="1"/>
  <c r="CC55" i="93"/>
  <c r="CC56" i="93" s="1"/>
  <c r="FF65" i="93"/>
  <c r="FE64" i="93"/>
  <c r="FI64" i="93" s="1"/>
  <c r="P44" i="83"/>
  <c r="K51" i="82"/>
  <c r="C49" i="103"/>
  <c r="K61" i="82"/>
  <c r="C59" i="103"/>
  <c r="I46" i="82"/>
  <c r="C44" i="102"/>
  <c r="D44" i="102" s="1"/>
  <c r="K57" i="82"/>
  <c r="C56" i="103" s="1"/>
  <c r="C55" i="103"/>
  <c r="B44" i="102"/>
  <c r="FU48" i="96"/>
  <c r="BW48" i="96"/>
  <c r="EH48" i="96" s="1"/>
  <c r="FS52" i="93"/>
  <c r="B48" i="59" s="1"/>
  <c r="BU52" i="93"/>
  <c r="EF52" i="93" s="1"/>
  <c r="AC53" i="93"/>
  <c r="U52" i="93"/>
  <c r="AA53" i="93"/>
  <c r="S52" i="93"/>
  <c r="AE52" i="93"/>
  <c r="W51" i="93"/>
  <c r="EP51" i="93" s="1"/>
  <c r="CE59" i="96"/>
  <c r="CC57" i="96"/>
  <c r="CE57" i="93"/>
  <c r="CA61" i="93"/>
  <c r="EW63" i="97"/>
  <c r="EZ63" i="97" s="1"/>
  <c r="ES63" i="97"/>
  <c r="EY62" i="97"/>
  <c r="FB62" i="97" s="1"/>
  <c r="EX62" i="97"/>
  <c r="FA62" i="97" s="1"/>
  <c r="FI56" i="97"/>
  <c r="R48" i="97"/>
  <c r="Z48" i="97" s="1"/>
  <c r="BZ48" i="97" s="1"/>
  <c r="FK48" i="97"/>
  <c r="ED55" i="97"/>
  <c r="BS56" i="97"/>
  <c r="DJ55" i="97"/>
  <c r="AA50" i="97"/>
  <c r="S49" i="97"/>
  <c r="EL49" i="97" s="1"/>
  <c r="AV63" i="97"/>
  <c r="AI63" i="97"/>
  <c r="DK56" i="97"/>
  <c r="CW64" i="97"/>
  <c r="CC49" i="97"/>
  <c r="FS49" i="97" s="1"/>
  <c r="CK50" i="97"/>
  <c r="FV47" i="97"/>
  <c r="AW62" i="97"/>
  <c r="AJ62" i="97"/>
  <c r="AH64" i="97"/>
  <c r="AU64" i="97"/>
  <c r="AM60" i="97"/>
  <c r="CI52" i="97"/>
  <c r="CA51" i="97"/>
  <c r="FQ51" i="97" s="1"/>
  <c r="CW63" i="97"/>
  <c r="CJ63" i="97"/>
  <c r="CJ64" i="97" s="1"/>
  <c r="CD48" i="97"/>
  <c r="FT48" i="97" s="1"/>
  <c r="CL49" i="97"/>
  <c r="CX62" i="97"/>
  <c r="DL55" i="97"/>
  <c r="AC48" i="97"/>
  <c r="AM59" i="97"/>
  <c r="AP66" i="97"/>
  <c r="AT66" i="97" s="1"/>
  <c r="AQ66" i="97"/>
  <c r="FF66" i="97"/>
  <c r="EF54" i="97"/>
  <c r="BU55" i="97"/>
  <c r="FM52" i="97"/>
  <c r="EG53" i="97" s="1"/>
  <c r="BV52" i="97"/>
  <c r="AP65" i="97"/>
  <c r="AT65" i="97" s="1"/>
  <c r="FR50" i="97"/>
  <c r="BT50" i="97"/>
  <c r="EE50" i="97" s="1"/>
  <c r="CV65" i="97"/>
  <c r="CM49" i="97"/>
  <c r="V47" i="97"/>
  <c r="EO47" i="97" s="1"/>
  <c r="DL56" i="97"/>
  <c r="EH53" i="97"/>
  <c r="BW54" i="97"/>
  <c r="CU66" i="97"/>
  <c r="CH66" i="97"/>
  <c r="DO61" i="97"/>
  <c r="DO62" i="97" s="1"/>
  <c r="DN60" i="97"/>
  <c r="AK61" i="97"/>
  <c r="AX61" i="97"/>
  <c r="W47" i="97"/>
  <c r="EP47" i="97" s="1"/>
  <c r="AE48" i="97"/>
  <c r="FL51" i="97"/>
  <c r="EM52" i="97" s="1"/>
  <c r="T51" i="97"/>
  <c r="AB51" i="97" s="1"/>
  <c r="CB51" i="97" s="1"/>
  <c r="DM58" i="97"/>
  <c r="AU64" i="96"/>
  <c r="AH64" i="96"/>
  <c r="R48" i="96"/>
  <c r="Z48" i="96" s="1"/>
  <c r="BZ48" i="96" s="1"/>
  <c r="FK48" i="96"/>
  <c r="CI52" i="96"/>
  <c r="BS52" i="96" s="1"/>
  <c r="ED52" i="96" s="1"/>
  <c r="FQ51" i="96"/>
  <c r="C47" i="58" s="1"/>
  <c r="AK61" i="96"/>
  <c r="AX61" i="96"/>
  <c r="CW64" i="96"/>
  <c r="CJ64" i="96"/>
  <c r="AW62" i="96"/>
  <c r="AJ62" i="96"/>
  <c r="AM58" i="96"/>
  <c r="AM59" i="96" s="1"/>
  <c r="CV65" i="96"/>
  <c r="FH65" i="96"/>
  <c r="FG65" i="96" s="1"/>
  <c r="FI65" i="96" s="1"/>
  <c r="AC48" i="96"/>
  <c r="T52" i="96"/>
  <c r="AB52" i="96" s="1"/>
  <c r="CB52" i="96" s="1"/>
  <c r="FL52" i="96"/>
  <c r="EM53" i="96" s="1"/>
  <c r="FV47" i="96"/>
  <c r="S49" i="96"/>
  <c r="EL49" i="96" s="1"/>
  <c r="AA50" i="96"/>
  <c r="AV63" i="96"/>
  <c r="AI63" i="96"/>
  <c r="FG64" i="96"/>
  <c r="FI64" i="96" s="1"/>
  <c r="V47" i="96"/>
  <c r="EO47" i="96" s="1"/>
  <c r="BT51" i="96"/>
  <c r="EE51" i="96" s="1"/>
  <c r="FR51" i="96"/>
  <c r="C47" i="63" s="1"/>
  <c r="FS49" i="96"/>
  <c r="C45" i="59" s="1"/>
  <c r="CK50" i="96"/>
  <c r="BU50" i="96" s="1"/>
  <c r="EF50" i="96" s="1"/>
  <c r="AL60" i="96"/>
  <c r="AY60" i="96"/>
  <c r="W47" i="96"/>
  <c r="EP47" i="96" s="1"/>
  <c r="AE48" i="96"/>
  <c r="CU66" i="96"/>
  <c r="CH66" i="96"/>
  <c r="CY62" i="96"/>
  <c r="CX63" i="96"/>
  <c r="AQ65" i="96"/>
  <c r="AP65" i="96" s="1"/>
  <c r="AT65" i="96" s="1"/>
  <c r="CM49" i="96"/>
  <c r="BW49" i="96" s="1"/>
  <c r="EH49" i="96" s="1"/>
  <c r="CD48" i="96"/>
  <c r="FT48" i="96" s="1"/>
  <c r="CL49" i="96"/>
  <c r="FF66" i="96"/>
  <c r="FE66" i="96" s="1"/>
  <c r="CJ53" i="93"/>
  <c r="CK53" i="93"/>
  <c r="BU53" i="93" s="1"/>
  <c r="EF53" i="93" s="1"/>
  <c r="CI53" i="93"/>
  <c r="BS53" i="93" s="1"/>
  <c r="ED53" i="93" s="1"/>
  <c r="FQ52" i="93"/>
  <c r="B48" i="58" s="1"/>
  <c r="CM53" i="93"/>
  <c r="T51" i="93"/>
  <c r="AB51" i="93" s="1"/>
  <c r="CB51" i="93" s="1"/>
  <c r="FL51" i="93"/>
  <c r="EM52" i="93" s="1"/>
  <c r="BT50" i="93"/>
  <c r="EE50" i="93" s="1"/>
  <c r="FR50" i="93"/>
  <c r="B46" i="63" s="1"/>
  <c r="AH53" i="93"/>
  <c r="AJ55" i="93"/>
  <c r="EN51" i="93"/>
  <c r="EL51" i="93"/>
  <c r="FS53" i="93"/>
  <c r="B49" i="59" s="1"/>
  <c r="CL53" i="93"/>
  <c r="AQ64" i="93"/>
  <c r="AP64" i="93" s="1"/>
  <c r="AP63" i="93"/>
  <c r="FH66" i="93"/>
  <c r="FG66" i="93" s="1"/>
  <c r="P45" i="81"/>
  <c r="P46" i="81" s="1"/>
  <c r="Q49" i="81"/>
  <c r="Q50" i="81" s="1"/>
  <c r="Q51" i="81" s="1"/>
  <c r="Q52" i="81" s="1"/>
  <c r="Q53" i="81" s="1"/>
  <c r="Q54" i="81" s="1"/>
  <c r="Q55" i="81" s="1"/>
  <c r="Q56" i="81" s="1"/>
  <c r="Q57" i="81" s="1"/>
  <c r="Q58" i="81" s="1"/>
  <c r="F10" i="81"/>
  <c r="G10" i="81" s="1"/>
  <c r="B9" i="107" s="1"/>
  <c r="F10" i="82"/>
  <c r="G10" i="82" s="1"/>
  <c r="C9" i="107" s="1"/>
  <c r="D9" i="107" s="1"/>
  <c r="Y14" i="6"/>
  <c r="F10" i="83"/>
  <c r="G10" i="83" s="1"/>
  <c r="F59" i="81"/>
  <c r="F60" i="81" s="1"/>
  <c r="F61" i="81" s="1"/>
  <c r="F62" i="81" s="1"/>
  <c r="F63" i="81" s="1"/>
  <c r="J14" i="40"/>
  <c r="N8" i="7"/>
  <c r="O8" i="7" s="1"/>
  <c r="N9" i="7"/>
  <c r="O9" i="7" s="1"/>
  <c r="N18" i="7"/>
  <c r="O18" i="7" s="1"/>
  <c r="N17" i="7"/>
  <c r="O17" i="7" s="1"/>
  <c r="F11" i="7"/>
  <c r="G11" i="7" s="1"/>
  <c r="N16" i="7"/>
  <c r="O16" i="7" s="1"/>
  <c r="N5" i="7"/>
  <c r="N12" i="7"/>
  <c r="O12" i="7" s="1"/>
  <c r="F8" i="7"/>
  <c r="G8" i="7" s="1"/>
  <c r="F16" i="7"/>
  <c r="G16" i="7" s="1"/>
  <c r="F10" i="7"/>
  <c r="G10" i="7" s="1"/>
  <c r="C9" i="81" s="1"/>
  <c r="F17" i="7"/>
  <c r="G17" i="7" s="1"/>
  <c r="F7" i="7"/>
  <c r="G7" i="7" s="1"/>
  <c r="F14" i="7"/>
  <c r="G14" i="7" s="1"/>
  <c r="E19" i="83"/>
  <c r="E19" i="81"/>
  <c r="E19" i="82"/>
  <c r="C17" i="41"/>
  <c r="E17" i="41" s="1"/>
  <c r="E18" i="83"/>
  <c r="E18" i="82"/>
  <c r="E18" i="81"/>
  <c r="C16" i="41"/>
  <c r="E16" i="41" s="1"/>
  <c r="B3" i="41"/>
  <c r="D3" i="41" s="1"/>
  <c r="C5" i="83"/>
  <c r="C5" i="81"/>
  <c r="C5" i="82"/>
  <c r="C14" i="83"/>
  <c r="C14" i="82"/>
  <c r="B12" i="41"/>
  <c r="D12" i="41" s="1"/>
  <c r="C14" i="81"/>
  <c r="E41" i="83"/>
  <c r="E41" i="81"/>
  <c r="E41" i="82"/>
  <c r="C39" i="41"/>
  <c r="E39" i="41" s="1"/>
  <c r="E25" i="82"/>
  <c r="E25" i="83"/>
  <c r="E25" i="81"/>
  <c r="C23" i="41"/>
  <c r="E23" i="41" s="1"/>
  <c r="C17" i="82"/>
  <c r="C17" i="81"/>
  <c r="B15" i="41"/>
  <c r="D15" i="41" s="1"/>
  <c r="C17" i="83"/>
  <c r="E42" i="82"/>
  <c r="E42" i="83"/>
  <c r="E42" i="81"/>
  <c r="C40" i="41"/>
  <c r="E40" i="41" s="1"/>
  <c r="C8" i="83"/>
  <c r="B6" i="41"/>
  <c r="D6" i="41" s="1"/>
  <c r="C8" i="81"/>
  <c r="C8" i="82"/>
  <c r="E39" i="82"/>
  <c r="E39" i="81"/>
  <c r="E39" i="83"/>
  <c r="C37" i="41"/>
  <c r="E37" i="41" s="1"/>
  <c r="E37" i="81"/>
  <c r="E37" i="83"/>
  <c r="E37" i="82"/>
  <c r="C35" i="41"/>
  <c r="E35" i="41" s="1"/>
  <c r="E38" i="81"/>
  <c r="E38" i="82"/>
  <c r="E38" i="83"/>
  <c r="C36" i="41"/>
  <c r="E36" i="41" s="1"/>
  <c r="E8" i="82"/>
  <c r="E8" i="81"/>
  <c r="E8" i="83"/>
  <c r="C6" i="41"/>
  <c r="E6" i="41" s="1"/>
  <c r="B7" i="41"/>
  <c r="D7" i="41" s="1"/>
  <c r="C9" i="83"/>
  <c r="C9" i="82"/>
  <c r="E35" i="82"/>
  <c r="E35" i="83"/>
  <c r="E35" i="81"/>
  <c r="C33" i="41"/>
  <c r="E33" i="41" s="1"/>
  <c r="E33" i="83"/>
  <c r="E33" i="82"/>
  <c r="E33" i="81"/>
  <c r="C31" i="41"/>
  <c r="E31" i="41" s="1"/>
  <c r="E34" i="83"/>
  <c r="E34" i="82"/>
  <c r="E34" i="81"/>
  <c r="C32" i="41"/>
  <c r="E32" i="41" s="1"/>
  <c r="E29" i="83"/>
  <c r="E29" i="82"/>
  <c r="E29" i="81"/>
  <c r="C27" i="41"/>
  <c r="E27" i="41" s="1"/>
  <c r="C11" i="83"/>
  <c r="B9" i="41"/>
  <c r="D9" i="41" s="1"/>
  <c r="C11" i="81"/>
  <c r="C11" i="82"/>
  <c r="C10" i="82"/>
  <c r="C10" i="81"/>
  <c r="B8" i="41"/>
  <c r="D8" i="41" s="1"/>
  <c r="C10" i="83"/>
  <c r="E31" i="81"/>
  <c r="E31" i="82"/>
  <c r="E31" i="83"/>
  <c r="C29" i="41"/>
  <c r="E29" i="41" s="1"/>
  <c r="E30" i="83"/>
  <c r="E30" i="82"/>
  <c r="E30" i="81"/>
  <c r="C28" i="41"/>
  <c r="E28" i="41" s="1"/>
  <c r="E21" i="81"/>
  <c r="E21" i="83"/>
  <c r="E21" i="82"/>
  <c r="C19" i="41"/>
  <c r="E19" i="41" s="1"/>
  <c r="E27" i="83"/>
  <c r="E27" i="82"/>
  <c r="E27" i="81"/>
  <c r="C25" i="41"/>
  <c r="E25" i="41" s="1"/>
  <c r="E26" i="83"/>
  <c r="E26" i="82"/>
  <c r="E26" i="81"/>
  <c r="C24" i="41"/>
  <c r="E24" i="41" s="1"/>
  <c r="B4" i="41"/>
  <c r="D4" i="41" s="1"/>
  <c r="C6" i="83"/>
  <c r="C6" i="82"/>
  <c r="C6" i="81"/>
  <c r="E23" i="83"/>
  <c r="E23" i="81"/>
  <c r="E23" i="82"/>
  <c r="C21" i="41"/>
  <c r="E21" i="41" s="1"/>
  <c r="E22" i="83"/>
  <c r="E22" i="81"/>
  <c r="E22" i="82"/>
  <c r="C20" i="41"/>
  <c r="E20" i="41" s="1"/>
  <c r="I47" i="83"/>
  <c r="V50" i="83"/>
  <c r="P45" i="83"/>
  <c r="Q45" i="82"/>
  <c r="Q46" i="82" s="1"/>
  <c r="Q47" i="82" s="1"/>
  <c r="Q48" i="82" s="1"/>
  <c r="P44" i="82"/>
  <c r="V50" i="82"/>
  <c r="N47" i="81"/>
  <c r="N48" i="81" s="1"/>
  <c r="V2" i="9"/>
  <c r="W2" i="9" s="1"/>
  <c r="Y2" i="9" s="1"/>
  <c r="U2" i="9"/>
  <c r="V3" i="9"/>
  <c r="V4" i="9"/>
  <c r="V5" i="9"/>
  <c r="V6" i="9"/>
  <c r="V7" i="9"/>
  <c r="V8" i="9"/>
  <c r="V9" i="9"/>
  <c r="V10" i="9"/>
  <c r="V11" i="9"/>
  <c r="V12" i="9"/>
  <c r="V13" i="9"/>
  <c r="V14" i="9"/>
  <c r="V15" i="9"/>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U49" i="9"/>
  <c r="U48" i="9"/>
  <c r="U47" i="9"/>
  <c r="U46" i="9"/>
  <c r="U45" i="9"/>
  <c r="U44" i="9"/>
  <c r="U43" i="9"/>
  <c r="U42" i="9"/>
  <c r="U41" i="9"/>
  <c r="U40" i="9"/>
  <c r="U39" i="9"/>
  <c r="U38" i="9"/>
  <c r="U37" i="9"/>
  <c r="U36" i="9"/>
  <c r="U35" i="9"/>
  <c r="U34" i="9"/>
  <c r="U33" i="9"/>
  <c r="W33" i="9" s="1"/>
  <c r="U32" i="9"/>
  <c r="U31" i="9"/>
  <c r="U30" i="9"/>
  <c r="U29" i="9"/>
  <c r="W29" i="9" s="1"/>
  <c r="U28" i="9"/>
  <c r="U27" i="9"/>
  <c r="U26" i="9"/>
  <c r="U25" i="9"/>
  <c r="W25" i="9" s="1"/>
  <c r="U24" i="9"/>
  <c r="U23" i="9"/>
  <c r="U22" i="9"/>
  <c r="W22" i="9" s="1"/>
  <c r="U21" i="9"/>
  <c r="U20" i="9"/>
  <c r="U19" i="9"/>
  <c r="U18" i="9"/>
  <c r="U17" i="9"/>
  <c r="W17" i="9" s="1"/>
  <c r="U16" i="9"/>
  <c r="U15" i="9"/>
  <c r="U14" i="9"/>
  <c r="W14" i="9" s="1"/>
  <c r="U13" i="9"/>
  <c r="U12" i="9"/>
  <c r="U11" i="9"/>
  <c r="U10" i="9"/>
  <c r="U9" i="9"/>
  <c r="W9" i="9" s="1"/>
  <c r="U8" i="9"/>
  <c r="U7" i="9"/>
  <c r="U6" i="9"/>
  <c r="U5" i="9"/>
  <c r="W5" i="9" s="1"/>
  <c r="Y5" i="9" s="1"/>
  <c r="U4" i="9"/>
  <c r="U3" i="9"/>
  <c r="J580" i="12"/>
  <c r="J2" i="12"/>
  <c r="G2" i="12"/>
  <c r="E2" i="12"/>
  <c r="J462" i="12"/>
  <c r="D733" i="8"/>
  <c r="E802" i="8" s="1"/>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P357" i="6"/>
  <c r="P358" i="6"/>
  <c r="P359" i="6"/>
  <c r="P360" i="6"/>
  <c r="P361" i="6"/>
  <c r="P362" i="6"/>
  <c r="P363" i="6"/>
  <c r="P364" i="6"/>
  <c r="P365" i="6"/>
  <c r="P366" i="6"/>
  <c r="P367" i="6"/>
  <c r="P368" i="6"/>
  <c r="P369" i="6"/>
  <c r="P370" i="6"/>
  <c r="P371" i="6"/>
  <c r="P372" i="6"/>
  <c r="P373" i="6"/>
  <c r="P374" i="6"/>
  <c r="P375" i="6"/>
  <c r="P376" i="6"/>
  <c r="P377" i="6"/>
  <c r="P378" i="6"/>
  <c r="P379" i="6"/>
  <c r="P380" i="6"/>
  <c r="P381" i="6"/>
  <c r="P382" i="6"/>
  <c r="P383" i="6"/>
  <c r="P384" i="6"/>
  <c r="P385" i="6"/>
  <c r="P386" i="6"/>
  <c r="P387" i="6"/>
  <c r="P388" i="6"/>
  <c r="P389" i="6"/>
  <c r="P390" i="6"/>
  <c r="P391" i="6"/>
  <c r="P392" i="6"/>
  <c r="P393" i="6"/>
  <c r="P394" i="6"/>
  <c r="P395" i="6"/>
  <c r="P396" i="6"/>
  <c r="P397" i="6"/>
  <c r="P398" i="6"/>
  <c r="P399" i="6"/>
  <c r="P400" i="6"/>
  <c r="P401" i="6"/>
  <c r="P402" i="6"/>
  <c r="P403" i="6"/>
  <c r="P404" i="6"/>
  <c r="P405" i="6"/>
  <c r="P406" i="6"/>
  <c r="P407" i="6"/>
  <c r="P408" i="6"/>
  <c r="P409" i="6"/>
  <c r="P410" i="6"/>
  <c r="P411" i="6"/>
  <c r="P412" i="6"/>
  <c r="P413" i="6"/>
  <c r="P414" i="6"/>
  <c r="P415" i="6"/>
  <c r="P416" i="6"/>
  <c r="P417" i="6"/>
  <c r="P418" i="6"/>
  <c r="P419" i="6"/>
  <c r="P420" i="6"/>
  <c r="P421" i="6"/>
  <c r="P422" i="6"/>
  <c r="P423" i="6"/>
  <c r="P424" i="6"/>
  <c r="P425" i="6"/>
  <c r="P426" i="6"/>
  <c r="P427" i="6"/>
  <c r="P428" i="6"/>
  <c r="P429" i="6"/>
  <c r="P430" i="6"/>
  <c r="P431" i="6"/>
  <c r="P432" i="6"/>
  <c r="P433" i="6"/>
  <c r="P434" i="6"/>
  <c r="P435" i="6"/>
  <c r="P436" i="6"/>
  <c r="P437" i="6"/>
  <c r="P438" i="6"/>
  <c r="P439" i="6"/>
  <c r="P440" i="6"/>
  <c r="P441" i="6"/>
  <c r="P442" i="6"/>
  <c r="P443" i="6"/>
  <c r="P444" i="6"/>
  <c r="P445" i="6"/>
  <c r="P446" i="6"/>
  <c r="P447" i="6"/>
  <c r="P448" i="6"/>
  <c r="P449" i="6"/>
  <c r="P450" i="6"/>
  <c r="P451" i="6"/>
  <c r="P452" i="6"/>
  <c r="P453" i="6"/>
  <c r="P454" i="6"/>
  <c r="P455" i="6"/>
  <c r="P456" i="6"/>
  <c r="P457" i="6"/>
  <c r="P458" i="6"/>
  <c r="P459" i="6"/>
  <c r="P460" i="6"/>
  <c r="P461" i="6"/>
  <c r="P462" i="6"/>
  <c r="P463" i="6"/>
  <c r="P464" i="6"/>
  <c r="P465" i="6"/>
  <c r="P466" i="6"/>
  <c r="P467" i="6"/>
  <c r="P468" i="6"/>
  <c r="P469" i="6"/>
  <c r="P470" i="6"/>
  <c r="P471" i="6"/>
  <c r="P472" i="6"/>
  <c r="P473" i="6"/>
  <c r="P474" i="6"/>
  <c r="P475" i="6"/>
  <c r="P476" i="6"/>
  <c r="P477" i="6"/>
  <c r="P478" i="6"/>
  <c r="P479" i="6"/>
  <c r="P480" i="6"/>
  <c r="P481" i="6"/>
  <c r="P482" i="6"/>
  <c r="P483" i="6"/>
  <c r="P484" i="6"/>
  <c r="P485" i="6"/>
  <c r="P486" i="6"/>
  <c r="P487" i="6"/>
  <c r="P488" i="6"/>
  <c r="P489" i="6"/>
  <c r="P490" i="6"/>
  <c r="P491" i="6"/>
  <c r="P492" i="6"/>
  <c r="P493" i="6"/>
  <c r="P494" i="6"/>
  <c r="P495" i="6"/>
  <c r="P496" i="6"/>
  <c r="P497" i="6"/>
  <c r="P498" i="6"/>
  <c r="P499" i="6"/>
  <c r="P500" i="6"/>
  <c r="P501" i="6"/>
  <c r="P502" i="6"/>
  <c r="P503" i="6"/>
  <c r="P504" i="6"/>
  <c r="P505" i="6"/>
  <c r="P506" i="6"/>
  <c r="P507" i="6"/>
  <c r="P508" i="6"/>
  <c r="P509" i="6"/>
  <c r="P510" i="6"/>
  <c r="P511" i="6"/>
  <c r="P512" i="6"/>
  <c r="P513" i="6"/>
  <c r="P514" i="6"/>
  <c r="P515" i="6"/>
  <c r="P516" i="6"/>
  <c r="P517" i="6"/>
  <c r="P518" i="6"/>
  <c r="P519" i="6"/>
  <c r="P520" i="6"/>
  <c r="P521" i="6"/>
  <c r="P522" i="6"/>
  <c r="P523" i="6"/>
  <c r="P524" i="6"/>
  <c r="P525" i="6"/>
  <c r="P526" i="6"/>
  <c r="P527" i="6"/>
  <c r="P528" i="6"/>
  <c r="P529" i="6"/>
  <c r="P530" i="6"/>
  <c r="P531" i="6"/>
  <c r="P532" i="6"/>
  <c r="P533" i="6"/>
  <c r="P534" i="6"/>
  <c r="P535" i="6"/>
  <c r="P536" i="6"/>
  <c r="P537" i="6"/>
  <c r="P538" i="6"/>
  <c r="P539" i="6"/>
  <c r="P540" i="6"/>
  <c r="P541" i="6"/>
  <c r="P542" i="6"/>
  <c r="P543" i="6"/>
  <c r="P544" i="6"/>
  <c r="P545" i="6"/>
  <c r="P546" i="6"/>
  <c r="P547" i="6"/>
  <c r="P548" i="6"/>
  <c r="P549" i="6"/>
  <c r="P550" i="6"/>
  <c r="P551" i="6"/>
  <c r="P552" i="6"/>
  <c r="P553" i="6"/>
  <c r="P554" i="6"/>
  <c r="P555" i="6"/>
  <c r="P556" i="6"/>
  <c r="P557" i="6"/>
  <c r="P558" i="6"/>
  <c r="P559" i="6"/>
  <c r="P560" i="6"/>
  <c r="P561" i="6"/>
  <c r="P562" i="6"/>
  <c r="P563" i="6"/>
  <c r="P564" i="6"/>
  <c r="P565" i="6"/>
  <c r="P566" i="6"/>
  <c r="P567" i="6"/>
  <c r="P568" i="6"/>
  <c r="P569" i="6"/>
  <c r="P570" i="6"/>
  <c r="P571" i="6"/>
  <c r="P572" i="6"/>
  <c r="P573" i="6"/>
  <c r="P574" i="6"/>
  <c r="P575" i="6"/>
  <c r="P576" i="6"/>
  <c r="P577" i="6"/>
  <c r="P578" i="6"/>
  <c r="P579" i="6"/>
  <c r="P580" i="6"/>
  <c r="P581" i="6"/>
  <c r="P582" i="6"/>
  <c r="P583" i="6"/>
  <c r="P584" i="6"/>
  <c r="P585" i="6"/>
  <c r="P586" i="6"/>
  <c r="P587" i="6"/>
  <c r="P588" i="6"/>
  <c r="P589" i="6"/>
  <c r="P590" i="6"/>
  <c r="P591" i="6"/>
  <c r="P592" i="6"/>
  <c r="P593" i="6"/>
  <c r="P594" i="6"/>
  <c r="P595" i="6"/>
  <c r="P596" i="6"/>
  <c r="P597" i="6"/>
  <c r="P598" i="6"/>
  <c r="P599" i="6"/>
  <c r="P600" i="6"/>
  <c r="P601" i="6"/>
  <c r="P602" i="6"/>
  <c r="P603" i="6"/>
  <c r="P604" i="6"/>
  <c r="P605" i="6"/>
  <c r="P606" i="6"/>
  <c r="P607" i="6"/>
  <c r="P608" i="6"/>
  <c r="P609" i="6"/>
  <c r="P610" i="6"/>
  <c r="P611" i="6"/>
  <c r="P612" i="6"/>
  <c r="P613" i="6"/>
  <c r="P614" i="6"/>
  <c r="P615" i="6"/>
  <c r="P616" i="6"/>
  <c r="P617" i="6"/>
  <c r="P618" i="6"/>
  <c r="P619" i="6"/>
  <c r="P620" i="6"/>
  <c r="P621" i="6"/>
  <c r="P622" i="6"/>
  <c r="P623" i="6"/>
  <c r="P624" i="6"/>
  <c r="P625" i="6"/>
  <c r="P626" i="6"/>
  <c r="P627" i="6"/>
  <c r="P628" i="6"/>
  <c r="P629" i="6"/>
  <c r="P630" i="6"/>
  <c r="P631" i="6"/>
  <c r="P632" i="6"/>
  <c r="P633" i="6"/>
  <c r="P634" i="6"/>
  <c r="P635" i="6"/>
  <c r="P636" i="6"/>
  <c r="P637" i="6"/>
  <c r="M659" i="6"/>
  <c r="M660" i="6" s="1"/>
  <c r="M661" i="6" s="1"/>
  <c r="C25" i="6"/>
  <c r="C37" i="6"/>
  <c r="C49" i="6"/>
  <c r="C61" i="6"/>
  <c r="C73" i="6"/>
  <c r="C85" i="6"/>
  <c r="C97" i="6"/>
  <c r="C109" i="6"/>
  <c r="C121" i="6"/>
  <c r="C133" i="6"/>
  <c r="C145" i="6"/>
  <c r="C157" i="6"/>
  <c r="C169" i="6"/>
  <c r="C181" i="6"/>
  <c r="C193" i="6"/>
  <c r="C205" i="6"/>
  <c r="C217" i="6"/>
  <c r="C229" i="6"/>
  <c r="C241" i="6"/>
  <c r="C253" i="6"/>
  <c r="C265" i="6"/>
  <c r="C277" i="6"/>
  <c r="C289" i="6"/>
  <c r="C301" i="6"/>
  <c r="C313" i="6"/>
  <c r="C325" i="6"/>
  <c r="C337" i="6"/>
  <c r="C349" i="6"/>
  <c r="C361" i="6"/>
  <c r="C373" i="6"/>
  <c r="C385" i="6"/>
  <c r="C397" i="6"/>
  <c r="C409" i="6"/>
  <c r="C421" i="6"/>
  <c r="C433" i="6"/>
  <c r="C445" i="6"/>
  <c r="C457" i="6"/>
  <c r="C469" i="6"/>
  <c r="C481" i="6"/>
  <c r="C493" i="6"/>
  <c r="C505" i="6"/>
  <c r="C517" i="6"/>
  <c r="C529" i="6"/>
  <c r="C541" i="6"/>
  <c r="C553" i="6"/>
  <c r="C565" i="6"/>
  <c r="C577" i="6"/>
  <c r="C589" i="6"/>
  <c r="C601" i="6"/>
  <c r="C613" i="6"/>
  <c r="C625" i="6"/>
  <c r="C637" i="6"/>
  <c r="C649" i="6"/>
  <c r="I650" i="6"/>
  <c r="J650" i="6" s="1"/>
  <c r="I651" i="6"/>
  <c r="J651" i="6" s="1"/>
  <c r="I652" i="6"/>
  <c r="J652" i="6" s="1"/>
  <c r="I653" i="6"/>
  <c r="J653" i="6" s="1"/>
  <c r="I654" i="6"/>
  <c r="J654" i="6" s="1"/>
  <c r="I655" i="6"/>
  <c r="J655" i="6" s="1"/>
  <c r="I656" i="6"/>
  <c r="J656" i="6"/>
  <c r="I657" i="6"/>
  <c r="J657" i="6" s="1"/>
  <c r="I658" i="6"/>
  <c r="K658" i="6" s="1"/>
  <c r="I659" i="6"/>
  <c r="J659" i="6" s="1"/>
  <c r="I660" i="6"/>
  <c r="J660" i="6"/>
  <c r="I661" i="6"/>
  <c r="J661" i="6" s="1"/>
  <c r="M62" i="6"/>
  <c r="M63" i="6" s="1"/>
  <c r="M64" i="6" s="1"/>
  <c r="M65" i="6" s="1"/>
  <c r="M66" i="6" s="1"/>
  <c r="M67" i="6" s="1"/>
  <c r="M68" i="6" s="1"/>
  <c r="M69" i="6" s="1"/>
  <c r="M70" i="6" s="1"/>
  <c r="M71" i="6" s="1"/>
  <c r="M72" i="6" s="1"/>
  <c r="M73" i="6" s="1"/>
  <c r="M74" i="6" s="1"/>
  <c r="M75" i="6" s="1"/>
  <c r="M76" i="6" s="1"/>
  <c r="M77" i="6" s="1"/>
  <c r="M78" i="6" s="1"/>
  <c r="M79" i="6" s="1"/>
  <c r="M80" i="6" s="1"/>
  <c r="M81" i="6" s="1"/>
  <c r="M82" i="6" s="1"/>
  <c r="M83" i="6" s="1"/>
  <c r="M84" i="6" s="1"/>
  <c r="M85" i="6" s="1"/>
  <c r="M86" i="6" s="1"/>
  <c r="M87" i="6" s="1"/>
  <c r="M88" i="6" s="1"/>
  <c r="M89" i="6" s="1"/>
  <c r="M90" i="6" s="1"/>
  <c r="M91" i="6" s="1"/>
  <c r="M92" i="6" s="1"/>
  <c r="M93" i="6" s="1"/>
  <c r="M95" i="6" s="1"/>
  <c r="M96" i="6" s="1"/>
  <c r="M97" i="6" s="1"/>
  <c r="M98" i="6" s="1"/>
  <c r="M99" i="6" s="1"/>
  <c r="M100" i="6" s="1"/>
  <c r="M101" i="6" s="1"/>
  <c r="M102" i="6" s="1"/>
  <c r="M103" i="6" s="1"/>
  <c r="M104" i="6" s="1"/>
  <c r="M105" i="6" s="1"/>
  <c r="M106" i="6" s="1"/>
  <c r="M107" i="6" s="1"/>
  <c r="M108" i="6" s="1"/>
  <c r="M109" i="6" s="1"/>
  <c r="M110" i="6" s="1"/>
  <c r="M111" i="6" s="1"/>
  <c r="M112" i="6" s="1"/>
  <c r="M113" i="6" s="1"/>
  <c r="M114" i="6" s="1"/>
  <c r="M115" i="6" s="1"/>
  <c r="M116" i="6" s="1"/>
  <c r="M117" i="6" s="1"/>
  <c r="M118" i="6" s="1"/>
  <c r="M119" i="6" s="1"/>
  <c r="M120" i="6" s="1"/>
  <c r="M121" i="6" s="1"/>
  <c r="M122" i="6" s="1"/>
  <c r="M123" i="6" s="1"/>
  <c r="M124" i="6" s="1"/>
  <c r="M125" i="6" s="1"/>
  <c r="M126" i="6" s="1"/>
  <c r="M127" i="6" s="1"/>
  <c r="M128" i="6" s="1"/>
  <c r="M129" i="6" s="1"/>
  <c r="M130" i="6" s="1"/>
  <c r="M131" i="6" s="1"/>
  <c r="M132" i="6" s="1"/>
  <c r="M133" i="6" s="1"/>
  <c r="M134" i="6" s="1"/>
  <c r="M135" i="6" s="1"/>
  <c r="M136" i="6" s="1"/>
  <c r="M137" i="6" s="1"/>
  <c r="M138" i="6" s="1"/>
  <c r="M139" i="6" s="1"/>
  <c r="M140" i="6" s="1"/>
  <c r="M141" i="6" s="1"/>
  <c r="M143" i="6" s="1"/>
  <c r="M144" i="6" s="1"/>
  <c r="M145" i="6" s="1"/>
  <c r="M146" i="6" s="1"/>
  <c r="M147" i="6" s="1"/>
  <c r="M148" i="6" s="1"/>
  <c r="M149" i="6" s="1"/>
  <c r="M150" i="6" s="1"/>
  <c r="M151" i="6" s="1"/>
  <c r="M152" i="6" s="1"/>
  <c r="M153" i="6" s="1"/>
  <c r="M154" i="6" s="1"/>
  <c r="M155" i="6" s="1"/>
  <c r="M156" i="6" s="1"/>
  <c r="M157" i="6" s="1"/>
  <c r="M158" i="6" s="1"/>
  <c r="M159" i="6" s="1"/>
  <c r="M160" i="6" s="1"/>
  <c r="M161" i="6" s="1"/>
  <c r="M162" i="6" s="1"/>
  <c r="M163" i="6" s="1"/>
  <c r="M165" i="6" s="1"/>
  <c r="M166" i="6" s="1"/>
  <c r="M167" i="6" s="1"/>
  <c r="M168" i="6" s="1"/>
  <c r="M169" i="6" s="1"/>
  <c r="M170" i="6" s="1"/>
  <c r="M171" i="6" s="1"/>
  <c r="M172" i="6" s="1"/>
  <c r="M173" i="6" s="1"/>
  <c r="M174" i="6" s="1"/>
  <c r="M175" i="6" s="1"/>
  <c r="M176" i="6" s="1"/>
  <c r="M177" i="6" s="1"/>
  <c r="M178" i="6" s="1"/>
  <c r="M179" i="6" s="1"/>
  <c r="M180" i="6" s="1"/>
  <c r="M181" i="6" s="1"/>
  <c r="M182" i="6" s="1"/>
  <c r="M183" i="6" s="1"/>
  <c r="M184" i="6" s="1"/>
  <c r="M185" i="6" s="1"/>
  <c r="M186" i="6" s="1"/>
  <c r="M187" i="6" s="1"/>
  <c r="M188" i="6" s="1"/>
  <c r="M189" i="6" s="1"/>
  <c r="M190" i="6" s="1"/>
  <c r="M191" i="6" s="1"/>
  <c r="M192" i="6" s="1"/>
  <c r="M193" i="6" s="1"/>
  <c r="M194" i="6" s="1"/>
  <c r="M195" i="6" s="1"/>
  <c r="M196" i="6" s="1"/>
  <c r="M197" i="6" s="1"/>
  <c r="M198" i="6" s="1"/>
  <c r="M199" i="6" s="1"/>
  <c r="M200" i="6" s="1"/>
  <c r="M201" i="6" s="1"/>
  <c r="M202" i="6" s="1"/>
  <c r="M203" i="6" s="1"/>
  <c r="M204" i="6" s="1"/>
  <c r="M205" i="6" s="1"/>
  <c r="M206" i="6" s="1"/>
  <c r="M207" i="6" s="1"/>
  <c r="M208" i="6" s="1"/>
  <c r="M209" i="6" s="1"/>
  <c r="M210" i="6" s="1"/>
  <c r="M211" i="6" s="1"/>
  <c r="M212" i="6" s="1"/>
  <c r="M213" i="6" s="1"/>
  <c r="M214" i="6" s="1"/>
  <c r="M215" i="6" s="1"/>
  <c r="M216" i="6" s="1"/>
  <c r="M217" i="6" s="1"/>
  <c r="M218" i="6" s="1"/>
  <c r="M219" i="6" s="1"/>
  <c r="M220" i="6" s="1"/>
  <c r="M221" i="6" s="1"/>
  <c r="M222" i="6" s="1"/>
  <c r="M223" i="6" s="1"/>
  <c r="M224" i="6" s="1"/>
  <c r="M225" i="6" s="1"/>
  <c r="M226" i="6" s="1"/>
  <c r="M227" i="6" s="1"/>
  <c r="M228" i="6" s="1"/>
  <c r="M229" i="6" s="1"/>
  <c r="M230" i="6" s="1"/>
  <c r="M231" i="6" s="1"/>
  <c r="M232" i="6" s="1"/>
  <c r="M233" i="6" s="1"/>
  <c r="M234" i="6" s="1"/>
  <c r="M235" i="6" s="1"/>
  <c r="M236" i="6" s="1"/>
  <c r="M237" i="6" s="1"/>
  <c r="M238" i="6" s="1"/>
  <c r="M239" i="6" s="1"/>
  <c r="M240" i="6" s="1"/>
  <c r="M241" i="6" s="1"/>
  <c r="M242" i="6" s="1"/>
  <c r="M243" i="6" s="1"/>
  <c r="M244" i="6" s="1"/>
  <c r="M245" i="6" s="1"/>
  <c r="M246" i="6" s="1"/>
  <c r="M247" i="6" s="1"/>
  <c r="M248" i="6" s="1"/>
  <c r="M249" i="6" s="1"/>
  <c r="M250" i="6" s="1"/>
  <c r="M251" i="6" s="1"/>
  <c r="M252" i="6" s="1"/>
  <c r="M253" i="6" s="1"/>
  <c r="M254" i="6" s="1"/>
  <c r="M255" i="6" s="1"/>
  <c r="M256" i="6" s="1"/>
  <c r="M257" i="6" s="1"/>
  <c r="M258" i="6" s="1"/>
  <c r="M259" i="6" s="1"/>
  <c r="M260" i="6" s="1"/>
  <c r="M261" i="6" s="1"/>
  <c r="M262" i="6" s="1"/>
  <c r="M263" i="6" s="1"/>
  <c r="M264" i="6" s="1"/>
  <c r="M265" i="6" s="1"/>
  <c r="M266" i="6" s="1"/>
  <c r="M267" i="6" s="1"/>
  <c r="M268" i="6" s="1"/>
  <c r="M269" i="6" s="1"/>
  <c r="M270" i="6" s="1"/>
  <c r="M271" i="6" s="1"/>
  <c r="M272" i="6" s="1"/>
  <c r="M273" i="6" s="1"/>
  <c r="M275" i="6" s="1"/>
  <c r="M276" i="6" s="1"/>
  <c r="M277" i="6" s="1"/>
  <c r="M278" i="6" s="1"/>
  <c r="M279" i="6" s="1"/>
  <c r="M280" i="6" s="1"/>
  <c r="M281" i="6" s="1"/>
  <c r="M282" i="6" s="1"/>
  <c r="M283" i="6" s="1"/>
  <c r="M284" i="6" s="1"/>
  <c r="M285" i="6" s="1"/>
  <c r="M286" i="6" s="1"/>
  <c r="M287" i="6" s="1"/>
  <c r="M288" i="6" s="1"/>
  <c r="M289" i="6" s="1"/>
  <c r="M290" i="6" s="1"/>
  <c r="M291" i="6" s="1"/>
  <c r="M292" i="6" s="1"/>
  <c r="M293" i="6" s="1"/>
  <c r="M294" i="6" s="1"/>
  <c r="M295" i="6" s="1"/>
  <c r="M296" i="6" s="1"/>
  <c r="M297" i="6" s="1"/>
  <c r="M298" i="6" s="1"/>
  <c r="M299" i="6" s="1"/>
  <c r="M300" i="6" s="1"/>
  <c r="M301" i="6" s="1"/>
  <c r="M302" i="6" s="1"/>
  <c r="M303" i="6" s="1"/>
  <c r="M304" i="6" s="1"/>
  <c r="M305" i="6" s="1"/>
  <c r="M306" i="6" s="1"/>
  <c r="M307" i="6" s="1"/>
  <c r="M308" i="6" s="1"/>
  <c r="M309" i="6" s="1"/>
  <c r="M310" i="6" s="1"/>
  <c r="M311" i="6" s="1"/>
  <c r="M312" i="6" s="1"/>
  <c r="M313" i="6" s="1"/>
  <c r="M314" i="6" s="1"/>
  <c r="M315" i="6" s="1"/>
  <c r="M316" i="6" s="1"/>
  <c r="M317" i="6" s="1"/>
  <c r="M318" i="6" s="1"/>
  <c r="M319" i="6" s="1"/>
  <c r="M320" i="6" s="1"/>
  <c r="M321" i="6" s="1"/>
  <c r="M322" i="6" s="1"/>
  <c r="M323" i="6" s="1"/>
  <c r="M324" i="6" s="1"/>
  <c r="M325" i="6" s="1"/>
  <c r="M326" i="6" s="1"/>
  <c r="M327" i="6" s="1"/>
  <c r="M328" i="6" s="1"/>
  <c r="M329" i="6" s="1"/>
  <c r="M330" i="6" s="1"/>
  <c r="M331" i="6" s="1"/>
  <c r="M332" i="6" s="1"/>
  <c r="M333" i="6" s="1"/>
  <c r="M334" i="6" s="1"/>
  <c r="M335" i="6" s="1"/>
  <c r="M336" i="6" s="1"/>
  <c r="M337" i="6" s="1"/>
  <c r="M338" i="6" s="1"/>
  <c r="M339" i="6" s="1"/>
  <c r="M340" i="6" s="1"/>
  <c r="M341" i="6" s="1"/>
  <c r="M342" i="6" s="1"/>
  <c r="M343" i="6" s="1"/>
  <c r="M344" i="6" s="1"/>
  <c r="M345" i="6" s="1"/>
  <c r="M347" i="6" s="1"/>
  <c r="M348" i="6" s="1"/>
  <c r="M349" i="6" s="1"/>
  <c r="M350" i="6" s="1"/>
  <c r="M351" i="6" s="1"/>
  <c r="M352" i="6" s="1"/>
  <c r="M353" i="6" s="1"/>
  <c r="M354" i="6" s="1"/>
  <c r="M355" i="6" s="1"/>
  <c r="M356" i="6" s="1"/>
  <c r="M357" i="6" s="1"/>
  <c r="M358" i="6" s="1"/>
  <c r="M359" i="6" s="1"/>
  <c r="M360" i="6" s="1"/>
  <c r="M361" i="6" s="1"/>
  <c r="M362" i="6" s="1"/>
  <c r="M363" i="6" s="1"/>
  <c r="M364" i="6" s="1"/>
  <c r="M365" i="6" s="1"/>
  <c r="M366" i="6" s="1"/>
  <c r="M367" i="6" s="1"/>
  <c r="M368" i="6" s="1"/>
  <c r="M369" i="6" s="1"/>
  <c r="M371" i="6" s="1"/>
  <c r="M372" i="6" s="1"/>
  <c r="M373" i="6" s="1"/>
  <c r="M374" i="6" s="1"/>
  <c r="M375" i="6" s="1"/>
  <c r="M376" i="6" s="1"/>
  <c r="M377" i="6" s="1"/>
  <c r="M378" i="6" s="1"/>
  <c r="M379" i="6" s="1"/>
  <c r="M380" i="6" s="1"/>
  <c r="M381" i="6" s="1"/>
  <c r="M382" i="6" s="1"/>
  <c r="M383" i="6" s="1"/>
  <c r="M384" i="6" s="1"/>
  <c r="M385" i="6" s="1"/>
  <c r="M386" i="6" s="1"/>
  <c r="M387" i="6" s="1"/>
  <c r="M388" i="6" s="1"/>
  <c r="M389" i="6" s="1"/>
  <c r="M390" i="6" s="1"/>
  <c r="M391" i="6" s="1"/>
  <c r="M392" i="6" s="1"/>
  <c r="M393" i="6" s="1"/>
  <c r="M394" i="6" s="1"/>
  <c r="M395" i="6" s="1"/>
  <c r="M396" i="6" s="1"/>
  <c r="M397" i="6" s="1"/>
  <c r="M398" i="6" s="1"/>
  <c r="M399" i="6" s="1"/>
  <c r="M400" i="6" s="1"/>
  <c r="M401" i="6" s="1"/>
  <c r="M402" i="6" s="1"/>
  <c r="M403" i="6" s="1"/>
  <c r="M404" i="6" s="1"/>
  <c r="M405" i="6" s="1"/>
  <c r="M406" i="6" s="1"/>
  <c r="M407" i="6" s="1"/>
  <c r="M408" i="6" s="1"/>
  <c r="M409" i="6" s="1"/>
  <c r="M410" i="6" s="1"/>
  <c r="M411" i="6" s="1"/>
  <c r="M412" i="6" s="1"/>
  <c r="M413" i="6" s="1"/>
  <c r="M414" i="6" s="1"/>
  <c r="M415" i="6" s="1"/>
  <c r="M416" i="6" s="1"/>
  <c r="M417" i="6" s="1"/>
  <c r="M418" i="6" s="1"/>
  <c r="M419" i="6" s="1"/>
  <c r="M420" i="6" s="1"/>
  <c r="M421" i="6" s="1"/>
  <c r="M422" i="6" s="1"/>
  <c r="M423" i="6" s="1"/>
  <c r="M424" i="6" s="1"/>
  <c r="M425" i="6" s="1"/>
  <c r="M426" i="6" s="1"/>
  <c r="M427" i="6" s="1"/>
  <c r="M428" i="6" s="1"/>
  <c r="M429" i="6" s="1"/>
  <c r="M430" i="6" s="1"/>
  <c r="M431" i="6" s="1"/>
  <c r="M432" i="6" s="1"/>
  <c r="M433" i="6" s="1"/>
  <c r="M434" i="6" s="1"/>
  <c r="M435" i="6" s="1"/>
  <c r="M436" i="6" s="1"/>
  <c r="M437" i="6" s="1"/>
  <c r="M438" i="6" s="1"/>
  <c r="M439" i="6" s="1"/>
  <c r="M440" i="6" s="1"/>
  <c r="M441" i="6" s="1"/>
  <c r="M442" i="6" s="1"/>
  <c r="M443" i="6" s="1"/>
  <c r="M444" i="6" s="1"/>
  <c r="M445" i="6" s="1"/>
  <c r="M446" i="6" s="1"/>
  <c r="M447" i="6" s="1"/>
  <c r="M448" i="6" s="1"/>
  <c r="M449" i="6" s="1"/>
  <c r="M450" i="6" s="1"/>
  <c r="M451" i="6" s="1"/>
  <c r="M452" i="6" s="1"/>
  <c r="M453" i="6" s="1"/>
  <c r="M454" i="6" s="1"/>
  <c r="M455" i="6" s="1"/>
  <c r="M456" i="6" s="1"/>
  <c r="M457" i="6" s="1"/>
  <c r="M458" i="6" s="1"/>
  <c r="M459" i="6" s="1"/>
  <c r="M460" i="6" s="1"/>
  <c r="M461" i="6" s="1"/>
  <c r="M462" i="6" s="1"/>
  <c r="M463" i="6" s="1"/>
  <c r="M464" i="6" s="1"/>
  <c r="M465" i="6" s="1"/>
  <c r="M466" i="6" s="1"/>
  <c r="M467" i="6" s="1"/>
  <c r="M468" i="6" s="1"/>
  <c r="M469" i="6" s="1"/>
  <c r="M470" i="6" s="1"/>
  <c r="M471" i="6" s="1"/>
  <c r="M472" i="6" s="1"/>
  <c r="M473" i="6" s="1"/>
  <c r="M474" i="6" s="1"/>
  <c r="M475" i="6" s="1"/>
  <c r="M476" i="6" s="1"/>
  <c r="M477" i="6" s="1"/>
  <c r="M478" i="6" s="1"/>
  <c r="M479" i="6" s="1"/>
  <c r="M480" i="6" s="1"/>
  <c r="M481" i="6" s="1"/>
  <c r="M482" i="6" s="1"/>
  <c r="M483" i="6" s="1"/>
  <c r="M484" i="6" s="1"/>
  <c r="M485" i="6" s="1"/>
  <c r="M486" i="6" s="1"/>
  <c r="M487" i="6" s="1"/>
  <c r="M488" i="6" s="1"/>
  <c r="M489" i="6" s="1"/>
  <c r="D637" i="6"/>
  <c r="Y6" i="37"/>
  <c r="G3" i="39"/>
  <c r="G4" i="39"/>
  <c r="G5" i="39"/>
  <c r="G6" i="39"/>
  <c r="G7" i="39"/>
  <c r="G8" i="39"/>
  <c r="G9" i="39"/>
  <c r="G10" i="39"/>
  <c r="G11" i="39"/>
  <c r="G12" i="39"/>
  <c r="G13" i="39"/>
  <c r="G14" i="39"/>
  <c r="G15" i="39"/>
  <c r="G16" i="39"/>
  <c r="G17" i="39"/>
  <c r="G18" i="39"/>
  <c r="G19" i="39"/>
  <c r="G20" i="39"/>
  <c r="G21" i="39"/>
  <c r="G22" i="39"/>
  <c r="G2" i="39"/>
  <c r="F3" i="39"/>
  <c r="F4" i="39"/>
  <c r="F5" i="39"/>
  <c r="F6" i="39"/>
  <c r="F7" i="39"/>
  <c r="F8" i="39"/>
  <c r="F9" i="39"/>
  <c r="F10" i="39"/>
  <c r="F11" i="39"/>
  <c r="F12" i="39"/>
  <c r="F13" i="39"/>
  <c r="F14" i="39"/>
  <c r="F15" i="39"/>
  <c r="F16" i="39"/>
  <c r="F17" i="39"/>
  <c r="F18" i="39"/>
  <c r="F19" i="39"/>
  <c r="F20" i="39"/>
  <c r="F21" i="39"/>
  <c r="F22" i="39"/>
  <c r="F2" i="39"/>
  <c r="W14" i="37"/>
  <c r="V14" i="37"/>
  <c r="W12" i="37"/>
  <c r="W6" i="37"/>
  <c r="D14" i="37"/>
  <c r="V5" i="37"/>
  <c r="U5" i="37"/>
  <c r="T5" i="37"/>
  <c r="S5" i="37"/>
  <c r="R5" i="37"/>
  <c r="Q5" i="37"/>
  <c r="P5" i="37"/>
  <c r="O5" i="37"/>
  <c r="N5" i="37"/>
  <c r="M5" i="37"/>
  <c r="L5" i="37"/>
  <c r="K5" i="37"/>
  <c r="J5" i="37"/>
  <c r="I5" i="37"/>
  <c r="H5" i="37"/>
  <c r="G5" i="37"/>
  <c r="F5" i="37"/>
  <c r="E5" i="37"/>
  <c r="N8" i="37"/>
  <c r="O8" i="37"/>
  <c r="P8" i="37"/>
  <c r="Q8" i="37"/>
  <c r="R8" i="37"/>
  <c r="S8" i="37"/>
  <c r="T8" i="37"/>
  <c r="U8" i="37"/>
  <c r="V8" i="37"/>
  <c r="F8" i="37"/>
  <c r="G8" i="37"/>
  <c r="H8" i="37"/>
  <c r="I8" i="37"/>
  <c r="J8" i="37"/>
  <c r="K8" i="37"/>
  <c r="L8" i="37"/>
  <c r="M8" i="37"/>
  <c r="E8" i="37"/>
  <c r="V15" i="37"/>
  <c r="X14" i="37"/>
  <c r="Y14" i="37" s="1"/>
  <c r="Z14" i="37" s="1"/>
  <c r="AA14" i="37" s="1"/>
  <c r="AB14" i="37" s="1"/>
  <c r="AC14" i="37" s="1"/>
  <c r="AD14" i="37" s="1"/>
  <c r="AE14" i="37" s="1"/>
  <c r="AF14" i="37" s="1"/>
  <c r="AG14" i="37" s="1"/>
  <c r="AH9" i="37"/>
  <c r="U15" i="37"/>
  <c r="T15" i="37"/>
  <c r="S15" i="37"/>
  <c r="R15" i="37"/>
  <c r="Q15" i="37"/>
  <c r="P15" i="37"/>
  <c r="O15" i="37"/>
  <c r="N15" i="37"/>
  <c r="M15" i="37"/>
  <c r="L15" i="37"/>
  <c r="K15" i="37"/>
  <c r="J15" i="37"/>
  <c r="I15" i="37"/>
  <c r="H15" i="37"/>
  <c r="G15" i="37"/>
  <c r="F15" i="37"/>
  <c r="E15" i="37"/>
  <c r="U14" i="37"/>
  <c r="T14" i="37"/>
  <c r="S14" i="37"/>
  <c r="R14" i="37"/>
  <c r="Q14" i="37"/>
  <c r="P14" i="37"/>
  <c r="O14" i="37"/>
  <c r="N14" i="37"/>
  <c r="M14" i="37"/>
  <c r="L14" i="37"/>
  <c r="K14" i="37"/>
  <c r="J14" i="37"/>
  <c r="I14" i="37"/>
  <c r="H14" i="37"/>
  <c r="G14" i="37"/>
  <c r="F14" i="37"/>
  <c r="E14" i="37"/>
  <c r="D15" i="37"/>
  <c r="BV51" i="93" l="1"/>
  <c r="CD51" i="93" s="1"/>
  <c r="FT51" i="93" s="1"/>
  <c r="B47" i="64" s="1"/>
  <c r="FM51" i="93"/>
  <c r="EG52" i="93" s="1"/>
  <c r="FM52" i="93" s="1"/>
  <c r="EG53" i="93" s="1"/>
  <c r="BV50" i="93"/>
  <c r="CD50" i="93" s="1"/>
  <c r="FM51" i="96"/>
  <c r="EG52" i="96" s="1"/>
  <c r="BV51" i="96"/>
  <c r="CA64" i="96"/>
  <c r="CA65" i="96" s="1"/>
  <c r="CA66" i="96" s="1"/>
  <c r="AY61" i="93"/>
  <c r="AM61" i="93" s="1"/>
  <c r="AM62" i="93" s="1"/>
  <c r="AL61" i="93"/>
  <c r="AL62" i="93" s="1"/>
  <c r="AU63" i="93"/>
  <c r="AV63" i="93" s="1"/>
  <c r="AW63" i="93" s="1"/>
  <c r="AT63" i="93"/>
  <c r="AU64" i="93"/>
  <c r="AV64" i="93" s="1"/>
  <c r="AW64" i="93" s="1"/>
  <c r="AX64" i="93" s="1"/>
  <c r="AY64" i="93" s="1"/>
  <c r="AT64" i="93"/>
  <c r="FF66" i="93"/>
  <c r="FE66" i="93" s="1"/>
  <c r="FI66" i="93" s="1"/>
  <c r="FE65" i="93"/>
  <c r="FI65" i="93" s="1"/>
  <c r="CC57" i="93"/>
  <c r="P47" i="81"/>
  <c r="P48" i="81" s="1"/>
  <c r="P49" i="81" s="1"/>
  <c r="P50" i="81" s="1"/>
  <c r="P51" i="81" s="1"/>
  <c r="P52" i="81" s="1"/>
  <c r="P53" i="81" s="1"/>
  <c r="P54" i="81" s="1"/>
  <c r="P55" i="81" s="1"/>
  <c r="P56" i="81" s="1"/>
  <c r="P57" i="81" s="1"/>
  <c r="P58" i="81" s="1"/>
  <c r="I47" i="82"/>
  <c r="C45" i="102"/>
  <c r="K62" i="82"/>
  <c r="C61" i="103" s="1"/>
  <c r="C60" i="103"/>
  <c r="K52" i="82"/>
  <c r="C51" i="103" s="1"/>
  <c r="C50" i="103"/>
  <c r="B45" i="102"/>
  <c r="FU53" i="93"/>
  <c r="B49" i="60" s="1"/>
  <c r="BW53" i="93"/>
  <c r="EH53" i="93" s="1"/>
  <c r="AA54" i="93"/>
  <c r="S53" i="93"/>
  <c r="AC54" i="93"/>
  <c r="U53" i="93"/>
  <c r="AE53" i="93"/>
  <c r="W52" i="93"/>
  <c r="EP52" i="93" s="1"/>
  <c r="CE60" i="96"/>
  <c r="CC58" i="96"/>
  <c r="CE58" i="93"/>
  <c r="CA62" i="93"/>
  <c r="EX63" i="97"/>
  <c r="FA63" i="97" s="1"/>
  <c r="EY63" i="97"/>
  <c r="FB63" i="97" s="1"/>
  <c r="ES64" i="97"/>
  <c r="EW64" i="97" s="1"/>
  <c r="EZ64" i="97" s="1"/>
  <c r="FI57" i="97"/>
  <c r="EK49" i="97"/>
  <c r="FK49" i="97" s="1"/>
  <c r="DM61" i="97"/>
  <c r="CW65" i="97"/>
  <c r="CJ65" i="97"/>
  <c r="DN61" i="97"/>
  <c r="DN62" i="97" s="1"/>
  <c r="DN63" i="97" s="1"/>
  <c r="BR48" i="97"/>
  <c r="EC48" i="97" s="1"/>
  <c r="FP48" i="97"/>
  <c r="FV48" i="97" s="1"/>
  <c r="BT51" i="97"/>
  <c r="EE51" i="97" s="1"/>
  <c r="FR51" i="97"/>
  <c r="DJ56" i="97"/>
  <c r="CL50" i="97"/>
  <c r="CD49" i="97"/>
  <c r="FT49" i="97" s="1"/>
  <c r="T52" i="97"/>
  <c r="AB52" i="97" s="1"/>
  <c r="CB52" i="97" s="1"/>
  <c r="FL52" i="97"/>
  <c r="EM53" i="97" s="1"/>
  <c r="AC49" i="97"/>
  <c r="U48" i="97"/>
  <c r="EN48" i="97" s="1"/>
  <c r="CX63" i="97"/>
  <c r="CX64" i="97"/>
  <c r="BW55" i="97"/>
  <c r="EH54" i="97"/>
  <c r="AU66" i="97"/>
  <c r="S50" i="97"/>
  <c r="EL50" i="97" s="1"/>
  <c r="AA51" i="97"/>
  <c r="DM59" i="97"/>
  <c r="W48" i="97"/>
  <c r="EP48" i="97" s="1"/>
  <c r="AD48" i="97"/>
  <c r="AH65" i="97"/>
  <c r="AH66" i="97" s="1"/>
  <c r="AU65" i="97"/>
  <c r="AK62" i="97"/>
  <c r="AX62" i="97"/>
  <c r="DK58" i="97"/>
  <c r="DL57" i="97"/>
  <c r="BS57" i="97"/>
  <c r="ED56" i="97"/>
  <c r="DK57" i="97"/>
  <c r="AY61" i="97"/>
  <c r="AM61" i="97" s="1"/>
  <c r="AL61" i="97"/>
  <c r="BV53" i="97"/>
  <c r="FM53" i="97"/>
  <c r="EG54" i="97" s="1"/>
  <c r="CY62" i="97"/>
  <c r="DL58" i="97"/>
  <c r="AW63" i="97"/>
  <c r="AJ63" i="97"/>
  <c r="DO63" i="97"/>
  <c r="AI64" i="97"/>
  <c r="AV64" i="97"/>
  <c r="CV66" i="97"/>
  <c r="CE49" i="97"/>
  <c r="FU49" i="97" s="1"/>
  <c r="CM50" i="97"/>
  <c r="EF55" i="97"/>
  <c r="BU56" i="97"/>
  <c r="CI53" i="97"/>
  <c r="CA52" i="97"/>
  <c r="FQ52" i="97" s="1"/>
  <c r="CC50" i="97"/>
  <c r="FS50" i="97" s="1"/>
  <c r="CK51" i="97"/>
  <c r="DM60" i="97"/>
  <c r="BV52" i="93"/>
  <c r="CD52" i="93" s="1"/>
  <c r="AM60" i="96"/>
  <c r="CV66" i="96"/>
  <c r="T53" i="96"/>
  <c r="AB53" i="96" s="1"/>
  <c r="CB53" i="96" s="1"/>
  <c r="FL53" i="96"/>
  <c r="EM54" i="96" s="1"/>
  <c r="CW65" i="96"/>
  <c r="CJ65" i="96"/>
  <c r="AL61" i="96"/>
  <c r="AY61" i="96"/>
  <c r="AW63" i="96"/>
  <c r="AJ63" i="96"/>
  <c r="FR52" i="96"/>
  <c r="C48" i="63" s="1"/>
  <c r="BT52" i="96"/>
  <c r="EE52" i="96" s="1"/>
  <c r="CI53" i="96"/>
  <c r="BS53" i="96" s="1"/>
  <c r="ED53" i="96" s="1"/>
  <c r="FQ52" i="96"/>
  <c r="C48" i="58" s="1"/>
  <c r="CY63" i="96"/>
  <c r="FU49" i="96"/>
  <c r="C45" i="60" s="1"/>
  <c r="CM50" i="96"/>
  <c r="BW50" i="96" s="1"/>
  <c r="EH50" i="96" s="1"/>
  <c r="W48" i="96"/>
  <c r="EP48" i="96" s="1"/>
  <c r="AE49" i="96"/>
  <c r="AD48" i="96"/>
  <c r="S50" i="96"/>
  <c r="EL50" i="96" s="1"/>
  <c r="AA51" i="96"/>
  <c r="AC49" i="96"/>
  <c r="U48" i="96"/>
  <c r="EN48" i="96" s="1"/>
  <c r="EK49" i="96"/>
  <c r="AU65" i="96"/>
  <c r="AH65" i="96"/>
  <c r="CX64" i="96"/>
  <c r="BR48" i="96"/>
  <c r="EC48" i="96" s="1"/>
  <c r="FP48" i="96"/>
  <c r="FV48" i="96" s="1"/>
  <c r="CD49" i="96"/>
  <c r="FT49" i="96" s="1"/>
  <c r="C45" i="64" s="1"/>
  <c r="CL50" i="96"/>
  <c r="AQ66" i="96"/>
  <c r="AP66" i="96" s="1"/>
  <c r="AT66" i="96" s="1"/>
  <c r="FS50" i="96"/>
  <c r="C46" i="59" s="1"/>
  <c r="CK51" i="96"/>
  <c r="BU51" i="96" s="1"/>
  <c r="EF51" i="96" s="1"/>
  <c r="FH66" i="96"/>
  <c r="FG66" i="96" s="1"/>
  <c r="FI66" i="96" s="1"/>
  <c r="AX62" i="96"/>
  <c r="AK62" i="96"/>
  <c r="AV64" i="96"/>
  <c r="AI64" i="96"/>
  <c r="CI54" i="93"/>
  <c r="BS54" i="93" s="1"/>
  <c r="ED54" i="93" s="1"/>
  <c r="FQ53" i="93"/>
  <c r="B49" i="58" s="1"/>
  <c r="CK54" i="93"/>
  <c r="BU54" i="93" s="1"/>
  <c r="EF54" i="93" s="1"/>
  <c r="CJ54" i="93"/>
  <c r="CM54" i="93"/>
  <c r="BW54" i="93" s="1"/>
  <c r="EH54" i="93" s="1"/>
  <c r="T52" i="93"/>
  <c r="AB52" i="93" s="1"/>
  <c r="CB52" i="93" s="1"/>
  <c r="FL52" i="93"/>
  <c r="EM53" i="93" s="1"/>
  <c r="BT51" i="93"/>
  <c r="EE51" i="93" s="1"/>
  <c r="FR51" i="93"/>
  <c r="B47" i="63" s="1"/>
  <c r="AI63" i="93"/>
  <c r="AI64" i="93" s="1"/>
  <c r="Z49" i="93"/>
  <c r="BZ49" i="93" s="1"/>
  <c r="FP49" i="93" s="1"/>
  <c r="FK49" i="93"/>
  <c r="EK50" i="93" s="1"/>
  <c r="R50" i="93" s="1"/>
  <c r="BR48" i="93"/>
  <c r="EC48" i="93" s="1"/>
  <c r="FV48" i="93"/>
  <c r="EN52" i="93"/>
  <c r="AJ56" i="93"/>
  <c r="EL52" i="93"/>
  <c r="FS54" i="93"/>
  <c r="B50" i="59" s="1"/>
  <c r="AH54" i="93"/>
  <c r="CL54" i="93"/>
  <c r="AQ65" i="93"/>
  <c r="AP65" i="93" s="1"/>
  <c r="AT65" i="93" s="1"/>
  <c r="AU65" i="93" s="1"/>
  <c r="AV65" i="93" s="1"/>
  <c r="AW65" i="93" s="1"/>
  <c r="AX65" i="93" s="1"/>
  <c r="AY65" i="93" s="1"/>
  <c r="I3" i="40"/>
  <c r="Q49" i="82"/>
  <c r="Q50" i="82" s="1"/>
  <c r="Q51" i="82" s="1"/>
  <c r="Q52" i="82" s="1"/>
  <c r="Q53" i="82" s="1"/>
  <c r="Q54" i="82" s="1"/>
  <c r="Q55" i="82" s="1"/>
  <c r="Q56" i="82" s="1"/>
  <c r="Q57" i="82" s="1"/>
  <c r="Q58" i="82" s="1"/>
  <c r="Q59" i="82" s="1"/>
  <c r="Q60" i="82" s="1"/>
  <c r="Q61" i="82" s="1"/>
  <c r="Q62" i="82" s="1"/>
  <c r="Q63" i="82" s="1"/>
  <c r="H4" i="40"/>
  <c r="I4" i="40" s="1"/>
  <c r="J4" i="40" s="1"/>
  <c r="Q59" i="81"/>
  <c r="Q60" i="81" s="1"/>
  <c r="Q61" i="81" s="1"/>
  <c r="Q62" i="81" s="1"/>
  <c r="Q63" i="81" s="1"/>
  <c r="J3" i="40"/>
  <c r="H28" i="40"/>
  <c r="H29" i="40" s="1"/>
  <c r="W21" i="9"/>
  <c r="J15" i="83" s="1"/>
  <c r="W13" i="9"/>
  <c r="J7" i="83" s="1"/>
  <c r="W40" i="9"/>
  <c r="W45" i="9"/>
  <c r="Y45" i="9" s="1"/>
  <c r="W7" i="9"/>
  <c r="Y7" i="9" s="1"/>
  <c r="W15" i="9"/>
  <c r="Y15" i="9" s="1"/>
  <c r="W31" i="9"/>
  <c r="Y31" i="9" s="1"/>
  <c r="W39" i="9"/>
  <c r="J33" i="82" s="1"/>
  <c r="W8" i="9"/>
  <c r="Y8" i="9" s="1"/>
  <c r="W16" i="9"/>
  <c r="J10" i="82" s="1"/>
  <c r="W24" i="9"/>
  <c r="Y24" i="9" s="1"/>
  <c r="W32" i="9"/>
  <c r="Y32" i="9" s="1"/>
  <c r="W48" i="9"/>
  <c r="J42" i="83" s="1"/>
  <c r="W41" i="9"/>
  <c r="Y41" i="9" s="1"/>
  <c r="W49" i="9"/>
  <c r="J43" i="82" s="1"/>
  <c r="W4" i="9"/>
  <c r="Y4" i="9" s="1"/>
  <c r="W12" i="9"/>
  <c r="W20" i="9"/>
  <c r="Y29" i="9"/>
  <c r="J23" i="82"/>
  <c r="J23" i="83"/>
  <c r="J23" i="81"/>
  <c r="W37" i="9"/>
  <c r="W44" i="9"/>
  <c r="Y14" i="9"/>
  <c r="J8" i="82"/>
  <c r="J8" i="81"/>
  <c r="J8" i="83"/>
  <c r="Y22" i="9"/>
  <c r="J16" i="83"/>
  <c r="J16" i="81"/>
  <c r="J16" i="82"/>
  <c r="J39" i="82"/>
  <c r="J39" i="83"/>
  <c r="J9" i="81"/>
  <c r="J25" i="81"/>
  <c r="J25" i="83"/>
  <c r="Y39" i="9"/>
  <c r="J33" i="81"/>
  <c r="J33" i="83"/>
  <c r="J26" i="82"/>
  <c r="Y9" i="9"/>
  <c r="J3" i="83"/>
  <c r="J3" i="81"/>
  <c r="J3" i="82"/>
  <c r="Y17" i="9"/>
  <c r="J11" i="83"/>
  <c r="J11" i="81"/>
  <c r="J11" i="82"/>
  <c r="Y25" i="9"/>
  <c r="J19" i="81"/>
  <c r="J19" i="82"/>
  <c r="J19" i="83"/>
  <c r="Y33" i="9"/>
  <c r="J27" i="83"/>
  <c r="J27" i="81"/>
  <c r="J27" i="82"/>
  <c r="Y40" i="9"/>
  <c r="J34" i="82"/>
  <c r="J34" i="81"/>
  <c r="J34" i="83"/>
  <c r="J42" i="81"/>
  <c r="J35" i="82"/>
  <c r="J35" i="81"/>
  <c r="J43" i="81"/>
  <c r="J44" i="81" s="1"/>
  <c r="B43" i="103" s="1"/>
  <c r="J43" i="83"/>
  <c r="W3" i="9"/>
  <c r="Y3" i="9" s="1"/>
  <c r="W11" i="9"/>
  <c r="W19" i="9"/>
  <c r="W27" i="9"/>
  <c r="W35" i="9"/>
  <c r="F9" i="81"/>
  <c r="G9" i="81" s="1"/>
  <c r="B8" i="107" s="1"/>
  <c r="Y13" i="6"/>
  <c r="F9" i="82"/>
  <c r="G9" i="82" s="1"/>
  <c r="C8" i="107" s="1"/>
  <c r="D8" i="107" s="1"/>
  <c r="F9" i="83"/>
  <c r="G9" i="83" s="1"/>
  <c r="J9" i="19"/>
  <c r="J658" i="6"/>
  <c r="E9" i="82"/>
  <c r="E9" i="83"/>
  <c r="E9" i="81"/>
  <c r="C7" i="41"/>
  <c r="E7" i="41" s="1"/>
  <c r="E12" i="81"/>
  <c r="E12" i="82"/>
  <c r="E12" i="83"/>
  <c r="C10" i="41"/>
  <c r="E10" i="41" s="1"/>
  <c r="E12" i="40"/>
  <c r="E13" i="40" s="1"/>
  <c r="E4" i="82"/>
  <c r="E4" i="83"/>
  <c r="E4" i="81"/>
  <c r="C2" i="41"/>
  <c r="E2" i="41" s="1"/>
  <c r="F12" i="40"/>
  <c r="F13" i="40" s="1"/>
  <c r="E11" i="82"/>
  <c r="E11" i="83"/>
  <c r="E11" i="81"/>
  <c r="C9" i="41"/>
  <c r="E9" i="41" s="1"/>
  <c r="C7" i="82"/>
  <c r="B5" i="41"/>
  <c r="D5" i="41" s="1"/>
  <c r="C7" i="81"/>
  <c r="C7" i="83"/>
  <c r="C12" i="83"/>
  <c r="C12" i="82"/>
  <c r="B10" i="41"/>
  <c r="D10" i="41" s="1"/>
  <c r="C12" i="81"/>
  <c r="C13" i="83"/>
  <c r="C13" i="81"/>
  <c r="B11" i="41"/>
  <c r="D11" i="41" s="1"/>
  <c r="C13" i="82"/>
  <c r="E7" i="83"/>
  <c r="E7" i="81"/>
  <c r="E7" i="82"/>
  <c r="C5" i="41"/>
  <c r="E5" i="41" s="1"/>
  <c r="B2" i="41"/>
  <c r="D2" i="41" s="1"/>
  <c r="C4" i="82"/>
  <c r="C4" i="81"/>
  <c r="C4" i="83"/>
  <c r="C16" i="82"/>
  <c r="B14" i="41"/>
  <c r="D14" i="41" s="1"/>
  <c r="C16" i="81"/>
  <c r="C16" i="83"/>
  <c r="E14" i="82"/>
  <c r="E14" i="81"/>
  <c r="E14" i="83"/>
  <c r="C12" i="41"/>
  <c r="E12" i="41" s="1"/>
  <c r="E5" i="81"/>
  <c r="E5" i="83"/>
  <c r="E5" i="82"/>
  <c r="C3" i="41"/>
  <c r="E3" i="41" s="1"/>
  <c r="E6" i="83"/>
  <c r="E6" i="81"/>
  <c r="E6" i="82"/>
  <c r="C4" i="41"/>
  <c r="E4" i="41" s="1"/>
  <c r="C15" i="83"/>
  <c r="B13" i="41"/>
  <c r="D13" i="41" s="1"/>
  <c r="C15" i="81"/>
  <c r="C15" i="82"/>
  <c r="P46" i="83"/>
  <c r="V51" i="83"/>
  <c r="I48" i="83"/>
  <c r="V51" i="82"/>
  <c r="P45" i="82"/>
  <c r="N49" i="81"/>
  <c r="G4" i="19"/>
  <c r="W42" i="9"/>
  <c r="W26" i="9"/>
  <c r="W28" i="9"/>
  <c r="W36" i="9"/>
  <c r="W43" i="9"/>
  <c r="W47" i="9"/>
  <c r="W6" i="9"/>
  <c r="Y6" i="9" s="1"/>
  <c r="W30" i="9"/>
  <c r="W38" i="9"/>
  <c r="W23" i="9"/>
  <c r="W46" i="9"/>
  <c r="W10" i="9"/>
  <c r="W18" i="9"/>
  <c r="W34" i="9"/>
  <c r="E13" i="8"/>
  <c r="E733" i="8"/>
  <c r="E803" i="8"/>
  <c r="M491" i="6"/>
  <c r="M492" i="6" s="1"/>
  <c r="M493" i="6" s="1"/>
  <c r="M494" i="6" s="1"/>
  <c r="M495" i="6" s="1"/>
  <c r="M496" i="6" s="1"/>
  <c r="M497" i="6" s="1"/>
  <c r="M498" i="6" s="1"/>
  <c r="M499" i="6" s="1"/>
  <c r="M500" i="6" s="1"/>
  <c r="M501" i="6" s="1"/>
  <c r="M502" i="6" s="1"/>
  <c r="M503" i="6" s="1"/>
  <c r="M504" i="6" s="1"/>
  <c r="M505" i="6" s="1"/>
  <c r="M506" i="6" s="1"/>
  <c r="M507" i="6" s="1"/>
  <c r="M508" i="6" s="1"/>
  <c r="M509" i="6" s="1"/>
  <c r="M510" i="6" s="1"/>
  <c r="M511" i="6" s="1"/>
  <c r="M512" i="6" s="1"/>
  <c r="M513" i="6" s="1"/>
  <c r="M515" i="6" s="1"/>
  <c r="M516" i="6" s="1"/>
  <c r="M517" i="6" s="1"/>
  <c r="M518" i="6" s="1"/>
  <c r="M519" i="6" s="1"/>
  <c r="M520" i="6" s="1"/>
  <c r="M521" i="6" s="1"/>
  <c r="M522" i="6" s="1"/>
  <c r="M523" i="6" s="1"/>
  <c r="M524" i="6" s="1"/>
  <c r="M525" i="6" s="1"/>
  <c r="M526" i="6" s="1"/>
  <c r="M527" i="6" s="1"/>
  <c r="M528" i="6" s="1"/>
  <c r="M529" i="6" s="1"/>
  <c r="M530" i="6" s="1"/>
  <c r="M531" i="6" s="1"/>
  <c r="M532" i="6" s="1"/>
  <c r="M533" i="6" s="1"/>
  <c r="M534" i="6" s="1"/>
  <c r="M535" i="6" s="1"/>
  <c r="M536" i="6" s="1"/>
  <c r="M537" i="6" s="1"/>
  <c r="M538" i="6" s="1"/>
  <c r="M539" i="6" s="1"/>
  <c r="M540" i="6" s="1"/>
  <c r="M541" i="6" s="1"/>
  <c r="M542" i="6" s="1"/>
  <c r="M543" i="6" s="1"/>
  <c r="M544" i="6" s="1"/>
  <c r="M545" i="6" s="1"/>
  <c r="M546" i="6" s="1"/>
  <c r="M547" i="6" s="1"/>
  <c r="M548" i="6" s="1"/>
  <c r="M549" i="6" s="1"/>
  <c r="M551" i="6" s="1"/>
  <c r="M552" i="6" s="1"/>
  <c r="M553" i="6" s="1"/>
  <c r="M554" i="6" s="1"/>
  <c r="M555" i="6" s="1"/>
  <c r="M556" i="6" s="1"/>
  <c r="M557" i="6" s="1"/>
  <c r="M558" i="6" s="1"/>
  <c r="M559" i="6" s="1"/>
  <c r="M560" i="6" s="1"/>
  <c r="M561" i="6" s="1"/>
  <c r="M562" i="6" s="1"/>
  <c r="M563" i="6" s="1"/>
  <c r="M564" i="6" s="1"/>
  <c r="M565" i="6" s="1"/>
  <c r="M566" i="6" s="1"/>
  <c r="M567" i="6" s="1"/>
  <c r="M568" i="6" s="1"/>
  <c r="M569" i="6" s="1"/>
  <c r="M570" i="6" s="1"/>
  <c r="M571" i="6" s="1"/>
  <c r="M572" i="6" s="1"/>
  <c r="M573" i="6" s="1"/>
  <c r="M574" i="6" s="1"/>
  <c r="M575" i="6" s="1"/>
  <c r="M576" i="6" s="1"/>
  <c r="M577" i="6" s="1"/>
  <c r="M578" i="6" s="1"/>
  <c r="M579" i="6" s="1"/>
  <c r="M580" i="6" s="1"/>
  <c r="M581" i="6" s="1"/>
  <c r="M582" i="6" s="1"/>
  <c r="M583" i="6" s="1"/>
  <c r="M584" i="6" s="1"/>
  <c r="M585" i="6" s="1"/>
  <c r="M586" i="6" s="1"/>
  <c r="M587" i="6" s="1"/>
  <c r="M588" i="6" s="1"/>
  <c r="M589" i="6" s="1"/>
  <c r="M590" i="6" s="1"/>
  <c r="M591" i="6" s="1"/>
  <c r="M592" i="6" s="1"/>
  <c r="M593" i="6" s="1"/>
  <c r="M594" i="6" s="1"/>
  <c r="M595" i="6" s="1"/>
  <c r="M596" i="6" s="1"/>
  <c r="M597" i="6" s="1"/>
  <c r="M599" i="6" s="1"/>
  <c r="M600" i="6" s="1"/>
  <c r="M601" i="6" s="1"/>
  <c r="M602" i="6" s="1"/>
  <c r="M603" i="6" s="1"/>
  <c r="M604" i="6" s="1"/>
  <c r="M605" i="6" s="1"/>
  <c r="M606" i="6" s="1"/>
  <c r="M607" i="6" s="1"/>
  <c r="M608" i="6" s="1"/>
  <c r="M609" i="6" s="1"/>
  <c r="M610" i="6" s="1"/>
  <c r="M611" i="6" s="1"/>
  <c r="M612" i="6" s="1"/>
  <c r="M613" i="6" s="1"/>
  <c r="M614" i="6" s="1"/>
  <c r="M615" i="6" s="1"/>
  <c r="M616" i="6" s="1"/>
  <c r="M617" i="6" s="1"/>
  <c r="M618" i="6" s="1"/>
  <c r="M619" i="6" s="1"/>
  <c r="M620" i="6" s="1"/>
  <c r="M621" i="6" s="1"/>
  <c r="M622" i="6" s="1"/>
  <c r="M623" i="6" s="1"/>
  <c r="M624" i="6" s="1"/>
  <c r="M625" i="6" s="1"/>
  <c r="M626" i="6" s="1"/>
  <c r="M627" i="6" s="1"/>
  <c r="M628" i="6" s="1"/>
  <c r="M629" i="6" s="1"/>
  <c r="M630" i="6" s="1"/>
  <c r="M631" i="6" s="1"/>
  <c r="M632" i="6" s="1"/>
  <c r="M633" i="6" s="1"/>
  <c r="M634" i="6" s="1"/>
  <c r="M635" i="6" s="1"/>
  <c r="M636" i="6" s="1"/>
  <c r="M637" i="6" s="1"/>
  <c r="M638" i="6" s="1"/>
  <c r="M639" i="6" s="1"/>
  <c r="M640" i="6" s="1"/>
  <c r="M641" i="6" s="1"/>
  <c r="M642" i="6" s="1"/>
  <c r="M643" i="6" s="1"/>
  <c r="M644" i="6" s="1"/>
  <c r="M645" i="6" s="1"/>
  <c r="M646" i="6" s="1"/>
  <c r="M647" i="6" s="1"/>
  <c r="M648" i="6" s="1"/>
  <c r="M649" i="6" s="1"/>
  <c r="M650" i="6" s="1"/>
  <c r="M651" i="6" s="1"/>
  <c r="M652" i="6" s="1"/>
  <c r="M653" i="6" s="1"/>
  <c r="M654" i="6" s="1"/>
  <c r="M655" i="6" s="1"/>
  <c r="M656" i="6" s="1"/>
  <c r="M657" i="6" s="1"/>
  <c r="X25" i="38"/>
  <c r="W25" i="38"/>
  <c r="X24" i="38"/>
  <c r="W24" i="38"/>
  <c r="X23" i="38"/>
  <c r="W23" i="38"/>
  <c r="X21" i="38"/>
  <c r="W21" i="38"/>
  <c r="X20" i="38"/>
  <c r="W20" i="38"/>
  <c r="X19" i="38"/>
  <c r="W19" i="38"/>
  <c r="X18" i="38"/>
  <c r="W18" i="38"/>
  <c r="X17" i="38"/>
  <c r="W17" i="38"/>
  <c r="X13" i="38"/>
  <c r="W13" i="38"/>
  <c r="X11" i="38"/>
  <c r="W11" i="38"/>
  <c r="X10" i="38"/>
  <c r="W10" i="38"/>
  <c r="X9" i="38"/>
  <c r="W9" i="38"/>
  <c r="X8" i="38"/>
  <c r="W8" i="38"/>
  <c r="X7" i="38"/>
  <c r="W7" i="38"/>
  <c r="X5" i="38"/>
  <c r="W5" i="38"/>
  <c r="AH13" i="37"/>
  <c r="AI13" i="37" s="1"/>
  <c r="AJ13" i="37" s="1"/>
  <c r="AK13" i="37" s="1"/>
  <c r="AL13" i="37" s="1"/>
  <c r="AM13" i="37" s="1"/>
  <c r="AN13" i="37" s="1"/>
  <c r="AO13" i="37" s="1"/>
  <c r="AP13" i="37" s="1"/>
  <c r="AH8" i="37"/>
  <c r="AH5" i="37"/>
  <c r="AI5" i="37" s="1"/>
  <c r="AJ5" i="37" s="1"/>
  <c r="AK5" i="37" s="1"/>
  <c r="AL5" i="37" s="1"/>
  <c r="AM5" i="37" s="1"/>
  <c r="AN5" i="37" s="1"/>
  <c r="AO5" i="37" s="1"/>
  <c r="AP5" i="37" s="1"/>
  <c r="AH13" i="38"/>
  <c r="V25" i="38"/>
  <c r="U25" i="38"/>
  <c r="T25" i="38"/>
  <c r="S25" i="38"/>
  <c r="R25" i="38"/>
  <c r="Q25" i="38"/>
  <c r="P25" i="38"/>
  <c r="O25" i="38"/>
  <c r="N25" i="38"/>
  <c r="M25" i="38"/>
  <c r="L25" i="38"/>
  <c r="K25" i="38"/>
  <c r="J25" i="38"/>
  <c r="I25" i="38"/>
  <c r="H25" i="38"/>
  <c r="G25" i="38"/>
  <c r="F25" i="38"/>
  <c r="E25" i="38"/>
  <c r="D25" i="38"/>
  <c r="V24" i="38"/>
  <c r="U24" i="38"/>
  <c r="T24" i="38"/>
  <c r="S24" i="38"/>
  <c r="R24" i="38"/>
  <c r="Q24" i="38"/>
  <c r="P24" i="38"/>
  <c r="O24" i="38"/>
  <c r="N24" i="38"/>
  <c r="M24" i="38"/>
  <c r="L24" i="38"/>
  <c r="K24" i="38"/>
  <c r="J24" i="38"/>
  <c r="I24" i="38"/>
  <c r="H24" i="38"/>
  <c r="G24" i="38"/>
  <c r="F24" i="38"/>
  <c r="E24" i="38"/>
  <c r="D24" i="38"/>
  <c r="V23" i="38"/>
  <c r="U23" i="38"/>
  <c r="T23" i="38"/>
  <c r="S23" i="38"/>
  <c r="R23" i="38"/>
  <c r="Q23" i="38"/>
  <c r="P23" i="38"/>
  <c r="O23" i="38"/>
  <c r="N23" i="38"/>
  <c r="M23" i="38"/>
  <c r="L23" i="38"/>
  <c r="K23" i="38"/>
  <c r="J23" i="38"/>
  <c r="I23" i="38"/>
  <c r="H23" i="38"/>
  <c r="G23" i="38"/>
  <c r="F23" i="38"/>
  <c r="E23" i="38"/>
  <c r="D23" i="38"/>
  <c r="V21" i="38"/>
  <c r="U21" i="38"/>
  <c r="T21" i="38"/>
  <c r="S21" i="38"/>
  <c r="R21" i="38"/>
  <c r="Q21" i="38"/>
  <c r="P21" i="38"/>
  <c r="O21" i="38"/>
  <c r="N21" i="38"/>
  <c r="M21" i="38"/>
  <c r="L21" i="38"/>
  <c r="K21" i="38"/>
  <c r="J21" i="38"/>
  <c r="I21" i="38"/>
  <c r="H21" i="38"/>
  <c r="G21" i="38"/>
  <c r="F21" i="38"/>
  <c r="E21" i="38"/>
  <c r="D21" i="38"/>
  <c r="V20" i="38"/>
  <c r="U20" i="38"/>
  <c r="T20" i="38"/>
  <c r="S20" i="38"/>
  <c r="R20" i="38"/>
  <c r="Q20" i="38"/>
  <c r="P20" i="38"/>
  <c r="O20" i="38"/>
  <c r="N20" i="38"/>
  <c r="M20" i="38"/>
  <c r="L20" i="38"/>
  <c r="K20" i="38"/>
  <c r="J20" i="38"/>
  <c r="I20" i="38"/>
  <c r="H20" i="38"/>
  <c r="G20" i="38"/>
  <c r="F20" i="38"/>
  <c r="E20" i="38"/>
  <c r="D20" i="38"/>
  <c r="V19" i="38"/>
  <c r="U19" i="38"/>
  <c r="T19" i="38"/>
  <c r="S19" i="38"/>
  <c r="R19" i="38"/>
  <c r="Q19" i="38"/>
  <c r="P19" i="38"/>
  <c r="O19" i="38"/>
  <c r="N19" i="38"/>
  <c r="M19" i="38"/>
  <c r="L19" i="38"/>
  <c r="K19" i="38"/>
  <c r="J19" i="38"/>
  <c r="I19" i="38"/>
  <c r="H19" i="38"/>
  <c r="G19" i="38"/>
  <c r="F19" i="38"/>
  <c r="E19" i="38"/>
  <c r="D19" i="38"/>
  <c r="V18" i="38"/>
  <c r="U18" i="38"/>
  <c r="T18" i="38"/>
  <c r="S18" i="38"/>
  <c r="R18" i="38"/>
  <c r="Q18" i="38"/>
  <c r="P18" i="38"/>
  <c r="O18" i="38"/>
  <c r="N18" i="38"/>
  <c r="M18" i="38"/>
  <c r="L18" i="38"/>
  <c r="K18" i="38"/>
  <c r="J18" i="38"/>
  <c r="I18" i="38"/>
  <c r="H18" i="38"/>
  <c r="G18" i="38"/>
  <c r="F18" i="38"/>
  <c r="E18" i="38"/>
  <c r="D18" i="38"/>
  <c r="V17" i="38"/>
  <c r="U17" i="38"/>
  <c r="T17" i="38"/>
  <c r="S17" i="38"/>
  <c r="R17" i="38"/>
  <c r="Q17" i="38"/>
  <c r="P17" i="38"/>
  <c r="O17" i="38"/>
  <c r="N17" i="38"/>
  <c r="M17" i="38"/>
  <c r="L17" i="38"/>
  <c r="K17" i="38"/>
  <c r="J17" i="38"/>
  <c r="I17" i="38"/>
  <c r="H17" i="38"/>
  <c r="G17" i="38"/>
  <c r="F17" i="38"/>
  <c r="E17" i="38"/>
  <c r="D17" i="38"/>
  <c r="U15" i="38"/>
  <c r="T15" i="38"/>
  <c r="S15" i="38"/>
  <c r="R15" i="38"/>
  <c r="Q15" i="38"/>
  <c r="P15" i="38"/>
  <c r="O15" i="38"/>
  <c r="N15" i="38"/>
  <c r="M15" i="38"/>
  <c r="L15" i="38"/>
  <c r="K15" i="38"/>
  <c r="J15" i="38"/>
  <c r="I15" i="38"/>
  <c r="H15" i="38"/>
  <c r="G15" i="38"/>
  <c r="F15" i="38"/>
  <c r="E15" i="38"/>
  <c r="U14" i="38"/>
  <c r="T14" i="38"/>
  <c r="S14" i="38"/>
  <c r="R14" i="38"/>
  <c r="Q14" i="38"/>
  <c r="P14" i="38"/>
  <c r="O14" i="38"/>
  <c r="N14" i="38"/>
  <c r="M14" i="38"/>
  <c r="L14" i="38"/>
  <c r="K14" i="38"/>
  <c r="J14" i="38"/>
  <c r="I14" i="38"/>
  <c r="H14" i="38"/>
  <c r="G14" i="38"/>
  <c r="F14" i="38"/>
  <c r="E14" i="38"/>
  <c r="V13" i="38"/>
  <c r="U13" i="38"/>
  <c r="T13" i="38"/>
  <c r="S13" i="38"/>
  <c r="R13" i="38"/>
  <c r="Q13" i="38"/>
  <c r="P13" i="38"/>
  <c r="O13" i="38"/>
  <c r="N13" i="38"/>
  <c r="M13" i="38"/>
  <c r="L13" i="38"/>
  <c r="K13" i="38"/>
  <c r="J13" i="38"/>
  <c r="I13" i="38"/>
  <c r="H13" i="38"/>
  <c r="G13" i="38"/>
  <c r="F13" i="38"/>
  <c r="E13" i="38"/>
  <c r="D13" i="38"/>
  <c r="V12" i="38"/>
  <c r="U12" i="38"/>
  <c r="T12" i="38"/>
  <c r="S12" i="38"/>
  <c r="R12" i="38"/>
  <c r="Q12" i="38"/>
  <c r="P12" i="38"/>
  <c r="O12" i="38"/>
  <c r="N12" i="38"/>
  <c r="M12" i="38"/>
  <c r="L12" i="38"/>
  <c r="K12" i="38"/>
  <c r="J12" i="38"/>
  <c r="I12" i="38"/>
  <c r="H12" i="38"/>
  <c r="G12" i="38"/>
  <c r="F12" i="38"/>
  <c r="E12" i="38"/>
  <c r="D12" i="38"/>
  <c r="V11" i="38"/>
  <c r="U11" i="38"/>
  <c r="T11" i="38"/>
  <c r="S11" i="38"/>
  <c r="R11" i="38"/>
  <c r="Q11" i="38"/>
  <c r="P11" i="38"/>
  <c r="O11" i="38"/>
  <c r="N11" i="38"/>
  <c r="M11" i="38"/>
  <c r="L11" i="38"/>
  <c r="K11" i="38"/>
  <c r="J11" i="38"/>
  <c r="I11" i="38"/>
  <c r="H11" i="38"/>
  <c r="G11" i="38"/>
  <c r="F11" i="38"/>
  <c r="E11" i="38"/>
  <c r="D11" i="38"/>
  <c r="V10" i="38"/>
  <c r="U10" i="38"/>
  <c r="T10" i="38"/>
  <c r="S10" i="38"/>
  <c r="R10" i="38"/>
  <c r="Q10" i="38"/>
  <c r="P10" i="38"/>
  <c r="O10" i="38"/>
  <c r="N10" i="38"/>
  <c r="M10" i="38"/>
  <c r="L10" i="38"/>
  <c r="K10" i="38"/>
  <c r="J10" i="38"/>
  <c r="I10" i="38"/>
  <c r="H10" i="38"/>
  <c r="G10" i="38"/>
  <c r="F10" i="38"/>
  <c r="E10" i="38"/>
  <c r="D10" i="38"/>
  <c r="V9" i="38"/>
  <c r="U9" i="38"/>
  <c r="T9" i="38"/>
  <c r="S9" i="38"/>
  <c r="R9" i="38"/>
  <c r="Q9" i="38"/>
  <c r="P9" i="38"/>
  <c r="O9" i="38"/>
  <c r="N9" i="38"/>
  <c r="M9" i="38"/>
  <c r="L9" i="38"/>
  <c r="K9" i="38"/>
  <c r="J9" i="38"/>
  <c r="I9" i="38"/>
  <c r="H9" i="38"/>
  <c r="G9" i="38"/>
  <c r="F9" i="38"/>
  <c r="E9" i="38"/>
  <c r="D9" i="38"/>
  <c r="V8" i="38"/>
  <c r="U8" i="38"/>
  <c r="T8" i="38"/>
  <c r="S8" i="38"/>
  <c r="R8" i="38"/>
  <c r="Q8" i="38"/>
  <c r="P8" i="38"/>
  <c r="O8" i="38"/>
  <c r="N8" i="38"/>
  <c r="M8" i="38"/>
  <c r="L8" i="38"/>
  <c r="K8" i="38"/>
  <c r="J8" i="38"/>
  <c r="I8" i="38"/>
  <c r="H8" i="38"/>
  <c r="G8" i="38"/>
  <c r="F8" i="38"/>
  <c r="E8" i="38"/>
  <c r="D8" i="38"/>
  <c r="V7" i="38"/>
  <c r="U7" i="38"/>
  <c r="T7" i="38"/>
  <c r="S7" i="38"/>
  <c r="R7" i="38"/>
  <c r="Q7" i="38"/>
  <c r="P7" i="38"/>
  <c r="O7" i="38"/>
  <c r="N7" i="38"/>
  <c r="M7" i="38"/>
  <c r="L7" i="38"/>
  <c r="K7" i="38"/>
  <c r="J7" i="38"/>
  <c r="I7" i="38"/>
  <c r="H7" i="38"/>
  <c r="G7" i="38"/>
  <c r="F7" i="38"/>
  <c r="E7" i="38"/>
  <c r="D7" i="38"/>
  <c r="V6" i="38"/>
  <c r="U6" i="38"/>
  <c r="T6" i="38"/>
  <c r="S6" i="38"/>
  <c r="R6" i="38"/>
  <c r="Q6" i="38"/>
  <c r="P6" i="38"/>
  <c r="O6" i="38"/>
  <c r="N6" i="38"/>
  <c r="M6" i="38"/>
  <c r="L6" i="38"/>
  <c r="K6" i="38"/>
  <c r="J6" i="38"/>
  <c r="I6" i="38"/>
  <c r="H6" i="38"/>
  <c r="G6" i="38"/>
  <c r="F6" i="38"/>
  <c r="E6" i="38"/>
  <c r="D6" i="38"/>
  <c r="V5" i="38"/>
  <c r="U5" i="38"/>
  <c r="T5" i="38"/>
  <c r="S5" i="38"/>
  <c r="R5" i="38"/>
  <c r="Q5" i="38"/>
  <c r="P5" i="38"/>
  <c r="O5" i="38"/>
  <c r="N5" i="38"/>
  <c r="M5" i="38"/>
  <c r="L5" i="38"/>
  <c r="K5" i="38"/>
  <c r="J5" i="38"/>
  <c r="I5" i="38"/>
  <c r="H5" i="38"/>
  <c r="G5" i="38"/>
  <c r="F5" i="38"/>
  <c r="E5" i="38"/>
  <c r="D5" i="38"/>
  <c r="D14" i="38"/>
  <c r="FT50" i="93" l="1"/>
  <c r="B46" i="64" s="1"/>
  <c r="AD50" i="93"/>
  <c r="FM53" i="93"/>
  <c r="BV53" i="93"/>
  <c r="CD53" i="93" s="1"/>
  <c r="FM52" i="96"/>
  <c r="EG53" i="96" s="1"/>
  <c r="BV52" i="96"/>
  <c r="CC58" i="93"/>
  <c r="I48" i="82"/>
  <c r="C46" i="102"/>
  <c r="B46" i="102"/>
  <c r="FT52" i="93"/>
  <c r="B48" i="64" s="1"/>
  <c r="AA55" i="93"/>
  <c r="S54" i="93"/>
  <c r="AC55" i="93"/>
  <c r="U54" i="93"/>
  <c r="AE54" i="93"/>
  <c r="W53" i="93"/>
  <c r="EP53" i="93" s="1"/>
  <c r="CE61" i="96"/>
  <c r="CC59" i="96"/>
  <c r="CE59" i="93"/>
  <c r="CA63" i="93"/>
  <c r="CA64" i="93" s="1"/>
  <c r="EY64" i="97"/>
  <c r="FB64" i="97" s="1"/>
  <c r="EX64" i="97"/>
  <c r="FA64" i="97" s="1"/>
  <c r="ES65" i="97"/>
  <c r="EW65" i="97" s="1"/>
  <c r="EZ65" i="97" s="1"/>
  <c r="R49" i="97"/>
  <c r="Z49" i="97" s="1"/>
  <c r="BZ49" i="97" s="1"/>
  <c r="FP49" i="97" s="1"/>
  <c r="FV49" i="97" s="1"/>
  <c r="FI58" i="97"/>
  <c r="EK50" i="97"/>
  <c r="R50" i="97" s="1"/>
  <c r="Z50" i="97" s="1"/>
  <c r="BZ50" i="97" s="1"/>
  <c r="BW56" i="97"/>
  <c r="EH55" i="97"/>
  <c r="CL51" i="97"/>
  <c r="CD50" i="97"/>
  <c r="FT50" i="97" s="1"/>
  <c r="CK52" i="97"/>
  <c r="CC51" i="97"/>
  <c r="FS51" i="97" s="1"/>
  <c r="CE50" i="97"/>
  <c r="FU50" i="97" s="1"/>
  <c r="CM51" i="97"/>
  <c r="AK63" i="97"/>
  <c r="AX63" i="97"/>
  <c r="DK60" i="97"/>
  <c r="AE49" i="97"/>
  <c r="AC50" i="97"/>
  <c r="U49" i="97"/>
  <c r="EN49" i="97" s="1"/>
  <c r="DL59" i="97"/>
  <c r="CY63" i="97"/>
  <c r="CW66" i="97"/>
  <c r="CJ66" i="97"/>
  <c r="DK59" i="97"/>
  <c r="S51" i="97"/>
  <c r="EL51" i="97" s="1"/>
  <c r="AA52" i="97"/>
  <c r="DJ57" i="97"/>
  <c r="DO64" i="97"/>
  <c r="DO66" i="97" s="1"/>
  <c r="BS58" i="97"/>
  <c r="ED57" i="97"/>
  <c r="DN64" i="97"/>
  <c r="DN65" i="97" s="1"/>
  <c r="AW64" i="97"/>
  <c r="AJ64" i="97"/>
  <c r="FM54" i="97"/>
  <c r="EG55" i="97" s="1"/>
  <c r="BV54" i="97"/>
  <c r="DM62" i="97"/>
  <c r="DM63" i="97" s="1"/>
  <c r="CY64" i="97"/>
  <c r="FL53" i="97"/>
  <c r="EM54" i="97" s="1"/>
  <c r="T53" i="97"/>
  <c r="AB53" i="97" s="1"/>
  <c r="CB53" i="97" s="1"/>
  <c r="DO65" i="97"/>
  <c r="CI54" i="97"/>
  <c r="CA53" i="97"/>
  <c r="FQ53" i="97" s="1"/>
  <c r="AV65" i="97"/>
  <c r="AI65" i="97"/>
  <c r="AI66" i="97" s="1"/>
  <c r="CX65" i="97"/>
  <c r="EF56" i="97"/>
  <c r="BU57" i="97"/>
  <c r="AY62" i="97"/>
  <c r="AM62" i="97" s="1"/>
  <c r="AL62" i="97"/>
  <c r="V48" i="97"/>
  <c r="EO48" i="97" s="1"/>
  <c r="AD49" i="97"/>
  <c r="AV66" i="97"/>
  <c r="FR52" i="97"/>
  <c r="BT52" i="97"/>
  <c r="EE52" i="97" s="1"/>
  <c r="AM61" i="96"/>
  <c r="AY62" i="96"/>
  <c r="AL62" i="96"/>
  <c r="CK52" i="96"/>
  <c r="BU52" i="96" s="1"/>
  <c r="EF52" i="96" s="1"/>
  <c r="FS51" i="96"/>
  <c r="C47" i="59" s="1"/>
  <c r="W49" i="96"/>
  <c r="EP49" i="96" s="1"/>
  <c r="CW66" i="96"/>
  <c r="CJ66" i="96"/>
  <c r="CY64" i="96"/>
  <c r="AK63" i="96"/>
  <c r="AX63" i="96"/>
  <c r="AU66" i="96"/>
  <c r="AH66" i="96"/>
  <c r="FU50" i="96"/>
  <c r="C46" i="60" s="1"/>
  <c r="CM51" i="96"/>
  <c r="BW51" i="96" s="1"/>
  <c r="EH51" i="96" s="1"/>
  <c r="CI54" i="96"/>
  <c r="BS54" i="96" s="1"/>
  <c r="ED54" i="96" s="1"/>
  <c r="FQ53" i="96"/>
  <c r="C49" i="58" s="1"/>
  <c r="T54" i="96"/>
  <c r="AB54" i="96" s="1"/>
  <c r="CB54" i="96" s="1"/>
  <c r="FL54" i="96"/>
  <c r="EM55" i="96" s="1"/>
  <c r="CL51" i="96"/>
  <c r="CD50" i="96"/>
  <c r="FT50" i="96" s="1"/>
  <c r="C46" i="64" s="1"/>
  <c r="AC50" i="96"/>
  <c r="U49" i="96"/>
  <c r="EN49" i="96" s="1"/>
  <c r="BT53" i="96"/>
  <c r="EE53" i="96" s="1"/>
  <c r="FR53" i="96"/>
  <c r="C49" i="63" s="1"/>
  <c r="AV65" i="96"/>
  <c r="AI65" i="96"/>
  <c r="S51" i="96"/>
  <c r="EL51" i="96" s="1"/>
  <c r="AA52" i="96"/>
  <c r="AW64" i="96"/>
  <c r="AJ64" i="96"/>
  <c r="R49" i="96"/>
  <c r="Z49" i="96" s="1"/>
  <c r="BZ49" i="96" s="1"/>
  <c r="FK49" i="96"/>
  <c r="EK50" i="96" s="1"/>
  <c r="CX65" i="96"/>
  <c r="AD49" i="96"/>
  <c r="V48" i="96"/>
  <c r="EO48" i="96" s="1"/>
  <c r="CM55" i="93"/>
  <c r="EL53" i="93"/>
  <c r="CJ55" i="93"/>
  <c r="CI55" i="93"/>
  <c r="BS55" i="93" s="1"/>
  <c r="ED55" i="93" s="1"/>
  <c r="FQ54" i="93"/>
  <c r="B50" i="58" s="1"/>
  <c r="CK55" i="93"/>
  <c r="BU55" i="93" s="1"/>
  <c r="EF55" i="93" s="1"/>
  <c r="FU54" i="93"/>
  <c r="B50" i="60" s="1"/>
  <c r="AI65" i="93"/>
  <c r="AX63" i="93"/>
  <c r="AK63" i="93"/>
  <c r="AK64" i="93" s="1"/>
  <c r="AK65" i="93" s="1"/>
  <c r="BR49" i="93"/>
  <c r="EC49" i="93" s="1"/>
  <c r="T53" i="93"/>
  <c r="AB53" i="93" s="1"/>
  <c r="CB53" i="93" s="1"/>
  <c r="FL53" i="93"/>
  <c r="EM54" i="93" s="1"/>
  <c r="BT52" i="93"/>
  <c r="EE52" i="93" s="1"/>
  <c r="FR52" i="93"/>
  <c r="B48" i="63" s="1"/>
  <c r="Z50" i="93"/>
  <c r="BZ50" i="93" s="1"/>
  <c r="FK50" i="93"/>
  <c r="EK51" i="93" s="1"/>
  <c r="FT53" i="93"/>
  <c r="B49" i="64" s="1"/>
  <c r="AJ57" i="93"/>
  <c r="EN53" i="93"/>
  <c r="CL55" i="93"/>
  <c r="AH55" i="93"/>
  <c r="FS55" i="93"/>
  <c r="B51" i="59" s="1"/>
  <c r="AQ66" i="93"/>
  <c r="AP66" i="93" s="1"/>
  <c r="P59" i="81"/>
  <c r="P60" i="81" s="1"/>
  <c r="P61" i="81" s="1"/>
  <c r="P62" i="81" s="1"/>
  <c r="P63" i="81" s="1"/>
  <c r="J25" i="82"/>
  <c r="J7" i="82"/>
  <c r="Y21" i="9"/>
  <c r="Y13" i="9"/>
  <c r="Y48" i="9"/>
  <c r="J15" i="82"/>
  <c r="J42" i="82"/>
  <c r="J26" i="83"/>
  <c r="J15" i="81"/>
  <c r="J26" i="81"/>
  <c r="J10" i="81"/>
  <c r="J7" i="81"/>
  <c r="J39" i="81"/>
  <c r="Y16" i="9"/>
  <c r="K10" i="82" s="1"/>
  <c r="L10" i="82" s="1"/>
  <c r="C9" i="104" s="1"/>
  <c r="J35" i="83"/>
  <c r="J18" i="83"/>
  <c r="J9" i="83"/>
  <c r="J18" i="82"/>
  <c r="J9" i="82"/>
  <c r="J18" i="81"/>
  <c r="J10" i="83"/>
  <c r="Y42" i="9"/>
  <c r="J36" i="82"/>
  <c r="J36" i="83"/>
  <c r="J36" i="81"/>
  <c r="Y35" i="9"/>
  <c r="J29" i="82"/>
  <c r="J29" i="83"/>
  <c r="J29" i="81"/>
  <c r="K27" i="82"/>
  <c r="L27" i="82" s="1"/>
  <c r="C26" i="104" s="1"/>
  <c r="K27" i="83"/>
  <c r="L27" i="83" s="1"/>
  <c r="D26" i="104" s="1"/>
  <c r="E26" i="104" s="1"/>
  <c r="K27" i="81"/>
  <c r="L27" i="81" s="1"/>
  <c r="B26" i="104" s="1"/>
  <c r="Q27" i="19"/>
  <c r="K11" i="83"/>
  <c r="L11" i="83" s="1"/>
  <c r="K11" i="81"/>
  <c r="L11" i="81" s="1"/>
  <c r="K11" i="82"/>
  <c r="L11" i="82" s="1"/>
  <c r="C10" i="104" s="1"/>
  <c r="Q11" i="19"/>
  <c r="Y27" i="9"/>
  <c r="J21" i="81"/>
  <c r="J21" i="82"/>
  <c r="J21" i="83"/>
  <c r="K15" i="83"/>
  <c r="L15" i="83" s="1"/>
  <c r="K15" i="81"/>
  <c r="L15" i="81" s="1"/>
  <c r="K15" i="82"/>
  <c r="L15" i="82" s="1"/>
  <c r="Q15" i="19"/>
  <c r="K25" i="83"/>
  <c r="L25" i="83" s="1"/>
  <c r="D24" i="104" s="1"/>
  <c r="E24" i="104" s="1"/>
  <c r="K25" i="82"/>
  <c r="L25" i="82" s="1"/>
  <c r="C24" i="104" s="1"/>
  <c r="K25" i="81"/>
  <c r="L25" i="81" s="1"/>
  <c r="B24" i="104" s="1"/>
  <c r="Q25" i="19"/>
  <c r="Y30" i="9"/>
  <c r="J24" i="81"/>
  <c r="J24" i="82"/>
  <c r="J24" i="83"/>
  <c r="K18" i="82"/>
  <c r="L18" i="82" s="1"/>
  <c r="C17" i="104" s="1"/>
  <c r="K18" i="81"/>
  <c r="L18" i="81" s="1"/>
  <c r="B17" i="104" s="1"/>
  <c r="K18" i="83"/>
  <c r="L18" i="83" s="1"/>
  <c r="D17" i="104" s="1"/>
  <c r="E17" i="104" s="1"/>
  <c r="Q18" i="19"/>
  <c r="Y34" i="9"/>
  <c r="J28" i="81"/>
  <c r="J28" i="82"/>
  <c r="J28" i="83"/>
  <c r="Y47" i="9"/>
  <c r="J41" i="83"/>
  <c r="J41" i="81"/>
  <c r="J41" i="82"/>
  <c r="Y19" i="9"/>
  <c r="J13" i="83"/>
  <c r="J13" i="81"/>
  <c r="J13" i="82"/>
  <c r="J45" i="81"/>
  <c r="L44" i="81"/>
  <c r="Y44" i="9"/>
  <c r="J38" i="82"/>
  <c r="J38" i="83"/>
  <c r="J38" i="81"/>
  <c r="Y11" i="9"/>
  <c r="J5" i="82"/>
  <c r="J5" i="83"/>
  <c r="J5" i="81"/>
  <c r="K8" i="81"/>
  <c r="L8" i="81" s="1"/>
  <c r="B7" i="104" s="1"/>
  <c r="K8" i="82"/>
  <c r="L8" i="82" s="1"/>
  <c r="C7" i="104" s="1"/>
  <c r="K8" i="83"/>
  <c r="L8" i="83" s="1"/>
  <c r="D7" i="104" s="1"/>
  <c r="E7" i="104" s="1"/>
  <c r="Q8" i="19"/>
  <c r="Y18" i="9"/>
  <c r="J12" i="82"/>
  <c r="J12" i="83"/>
  <c r="J12" i="81"/>
  <c r="Y10" i="9"/>
  <c r="J4" i="82"/>
  <c r="J4" i="83"/>
  <c r="J4" i="81"/>
  <c r="Y36" i="9"/>
  <c r="J30" i="82"/>
  <c r="J30" i="83"/>
  <c r="J30" i="81"/>
  <c r="K34" i="82"/>
  <c r="L34" i="82" s="1"/>
  <c r="C33" i="104" s="1"/>
  <c r="K34" i="83"/>
  <c r="L34" i="83" s="1"/>
  <c r="D33" i="104" s="1"/>
  <c r="E33" i="104" s="1"/>
  <c r="K34" i="81"/>
  <c r="L34" i="81" s="1"/>
  <c r="B33" i="104" s="1"/>
  <c r="Q34" i="19"/>
  <c r="K19" i="82"/>
  <c r="L19" i="82" s="1"/>
  <c r="C18" i="104" s="1"/>
  <c r="K19" i="81"/>
  <c r="L19" i="81" s="1"/>
  <c r="B18" i="104" s="1"/>
  <c r="K19" i="83"/>
  <c r="L19" i="83" s="1"/>
  <c r="D18" i="104" s="1"/>
  <c r="E18" i="104" s="1"/>
  <c r="Q19" i="19"/>
  <c r="K3" i="83"/>
  <c r="L3" i="83" s="1"/>
  <c r="D2" i="104" s="1"/>
  <c r="E2" i="104" s="1"/>
  <c r="K3" i="82"/>
  <c r="K3" i="81"/>
  <c r="L3" i="81" s="1"/>
  <c r="B2" i="104" s="1"/>
  <c r="Q3" i="19"/>
  <c r="K26" i="82"/>
  <c r="L26" i="82" s="1"/>
  <c r="C25" i="104" s="1"/>
  <c r="K26" i="83"/>
  <c r="L26" i="83" s="1"/>
  <c r="D25" i="104" s="1"/>
  <c r="E25" i="104" s="1"/>
  <c r="K26" i="81"/>
  <c r="L26" i="81" s="1"/>
  <c r="B25" i="104" s="1"/>
  <c r="Q26" i="19"/>
  <c r="K10" i="83"/>
  <c r="L10" i="83" s="1"/>
  <c r="D9" i="104" s="1"/>
  <c r="E9" i="104" s="1"/>
  <c r="K39" i="83"/>
  <c r="L39" i="83" s="1"/>
  <c r="D38" i="104" s="1"/>
  <c r="E38" i="104" s="1"/>
  <c r="K39" i="81"/>
  <c r="L39" i="81" s="1"/>
  <c r="B38" i="104" s="1"/>
  <c r="K39" i="82"/>
  <c r="L39" i="82" s="1"/>
  <c r="C38" i="104" s="1"/>
  <c r="Q39" i="19"/>
  <c r="Y37" i="9"/>
  <c r="J31" i="82"/>
  <c r="J31" i="83"/>
  <c r="J31" i="81"/>
  <c r="Y46" i="9"/>
  <c r="J40" i="82"/>
  <c r="J40" i="83"/>
  <c r="J40" i="81"/>
  <c r="Y28" i="9"/>
  <c r="J22" i="82"/>
  <c r="J22" i="81"/>
  <c r="J22" i="83"/>
  <c r="K42" i="81"/>
  <c r="L42" i="81" s="1"/>
  <c r="B41" i="104" s="1"/>
  <c r="K42" i="83"/>
  <c r="L42" i="83" s="1"/>
  <c r="D41" i="104" s="1"/>
  <c r="E41" i="104" s="1"/>
  <c r="K7" i="83"/>
  <c r="L7" i="83" s="1"/>
  <c r="K7" i="82"/>
  <c r="L7" i="82" s="1"/>
  <c r="K7" i="81"/>
  <c r="L7" i="81" s="1"/>
  <c r="Q7" i="19"/>
  <c r="K33" i="82"/>
  <c r="L33" i="82" s="1"/>
  <c r="C32" i="104" s="1"/>
  <c r="K33" i="83"/>
  <c r="L33" i="83" s="1"/>
  <c r="D32" i="104" s="1"/>
  <c r="E32" i="104" s="1"/>
  <c r="K33" i="81"/>
  <c r="Q33" i="19"/>
  <c r="K9" i="82"/>
  <c r="L9" i="82" s="1"/>
  <c r="K9" i="81"/>
  <c r="L9" i="81" s="1"/>
  <c r="K9" i="83"/>
  <c r="L9" i="83" s="1"/>
  <c r="Q9" i="19"/>
  <c r="Y20" i="9"/>
  <c r="J14" i="81"/>
  <c r="J14" i="82"/>
  <c r="J14" i="83"/>
  <c r="Y38" i="9"/>
  <c r="J32" i="82"/>
  <c r="J32" i="83"/>
  <c r="J32" i="81"/>
  <c r="Y43" i="9"/>
  <c r="J37" i="82"/>
  <c r="J37" i="83"/>
  <c r="J37" i="81"/>
  <c r="Y23" i="9"/>
  <c r="J17" i="83"/>
  <c r="J17" i="81"/>
  <c r="J17" i="82"/>
  <c r="Y26" i="9"/>
  <c r="J20" i="81"/>
  <c r="J20" i="82"/>
  <c r="J20" i="83"/>
  <c r="X11" i="82"/>
  <c r="K35" i="82"/>
  <c r="L35" i="82" s="1"/>
  <c r="C34" i="104" s="1"/>
  <c r="K35" i="81"/>
  <c r="L35" i="81" s="1"/>
  <c r="B34" i="104" s="1"/>
  <c r="K35" i="83"/>
  <c r="L35" i="83" s="1"/>
  <c r="D34" i="104" s="1"/>
  <c r="E34" i="104" s="1"/>
  <c r="Q35" i="19"/>
  <c r="Y12" i="9"/>
  <c r="J6" i="81"/>
  <c r="J6" i="82"/>
  <c r="J6" i="83"/>
  <c r="K16" i="83"/>
  <c r="L16" i="83" s="1"/>
  <c r="K16" i="81"/>
  <c r="L16" i="81" s="1"/>
  <c r="K16" i="82"/>
  <c r="L16" i="82" s="1"/>
  <c r="Q16" i="19"/>
  <c r="K23" i="81"/>
  <c r="K23" i="82"/>
  <c r="L23" i="82" s="1"/>
  <c r="C22" i="104" s="1"/>
  <c r="K23" i="83"/>
  <c r="L23" i="83" s="1"/>
  <c r="D22" i="104" s="1"/>
  <c r="E22" i="104" s="1"/>
  <c r="Q23" i="19"/>
  <c r="Y12" i="6"/>
  <c r="F8" i="82"/>
  <c r="G8" i="82" s="1"/>
  <c r="C7" i="107" s="1"/>
  <c r="D7" i="107" s="1"/>
  <c r="F8" i="81"/>
  <c r="G8" i="81" s="1"/>
  <c r="F8" i="83"/>
  <c r="G8" i="83" s="1"/>
  <c r="J8" i="19"/>
  <c r="E10" i="82"/>
  <c r="E10" i="83"/>
  <c r="E10" i="81"/>
  <c r="C8" i="41"/>
  <c r="E8" i="41" s="1"/>
  <c r="D8" i="40"/>
  <c r="D9" i="40" s="1"/>
  <c r="E13" i="81"/>
  <c r="E13" i="82"/>
  <c r="E13" i="83"/>
  <c r="C11" i="41"/>
  <c r="E11" i="41" s="1"/>
  <c r="E15" i="83"/>
  <c r="X15" i="83" s="1"/>
  <c r="E15" i="82"/>
  <c r="X15" i="82" s="1"/>
  <c r="E15" i="81"/>
  <c r="C13" i="41"/>
  <c r="E13" i="41" s="1"/>
  <c r="E17" i="83"/>
  <c r="E17" i="82"/>
  <c r="E17" i="81"/>
  <c r="C15" i="41"/>
  <c r="E15" i="41" s="1"/>
  <c r="E16" i="83"/>
  <c r="E16" i="81"/>
  <c r="E16" i="82"/>
  <c r="C14" i="41"/>
  <c r="E14" i="41" s="1"/>
  <c r="P47" i="83"/>
  <c r="V52" i="83"/>
  <c r="I49" i="83"/>
  <c r="L48" i="83"/>
  <c r="D47" i="104" s="1"/>
  <c r="P46" i="82"/>
  <c r="V52" i="82"/>
  <c r="N50" i="81"/>
  <c r="X6" i="37"/>
  <c r="Y12" i="37" s="1"/>
  <c r="AH14" i="37"/>
  <c r="AI14" i="37" s="1"/>
  <c r="AJ14" i="37" s="1"/>
  <c r="AK14" i="37" s="1"/>
  <c r="AL14" i="37" s="1"/>
  <c r="AM14" i="37" s="1"/>
  <c r="AN14" i="37" s="1"/>
  <c r="AO14" i="37" s="1"/>
  <c r="AP14" i="37" s="1"/>
  <c r="W6" i="38"/>
  <c r="AI8" i="37"/>
  <c r="AJ8" i="37" s="1"/>
  <c r="AK8" i="37" s="1"/>
  <c r="AL8" i="37" s="1"/>
  <c r="AM8" i="37" s="1"/>
  <c r="AN8" i="37" s="1"/>
  <c r="AO8" i="37" s="1"/>
  <c r="AP8" i="37" s="1"/>
  <c r="EG54" i="93" l="1"/>
  <c r="FM54" i="93" s="1"/>
  <c r="EG55" i="93" s="1"/>
  <c r="V50" i="93"/>
  <c r="EO50" i="93" s="1"/>
  <c r="AD51" i="93"/>
  <c r="FM53" i="96"/>
  <c r="EG54" i="96" s="1"/>
  <c r="BV53" i="96"/>
  <c r="AT66" i="93"/>
  <c r="AU66" i="93" s="1"/>
  <c r="CC59" i="93"/>
  <c r="CC60" i="93"/>
  <c r="CA65" i="93"/>
  <c r="CA66" i="93" s="1"/>
  <c r="S15" i="83"/>
  <c r="D14" i="104"/>
  <c r="E14" i="104" s="1"/>
  <c r="X11" i="83"/>
  <c r="D10" i="104"/>
  <c r="E10" i="104" s="1"/>
  <c r="X7" i="83"/>
  <c r="D6" i="104"/>
  <c r="E6" i="104" s="1"/>
  <c r="S16" i="83"/>
  <c r="T16" i="83" s="1"/>
  <c r="D15" i="104"/>
  <c r="E15" i="104" s="1"/>
  <c r="W9" i="83"/>
  <c r="D8" i="104"/>
  <c r="E8" i="104" s="1"/>
  <c r="W9" i="82"/>
  <c r="C8" i="104"/>
  <c r="S15" i="82"/>
  <c r="C14" i="104"/>
  <c r="S16" i="82"/>
  <c r="C15" i="104"/>
  <c r="I49" i="82"/>
  <c r="C47" i="102"/>
  <c r="W7" i="82"/>
  <c r="C6" i="104"/>
  <c r="L48" i="82"/>
  <c r="C47" i="104" s="1"/>
  <c r="B47" i="102"/>
  <c r="H19" i="40"/>
  <c r="H24" i="40" s="1"/>
  <c r="L48" i="81"/>
  <c r="S15" i="81"/>
  <c r="B14" i="104"/>
  <c r="X11" i="81"/>
  <c r="B10" i="104"/>
  <c r="X7" i="81"/>
  <c r="B6" i="104"/>
  <c r="S44" i="81"/>
  <c r="B43" i="104"/>
  <c r="S8" i="81"/>
  <c r="B7" i="107"/>
  <c r="S16" i="81"/>
  <c r="B15" i="104"/>
  <c r="W9" i="81"/>
  <c r="B8" i="104"/>
  <c r="L44" i="83"/>
  <c r="D43" i="104" s="1"/>
  <c r="D43" i="103"/>
  <c r="FU55" i="93"/>
  <c r="B51" i="60" s="1"/>
  <c r="BW55" i="93"/>
  <c r="EH55" i="93" s="1"/>
  <c r="AC56" i="93"/>
  <c r="U55" i="93"/>
  <c r="AA56" i="93"/>
  <c r="S55" i="93"/>
  <c r="AE55" i="93"/>
  <c r="W54" i="93"/>
  <c r="EP54" i="93" s="1"/>
  <c r="CE62" i="96"/>
  <c r="CE63" i="96" s="1"/>
  <c r="CC60" i="96"/>
  <c r="CE60" i="93"/>
  <c r="FV49" i="93"/>
  <c r="B45" i="62"/>
  <c r="ES66" i="97"/>
  <c r="EW66" i="97" s="1"/>
  <c r="EZ66" i="97" s="1"/>
  <c r="EX65" i="97"/>
  <c r="FA65" i="97" s="1"/>
  <c r="EY65" i="97"/>
  <c r="FB65" i="97" s="1"/>
  <c r="BR49" i="97"/>
  <c r="EC49" i="97" s="1"/>
  <c r="FK50" i="97"/>
  <c r="EK51" i="97" s="1"/>
  <c r="R51" i="97" s="1"/>
  <c r="Z51" i="97" s="1"/>
  <c r="BZ51" i="97" s="1"/>
  <c r="FI59" i="97"/>
  <c r="V49" i="97"/>
  <c r="EO49" i="97" s="1"/>
  <c r="AD50" i="97"/>
  <c r="FR53" i="97"/>
  <c r="BT53" i="97"/>
  <c r="EE53" i="97" s="1"/>
  <c r="DJ58" i="97"/>
  <c r="CK53" i="97"/>
  <c r="CC52" i="97"/>
  <c r="FS52" i="97" s="1"/>
  <c r="CY65" i="97"/>
  <c r="FL54" i="97"/>
  <c r="EM55" i="97" s="1"/>
  <c r="T54" i="97"/>
  <c r="AB54" i="97" s="1"/>
  <c r="CB54" i="97" s="1"/>
  <c r="AK64" i="97"/>
  <c r="AX64" i="97"/>
  <c r="S52" i="97"/>
  <c r="EL52" i="97" s="1"/>
  <c r="AA53" i="97"/>
  <c r="DN66" i="97"/>
  <c r="CL52" i="97"/>
  <c r="CD51" i="97"/>
  <c r="FT51" i="97" s="1"/>
  <c r="AW65" i="97"/>
  <c r="AJ65" i="97"/>
  <c r="BR50" i="97"/>
  <c r="EC50" i="97" s="1"/>
  <c r="FP50" i="97"/>
  <c r="FV50" i="97" s="1"/>
  <c r="AY63" i="97"/>
  <c r="AM63" i="97" s="1"/>
  <c r="AL63" i="97"/>
  <c r="DK61" i="97"/>
  <c r="BU58" i="97"/>
  <c r="EF57" i="97"/>
  <c r="BS59" i="97"/>
  <c r="ED58" i="97"/>
  <c r="DM64" i="97"/>
  <c r="DM66" i="97" s="1"/>
  <c r="AC51" i="97"/>
  <c r="U50" i="97"/>
  <c r="EN50" i="97" s="1"/>
  <c r="CM52" i="97"/>
  <c r="CE51" i="97"/>
  <c r="FU51" i="97" s="1"/>
  <c r="EH56" i="97"/>
  <c r="BW57" i="97"/>
  <c r="CI55" i="97"/>
  <c r="CA54" i="97"/>
  <c r="FQ54" i="97" s="1"/>
  <c r="CX66" i="97"/>
  <c r="W49" i="97"/>
  <c r="EP49" i="97" s="1"/>
  <c r="AE50" i="97"/>
  <c r="DL60" i="97"/>
  <c r="AW66" i="97"/>
  <c r="AJ66" i="97"/>
  <c r="FM55" i="97"/>
  <c r="EG56" i="97" s="1"/>
  <c r="BV55" i="97"/>
  <c r="DM65" i="97"/>
  <c r="AM62" i="96"/>
  <c r="FR54" i="96"/>
  <c r="C50" i="63" s="1"/>
  <c r="BT54" i="96"/>
  <c r="EE54" i="96" s="1"/>
  <c r="AW65" i="96"/>
  <c r="AJ65" i="96"/>
  <c r="AE50" i="96"/>
  <c r="CL52" i="96"/>
  <c r="CD51" i="96"/>
  <c r="FT51" i="96" s="1"/>
  <c r="C47" i="64" s="1"/>
  <c r="R50" i="96"/>
  <c r="Z50" i="96" s="1"/>
  <c r="BZ50" i="96" s="1"/>
  <c r="FK50" i="96"/>
  <c r="EK51" i="96" s="1"/>
  <c r="CK53" i="96"/>
  <c r="BU53" i="96" s="1"/>
  <c r="EF53" i="96" s="1"/>
  <c r="FS52" i="96"/>
  <c r="C48" i="59" s="1"/>
  <c r="AD50" i="96"/>
  <c r="V49" i="96"/>
  <c r="EO49" i="96" s="1"/>
  <c r="BR49" i="96"/>
  <c r="EC49" i="96" s="1"/>
  <c r="FP49" i="96"/>
  <c r="FL55" i="96"/>
  <c r="EM56" i="96" s="1"/>
  <c r="T55" i="96"/>
  <c r="AB55" i="96" s="1"/>
  <c r="CB55" i="96" s="1"/>
  <c r="AX64" i="96"/>
  <c r="AK64" i="96"/>
  <c r="S52" i="96"/>
  <c r="EL52" i="96" s="1"/>
  <c r="AA53" i="96"/>
  <c r="AV66" i="96"/>
  <c r="AI66" i="96"/>
  <c r="CY65" i="96"/>
  <c r="CI55" i="96"/>
  <c r="BS55" i="96" s="1"/>
  <c r="ED55" i="96" s="1"/>
  <c r="FQ54" i="96"/>
  <c r="C50" i="58" s="1"/>
  <c r="AY63" i="96"/>
  <c r="AL63" i="96"/>
  <c r="CX66" i="96"/>
  <c r="AC51" i="96"/>
  <c r="U50" i="96"/>
  <c r="EN50" i="96" s="1"/>
  <c r="FU51" i="96"/>
  <c r="C47" i="60" s="1"/>
  <c r="CM52" i="96"/>
  <c r="BW52" i="96" s="1"/>
  <c r="EH52" i="96" s="1"/>
  <c r="CI56" i="93"/>
  <c r="BS56" i="93" s="1"/>
  <c r="ED56" i="93" s="1"/>
  <c r="FQ55" i="93"/>
  <c r="B51" i="58" s="1"/>
  <c r="CJ56" i="93"/>
  <c r="EL54" i="93"/>
  <c r="CK56" i="93"/>
  <c r="BU56" i="93" s="1"/>
  <c r="EF56" i="93" s="1"/>
  <c r="CM56" i="93"/>
  <c r="BW56" i="93" s="1"/>
  <c r="EH56" i="93" s="1"/>
  <c r="R51" i="93"/>
  <c r="Z51" i="93" s="1"/>
  <c r="BZ51" i="93" s="1"/>
  <c r="FK51" i="93"/>
  <c r="EK52" i="93" s="1"/>
  <c r="R52" i="93" s="1"/>
  <c r="BR50" i="93"/>
  <c r="EC50" i="93" s="1"/>
  <c r="FP50" i="93"/>
  <c r="AY63" i="93"/>
  <c r="AM63" i="93" s="1"/>
  <c r="AM64" i="93" s="1"/>
  <c r="AM65" i="93" s="1"/>
  <c r="AL63" i="93"/>
  <c r="AL64" i="93" s="1"/>
  <c r="AL65" i="93" s="1"/>
  <c r="FR53" i="93"/>
  <c r="B49" i="63" s="1"/>
  <c r="BT53" i="93"/>
  <c r="EE53" i="93" s="1"/>
  <c r="FL54" i="93"/>
  <c r="EM55" i="93" s="1"/>
  <c r="T54" i="93"/>
  <c r="AB54" i="93" s="1"/>
  <c r="CB54" i="93" s="1"/>
  <c r="AH56" i="93"/>
  <c r="EN54" i="93"/>
  <c r="FU56" i="93"/>
  <c r="B52" i="60" s="1"/>
  <c r="FS56" i="93"/>
  <c r="B52" i="59" s="1"/>
  <c r="CL56" i="93"/>
  <c r="AJ58" i="93"/>
  <c r="S8" i="82"/>
  <c r="T16" i="81"/>
  <c r="K42" i="82"/>
  <c r="L42" i="82" s="1"/>
  <c r="W42" i="82" s="1"/>
  <c r="Y49" i="9"/>
  <c r="K43" i="81" s="1"/>
  <c r="X10" i="83"/>
  <c r="X7" i="82"/>
  <c r="W15" i="81"/>
  <c r="Q42" i="19"/>
  <c r="X16" i="81"/>
  <c r="X16" i="83"/>
  <c r="Q10" i="19"/>
  <c r="K10" i="81"/>
  <c r="L10" i="81" s="1"/>
  <c r="X10" i="82"/>
  <c r="W7" i="83"/>
  <c r="S23" i="83"/>
  <c r="W23" i="83"/>
  <c r="X23" i="83"/>
  <c r="S9" i="83"/>
  <c r="K20" i="82"/>
  <c r="L20" i="82" s="1"/>
  <c r="C19" i="104" s="1"/>
  <c r="K20" i="83"/>
  <c r="L20" i="83" s="1"/>
  <c r="D19" i="104" s="1"/>
  <c r="E19" i="104" s="1"/>
  <c r="K20" i="81"/>
  <c r="L20" i="81" s="1"/>
  <c r="B19" i="104" s="1"/>
  <c r="Q20" i="19"/>
  <c r="F21" i="40"/>
  <c r="L33" i="81"/>
  <c r="B32" i="104" s="1"/>
  <c r="W10" i="82"/>
  <c r="S10" i="82"/>
  <c r="S11" i="81"/>
  <c r="W11" i="81"/>
  <c r="K36" i="82"/>
  <c r="L36" i="82" s="1"/>
  <c r="C35" i="104" s="1"/>
  <c r="K36" i="83"/>
  <c r="L36" i="83" s="1"/>
  <c r="D35" i="104" s="1"/>
  <c r="E35" i="104" s="1"/>
  <c r="K36" i="81"/>
  <c r="L36" i="81" s="1"/>
  <c r="B35" i="104" s="1"/>
  <c r="Q36" i="19"/>
  <c r="W23" i="82"/>
  <c r="S23" i="82"/>
  <c r="X23" i="82"/>
  <c r="K37" i="83"/>
  <c r="L37" i="83" s="1"/>
  <c r="D36" i="104" s="1"/>
  <c r="E36" i="104" s="1"/>
  <c r="K37" i="81"/>
  <c r="L37" i="81" s="1"/>
  <c r="B36" i="104" s="1"/>
  <c r="K37" i="82"/>
  <c r="L37" i="82" s="1"/>
  <c r="C36" i="104" s="1"/>
  <c r="Q37" i="19"/>
  <c r="W33" i="83"/>
  <c r="S33" i="83"/>
  <c r="X33" i="83"/>
  <c r="S42" i="82"/>
  <c r="W16" i="82"/>
  <c r="S39" i="82"/>
  <c r="W39" i="82"/>
  <c r="X39" i="82"/>
  <c r="K30" i="81"/>
  <c r="L30" i="81" s="1"/>
  <c r="B29" i="104" s="1"/>
  <c r="K30" i="82"/>
  <c r="L30" i="82" s="1"/>
  <c r="C29" i="104" s="1"/>
  <c r="K30" i="83"/>
  <c r="L30" i="83" s="1"/>
  <c r="D29" i="104" s="1"/>
  <c r="E29" i="104" s="1"/>
  <c r="Q30" i="19"/>
  <c r="X44" i="81"/>
  <c r="W44" i="81"/>
  <c r="W16" i="83"/>
  <c r="S11" i="83"/>
  <c r="W11" i="83"/>
  <c r="K29" i="82"/>
  <c r="L29" i="82" s="1"/>
  <c r="C28" i="104" s="1"/>
  <c r="K29" i="83"/>
  <c r="L29" i="83" s="1"/>
  <c r="D28" i="104" s="1"/>
  <c r="E28" i="104" s="1"/>
  <c r="K29" i="81"/>
  <c r="L29" i="81" s="1"/>
  <c r="B28" i="104" s="1"/>
  <c r="Q29" i="19"/>
  <c r="S35" i="81"/>
  <c r="W35" i="81"/>
  <c r="X35" i="81"/>
  <c r="K22" i="83"/>
  <c r="L22" i="83" s="1"/>
  <c r="D21" i="104" s="1"/>
  <c r="E21" i="104" s="1"/>
  <c r="K22" i="81"/>
  <c r="L22" i="81" s="1"/>
  <c r="B21" i="104" s="1"/>
  <c r="K22" i="82"/>
  <c r="L22" i="82" s="1"/>
  <c r="C21" i="104" s="1"/>
  <c r="Q22" i="19"/>
  <c r="E21" i="40"/>
  <c r="L23" i="81"/>
  <c r="B22" i="104" s="1"/>
  <c r="W26" i="81"/>
  <c r="S26" i="81"/>
  <c r="X26" i="81"/>
  <c r="K28" i="81"/>
  <c r="L28" i="81" s="1"/>
  <c r="B27" i="104" s="1"/>
  <c r="K28" i="82"/>
  <c r="L28" i="82" s="1"/>
  <c r="C27" i="104" s="1"/>
  <c r="K28" i="83"/>
  <c r="L28" i="83" s="1"/>
  <c r="D27" i="104" s="1"/>
  <c r="E27" i="104" s="1"/>
  <c r="Q28" i="19"/>
  <c r="X9" i="83"/>
  <c r="K43" i="83"/>
  <c r="L43" i="83" s="1"/>
  <c r="D42" i="104" s="1"/>
  <c r="E42" i="104" s="1"/>
  <c r="Q43" i="19"/>
  <c r="W34" i="83"/>
  <c r="S34" i="83"/>
  <c r="X34" i="83"/>
  <c r="K14" i="83"/>
  <c r="L14" i="83" s="1"/>
  <c r="D13" i="104" s="1"/>
  <c r="E13" i="104" s="1"/>
  <c r="K14" i="81"/>
  <c r="L14" i="81" s="1"/>
  <c r="B13" i="104" s="1"/>
  <c r="K14" i="82"/>
  <c r="L14" i="82" s="1"/>
  <c r="C13" i="104" s="1"/>
  <c r="Q14" i="19"/>
  <c r="S33" i="82"/>
  <c r="W33" i="82"/>
  <c r="X33" i="82"/>
  <c r="W42" i="83"/>
  <c r="S42" i="83"/>
  <c r="X42" i="83"/>
  <c r="W39" i="81"/>
  <c r="S39" i="81"/>
  <c r="X39" i="81"/>
  <c r="S19" i="83"/>
  <c r="W19" i="83"/>
  <c r="X19" i="83"/>
  <c r="J46" i="81"/>
  <c r="W15" i="82"/>
  <c r="W25" i="81"/>
  <c r="S25" i="81"/>
  <c r="X25" i="81"/>
  <c r="W7" i="81"/>
  <c r="X16" i="82"/>
  <c r="X15" i="81"/>
  <c r="S8" i="83"/>
  <c r="K6" i="82"/>
  <c r="L6" i="82" s="1"/>
  <c r="C5" i="104" s="1"/>
  <c r="K6" i="81"/>
  <c r="L6" i="81" s="1"/>
  <c r="B5" i="104" s="1"/>
  <c r="K6" i="83"/>
  <c r="L6" i="83" s="1"/>
  <c r="D5" i="104" s="1"/>
  <c r="E5" i="104" s="1"/>
  <c r="Q6" i="19"/>
  <c r="S42" i="81"/>
  <c r="W42" i="81"/>
  <c r="X42" i="81"/>
  <c r="W15" i="83"/>
  <c r="K40" i="83"/>
  <c r="L40" i="83" s="1"/>
  <c r="D39" i="104" s="1"/>
  <c r="E39" i="104" s="1"/>
  <c r="K40" i="81"/>
  <c r="L40" i="81" s="1"/>
  <c r="B39" i="104" s="1"/>
  <c r="K40" i="82"/>
  <c r="L40" i="82" s="1"/>
  <c r="C39" i="104" s="1"/>
  <c r="Q40" i="19"/>
  <c r="S39" i="83"/>
  <c r="W39" i="83"/>
  <c r="X39" i="83"/>
  <c r="W26" i="83"/>
  <c r="S26" i="83"/>
  <c r="X26" i="83"/>
  <c r="W19" i="81"/>
  <c r="S19" i="81"/>
  <c r="X19" i="81"/>
  <c r="K12" i="83"/>
  <c r="L12" i="83" s="1"/>
  <c r="D11" i="104" s="1"/>
  <c r="E11" i="104" s="1"/>
  <c r="K12" i="81"/>
  <c r="L12" i="81" s="1"/>
  <c r="B11" i="104" s="1"/>
  <c r="K12" i="82"/>
  <c r="L12" i="82" s="1"/>
  <c r="C11" i="104" s="1"/>
  <c r="Q12" i="19"/>
  <c r="K5" i="82"/>
  <c r="L5" i="82" s="1"/>
  <c r="C4" i="104" s="1"/>
  <c r="K5" i="83"/>
  <c r="L5" i="83" s="1"/>
  <c r="D4" i="104" s="1"/>
  <c r="E4" i="104" s="1"/>
  <c r="K5" i="81"/>
  <c r="L5" i="81" s="1"/>
  <c r="B4" i="104" s="1"/>
  <c r="Q5" i="19"/>
  <c r="S25" i="82"/>
  <c r="W25" i="82"/>
  <c r="X25" i="82"/>
  <c r="S27" i="81"/>
  <c r="T27" i="81" s="1"/>
  <c r="W27" i="81"/>
  <c r="X27" i="81"/>
  <c r="T16" i="82"/>
  <c r="K17" i="81"/>
  <c r="L17" i="81" s="1"/>
  <c r="K17" i="82"/>
  <c r="L17" i="82" s="1"/>
  <c r="K17" i="83"/>
  <c r="L17" i="83" s="1"/>
  <c r="D16" i="104" s="1"/>
  <c r="E16" i="104" s="1"/>
  <c r="Q17" i="19"/>
  <c r="W26" i="82"/>
  <c r="S26" i="82"/>
  <c r="X26" i="82"/>
  <c r="W19" i="82"/>
  <c r="S19" i="82"/>
  <c r="X19" i="82"/>
  <c r="S18" i="83"/>
  <c r="W18" i="83"/>
  <c r="X18" i="83"/>
  <c r="S25" i="83"/>
  <c r="W25" i="83"/>
  <c r="X25" i="83"/>
  <c r="K21" i="83"/>
  <c r="L21" i="83" s="1"/>
  <c r="D20" i="104" s="1"/>
  <c r="E20" i="104" s="1"/>
  <c r="K21" i="81"/>
  <c r="L21" i="81" s="1"/>
  <c r="B20" i="104" s="1"/>
  <c r="K21" i="82"/>
  <c r="L21" i="82" s="1"/>
  <c r="C20" i="104" s="1"/>
  <c r="Q21" i="19"/>
  <c r="S9" i="82"/>
  <c r="T10" i="82" s="1"/>
  <c r="W27" i="83"/>
  <c r="S27" i="83"/>
  <c r="X27" i="83"/>
  <c r="W35" i="83"/>
  <c r="S35" i="83"/>
  <c r="X35" i="83"/>
  <c r="K4" i="82"/>
  <c r="L4" i="82" s="1"/>
  <c r="C3" i="104" s="1"/>
  <c r="K4" i="83"/>
  <c r="L4" i="83" s="1"/>
  <c r="D3" i="104" s="1"/>
  <c r="E3" i="104" s="1"/>
  <c r="K4" i="81"/>
  <c r="L4" i="81" s="1"/>
  <c r="Q4" i="19"/>
  <c r="W8" i="83"/>
  <c r="X8" i="83"/>
  <c r="S18" i="81"/>
  <c r="W18" i="81"/>
  <c r="X18" i="81"/>
  <c r="S9" i="81"/>
  <c r="T9" i="81" s="1"/>
  <c r="W27" i="82"/>
  <c r="S27" i="82"/>
  <c r="X27" i="82"/>
  <c r="K32" i="82"/>
  <c r="L32" i="82" s="1"/>
  <c r="C31" i="104" s="1"/>
  <c r="K32" i="83"/>
  <c r="L32" i="83" s="1"/>
  <c r="D31" i="104" s="1"/>
  <c r="E31" i="104" s="1"/>
  <c r="K32" i="81"/>
  <c r="L32" i="81" s="1"/>
  <c r="B31" i="104" s="1"/>
  <c r="Q32" i="19"/>
  <c r="S10" i="83"/>
  <c r="W10" i="83"/>
  <c r="W34" i="81"/>
  <c r="S34" i="81"/>
  <c r="X34" i="81"/>
  <c r="W16" i="81"/>
  <c r="X8" i="82"/>
  <c r="W8" i="82"/>
  <c r="K13" i="83"/>
  <c r="L13" i="83" s="1"/>
  <c r="D12" i="104" s="1"/>
  <c r="E12" i="104" s="1"/>
  <c r="K13" i="81"/>
  <c r="K13" i="82"/>
  <c r="L13" i="82" s="1"/>
  <c r="C12" i="104" s="1"/>
  <c r="Q13" i="19"/>
  <c r="K41" i="81"/>
  <c r="L41" i="81" s="1"/>
  <c r="B40" i="104" s="1"/>
  <c r="K41" i="82"/>
  <c r="L41" i="82" s="1"/>
  <c r="C40" i="104" s="1"/>
  <c r="K41" i="83"/>
  <c r="L41" i="83" s="1"/>
  <c r="D40" i="104" s="1"/>
  <c r="E40" i="104" s="1"/>
  <c r="Q41" i="19"/>
  <c r="W18" i="82"/>
  <c r="S18" i="82"/>
  <c r="X18" i="82"/>
  <c r="K24" i="81"/>
  <c r="L24" i="81" s="1"/>
  <c r="B23" i="104" s="1"/>
  <c r="K24" i="83"/>
  <c r="L24" i="83" s="1"/>
  <c r="D23" i="104" s="1"/>
  <c r="E23" i="104" s="1"/>
  <c r="K24" i="82"/>
  <c r="L24" i="82" s="1"/>
  <c r="C23" i="104" s="1"/>
  <c r="Q24" i="19"/>
  <c r="X9" i="82"/>
  <c r="S35" i="82"/>
  <c r="W35" i="82"/>
  <c r="X35" i="82"/>
  <c r="K31" i="81"/>
  <c r="L31" i="81" s="1"/>
  <c r="B30" i="104" s="1"/>
  <c r="K31" i="82"/>
  <c r="L31" i="82" s="1"/>
  <c r="C30" i="104" s="1"/>
  <c r="K31" i="83"/>
  <c r="L31" i="83" s="1"/>
  <c r="D30" i="104" s="1"/>
  <c r="E30" i="104" s="1"/>
  <c r="Q31" i="19"/>
  <c r="X8" i="81"/>
  <c r="W8" i="81"/>
  <c r="X9" i="81"/>
  <c r="S11" i="82"/>
  <c r="W11" i="82"/>
  <c r="X13" i="83"/>
  <c r="W10" i="81"/>
  <c r="S10" i="81"/>
  <c r="X13" i="82"/>
  <c r="W34" i="82"/>
  <c r="S34" i="82"/>
  <c r="X34" i="82"/>
  <c r="K38" i="83"/>
  <c r="L38" i="83" s="1"/>
  <c r="D37" i="104" s="1"/>
  <c r="E37" i="104" s="1"/>
  <c r="K38" i="81"/>
  <c r="L38" i="81" s="1"/>
  <c r="B37" i="104" s="1"/>
  <c r="K38" i="82"/>
  <c r="L38" i="82" s="1"/>
  <c r="C37" i="104" s="1"/>
  <c r="Q38" i="19"/>
  <c r="F7" i="81"/>
  <c r="G7" i="81" s="1"/>
  <c r="Y11" i="6"/>
  <c r="F7" i="83"/>
  <c r="G7" i="83" s="1"/>
  <c r="S7" i="83" s="1"/>
  <c r="F7" i="82"/>
  <c r="G7" i="82" s="1"/>
  <c r="J7" i="19"/>
  <c r="T9" i="83"/>
  <c r="D12" i="40"/>
  <c r="D13" i="40" s="1"/>
  <c r="I50" i="83"/>
  <c r="L49" i="83"/>
  <c r="D48" i="104" s="1"/>
  <c r="V53" i="83"/>
  <c r="P48" i="83"/>
  <c r="P47" i="82"/>
  <c r="V53" i="82"/>
  <c r="L49" i="82"/>
  <c r="C48" i="104" s="1"/>
  <c r="N51" i="81"/>
  <c r="X6" i="38"/>
  <c r="X12" i="37"/>
  <c r="AI9" i="37"/>
  <c r="AJ9" i="37" s="1"/>
  <c r="Z6" i="37"/>
  <c r="Z12" i="37" s="1"/>
  <c r="D22" i="72"/>
  <c r="D21" i="72"/>
  <c r="D20" i="72"/>
  <c r="D19" i="72"/>
  <c r="D18" i="72"/>
  <c r="D17" i="72"/>
  <c r="D16" i="72"/>
  <c r="D15" i="72"/>
  <c r="D14" i="72"/>
  <c r="D13" i="72"/>
  <c r="D12" i="72"/>
  <c r="D11" i="72"/>
  <c r="D10" i="72"/>
  <c r="D9" i="72"/>
  <c r="D8" i="72"/>
  <c r="D7" i="72"/>
  <c r="D6" i="72"/>
  <c r="D5" i="72"/>
  <c r="D4" i="72"/>
  <c r="D3" i="72"/>
  <c r="D2" i="72"/>
  <c r="C2" i="71"/>
  <c r="D2" i="71" s="1"/>
  <c r="FM55" i="93" l="1"/>
  <c r="EG56" i="93" s="1"/>
  <c r="FM56" i="93" s="1"/>
  <c r="EG57" i="93" s="1"/>
  <c r="BV55" i="93"/>
  <c r="CD55" i="93" s="1"/>
  <c r="FT55" i="93" s="1"/>
  <c r="B51" i="64" s="1"/>
  <c r="BV54" i="93"/>
  <c r="CD54" i="93" s="1"/>
  <c r="FT54" i="93" s="1"/>
  <c r="B50" i="64" s="1"/>
  <c r="V51" i="93"/>
  <c r="EO51" i="93" s="1"/>
  <c r="AD52" i="93"/>
  <c r="B45" i="56"/>
  <c r="B45" i="109" s="1"/>
  <c r="E45" i="110"/>
  <c r="FM54" i="96"/>
  <c r="EG55" i="96" s="1"/>
  <c r="BV54" i="96"/>
  <c r="AV66" i="93"/>
  <c r="AW66" i="93" s="1"/>
  <c r="AI66" i="93"/>
  <c r="CC61" i="93"/>
  <c r="CC62" i="93" s="1"/>
  <c r="B45" i="81"/>
  <c r="B44" i="105" s="1"/>
  <c r="D45" i="81"/>
  <c r="B44" i="106" s="1"/>
  <c r="W44" i="83"/>
  <c r="X44" i="83"/>
  <c r="S44" i="83"/>
  <c r="I50" i="82"/>
  <c r="C48" i="102"/>
  <c r="S7" i="82"/>
  <c r="C6" i="107"/>
  <c r="D6" i="107" s="1"/>
  <c r="X17" i="82"/>
  <c r="C16" i="104"/>
  <c r="X42" i="82"/>
  <c r="C41" i="104"/>
  <c r="X10" i="81"/>
  <c r="B9" i="104"/>
  <c r="L45" i="81"/>
  <c r="B44" i="104" s="1"/>
  <c r="B44" i="103"/>
  <c r="B48" i="102"/>
  <c r="L49" i="81"/>
  <c r="X17" i="81"/>
  <c r="B16" i="104"/>
  <c r="S7" i="81"/>
  <c r="B6" i="107"/>
  <c r="B47" i="104"/>
  <c r="W48" i="81"/>
  <c r="X48" i="81"/>
  <c r="B3" i="104"/>
  <c r="W4" i="81"/>
  <c r="AM63" i="96"/>
  <c r="AA57" i="93"/>
  <c r="S56" i="93"/>
  <c r="AC57" i="93"/>
  <c r="U56" i="93"/>
  <c r="AE56" i="93"/>
  <c r="W55" i="93"/>
  <c r="CE64" i="96"/>
  <c r="CE65" i="96" s="1"/>
  <c r="CC61" i="96"/>
  <c r="FV49" i="96"/>
  <c r="C45" i="62"/>
  <c r="CE61" i="93"/>
  <c r="FV50" i="93"/>
  <c r="B46" i="62"/>
  <c r="EY66" i="97"/>
  <c r="FB66" i="97" s="1"/>
  <c r="EX66" i="97"/>
  <c r="FA66" i="97" s="1"/>
  <c r="FK51" i="97"/>
  <c r="EK52" i="97" s="1"/>
  <c r="R52" i="97" s="1"/>
  <c r="Z52" i="97" s="1"/>
  <c r="BZ52" i="97" s="1"/>
  <c r="FI60" i="97"/>
  <c r="DJ60" i="97"/>
  <c r="DJ63" i="97" s="1"/>
  <c r="FM56" i="97"/>
  <c r="EG57" i="97" s="1"/>
  <c r="BV56" i="97"/>
  <c r="EH57" i="97"/>
  <c r="BW58" i="97"/>
  <c r="CL53" i="97"/>
  <c r="CD52" i="97"/>
  <c r="FT52" i="97" s="1"/>
  <c r="FL55" i="97"/>
  <c r="EM56" i="97" s="1"/>
  <c r="T55" i="97"/>
  <c r="AB55" i="97" s="1"/>
  <c r="CB55" i="97" s="1"/>
  <c r="DJ59" i="97"/>
  <c r="DJ62" i="97" s="1"/>
  <c r="AX66" i="97"/>
  <c r="CY66" i="97"/>
  <c r="DJ61" i="97"/>
  <c r="CM53" i="97"/>
  <c r="CE52" i="97"/>
  <c r="FU52" i="97" s="1"/>
  <c r="BU59" i="97"/>
  <c r="EF58" i="97"/>
  <c r="AA54" i="97"/>
  <c r="S53" i="97"/>
  <c r="EL53" i="97" s="1"/>
  <c r="BT54" i="97"/>
  <c r="EE54" i="97" s="1"/>
  <c r="FR54" i="97"/>
  <c r="FP51" i="97"/>
  <c r="FV51" i="97" s="1"/>
  <c r="BR51" i="97"/>
  <c r="EC51" i="97" s="1"/>
  <c r="AD51" i="97"/>
  <c r="V50" i="97"/>
  <c r="EO50" i="97" s="1"/>
  <c r="ED59" i="97"/>
  <c r="BS60" i="97"/>
  <c r="AC52" i="97"/>
  <c r="U51" i="97"/>
  <c r="EN51" i="97" s="1"/>
  <c r="DK63" i="97"/>
  <c r="DK62" i="97"/>
  <c r="AK65" i="97"/>
  <c r="AK66" i="97" s="1"/>
  <c r="AX65" i="97"/>
  <c r="AY64" i="97"/>
  <c r="AM64" i="97" s="1"/>
  <c r="AL64" i="97"/>
  <c r="CK54" i="97"/>
  <c r="CC53" i="97"/>
  <c r="FS53" i="97" s="1"/>
  <c r="AE51" i="97"/>
  <c r="W50" i="97"/>
  <c r="EP50" i="97" s="1"/>
  <c r="CI56" i="97"/>
  <c r="CA55" i="97"/>
  <c r="FQ55" i="97" s="1"/>
  <c r="DL61" i="97"/>
  <c r="EL55" i="93"/>
  <c r="W50" i="96"/>
  <c r="EP50" i="96" s="1"/>
  <c r="AE51" i="96"/>
  <c r="FL56" i="96"/>
  <c r="EM57" i="96" s="1"/>
  <c r="T56" i="96"/>
  <c r="AB56" i="96" s="1"/>
  <c r="CB56" i="96" s="1"/>
  <c r="AD51" i="96"/>
  <c r="V50" i="96"/>
  <c r="EO50" i="96" s="1"/>
  <c r="CI56" i="96"/>
  <c r="BS56" i="96" s="1"/>
  <c r="ED56" i="96" s="1"/>
  <c r="FQ55" i="96"/>
  <c r="C51" i="58" s="1"/>
  <c r="AK65" i="96"/>
  <c r="AX65" i="96"/>
  <c r="FR55" i="96"/>
  <c r="C51" i="63" s="1"/>
  <c r="BT55" i="96"/>
  <c r="EE55" i="96" s="1"/>
  <c r="CK54" i="96"/>
  <c r="BU54" i="96" s="1"/>
  <c r="EF54" i="96" s="1"/>
  <c r="FS53" i="96"/>
  <c r="C49" i="59" s="1"/>
  <c r="R51" i="96"/>
  <c r="Z51" i="96" s="1"/>
  <c r="BZ51" i="96" s="1"/>
  <c r="FK51" i="96"/>
  <c r="EK52" i="96" s="1"/>
  <c r="S53" i="96"/>
  <c r="EL53" i="96" s="1"/>
  <c r="AA54" i="96"/>
  <c r="FU52" i="96"/>
  <c r="C48" i="60" s="1"/>
  <c r="CM53" i="96"/>
  <c r="BW53" i="96" s="1"/>
  <c r="EH53" i="96" s="1"/>
  <c r="BR50" i="96"/>
  <c r="EC50" i="96" s="1"/>
  <c r="FP50" i="96"/>
  <c r="CY66" i="96"/>
  <c r="CL53" i="96"/>
  <c r="CD52" i="96"/>
  <c r="FT52" i="96" s="1"/>
  <c r="C48" i="64" s="1"/>
  <c r="AC52" i="96"/>
  <c r="U51" i="96"/>
  <c r="EN51" i="96" s="1"/>
  <c r="AW66" i="96"/>
  <c r="AJ66" i="96"/>
  <c r="AY64" i="96"/>
  <c r="AL64" i="96"/>
  <c r="CK57" i="93"/>
  <c r="BU57" i="93" s="1"/>
  <c r="EF57" i="93" s="1"/>
  <c r="CJ57" i="93"/>
  <c r="CM57" i="93"/>
  <c r="BW57" i="93" s="1"/>
  <c r="EH57" i="93" s="1"/>
  <c r="CI57" i="93"/>
  <c r="BS57" i="93" s="1"/>
  <c r="ED57" i="93" s="1"/>
  <c r="FQ56" i="93"/>
  <c r="B52" i="58" s="1"/>
  <c r="BT54" i="93"/>
  <c r="EE54" i="93" s="1"/>
  <c r="FR54" i="93"/>
  <c r="B50" i="63" s="1"/>
  <c r="T55" i="93"/>
  <c r="AB55" i="93" s="1"/>
  <c r="CB55" i="93" s="1"/>
  <c r="FL55" i="93"/>
  <c r="EM56" i="93" s="1"/>
  <c r="Z52" i="93"/>
  <c r="BZ52" i="93" s="1"/>
  <c r="FK52" i="93"/>
  <c r="EK53" i="93" s="1"/>
  <c r="BR51" i="93"/>
  <c r="EC51" i="93" s="1"/>
  <c r="FP51" i="93"/>
  <c r="BV56" i="93"/>
  <c r="CD56" i="93" s="1"/>
  <c r="FM57" i="93"/>
  <c r="EG58" i="93" s="1"/>
  <c r="EP55" i="93"/>
  <c r="AJ59" i="93"/>
  <c r="FS57" i="93"/>
  <c r="B53" i="59" s="1"/>
  <c r="EN55" i="93"/>
  <c r="CL57" i="93"/>
  <c r="AH57" i="93"/>
  <c r="T11" i="82"/>
  <c r="T8" i="83"/>
  <c r="T9" i="82"/>
  <c r="T34" i="82"/>
  <c r="K43" i="82"/>
  <c r="T26" i="82"/>
  <c r="T34" i="83"/>
  <c r="W31" i="83"/>
  <c r="S31" i="83"/>
  <c r="X31" i="83"/>
  <c r="X4" i="82"/>
  <c r="W4" i="82"/>
  <c r="T26" i="83"/>
  <c r="W40" i="83"/>
  <c r="S40" i="83"/>
  <c r="T40" i="83" s="1"/>
  <c r="X40" i="83"/>
  <c r="W6" i="82"/>
  <c r="X6" i="82"/>
  <c r="S14" i="82"/>
  <c r="W14" i="82"/>
  <c r="X14" i="82"/>
  <c r="G21" i="40"/>
  <c r="T26" i="81"/>
  <c r="T11" i="83"/>
  <c r="S30" i="81"/>
  <c r="W30" i="81"/>
  <c r="X30" i="81"/>
  <c r="S20" i="81"/>
  <c r="T20" i="81" s="1"/>
  <c r="W20" i="81"/>
  <c r="X20" i="81"/>
  <c r="W31" i="82"/>
  <c r="S31" i="82"/>
  <c r="X31" i="82"/>
  <c r="S41" i="83"/>
  <c r="W41" i="83"/>
  <c r="X41" i="83"/>
  <c r="W32" i="81"/>
  <c r="S32" i="81"/>
  <c r="X32" i="81"/>
  <c r="W21" i="82"/>
  <c r="S21" i="82"/>
  <c r="X21" i="82"/>
  <c r="S17" i="83"/>
  <c r="T17" i="83" s="1"/>
  <c r="W17" i="83"/>
  <c r="S12" i="82"/>
  <c r="T12" i="82" s="1"/>
  <c r="W12" i="82"/>
  <c r="X12" i="82"/>
  <c r="S14" i="81"/>
  <c r="W14" i="81"/>
  <c r="X14" i="81"/>
  <c r="L43" i="82"/>
  <c r="C42" i="104" s="1"/>
  <c r="S20" i="83"/>
  <c r="T20" i="83" s="1"/>
  <c r="W20" i="83"/>
  <c r="X20" i="83"/>
  <c r="T11" i="81"/>
  <c r="T10" i="81"/>
  <c r="S31" i="81"/>
  <c r="W31" i="81"/>
  <c r="X31" i="81"/>
  <c r="S24" i="82"/>
  <c r="T24" i="82" s="1"/>
  <c r="W24" i="82"/>
  <c r="X24" i="82"/>
  <c r="S41" i="82"/>
  <c r="T42" i="82" s="1"/>
  <c r="W41" i="82"/>
  <c r="X41" i="82"/>
  <c r="S32" i="83"/>
  <c r="W32" i="83"/>
  <c r="X32" i="83"/>
  <c r="T35" i="83"/>
  <c r="W21" i="81"/>
  <c r="S21" i="81"/>
  <c r="X21" i="81"/>
  <c r="S17" i="82"/>
  <c r="T17" i="82" s="1"/>
  <c r="W17" i="82"/>
  <c r="S12" i="81"/>
  <c r="T12" i="81" s="1"/>
  <c r="X12" i="81"/>
  <c r="W12" i="81"/>
  <c r="J47" i="81"/>
  <c r="S14" i="83"/>
  <c r="W14" i="83"/>
  <c r="X14" i="83"/>
  <c r="W23" i="81"/>
  <c r="S23" i="81"/>
  <c r="X23" i="81"/>
  <c r="T35" i="81"/>
  <c r="X17" i="83"/>
  <c r="W20" i="82"/>
  <c r="S20" i="82"/>
  <c r="T20" i="82" s="1"/>
  <c r="X20" i="82"/>
  <c r="W38" i="82"/>
  <c r="S38" i="82"/>
  <c r="X38" i="82"/>
  <c r="S24" i="83"/>
  <c r="T24" i="83" s="1"/>
  <c r="W24" i="83"/>
  <c r="X24" i="83"/>
  <c r="W41" i="81"/>
  <c r="S41" i="81"/>
  <c r="T42" i="81" s="1"/>
  <c r="X41" i="81"/>
  <c r="W32" i="82"/>
  <c r="S32" i="82"/>
  <c r="T33" i="82" s="1"/>
  <c r="X32" i="82"/>
  <c r="W21" i="83"/>
  <c r="S21" i="83"/>
  <c r="X21" i="83"/>
  <c r="T19" i="82"/>
  <c r="S17" i="81"/>
  <c r="T17" i="81" s="1"/>
  <c r="W17" i="81"/>
  <c r="S12" i="83"/>
  <c r="T12" i="83" s="1"/>
  <c r="X12" i="83"/>
  <c r="W12" i="83"/>
  <c r="E22" i="40"/>
  <c r="E24" i="40"/>
  <c r="T10" i="83"/>
  <c r="S38" i="81"/>
  <c r="T39" i="81" s="1"/>
  <c r="W38" i="81"/>
  <c r="X38" i="81"/>
  <c r="S29" i="81"/>
  <c r="W29" i="81"/>
  <c r="X29" i="81"/>
  <c r="W36" i="81"/>
  <c r="S36" i="81"/>
  <c r="T36" i="81" s="1"/>
  <c r="X36" i="81"/>
  <c r="X4" i="81"/>
  <c r="W24" i="81"/>
  <c r="S24" i="81"/>
  <c r="X24" i="81"/>
  <c r="S28" i="83"/>
  <c r="T28" i="83" s="1"/>
  <c r="W28" i="83"/>
  <c r="X28" i="83"/>
  <c r="W37" i="82"/>
  <c r="S37" i="82"/>
  <c r="X37" i="82"/>
  <c r="S38" i="83"/>
  <c r="W38" i="83"/>
  <c r="X38" i="83"/>
  <c r="T35" i="82"/>
  <c r="S13" i="82"/>
  <c r="W13" i="82"/>
  <c r="T27" i="82"/>
  <c r="T27" i="83"/>
  <c r="W5" i="81"/>
  <c r="X5" i="81"/>
  <c r="T19" i="81"/>
  <c r="T19" i="83"/>
  <c r="W28" i="82"/>
  <c r="S28" i="82"/>
  <c r="T28" i="82" s="1"/>
  <c r="X28" i="82"/>
  <c r="W22" i="82"/>
  <c r="S22" i="82"/>
  <c r="T22" i="82" s="1"/>
  <c r="X22" i="82"/>
  <c r="W29" i="83"/>
  <c r="S29" i="83"/>
  <c r="X29" i="83"/>
  <c r="S37" i="81"/>
  <c r="W37" i="81"/>
  <c r="X37" i="81"/>
  <c r="S36" i="83"/>
  <c r="T36" i="83" s="1"/>
  <c r="W36" i="83"/>
  <c r="X36" i="83"/>
  <c r="S33" i="81"/>
  <c r="W33" i="81"/>
  <c r="X33" i="81"/>
  <c r="D21" i="40"/>
  <c r="L13" i="81"/>
  <c r="B12" i="104" s="1"/>
  <c r="W5" i="83"/>
  <c r="X5" i="83"/>
  <c r="W40" i="82"/>
  <c r="S40" i="82"/>
  <c r="T40" i="82" s="1"/>
  <c r="X40" i="82"/>
  <c r="W6" i="83"/>
  <c r="X6" i="83"/>
  <c r="S28" i="81"/>
  <c r="T28" i="81" s="1"/>
  <c r="W28" i="81"/>
  <c r="X28" i="81"/>
  <c r="W22" i="81"/>
  <c r="S22" i="81"/>
  <c r="X22" i="81"/>
  <c r="S29" i="82"/>
  <c r="W29" i="82"/>
  <c r="X29" i="82"/>
  <c r="W30" i="83"/>
  <c r="S30" i="83"/>
  <c r="X30" i="83"/>
  <c r="S37" i="83"/>
  <c r="W37" i="83"/>
  <c r="X37" i="83"/>
  <c r="W36" i="82"/>
  <c r="S36" i="82"/>
  <c r="T36" i="82" s="1"/>
  <c r="X36" i="82"/>
  <c r="F22" i="40"/>
  <c r="F24" i="40"/>
  <c r="S13" i="83"/>
  <c r="W13" i="83"/>
  <c r="W4" i="83"/>
  <c r="X4" i="83"/>
  <c r="W5" i="82"/>
  <c r="X5" i="82"/>
  <c r="S40" i="81"/>
  <c r="T40" i="81" s="1"/>
  <c r="W40" i="81"/>
  <c r="X40" i="81"/>
  <c r="W6" i="81"/>
  <c r="X6" i="81"/>
  <c r="X43" i="83"/>
  <c r="W43" i="83"/>
  <c r="S43" i="83"/>
  <c r="T43" i="83" s="1"/>
  <c r="S22" i="83"/>
  <c r="T23" i="83" s="1"/>
  <c r="W22" i="83"/>
  <c r="X22" i="83"/>
  <c r="W30" i="82"/>
  <c r="S30" i="82"/>
  <c r="T30" i="82" s="1"/>
  <c r="X30" i="82"/>
  <c r="Y10" i="6"/>
  <c r="F6" i="81"/>
  <c r="G6" i="81" s="1"/>
  <c r="F6" i="83"/>
  <c r="G6" i="83" s="1"/>
  <c r="S6" i="83" s="1"/>
  <c r="F6" i="82"/>
  <c r="G6" i="82" s="1"/>
  <c r="J6" i="19"/>
  <c r="T8" i="82"/>
  <c r="T8" i="81"/>
  <c r="P49" i="83"/>
  <c r="W48" i="83"/>
  <c r="X48" i="83"/>
  <c r="V54" i="83"/>
  <c r="L50" i="83"/>
  <c r="D49" i="104" s="1"/>
  <c r="I51" i="83"/>
  <c r="V54" i="82"/>
  <c r="L50" i="82"/>
  <c r="C49" i="104" s="1"/>
  <c r="P48" i="82"/>
  <c r="N52" i="81"/>
  <c r="AA6" i="37"/>
  <c r="AA12" i="37" s="1"/>
  <c r="AK9" i="37"/>
  <c r="E2" i="71"/>
  <c r="F2" i="71" s="1"/>
  <c r="G2" i="71" s="1"/>
  <c r="C2" i="60"/>
  <c r="D2" i="60" s="1"/>
  <c r="C2" i="58"/>
  <c r="D2" i="58" s="1"/>
  <c r="C2" i="64"/>
  <c r="D2" i="64" s="1"/>
  <c r="C4" i="63"/>
  <c r="D4" i="63" s="1"/>
  <c r="C5" i="63"/>
  <c r="D5" i="63" s="1"/>
  <c r="C6" i="63"/>
  <c r="D6" i="63" s="1"/>
  <c r="C8" i="63"/>
  <c r="D8" i="63" s="1"/>
  <c r="C10" i="63"/>
  <c r="D10" i="63" s="1"/>
  <c r="C12" i="63"/>
  <c r="D12" i="63" s="1"/>
  <c r="C13" i="63"/>
  <c r="D13" i="63" s="1"/>
  <c r="C14" i="63"/>
  <c r="D14" i="63" s="1"/>
  <c r="C15" i="63"/>
  <c r="D15" i="63" s="1"/>
  <c r="C16" i="63"/>
  <c r="D16" i="63" s="1"/>
  <c r="C17" i="63"/>
  <c r="D17" i="63" s="1"/>
  <c r="C18" i="63"/>
  <c r="D18" i="63" s="1"/>
  <c r="C19" i="63"/>
  <c r="D19" i="63" s="1"/>
  <c r="C20" i="63"/>
  <c r="D20" i="63" s="1"/>
  <c r="C22" i="63"/>
  <c r="D22" i="63" s="1"/>
  <c r="C23" i="63"/>
  <c r="D23" i="63" s="1"/>
  <c r="C24" i="63"/>
  <c r="D24" i="63" s="1"/>
  <c r="C25" i="63"/>
  <c r="D25" i="63" s="1"/>
  <c r="C26" i="63"/>
  <c r="D26" i="63" s="1"/>
  <c r="C27" i="63"/>
  <c r="D27" i="63" s="1"/>
  <c r="C29" i="63"/>
  <c r="D29" i="63" s="1"/>
  <c r="C30" i="63"/>
  <c r="D30" i="63" s="1"/>
  <c r="C31" i="63"/>
  <c r="D31" i="63" s="1"/>
  <c r="C32" i="63"/>
  <c r="D32" i="63" s="1"/>
  <c r="C33" i="63"/>
  <c r="D33" i="63" s="1"/>
  <c r="C34" i="63"/>
  <c r="D34" i="63" s="1"/>
  <c r="C36" i="63"/>
  <c r="D36" i="63" s="1"/>
  <c r="C38" i="63"/>
  <c r="D38" i="63" s="1"/>
  <c r="C39" i="63"/>
  <c r="D39" i="63" s="1"/>
  <c r="C40" i="63"/>
  <c r="D40" i="63" s="1"/>
  <c r="C41" i="63"/>
  <c r="D41" i="63" s="1"/>
  <c r="C2" i="63"/>
  <c r="D2" i="63" s="1"/>
  <c r="C35" i="63"/>
  <c r="D35" i="63" s="1"/>
  <c r="C37" i="63"/>
  <c r="D37" i="63" s="1"/>
  <c r="C28" i="63"/>
  <c r="D28" i="63" s="1"/>
  <c r="C21" i="63"/>
  <c r="D21" i="63" s="1"/>
  <c r="C11" i="63"/>
  <c r="D11" i="63" s="1"/>
  <c r="C9" i="63"/>
  <c r="D9" i="63" s="1"/>
  <c r="C7" i="63"/>
  <c r="D7" i="63" s="1"/>
  <c r="C3" i="63"/>
  <c r="D3" i="63" s="1"/>
  <c r="C2" i="59"/>
  <c r="D2" i="59" s="1"/>
  <c r="C3" i="56"/>
  <c r="C4" i="56"/>
  <c r="C5" i="56"/>
  <c r="C6" i="56"/>
  <c r="C7" i="56"/>
  <c r="C8" i="56"/>
  <c r="C9" i="56"/>
  <c r="C10" i="56"/>
  <c r="C11" i="56"/>
  <c r="C12" i="56"/>
  <c r="C13" i="56"/>
  <c r="C14" i="56"/>
  <c r="C15" i="56"/>
  <c r="C16" i="56"/>
  <c r="C17" i="56"/>
  <c r="C18" i="56"/>
  <c r="C19" i="56"/>
  <c r="C20" i="56"/>
  <c r="C21" i="56"/>
  <c r="C22" i="56"/>
  <c r="C23" i="56"/>
  <c r="C24" i="56"/>
  <c r="C25" i="56"/>
  <c r="C26" i="56"/>
  <c r="C27" i="56"/>
  <c r="C28" i="56"/>
  <c r="C29" i="56"/>
  <c r="C30" i="56"/>
  <c r="C31" i="56"/>
  <c r="C32" i="56"/>
  <c r="C33" i="56"/>
  <c r="C34" i="56"/>
  <c r="C35" i="56"/>
  <c r="C36" i="56"/>
  <c r="C37" i="56"/>
  <c r="C38" i="56"/>
  <c r="C39" i="56"/>
  <c r="C40" i="56"/>
  <c r="C41" i="56"/>
  <c r="C42" i="56"/>
  <c r="C43" i="56"/>
  <c r="C2" i="56"/>
  <c r="AY17" i="48"/>
  <c r="AX17" i="48"/>
  <c r="AW17" i="48"/>
  <c r="AV17" i="48"/>
  <c r="AU17" i="48"/>
  <c r="AT17" i="48"/>
  <c r="AY16" i="48"/>
  <c r="AX16" i="48"/>
  <c r="AW16" i="48"/>
  <c r="AV16" i="48"/>
  <c r="AU16" i="48"/>
  <c r="AT16" i="48"/>
  <c r="AY15" i="48"/>
  <c r="AX15" i="48"/>
  <c r="AW15" i="48"/>
  <c r="AV15" i="48"/>
  <c r="AU15" i="48"/>
  <c r="AT15" i="48"/>
  <c r="AY14" i="48"/>
  <c r="AX14" i="48"/>
  <c r="AW14" i="48"/>
  <c r="AV14" i="48"/>
  <c r="AU14" i="48"/>
  <c r="AT14" i="48"/>
  <c r="AY13" i="48"/>
  <c r="AX13" i="48"/>
  <c r="AW13" i="48"/>
  <c r="AV13" i="48"/>
  <c r="AU13" i="48"/>
  <c r="AT13" i="48"/>
  <c r="AY12" i="48"/>
  <c r="AX12" i="48"/>
  <c r="AW12" i="48"/>
  <c r="AV12" i="48"/>
  <c r="AU12" i="48"/>
  <c r="AT12" i="48"/>
  <c r="AY11" i="48"/>
  <c r="AX11" i="48"/>
  <c r="AW11" i="48"/>
  <c r="AV11" i="48"/>
  <c r="AU11" i="48"/>
  <c r="AT11" i="48"/>
  <c r="AY10" i="48"/>
  <c r="AX10" i="48"/>
  <c r="AW10" i="48"/>
  <c r="AV10" i="48"/>
  <c r="AU10" i="48"/>
  <c r="AT10" i="48"/>
  <c r="AY9" i="48"/>
  <c r="AX9" i="48"/>
  <c r="AW9" i="48"/>
  <c r="AV9" i="48"/>
  <c r="AU9" i="48"/>
  <c r="AT9" i="48"/>
  <c r="AY8" i="48"/>
  <c r="AX8" i="48"/>
  <c r="AW8" i="48"/>
  <c r="AV8" i="48"/>
  <c r="AU8" i="48"/>
  <c r="AT8" i="48"/>
  <c r="AY7" i="48"/>
  <c r="AX7" i="48"/>
  <c r="AW7" i="48"/>
  <c r="AV7" i="48"/>
  <c r="AU7" i="48"/>
  <c r="AT7" i="48"/>
  <c r="V52" i="93" l="1"/>
  <c r="EO52" i="93" s="1"/>
  <c r="AD53" i="93"/>
  <c r="E45" i="71"/>
  <c r="B46" i="56"/>
  <c r="E46" i="71" s="1"/>
  <c r="E46" i="110"/>
  <c r="FM55" i="96"/>
  <c r="EG56" i="96" s="1"/>
  <c r="BV55" i="96"/>
  <c r="C45" i="56"/>
  <c r="C45" i="109" s="1"/>
  <c r="F45" i="110"/>
  <c r="AM64" i="96"/>
  <c r="D43" i="56"/>
  <c r="D43" i="109" s="1"/>
  <c r="C43" i="109"/>
  <c r="AX66" i="93"/>
  <c r="AK66" i="93"/>
  <c r="D11" i="56"/>
  <c r="D11" i="109" s="1"/>
  <c r="C11" i="109"/>
  <c r="D42" i="56"/>
  <c r="D42" i="109" s="1"/>
  <c r="C42" i="109"/>
  <c r="D41" i="56"/>
  <c r="D41" i="109" s="1"/>
  <c r="C41" i="109"/>
  <c r="D9" i="56"/>
  <c r="D9" i="109" s="1"/>
  <c r="C9" i="109"/>
  <c r="D40" i="56"/>
  <c r="D40" i="109" s="1"/>
  <c r="C40" i="109"/>
  <c r="D24" i="56"/>
  <c r="D24" i="109" s="1"/>
  <c r="C24" i="109"/>
  <c r="D16" i="56"/>
  <c r="D16" i="109" s="1"/>
  <c r="C16" i="109"/>
  <c r="D8" i="56"/>
  <c r="D8" i="109" s="1"/>
  <c r="C8" i="109"/>
  <c r="D39" i="56"/>
  <c r="D39" i="109" s="1"/>
  <c r="C39" i="109"/>
  <c r="D31" i="56"/>
  <c r="D31" i="109" s="1"/>
  <c r="C31" i="109"/>
  <c r="D23" i="56"/>
  <c r="D23" i="109" s="1"/>
  <c r="C23" i="109"/>
  <c r="D15" i="56"/>
  <c r="D15" i="109" s="1"/>
  <c r="C15" i="109"/>
  <c r="D7" i="56"/>
  <c r="D7" i="109" s="1"/>
  <c r="C7" i="109"/>
  <c r="D33" i="56"/>
  <c r="D33" i="109" s="1"/>
  <c r="C33" i="109"/>
  <c r="D25" i="56"/>
  <c r="D25" i="109" s="1"/>
  <c r="C25" i="109"/>
  <c r="D30" i="56"/>
  <c r="D30" i="109" s="1"/>
  <c r="C30" i="109"/>
  <c r="D6" i="56"/>
  <c r="D6" i="109" s="1"/>
  <c r="C6" i="109"/>
  <c r="D3" i="56"/>
  <c r="D3" i="109" s="1"/>
  <c r="C3" i="109"/>
  <c r="D38" i="56"/>
  <c r="D38" i="109" s="1"/>
  <c r="C38" i="109"/>
  <c r="D22" i="56"/>
  <c r="D22" i="109" s="1"/>
  <c r="C22" i="109"/>
  <c r="D14" i="56"/>
  <c r="D14" i="109" s="1"/>
  <c r="C14" i="109"/>
  <c r="D37" i="56"/>
  <c r="D37" i="109" s="1"/>
  <c r="C37" i="109"/>
  <c r="D29" i="56"/>
  <c r="D29" i="109" s="1"/>
  <c r="C29" i="109"/>
  <c r="D21" i="56"/>
  <c r="D21" i="109" s="1"/>
  <c r="C21" i="109"/>
  <c r="D13" i="56"/>
  <c r="D13" i="109" s="1"/>
  <c r="C13" i="109"/>
  <c r="D5" i="56"/>
  <c r="D5" i="109" s="1"/>
  <c r="C5" i="109"/>
  <c r="D26" i="56"/>
  <c r="D26" i="109" s="1"/>
  <c r="C26" i="109"/>
  <c r="D10" i="56"/>
  <c r="D10" i="109" s="1"/>
  <c r="C10" i="109"/>
  <c r="D2" i="56"/>
  <c r="D2" i="109" s="1"/>
  <c r="C2" i="109"/>
  <c r="D36" i="56"/>
  <c r="D36" i="109" s="1"/>
  <c r="C36" i="109"/>
  <c r="D28" i="56"/>
  <c r="D28" i="109" s="1"/>
  <c r="C28" i="109"/>
  <c r="D20" i="56"/>
  <c r="D20" i="109" s="1"/>
  <c r="C20" i="109"/>
  <c r="D12" i="56"/>
  <c r="D12" i="109" s="1"/>
  <c r="C12" i="109"/>
  <c r="D4" i="56"/>
  <c r="D4" i="109" s="1"/>
  <c r="C4" i="109"/>
  <c r="D35" i="56"/>
  <c r="D35" i="109" s="1"/>
  <c r="C35" i="109"/>
  <c r="D18" i="56"/>
  <c r="D18" i="109" s="1"/>
  <c r="C18" i="109"/>
  <c r="CC63" i="93"/>
  <c r="CC64" i="93" s="1"/>
  <c r="D19" i="56"/>
  <c r="D19" i="109" s="1"/>
  <c r="C19" i="109"/>
  <c r="D34" i="56"/>
  <c r="D34" i="109" s="1"/>
  <c r="C34" i="109"/>
  <c r="D27" i="56"/>
  <c r="D27" i="109" s="1"/>
  <c r="C27" i="109"/>
  <c r="D17" i="56"/>
  <c r="D17" i="109" s="1"/>
  <c r="C17" i="109"/>
  <c r="D32" i="56"/>
  <c r="D32" i="109" s="1"/>
  <c r="C32" i="109"/>
  <c r="X45" i="81"/>
  <c r="B45" i="83"/>
  <c r="D45" i="83"/>
  <c r="G45" i="83" s="1"/>
  <c r="S6" i="82"/>
  <c r="T7" i="82" s="1"/>
  <c r="C5" i="107"/>
  <c r="D5" i="107" s="1"/>
  <c r="L44" i="82"/>
  <c r="C43" i="104" s="1"/>
  <c r="C43" i="103"/>
  <c r="I51" i="82"/>
  <c r="C49" i="102"/>
  <c r="B49" i="102"/>
  <c r="L50" i="81"/>
  <c r="L46" i="81"/>
  <c r="B45" i="104" s="1"/>
  <c r="B45" i="103"/>
  <c r="L47" i="81"/>
  <c r="B46" i="104" s="1"/>
  <c r="B46" i="103"/>
  <c r="B48" i="104"/>
  <c r="X49" i="81"/>
  <c r="W49" i="81"/>
  <c r="S6" i="81"/>
  <c r="T7" i="81" s="1"/>
  <c r="B5" i="107"/>
  <c r="B42" i="104"/>
  <c r="T43" i="81"/>
  <c r="L45" i="83"/>
  <c r="D44" i="104" s="1"/>
  <c r="D44" i="103"/>
  <c r="AC58" i="93"/>
  <c r="U57" i="93"/>
  <c r="AA58" i="93"/>
  <c r="S57" i="93"/>
  <c r="AE57" i="93"/>
  <c r="W56" i="93"/>
  <c r="EP56" i="93" s="1"/>
  <c r="CE66" i="96"/>
  <c r="CC62" i="96"/>
  <c r="CC63" i="96" s="1"/>
  <c r="FV50" i="96"/>
  <c r="C46" i="62"/>
  <c r="CE62" i="93"/>
  <c r="FV51" i="93"/>
  <c r="B47" i="62"/>
  <c r="FK52" i="97"/>
  <c r="FI61" i="97"/>
  <c r="AD52" i="97"/>
  <c r="V51" i="97"/>
  <c r="EO51" i="97" s="1"/>
  <c r="CI57" i="97"/>
  <c r="CA56" i="97"/>
  <c r="FQ56" i="97" s="1"/>
  <c r="AY65" i="97"/>
  <c r="AM65" i="97" s="1"/>
  <c r="AL65" i="97"/>
  <c r="AL66" i="97" s="1"/>
  <c r="BU60" i="97"/>
  <c r="EF59" i="97"/>
  <c r="AY66" i="97"/>
  <c r="CL54" i="97"/>
  <c r="CD53" i="97"/>
  <c r="FT53" i="97" s="1"/>
  <c r="ED60" i="97"/>
  <c r="BS61" i="97"/>
  <c r="EH58" i="97"/>
  <c r="BW59" i="97"/>
  <c r="W51" i="97"/>
  <c r="EP51" i="97" s="1"/>
  <c r="AE52" i="97"/>
  <c r="DK64" i="97"/>
  <c r="DK65" i="97"/>
  <c r="CM54" i="97"/>
  <c r="CE53" i="97"/>
  <c r="FU53" i="97" s="1"/>
  <c r="DL62" i="97"/>
  <c r="DL63" i="97"/>
  <c r="EK53" i="97"/>
  <c r="DJ64" i="97"/>
  <c r="AC53" i="97"/>
  <c r="U52" i="97"/>
  <c r="EN52" i="97" s="1"/>
  <c r="BR52" i="97"/>
  <c r="EC52" i="97" s="1"/>
  <c r="FP52" i="97"/>
  <c r="FV52" i="97" s="1"/>
  <c r="FR55" i="97"/>
  <c r="BT55" i="97"/>
  <c r="EE55" i="97" s="1"/>
  <c r="FM57" i="97"/>
  <c r="EG58" i="97" s="1"/>
  <c r="BV57" i="97"/>
  <c r="CK55" i="97"/>
  <c r="CC54" i="97"/>
  <c r="FS54" i="97" s="1"/>
  <c r="AA55" i="97"/>
  <c r="S54" i="97"/>
  <c r="EL54" i="97" s="1"/>
  <c r="FL56" i="97"/>
  <c r="EM57" i="97" s="1"/>
  <c r="T56" i="97"/>
  <c r="AB56" i="97" s="1"/>
  <c r="CB56" i="97" s="1"/>
  <c r="DJ65" i="97"/>
  <c r="DJ66" i="97" s="1"/>
  <c r="C44" i="56"/>
  <c r="C44" i="109" s="1"/>
  <c r="EL56" i="93"/>
  <c r="AC53" i="96"/>
  <c r="U52" i="96"/>
  <c r="EN52" i="96" s="1"/>
  <c r="R52" i="96"/>
  <c r="Z52" i="96" s="1"/>
  <c r="BZ52" i="96" s="1"/>
  <c r="FK52" i="96"/>
  <c r="EK53" i="96" s="1"/>
  <c r="CI57" i="96"/>
  <c r="BS57" i="96" s="1"/>
  <c r="ED57" i="96" s="1"/>
  <c r="FQ56" i="96"/>
  <c r="C52" i="58" s="1"/>
  <c r="CL54" i="96"/>
  <c r="CD53" i="96"/>
  <c r="FT53" i="96" s="1"/>
  <c r="C49" i="64" s="1"/>
  <c r="FU53" i="96"/>
  <c r="C49" i="60" s="1"/>
  <c r="CM54" i="96"/>
  <c r="BW54" i="96" s="1"/>
  <c r="EH54" i="96" s="1"/>
  <c r="BR51" i="96"/>
  <c r="EC51" i="96" s="1"/>
  <c r="FP51" i="96"/>
  <c r="AY65" i="96"/>
  <c r="AM65" i="96" s="1"/>
  <c r="AL65" i="96"/>
  <c r="AE52" i="96"/>
  <c r="W51" i="96"/>
  <c r="EP51" i="96" s="1"/>
  <c r="AD52" i="96"/>
  <c r="V51" i="96"/>
  <c r="EO51" i="96" s="1"/>
  <c r="CK55" i="96"/>
  <c r="BU55" i="96" s="1"/>
  <c r="EF55" i="96" s="1"/>
  <c r="FS54" i="96"/>
  <c r="C50" i="59" s="1"/>
  <c r="FR56" i="96"/>
  <c r="C52" i="63" s="1"/>
  <c r="BT56" i="96"/>
  <c r="EE56" i="96" s="1"/>
  <c r="S54" i="96"/>
  <c r="EL54" i="96" s="1"/>
  <c r="AA55" i="96"/>
  <c r="FL57" i="96"/>
  <c r="EM58" i="96" s="1"/>
  <c r="T57" i="96"/>
  <c r="AB57" i="96" s="1"/>
  <c r="CB57" i="96" s="1"/>
  <c r="AX66" i="96"/>
  <c r="AK66" i="96"/>
  <c r="CM58" i="93"/>
  <c r="BW58" i="93" s="1"/>
  <c r="EH58" i="93" s="1"/>
  <c r="FU57" i="93"/>
  <c r="B53" i="60" s="1"/>
  <c r="CJ58" i="93"/>
  <c r="CK58" i="93"/>
  <c r="BU58" i="93" s="1"/>
  <c r="EF58" i="93" s="1"/>
  <c r="CI58" i="93"/>
  <c r="BS58" i="93" s="1"/>
  <c r="ED58" i="93" s="1"/>
  <c r="FQ57" i="93"/>
  <c r="B53" i="58" s="1"/>
  <c r="R53" i="93"/>
  <c r="Z53" i="93" s="1"/>
  <c r="BZ53" i="93" s="1"/>
  <c r="FK53" i="93"/>
  <c r="EK54" i="93" s="1"/>
  <c r="R54" i="93" s="1"/>
  <c r="FL56" i="93"/>
  <c r="EM57" i="93" s="1"/>
  <c r="T56" i="93"/>
  <c r="AB56" i="93" s="1"/>
  <c r="CB56" i="93" s="1"/>
  <c r="BT55" i="93"/>
  <c r="EE55" i="93" s="1"/>
  <c r="FR55" i="93"/>
  <c r="B51" i="63" s="1"/>
  <c r="BR52" i="93"/>
  <c r="EC52" i="93" s="1"/>
  <c r="FP52" i="93"/>
  <c r="BV57" i="93"/>
  <c r="CD57" i="93" s="1"/>
  <c r="FM58" i="93"/>
  <c r="EG59" i="93" s="1"/>
  <c r="FT56" i="93"/>
  <c r="B52" i="64" s="1"/>
  <c r="AH58" i="93"/>
  <c r="CL58" i="93"/>
  <c r="EN56" i="93"/>
  <c r="FS58" i="93"/>
  <c r="B54" i="59" s="1"/>
  <c r="FU58" i="93"/>
  <c r="B54" i="60" s="1"/>
  <c r="AJ60" i="93"/>
  <c r="AZ17" i="48"/>
  <c r="BA26" i="48"/>
  <c r="C44" i="59"/>
  <c r="D44" i="59" s="1"/>
  <c r="T13" i="83"/>
  <c r="T33" i="81"/>
  <c r="T21" i="81"/>
  <c r="T41" i="83"/>
  <c r="T24" i="81"/>
  <c r="T13" i="82"/>
  <c r="T31" i="81"/>
  <c r="T30" i="83"/>
  <c r="T25" i="82"/>
  <c r="T25" i="83"/>
  <c r="T29" i="82"/>
  <c r="T34" i="81"/>
  <c r="T38" i="83"/>
  <c r="T42" i="83"/>
  <c r="T25" i="81"/>
  <c r="T23" i="81"/>
  <c r="T30" i="81"/>
  <c r="T38" i="82"/>
  <c r="D22" i="40"/>
  <c r="D24" i="40"/>
  <c r="T37" i="82"/>
  <c r="T29" i="81"/>
  <c r="T38" i="81"/>
  <c r="T18" i="81"/>
  <c r="X43" i="81"/>
  <c r="T37" i="83"/>
  <c r="T22" i="81"/>
  <c r="T37" i="81"/>
  <c r="T18" i="82"/>
  <c r="T15" i="81"/>
  <c r="T18" i="83"/>
  <c r="T23" i="82"/>
  <c r="G22" i="40"/>
  <c r="G24" i="40"/>
  <c r="F23" i="40"/>
  <c r="F26" i="40" s="1"/>
  <c r="F25" i="40"/>
  <c r="T29" i="83"/>
  <c r="T39" i="82"/>
  <c r="G45" i="81"/>
  <c r="T14" i="83"/>
  <c r="T15" i="83"/>
  <c r="T32" i="83"/>
  <c r="T33" i="83"/>
  <c r="T21" i="82"/>
  <c r="T41" i="81"/>
  <c r="X43" i="82"/>
  <c r="S43" i="82"/>
  <c r="T43" i="82" s="1"/>
  <c r="W43" i="82"/>
  <c r="T32" i="82"/>
  <c r="T31" i="82"/>
  <c r="T14" i="82"/>
  <c r="T15" i="82"/>
  <c r="T39" i="83"/>
  <c r="T44" i="83"/>
  <c r="E23" i="40"/>
  <c r="E26" i="40" s="1"/>
  <c r="E25" i="40"/>
  <c r="C44" i="103"/>
  <c r="T22" i="83"/>
  <c r="T21" i="83"/>
  <c r="T41" i="82"/>
  <c r="S44" i="82"/>
  <c r="W44" i="82"/>
  <c r="X44" i="82"/>
  <c r="T32" i="81"/>
  <c r="T31" i="83"/>
  <c r="S13" i="81"/>
  <c r="T13" i="81" s="1"/>
  <c r="W13" i="81"/>
  <c r="X13" i="81"/>
  <c r="Y9" i="6"/>
  <c r="F5" i="83"/>
  <c r="G5" i="83" s="1"/>
  <c r="S5" i="83" s="1"/>
  <c r="F5" i="82"/>
  <c r="G5" i="82" s="1"/>
  <c r="F5" i="81"/>
  <c r="G5" i="81" s="1"/>
  <c r="J5" i="19"/>
  <c r="T7" i="83"/>
  <c r="V55" i="83"/>
  <c r="L51" i="83"/>
  <c r="D50" i="104" s="1"/>
  <c r="I52" i="83"/>
  <c r="P50" i="83"/>
  <c r="W49" i="83"/>
  <c r="X49" i="83"/>
  <c r="L51" i="82"/>
  <c r="C50" i="104" s="1"/>
  <c r="V55" i="82"/>
  <c r="P49" i="82"/>
  <c r="X48" i="82"/>
  <c r="W48" i="82"/>
  <c r="N53" i="81"/>
  <c r="AL9" i="37"/>
  <c r="AB6" i="37"/>
  <c r="AB12" i="37" s="1"/>
  <c r="C43" i="63"/>
  <c r="D43" i="63" s="1"/>
  <c r="V53" i="93" l="1"/>
  <c r="EO53" i="93" s="1"/>
  <c r="AD54" i="93"/>
  <c r="B46" i="109"/>
  <c r="B47" i="56"/>
  <c r="E47" i="71" s="1"/>
  <c r="E47" i="110"/>
  <c r="FM56" i="96"/>
  <c r="EG57" i="96" s="1"/>
  <c r="BV56" i="96"/>
  <c r="F45" i="71"/>
  <c r="C46" i="56"/>
  <c r="F46" i="71" s="1"/>
  <c r="F46" i="110"/>
  <c r="CC64" i="96"/>
  <c r="CC65" i="96" s="1"/>
  <c r="CC66" i="96" s="1"/>
  <c r="AY66" i="93"/>
  <c r="AM66" i="93" s="1"/>
  <c r="AL66" i="93"/>
  <c r="CC65" i="93"/>
  <c r="CC66" i="93"/>
  <c r="X46" i="81"/>
  <c r="W46" i="81"/>
  <c r="S5" i="82"/>
  <c r="T6" i="82" s="1"/>
  <c r="C4" i="107"/>
  <c r="D4" i="107" s="1"/>
  <c r="I52" i="82"/>
  <c r="C50" i="102"/>
  <c r="D45" i="82"/>
  <c r="C44" i="106" s="1"/>
  <c r="B45" i="82"/>
  <c r="C44" i="105" s="1"/>
  <c r="B50" i="102"/>
  <c r="L51" i="81"/>
  <c r="S5" i="81"/>
  <c r="B4" i="107"/>
  <c r="W47" i="81"/>
  <c r="B49" i="104"/>
  <c r="X50" i="81"/>
  <c r="W50" i="81"/>
  <c r="X47" i="81"/>
  <c r="B44" i="107"/>
  <c r="W45" i="83"/>
  <c r="S45" i="83"/>
  <c r="T45" i="83" s="1"/>
  <c r="X45" i="83"/>
  <c r="D46" i="83" s="1"/>
  <c r="L46" i="83"/>
  <c r="W46" i="83" s="1"/>
  <c r="D45" i="103"/>
  <c r="L47" i="83"/>
  <c r="D46" i="103"/>
  <c r="AC59" i="93"/>
  <c r="U58" i="93"/>
  <c r="AA59" i="93"/>
  <c r="S58" i="93"/>
  <c r="AE58" i="93"/>
  <c r="W57" i="93"/>
  <c r="EP57" i="93" s="1"/>
  <c r="FV51" i="96"/>
  <c r="C47" i="62"/>
  <c r="CE63" i="93"/>
  <c r="CE64" i="93" s="1"/>
  <c r="CE65" i="93" s="1"/>
  <c r="FV52" i="93"/>
  <c r="B48" i="62"/>
  <c r="FI62" i="97"/>
  <c r="EF60" i="97"/>
  <c r="BU61" i="97"/>
  <c r="DK66" i="97"/>
  <c r="AE53" i="97"/>
  <c r="W52" i="97"/>
  <c r="EP52" i="97" s="1"/>
  <c r="FK53" i="97"/>
  <c r="EK54" i="97" s="1"/>
  <c r="R53" i="97"/>
  <c r="Z53" i="97" s="1"/>
  <c r="BZ53" i="97" s="1"/>
  <c r="AA56" i="97"/>
  <c r="S55" i="97"/>
  <c r="EL55" i="97" s="1"/>
  <c r="DL64" i="97"/>
  <c r="DL65" i="97" s="1"/>
  <c r="DL66" i="97" s="1"/>
  <c r="CL55" i="97"/>
  <c r="CD54" i="97"/>
  <c r="FT54" i="97" s="1"/>
  <c r="BW60" i="97"/>
  <c r="EH59" i="97"/>
  <c r="CI58" i="97"/>
  <c r="CA57" i="97"/>
  <c r="FQ57" i="97" s="1"/>
  <c r="CK56" i="97"/>
  <c r="CC55" i="97"/>
  <c r="FS55" i="97" s="1"/>
  <c r="AC54" i="97"/>
  <c r="U53" i="97"/>
  <c r="EN53" i="97" s="1"/>
  <c r="AM66" i="97"/>
  <c r="T57" i="97"/>
  <c r="AB57" i="97" s="1"/>
  <c r="CB57" i="97" s="1"/>
  <c r="FL57" i="97"/>
  <c r="EM58" i="97" s="1"/>
  <c r="V52" i="97"/>
  <c r="EO52" i="97" s="1"/>
  <c r="AD53" i="97"/>
  <c r="BT56" i="97"/>
  <c r="EE56" i="97" s="1"/>
  <c r="FR56" i="97"/>
  <c r="FM58" i="97"/>
  <c r="EG59" i="97" s="1"/>
  <c r="BV58" i="97"/>
  <c r="CM55" i="97"/>
  <c r="CE54" i="97"/>
  <c r="FU54" i="97" s="1"/>
  <c r="ED61" i="97"/>
  <c r="BS62" i="97"/>
  <c r="D44" i="56"/>
  <c r="D44" i="109" s="1"/>
  <c r="CI58" i="96"/>
  <c r="BS58" i="96" s="1"/>
  <c r="ED58" i="96" s="1"/>
  <c r="FQ57" i="96"/>
  <c r="C53" i="58" s="1"/>
  <c r="S55" i="96"/>
  <c r="EL55" i="96" s="1"/>
  <c r="AA56" i="96"/>
  <c r="R53" i="96"/>
  <c r="Z53" i="96" s="1"/>
  <c r="BZ53" i="96" s="1"/>
  <c r="FK53" i="96"/>
  <c r="EK54" i="96" s="1"/>
  <c r="CK56" i="96"/>
  <c r="BU56" i="96" s="1"/>
  <c r="EF56" i="96" s="1"/>
  <c r="FS55" i="96"/>
  <c r="C51" i="59" s="1"/>
  <c r="BR52" i="96"/>
  <c r="EC52" i="96" s="1"/>
  <c r="FP52" i="96"/>
  <c r="AD53" i="96"/>
  <c r="V52" i="96"/>
  <c r="EO52" i="96" s="1"/>
  <c r="CM55" i="96"/>
  <c r="BW55" i="96" s="1"/>
  <c r="EH55" i="96" s="1"/>
  <c r="FU54" i="96"/>
  <c r="C50" i="60" s="1"/>
  <c r="FL58" i="96"/>
  <c r="EM59" i="96" s="1"/>
  <c r="T58" i="96"/>
  <c r="AB58" i="96" s="1"/>
  <c r="CB58" i="96" s="1"/>
  <c r="AY66" i="96"/>
  <c r="AM66" i="96" s="1"/>
  <c r="AL66" i="96"/>
  <c r="W52" i="96"/>
  <c r="EP52" i="96" s="1"/>
  <c r="AE53" i="96"/>
  <c r="CL55" i="96"/>
  <c r="CD54" i="96"/>
  <c r="FT54" i="96" s="1"/>
  <c r="C50" i="64" s="1"/>
  <c r="AC54" i="96"/>
  <c r="U53" i="96"/>
  <c r="EN53" i="96" s="1"/>
  <c r="FR57" i="96"/>
  <c r="C53" i="63" s="1"/>
  <c r="BT57" i="96"/>
  <c r="EE57" i="96" s="1"/>
  <c r="CM59" i="93"/>
  <c r="CI59" i="93"/>
  <c r="BS59" i="93" s="1"/>
  <c r="ED59" i="93" s="1"/>
  <c r="FQ58" i="93"/>
  <c r="B54" i="58" s="1"/>
  <c r="CJ59" i="93"/>
  <c r="CK59" i="93"/>
  <c r="BT56" i="93"/>
  <c r="EE56" i="93" s="1"/>
  <c r="FR56" i="93"/>
  <c r="B52" i="63" s="1"/>
  <c r="FL57" i="93"/>
  <c r="EM58" i="93" s="1"/>
  <c r="T57" i="93"/>
  <c r="AB57" i="93" s="1"/>
  <c r="CB57" i="93" s="1"/>
  <c r="Z54" i="93"/>
  <c r="BZ54" i="93" s="1"/>
  <c r="FK54" i="93"/>
  <c r="EK55" i="93" s="1"/>
  <c r="BR53" i="93"/>
  <c r="EC53" i="93" s="1"/>
  <c r="FP53" i="93"/>
  <c r="BV58" i="93"/>
  <c r="CD58" i="93" s="1"/>
  <c r="FM59" i="93"/>
  <c r="EG60" i="93" s="1"/>
  <c r="FT57" i="93"/>
  <c r="B53" i="64" s="1"/>
  <c r="EN57" i="93"/>
  <c r="AH59" i="93"/>
  <c r="CL59" i="93"/>
  <c r="AJ61" i="93"/>
  <c r="C44" i="63"/>
  <c r="D44" i="63" s="1"/>
  <c r="C42" i="63"/>
  <c r="D42" i="63" s="1"/>
  <c r="C44" i="64"/>
  <c r="D44" i="64" s="1"/>
  <c r="I28" i="40"/>
  <c r="I29" i="40" s="1"/>
  <c r="T14" i="81"/>
  <c r="T44" i="81"/>
  <c r="C45" i="103"/>
  <c r="L45" i="82"/>
  <c r="C44" i="104" s="1"/>
  <c r="T44" i="82"/>
  <c r="G23" i="40"/>
  <c r="G26" i="40" s="1"/>
  <c r="G25" i="40"/>
  <c r="D23" i="40"/>
  <c r="D26" i="40" s="1"/>
  <c r="D25" i="40"/>
  <c r="F4" i="81"/>
  <c r="S4" i="81" s="1"/>
  <c r="T5" i="81" s="1"/>
  <c r="F4" i="83"/>
  <c r="G4" i="83" s="1"/>
  <c r="S4" i="83" s="1"/>
  <c r="T5" i="83" s="1"/>
  <c r="Y8" i="6"/>
  <c r="F4" i="82"/>
  <c r="G4" i="82" s="1"/>
  <c r="J4" i="19"/>
  <c r="K4" i="19" s="1"/>
  <c r="T6" i="81"/>
  <c r="T6" i="83"/>
  <c r="L52" i="83"/>
  <c r="D51" i="104" s="1"/>
  <c r="I53" i="83"/>
  <c r="V56" i="83"/>
  <c r="P51" i="83"/>
  <c r="X50" i="83"/>
  <c r="W50" i="83"/>
  <c r="V56" i="82"/>
  <c r="P50" i="82"/>
  <c r="X49" i="82"/>
  <c r="W49" i="82"/>
  <c r="N54" i="81"/>
  <c r="AC6" i="37"/>
  <c r="AC12" i="37" s="1"/>
  <c r="AM9" i="37"/>
  <c r="V54" i="93" l="1"/>
  <c r="EO54" i="93" s="1"/>
  <c r="AD55" i="93"/>
  <c r="B47" i="109"/>
  <c r="B48" i="56"/>
  <c r="E48" i="71" s="1"/>
  <c r="E48" i="110"/>
  <c r="FM57" i="96"/>
  <c r="EG58" i="96" s="1"/>
  <c r="BV57" i="96"/>
  <c r="C46" i="109"/>
  <c r="C47" i="56"/>
  <c r="C47" i="109" s="1"/>
  <c r="F47" i="110"/>
  <c r="B46" i="81"/>
  <c r="B45" i="105" s="1"/>
  <c r="D46" i="81"/>
  <c r="B45" i="106" s="1"/>
  <c r="T45" i="81"/>
  <c r="S4" i="82"/>
  <c r="T5" i="82" s="1"/>
  <c r="C3" i="107"/>
  <c r="D3" i="107" s="1"/>
  <c r="I53" i="82"/>
  <c r="C51" i="102"/>
  <c r="L52" i="82"/>
  <c r="C51" i="104" s="1"/>
  <c r="B50" i="104"/>
  <c r="W51" i="81"/>
  <c r="X51" i="81"/>
  <c r="B51" i="102"/>
  <c r="L52" i="81"/>
  <c r="B46" i="83"/>
  <c r="G46" i="83" s="1"/>
  <c r="S46" i="83" s="1"/>
  <c r="X47" i="83"/>
  <c r="D46" i="104"/>
  <c r="X46" i="83"/>
  <c r="D45" i="104"/>
  <c r="W47" i="83"/>
  <c r="FS59" i="93"/>
  <c r="B55" i="59" s="1"/>
  <c r="BU59" i="93"/>
  <c r="EF59" i="93" s="1"/>
  <c r="FU59" i="93"/>
  <c r="B55" i="60" s="1"/>
  <c r="BW59" i="93"/>
  <c r="EH59" i="93" s="1"/>
  <c r="AA60" i="93"/>
  <c r="S59" i="93"/>
  <c r="AC60" i="93"/>
  <c r="U59" i="93"/>
  <c r="AE59" i="93"/>
  <c r="W58" i="93"/>
  <c r="FV52" i="96"/>
  <c r="C48" i="62"/>
  <c r="CE66" i="93"/>
  <c r="FV53" i="93"/>
  <c r="B49" i="62"/>
  <c r="FI63" i="97"/>
  <c r="R54" i="97"/>
  <c r="Z54" i="97" s="1"/>
  <c r="BZ54" i="97" s="1"/>
  <c r="FK54" i="97"/>
  <c r="EK55" i="97" s="1"/>
  <c r="ED62" i="97"/>
  <c r="BS63" i="97"/>
  <c r="BW61" i="97"/>
  <c r="EH60" i="97"/>
  <c r="AD54" i="97"/>
  <c r="V53" i="97"/>
  <c r="EO53" i="97" s="1"/>
  <c r="U54" i="97"/>
  <c r="EN54" i="97" s="1"/>
  <c r="AC55" i="97"/>
  <c r="AE54" i="97"/>
  <c r="W53" i="97"/>
  <c r="EP53" i="97" s="1"/>
  <c r="CL56" i="97"/>
  <c r="CD55" i="97"/>
  <c r="FT55" i="97" s="1"/>
  <c r="CK57" i="97"/>
  <c r="CC56" i="97"/>
  <c r="FS56" i="97" s="1"/>
  <c r="CM56" i="97"/>
  <c r="CE55" i="97"/>
  <c r="FU55" i="97" s="1"/>
  <c r="FL58" i="97"/>
  <c r="EM59" i="97" s="1"/>
  <c r="T58" i="97"/>
  <c r="AB58" i="97" s="1"/>
  <c r="CB58" i="97" s="1"/>
  <c r="EF61" i="97"/>
  <c r="BU62" i="97"/>
  <c r="FR57" i="97"/>
  <c r="BT57" i="97"/>
  <c r="EE57" i="97" s="1"/>
  <c r="CI59" i="97"/>
  <c r="CA58" i="97"/>
  <c r="FQ58" i="97" s="1"/>
  <c r="AA57" i="97"/>
  <c r="S56" i="97"/>
  <c r="EL56" i="97" s="1"/>
  <c r="FM59" i="97"/>
  <c r="EG60" i="97" s="1"/>
  <c r="BV59" i="97"/>
  <c r="FP53" i="97"/>
  <c r="FV53" i="97" s="1"/>
  <c r="BR53" i="97"/>
  <c r="EC53" i="97" s="1"/>
  <c r="EL57" i="93"/>
  <c r="W53" i="96"/>
  <c r="EP53" i="96" s="1"/>
  <c r="AE54" i="96"/>
  <c r="R54" i="96"/>
  <c r="Z54" i="96" s="1"/>
  <c r="BZ54" i="96" s="1"/>
  <c r="FK54" i="96"/>
  <c r="EK55" i="96" s="1"/>
  <c r="CM56" i="96"/>
  <c r="BW56" i="96" s="1"/>
  <c r="EH56" i="96" s="1"/>
  <c r="FU55" i="96"/>
  <c r="C51" i="60" s="1"/>
  <c r="BR53" i="96"/>
  <c r="EC53" i="96" s="1"/>
  <c r="FP53" i="96"/>
  <c r="BT58" i="96"/>
  <c r="EE58" i="96" s="1"/>
  <c r="FR58" i="96"/>
  <c r="C54" i="63" s="1"/>
  <c r="AA57" i="96"/>
  <c r="S56" i="96"/>
  <c r="EL56" i="96" s="1"/>
  <c r="AC55" i="96"/>
  <c r="U54" i="96"/>
  <c r="EN54" i="96" s="1"/>
  <c r="FL59" i="96"/>
  <c r="EM60" i="96" s="1"/>
  <c r="T59" i="96"/>
  <c r="AB59" i="96" s="1"/>
  <c r="CB59" i="96" s="1"/>
  <c r="AD54" i="96"/>
  <c r="V53" i="96"/>
  <c r="EO53" i="96" s="1"/>
  <c r="CK57" i="96"/>
  <c r="BU57" i="96" s="1"/>
  <c r="EF57" i="96" s="1"/>
  <c r="FS56" i="96"/>
  <c r="C52" i="59" s="1"/>
  <c r="CL56" i="96"/>
  <c r="CD55" i="96"/>
  <c r="FT55" i="96" s="1"/>
  <c r="C51" i="64" s="1"/>
  <c r="CI59" i="96"/>
  <c r="BS59" i="96" s="1"/>
  <c r="ED59" i="96" s="1"/>
  <c r="FQ58" i="96"/>
  <c r="C54" i="58" s="1"/>
  <c r="CJ60" i="93"/>
  <c r="CI60" i="93"/>
  <c r="BS60" i="93" s="1"/>
  <c r="ED60" i="93" s="1"/>
  <c r="FQ59" i="93"/>
  <c r="B55" i="58" s="1"/>
  <c r="CK60" i="93"/>
  <c r="CM60" i="93"/>
  <c r="BW60" i="93" s="1"/>
  <c r="EH60" i="93" s="1"/>
  <c r="R55" i="93"/>
  <c r="Z55" i="93" s="1"/>
  <c r="BZ55" i="93" s="1"/>
  <c r="FK55" i="93"/>
  <c r="EK56" i="93" s="1"/>
  <c r="BR54" i="93"/>
  <c r="EC54" i="93" s="1"/>
  <c r="FP54" i="93"/>
  <c r="BT57" i="93"/>
  <c r="EE57" i="93" s="1"/>
  <c r="FR57" i="93"/>
  <c r="B53" i="63" s="1"/>
  <c r="T58" i="93"/>
  <c r="AB58" i="93" s="1"/>
  <c r="CB58" i="93" s="1"/>
  <c r="FL58" i="93"/>
  <c r="EM59" i="93" s="1"/>
  <c r="BV59" i="93"/>
  <c r="CD59" i="93" s="1"/>
  <c r="FT59" i="93" s="1"/>
  <c r="B55" i="64" s="1"/>
  <c r="FM60" i="93"/>
  <c r="EG61" i="93" s="1"/>
  <c r="FT58" i="93"/>
  <c r="B54" i="64" s="1"/>
  <c r="EP58" i="93"/>
  <c r="FU60" i="93"/>
  <c r="B56" i="60" s="1"/>
  <c r="EN58" i="93"/>
  <c r="CL60" i="93"/>
  <c r="EL58" i="93"/>
  <c r="AJ62" i="93"/>
  <c r="AH60" i="93"/>
  <c r="S40" i="48"/>
  <c r="T40" i="48"/>
  <c r="C44" i="62"/>
  <c r="C44" i="58"/>
  <c r="D44" i="58" s="1"/>
  <c r="C44" i="60"/>
  <c r="D44" i="60" s="1"/>
  <c r="G45" i="82"/>
  <c r="X45" i="82"/>
  <c r="W45" i="82"/>
  <c r="L46" i="82"/>
  <c r="C45" i="104" s="1"/>
  <c r="F3" i="83"/>
  <c r="F3" i="82"/>
  <c r="F3" i="81"/>
  <c r="Y7" i="6"/>
  <c r="Y6" i="6" s="1"/>
  <c r="Y5" i="6" s="1"/>
  <c r="Y4" i="6" s="1"/>
  <c r="Y3" i="6" s="1"/>
  <c r="Y2" i="6" s="1"/>
  <c r="P52" i="83"/>
  <c r="W51" i="83"/>
  <c r="X51" i="83"/>
  <c r="V57" i="83"/>
  <c r="L53" i="83"/>
  <c r="D52" i="104" s="1"/>
  <c r="I54" i="83"/>
  <c r="P51" i="82"/>
  <c r="X50" i="82"/>
  <c r="W50" i="82"/>
  <c r="V57" i="82"/>
  <c r="N55" i="81"/>
  <c r="AN9" i="37"/>
  <c r="AD6" i="37"/>
  <c r="AD12" i="37" s="1"/>
  <c r="Q45" i="48"/>
  <c r="P45" i="48"/>
  <c r="T45" i="48"/>
  <c r="S45" i="48"/>
  <c r="P40" i="48"/>
  <c r="Q42" i="48"/>
  <c r="S43" i="48"/>
  <c r="T41" i="48"/>
  <c r="S44" i="48"/>
  <c r="S42" i="48"/>
  <c r="Q41" i="48"/>
  <c r="P43" i="48"/>
  <c r="S41" i="48"/>
  <c r="P42" i="48"/>
  <c r="T44" i="48"/>
  <c r="P41" i="48"/>
  <c r="Q40" i="48"/>
  <c r="T43" i="48"/>
  <c r="T42" i="48"/>
  <c r="Q44" i="48"/>
  <c r="Q43" i="48"/>
  <c r="P44" i="48"/>
  <c r="V55" i="93" l="1"/>
  <c r="EO55" i="93" s="1"/>
  <c r="AD56" i="93"/>
  <c r="B48" i="109"/>
  <c r="B49" i="56"/>
  <c r="E49" i="71" s="1"/>
  <c r="E49" i="110"/>
  <c r="FM58" i="96"/>
  <c r="EG59" i="96" s="1"/>
  <c r="BV58" i="96"/>
  <c r="F47" i="71"/>
  <c r="C48" i="56"/>
  <c r="C48" i="109" s="1"/>
  <c r="F48" i="110"/>
  <c r="G46" i="81"/>
  <c r="S46" i="81" s="1"/>
  <c r="I54" i="82"/>
  <c r="L54" i="82" s="1"/>
  <c r="C53" i="104" s="1"/>
  <c r="C52" i="102"/>
  <c r="S45" i="82"/>
  <c r="D46" i="82" s="1"/>
  <c r="C45" i="106" s="1"/>
  <c r="C44" i="107"/>
  <c r="L47" i="82"/>
  <c r="C46" i="104" s="1"/>
  <c r="C46" i="103"/>
  <c r="L53" i="82"/>
  <c r="C52" i="104" s="1"/>
  <c r="B51" i="104"/>
  <c r="X52" i="81"/>
  <c r="W52" i="81"/>
  <c r="B52" i="102"/>
  <c r="L53" i="81"/>
  <c r="I19" i="40"/>
  <c r="I24" i="40" s="1"/>
  <c r="FS60" i="93"/>
  <c r="B56" i="59" s="1"/>
  <c r="BU60" i="93"/>
  <c r="EF60" i="93" s="1"/>
  <c r="AA61" i="93"/>
  <c r="S60" i="93"/>
  <c r="AC61" i="93"/>
  <c r="U60" i="93"/>
  <c r="AE60" i="93"/>
  <c r="W59" i="93"/>
  <c r="EP59" i="93" s="1"/>
  <c r="FV53" i="96"/>
  <c r="C49" i="62"/>
  <c r="FV54" i="93"/>
  <c r="B50" i="62"/>
  <c r="FI64" i="97"/>
  <c r="FM60" i="97"/>
  <c r="EG61" i="97" s="1"/>
  <c r="BV60" i="97"/>
  <c r="V54" i="97"/>
  <c r="EO54" i="97" s="1"/>
  <c r="AD55" i="97"/>
  <c r="S57" i="97"/>
  <c r="EL57" i="97" s="1"/>
  <c r="AA58" i="97"/>
  <c r="CL57" i="97"/>
  <c r="CD56" i="97"/>
  <c r="FT56" i="97" s="1"/>
  <c r="CK58" i="97"/>
  <c r="CC57" i="97"/>
  <c r="FS57" i="97" s="1"/>
  <c r="EF62" i="97"/>
  <c r="BU63" i="97"/>
  <c r="BT58" i="97"/>
  <c r="EE58" i="97" s="1"/>
  <c r="FR58" i="97"/>
  <c r="BW62" i="97"/>
  <c r="EH61" i="97"/>
  <c r="BR54" i="97"/>
  <c r="EC54" i="97" s="1"/>
  <c r="FP54" i="97"/>
  <c r="FV54" i="97" s="1"/>
  <c r="CI60" i="97"/>
  <c r="CA59" i="97"/>
  <c r="FQ59" i="97" s="1"/>
  <c r="FL59" i="97"/>
  <c r="EM60" i="97" s="1"/>
  <c r="T59" i="97"/>
  <c r="AB59" i="97" s="1"/>
  <c r="CB59" i="97" s="1"/>
  <c r="AE55" i="97"/>
  <c r="W54" i="97"/>
  <c r="EP54" i="97" s="1"/>
  <c r="ED63" i="97"/>
  <c r="BS64" i="97"/>
  <c r="CM57" i="97"/>
  <c r="CE56" i="97"/>
  <c r="FU56" i="97" s="1"/>
  <c r="AC56" i="97"/>
  <c r="U55" i="97"/>
  <c r="EN55" i="97" s="1"/>
  <c r="R55" i="97"/>
  <c r="Z55" i="97" s="1"/>
  <c r="BZ55" i="97" s="1"/>
  <c r="FK55" i="97"/>
  <c r="EK56" i="97" s="1"/>
  <c r="EL59" i="93"/>
  <c r="CM57" i="96"/>
  <c r="BW57" i="96" s="1"/>
  <c r="EH57" i="96" s="1"/>
  <c r="FU56" i="96"/>
  <c r="C52" i="60" s="1"/>
  <c r="S57" i="96"/>
  <c r="EL57" i="96" s="1"/>
  <c r="AA58" i="96"/>
  <c r="CL57" i="96"/>
  <c r="CD56" i="96"/>
  <c r="FT56" i="96" s="1"/>
  <c r="C52" i="64" s="1"/>
  <c r="AD55" i="96"/>
  <c r="V54" i="96"/>
  <c r="EO54" i="96" s="1"/>
  <c r="R55" i="96"/>
  <c r="Z55" i="96" s="1"/>
  <c r="BZ55" i="96" s="1"/>
  <c r="FK55" i="96"/>
  <c r="EK56" i="96" s="1"/>
  <c r="FR59" i="96"/>
  <c r="C55" i="63" s="1"/>
  <c r="BT59" i="96"/>
  <c r="EE59" i="96" s="1"/>
  <c r="FP54" i="96"/>
  <c r="BR54" i="96"/>
  <c r="EC54" i="96" s="1"/>
  <c r="CI60" i="96"/>
  <c r="BS60" i="96" s="1"/>
  <c r="ED60" i="96" s="1"/>
  <c r="FQ59" i="96"/>
  <c r="C55" i="58" s="1"/>
  <c r="FL60" i="96"/>
  <c r="EM61" i="96" s="1"/>
  <c r="T60" i="96"/>
  <c r="AB60" i="96" s="1"/>
  <c r="CB60" i="96" s="1"/>
  <c r="CK58" i="96"/>
  <c r="BU58" i="96" s="1"/>
  <c r="EF58" i="96" s="1"/>
  <c r="FS57" i="96"/>
  <c r="C53" i="59" s="1"/>
  <c r="AC56" i="96"/>
  <c r="U55" i="96"/>
  <c r="EN55" i="96" s="1"/>
  <c r="W54" i="96"/>
  <c r="EP54" i="96" s="1"/>
  <c r="AE55" i="96"/>
  <c r="CJ61" i="93"/>
  <c r="CI61" i="93"/>
  <c r="BS61" i="93" s="1"/>
  <c r="ED61" i="93" s="1"/>
  <c r="FQ60" i="93"/>
  <c r="B56" i="58" s="1"/>
  <c r="CK61" i="93"/>
  <c r="BU61" i="93" s="1"/>
  <c r="EF61" i="93" s="1"/>
  <c r="CM61" i="93"/>
  <c r="BW61" i="93" s="1"/>
  <c r="EH61" i="93" s="1"/>
  <c r="T59" i="93"/>
  <c r="AB59" i="93" s="1"/>
  <c r="CB59" i="93" s="1"/>
  <c r="FL59" i="93"/>
  <c r="EM60" i="93" s="1"/>
  <c r="BT58" i="93"/>
  <c r="EE58" i="93" s="1"/>
  <c r="FR58" i="93"/>
  <c r="B54" i="63" s="1"/>
  <c r="R56" i="93"/>
  <c r="Z56" i="93" s="1"/>
  <c r="BZ56" i="93" s="1"/>
  <c r="FK56" i="93"/>
  <c r="EK57" i="93" s="1"/>
  <c r="FP55" i="93"/>
  <c r="BR55" i="93"/>
  <c r="EC55" i="93" s="1"/>
  <c r="BV60" i="93"/>
  <c r="CD60" i="93" s="1"/>
  <c r="FM61" i="93"/>
  <c r="EG62" i="93" s="1"/>
  <c r="FS61" i="93"/>
  <c r="B57" i="59" s="1"/>
  <c r="AJ63" i="93"/>
  <c r="EN59" i="93"/>
  <c r="AH61" i="93"/>
  <c r="CL61" i="93"/>
  <c r="FU61" i="93"/>
  <c r="B57" i="60" s="1"/>
  <c r="B47" i="83"/>
  <c r="D47" i="83"/>
  <c r="D45" i="42"/>
  <c r="D45" i="71" s="1"/>
  <c r="T46" i="83"/>
  <c r="W46" i="82"/>
  <c r="X46" i="82"/>
  <c r="V58" i="83"/>
  <c r="P53" i="83"/>
  <c r="X52" i="83"/>
  <c r="W52" i="83"/>
  <c r="L54" i="83"/>
  <c r="D53" i="104" s="1"/>
  <c r="I55" i="83"/>
  <c r="V58" i="82"/>
  <c r="P52" i="82"/>
  <c r="X51" i="82"/>
  <c r="W51" i="82"/>
  <c r="N56" i="81"/>
  <c r="AE6" i="37"/>
  <c r="AE12" i="37" s="1"/>
  <c r="AO9" i="37"/>
  <c r="BF26" i="48"/>
  <c r="BC26" i="48"/>
  <c r="V56" i="93" l="1"/>
  <c r="EO56" i="93" s="1"/>
  <c r="AD57" i="93"/>
  <c r="B49" i="109"/>
  <c r="B50" i="56"/>
  <c r="E50" i="71" s="1"/>
  <c r="E50" i="110"/>
  <c r="FM59" i="96"/>
  <c r="EG60" i="96" s="1"/>
  <c r="BV59" i="96"/>
  <c r="F48" i="71"/>
  <c r="C49" i="56"/>
  <c r="F49" i="71" s="1"/>
  <c r="F49" i="110"/>
  <c r="B45" i="107"/>
  <c r="W47" i="82"/>
  <c r="X47" i="82"/>
  <c r="B46" i="82"/>
  <c r="C45" i="105" s="1"/>
  <c r="D47" i="81"/>
  <c r="B46" i="106" s="1"/>
  <c r="T45" i="82"/>
  <c r="I55" i="82"/>
  <c r="C53" i="102"/>
  <c r="B45" i="42"/>
  <c r="B45" i="108" s="1"/>
  <c r="B53" i="102"/>
  <c r="L54" i="81"/>
  <c r="B47" i="81"/>
  <c r="B46" i="105" s="1"/>
  <c r="B52" i="104"/>
  <c r="W53" i="81"/>
  <c r="X53" i="81"/>
  <c r="T46" i="81"/>
  <c r="D45" i="108"/>
  <c r="AC62" i="93"/>
  <c r="U61" i="93"/>
  <c r="AA62" i="93"/>
  <c r="S61" i="93"/>
  <c r="AE61" i="93"/>
  <c r="W60" i="93"/>
  <c r="EP60" i="93" s="1"/>
  <c r="FV54" i="96"/>
  <c r="C50" i="62"/>
  <c r="FV55" i="93"/>
  <c r="B51" i="62"/>
  <c r="FI66" i="97"/>
  <c r="FI65" i="97"/>
  <c r="CL58" i="97"/>
  <c r="CD57" i="97"/>
  <c r="FT57" i="97" s="1"/>
  <c r="CM58" i="97"/>
  <c r="CE57" i="97"/>
  <c r="FU57" i="97" s="1"/>
  <c r="AA59" i="97"/>
  <c r="S58" i="97"/>
  <c r="EL58" i="97" s="1"/>
  <c r="BW63" i="97"/>
  <c r="EH62" i="97"/>
  <c r="ED64" i="97"/>
  <c r="BS65" i="97"/>
  <c r="CI61" i="97"/>
  <c r="CA60" i="97"/>
  <c r="FQ60" i="97" s="1"/>
  <c r="EF63" i="97"/>
  <c r="BU64" i="97"/>
  <c r="AC57" i="97"/>
  <c r="U56" i="97"/>
  <c r="EN56" i="97" s="1"/>
  <c r="R56" i="97"/>
  <c r="Z56" i="97" s="1"/>
  <c r="BZ56" i="97" s="1"/>
  <c r="FK56" i="97"/>
  <c r="EK57" i="97" s="1"/>
  <c r="AD56" i="97"/>
  <c r="V55" i="97"/>
  <c r="EO55" i="97" s="1"/>
  <c r="BT59" i="97"/>
  <c r="EE59" i="97" s="1"/>
  <c r="FR59" i="97"/>
  <c r="FP55" i="97"/>
  <c r="FV55" i="97" s="1"/>
  <c r="BR55" i="97"/>
  <c r="EC55" i="97" s="1"/>
  <c r="FL60" i="97"/>
  <c r="EM61" i="97" s="1"/>
  <c r="T60" i="97"/>
  <c r="AB60" i="97" s="1"/>
  <c r="CB60" i="97" s="1"/>
  <c r="AE56" i="97"/>
  <c r="W55" i="97"/>
  <c r="EP55" i="97" s="1"/>
  <c r="CK59" i="97"/>
  <c r="CC58" i="97"/>
  <c r="FS58" i="97" s="1"/>
  <c r="FM61" i="97"/>
  <c r="EG62" i="97" s="1"/>
  <c r="BV61" i="97"/>
  <c r="CK59" i="96"/>
  <c r="BU59" i="96" s="1"/>
  <c r="EF59" i="96" s="1"/>
  <c r="FS58" i="96"/>
  <c r="C54" i="59" s="1"/>
  <c r="CL58" i="96"/>
  <c r="CD57" i="96"/>
  <c r="FT57" i="96" s="1"/>
  <c r="C53" i="64" s="1"/>
  <c r="FR60" i="96"/>
  <c r="C56" i="63" s="1"/>
  <c r="BT60" i="96"/>
  <c r="EE60" i="96" s="1"/>
  <c r="AA59" i="96"/>
  <c r="S58" i="96"/>
  <c r="EL58" i="96" s="1"/>
  <c r="R56" i="96"/>
  <c r="Z56" i="96" s="1"/>
  <c r="BZ56" i="96" s="1"/>
  <c r="FK56" i="96"/>
  <c r="EK57" i="96" s="1"/>
  <c r="BR55" i="96"/>
  <c r="EC55" i="96" s="1"/>
  <c r="FP55" i="96"/>
  <c r="CM58" i="96"/>
  <c r="BW58" i="96" s="1"/>
  <c r="EH58" i="96" s="1"/>
  <c r="FU57" i="96"/>
  <c r="C53" i="60" s="1"/>
  <c r="CI61" i="96"/>
  <c r="BS61" i="96" s="1"/>
  <c r="ED61" i="96" s="1"/>
  <c r="FQ60" i="96"/>
  <c r="C56" i="58" s="1"/>
  <c r="FL61" i="96"/>
  <c r="EM62" i="96" s="1"/>
  <c r="T61" i="96"/>
  <c r="AB61" i="96" s="1"/>
  <c r="CB61" i="96" s="1"/>
  <c r="V55" i="96"/>
  <c r="EO55" i="96" s="1"/>
  <c r="AD56" i="96"/>
  <c r="W55" i="96"/>
  <c r="EP55" i="96" s="1"/>
  <c r="AE56" i="96"/>
  <c r="AC57" i="96"/>
  <c r="U56" i="96"/>
  <c r="EN56" i="96" s="1"/>
  <c r="CI62" i="93"/>
  <c r="BS62" i="93" s="1"/>
  <c r="ED62" i="93" s="1"/>
  <c r="FQ61" i="93"/>
  <c r="B57" i="58" s="1"/>
  <c r="CJ62" i="93"/>
  <c r="CM62" i="93"/>
  <c r="BW62" i="93" s="1"/>
  <c r="EH62" i="93" s="1"/>
  <c r="EL60" i="93"/>
  <c r="CK62" i="93"/>
  <c r="R57" i="93"/>
  <c r="Z57" i="93" s="1"/>
  <c r="BZ57" i="93" s="1"/>
  <c r="FK57" i="93"/>
  <c r="EK58" i="93" s="1"/>
  <c r="BR56" i="93"/>
  <c r="EC56" i="93" s="1"/>
  <c r="FP56" i="93"/>
  <c r="T60" i="93"/>
  <c r="AB60" i="93" s="1"/>
  <c r="CB60" i="93" s="1"/>
  <c r="FL60" i="93"/>
  <c r="EM61" i="93" s="1"/>
  <c r="FR59" i="93"/>
  <c r="B55" i="63" s="1"/>
  <c r="BT59" i="93"/>
  <c r="EE59" i="93" s="1"/>
  <c r="BV61" i="93"/>
  <c r="CD61" i="93" s="1"/>
  <c r="FT61" i="93" s="1"/>
  <c r="FV61" i="93" s="1"/>
  <c r="FM62" i="93"/>
  <c r="EG63" i="93" s="1"/>
  <c r="FT60" i="93"/>
  <c r="B56" i="64" s="1"/>
  <c r="CL62" i="93"/>
  <c r="EN60" i="93"/>
  <c r="AH62" i="93"/>
  <c r="AJ64" i="93"/>
  <c r="FU62" i="93"/>
  <c r="B58" i="60" s="1"/>
  <c r="G47" i="83"/>
  <c r="S47" i="83" s="1"/>
  <c r="L55" i="83"/>
  <c r="D54" i="104" s="1"/>
  <c r="I56" i="83"/>
  <c r="P54" i="83"/>
  <c r="X53" i="83"/>
  <c r="W53" i="83"/>
  <c r="V59" i="83"/>
  <c r="L55" i="82"/>
  <c r="C54" i="104" s="1"/>
  <c r="V59" i="82"/>
  <c r="P53" i="82"/>
  <c r="X52" i="82"/>
  <c r="W52" i="82"/>
  <c r="N57" i="81"/>
  <c r="AP9" i="37"/>
  <c r="AF6" i="37"/>
  <c r="AF12" i="37" s="1"/>
  <c r="V57" i="93" l="1"/>
  <c r="EO57" i="93" s="1"/>
  <c r="AD58" i="93"/>
  <c r="B50" i="109"/>
  <c r="B51" i="56"/>
  <c r="B51" i="109" s="1"/>
  <c r="E51" i="110"/>
  <c r="FM60" i="96"/>
  <c r="EG61" i="96" s="1"/>
  <c r="BV60" i="96"/>
  <c r="C49" i="109"/>
  <c r="C50" i="56"/>
  <c r="F50" i="71" s="1"/>
  <c r="F50" i="110"/>
  <c r="G46" i="82"/>
  <c r="B45" i="71"/>
  <c r="S46" i="82"/>
  <c r="D47" i="82" s="1"/>
  <c r="C46" i="106" s="1"/>
  <c r="C45" i="107"/>
  <c r="I56" i="82"/>
  <c r="C54" i="102"/>
  <c r="G47" i="81"/>
  <c r="S47" i="81" s="1"/>
  <c r="B53" i="104"/>
  <c r="X54" i="81"/>
  <c r="W54" i="81"/>
  <c r="B54" i="102"/>
  <c r="L55" i="81"/>
  <c r="FS62" i="93"/>
  <c r="B58" i="59" s="1"/>
  <c r="BU62" i="93"/>
  <c r="EF62" i="93" s="1"/>
  <c r="AA63" i="93"/>
  <c r="S62" i="93"/>
  <c r="AC63" i="93"/>
  <c r="U62" i="93"/>
  <c r="AE62" i="93"/>
  <c r="W61" i="93"/>
  <c r="EP61" i="93" s="1"/>
  <c r="FV55" i="96"/>
  <c r="C51" i="62"/>
  <c r="FV56" i="93"/>
  <c r="B52" i="62"/>
  <c r="EF64" i="97"/>
  <c r="BU65" i="97"/>
  <c r="W56" i="97"/>
  <c r="EP56" i="97" s="1"/>
  <c r="AE57" i="97"/>
  <c r="BW64" i="97"/>
  <c r="EH63" i="97"/>
  <c r="FR60" i="97"/>
  <c r="BT60" i="97"/>
  <c r="EE60" i="97" s="1"/>
  <c r="R57" i="97"/>
  <c r="Z57" i="97" s="1"/>
  <c r="BZ57" i="97" s="1"/>
  <c r="FK57" i="97"/>
  <c r="EK58" i="97" s="1"/>
  <c r="CI62" i="97"/>
  <c r="CA61" i="97"/>
  <c r="FQ61" i="97" s="1"/>
  <c r="AA60" i="97"/>
  <c r="S59" i="97"/>
  <c r="EL59" i="97" s="1"/>
  <c r="FL61" i="97"/>
  <c r="EM62" i="97" s="1"/>
  <c r="T61" i="97"/>
  <c r="AB61" i="97" s="1"/>
  <c r="CB61" i="97" s="1"/>
  <c r="FP56" i="97"/>
  <c r="FV56" i="97" s="1"/>
  <c r="BR56" i="97"/>
  <c r="EC56" i="97" s="1"/>
  <c r="ED65" i="97"/>
  <c r="BS66" i="97"/>
  <c r="FM62" i="97"/>
  <c r="EG63" i="97" s="1"/>
  <c r="BV62" i="97"/>
  <c r="CM59" i="97"/>
  <c r="CE58" i="97"/>
  <c r="FU58" i="97" s="1"/>
  <c r="U57" i="97"/>
  <c r="EN57" i="97" s="1"/>
  <c r="AC58" i="97"/>
  <c r="AD57" i="97"/>
  <c r="V56" i="97"/>
  <c r="EO56" i="97" s="1"/>
  <c r="CK60" i="97"/>
  <c r="CC59" i="97"/>
  <c r="FS59" i="97" s="1"/>
  <c r="CL59" i="97"/>
  <c r="CD58" i="97"/>
  <c r="FT58" i="97" s="1"/>
  <c r="AC58" i="96"/>
  <c r="U57" i="96"/>
  <c r="EN57" i="96" s="1"/>
  <c r="FP56" i="96"/>
  <c r="BR56" i="96"/>
  <c r="EC56" i="96" s="1"/>
  <c r="AA60" i="96"/>
  <c r="S59" i="96"/>
  <c r="EL59" i="96" s="1"/>
  <c r="AD57" i="96"/>
  <c r="V56" i="96"/>
  <c r="EO56" i="96" s="1"/>
  <c r="CI62" i="96"/>
  <c r="BS62" i="96" s="1"/>
  <c r="ED62" i="96" s="1"/>
  <c r="FQ61" i="96"/>
  <c r="C57" i="58" s="1"/>
  <c r="CK60" i="96"/>
  <c r="BU60" i="96" s="1"/>
  <c r="EF60" i="96" s="1"/>
  <c r="FS59" i="96"/>
  <c r="C55" i="59" s="1"/>
  <c r="R57" i="96"/>
  <c r="Z57" i="96" s="1"/>
  <c r="BZ57" i="96" s="1"/>
  <c r="FK57" i="96"/>
  <c r="EK58" i="96" s="1"/>
  <c r="CM59" i="96"/>
  <c r="BW59" i="96" s="1"/>
  <c r="EH59" i="96" s="1"/>
  <c r="FU58" i="96"/>
  <c r="C54" i="60" s="1"/>
  <c r="BT61" i="96"/>
  <c r="EE61" i="96" s="1"/>
  <c r="FR61" i="96"/>
  <c r="C57" i="63" s="1"/>
  <c r="AE57" i="96"/>
  <c r="W56" i="96"/>
  <c r="EP56" i="96" s="1"/>
  <c r="FL62" i="96"/>
  <c r="EM63" i="96" s="1"/>
  <c r="T62" i="96"/>
  <c r="AB62" i="96" s="1"/>
  <c r="CB62" i="96" s="1"/>
  <c r="CL59" i="96"/>
  <c r="CD58" i="96"/>
  <c r="FT58" i="96" s="1"/>
  <c r="C54" i="64" s="1"/>
  <c r="CM63" i="93"/>
  <c r="CJ63" i="93"/>
  <c r="CK63" i="93"/>
  <c r="BU63" i="93" s="1"/>
  <c r="EF63" i="93" s="1"/>
  <c r="CI63" i="93"/>
  <c r="BS63" i="93" s="1"/>
  <c r="ED63" i="93" s="1"/>
  <c r="FQ62" i="93"/>
  <c r="B58" i="58" s="1"/>
  <c r="T61" i="93"/>
  <c r="AB61" i="93" s="1"/>
  <c r="CB61" i="93" s="1"/>
  <c r="FL61" i="93"/>
  <c r="EM62" i="93" s="1"/>
  <c r="BT60" i="93"/>
  <c r="EE60" i="93" s="1"/>
  <c r="FR60" i="93"/>
  <c r="B56" i="63" s="1"/>
  <c r="R58" i="93"/>
  <c r="Z58" i="93" s="1"/>
  <c r="BZ58" i="93" s="1"/>
  <c r="FK58" i="93"/>
  <c r="EK59" i="93" s="1"/>
  <c r="BR57" i="93"/>
  <c r="EC57" i="93" s="1"/>
  <c r="FP57" i="93"/>
  <c r="BV62" i="93"/>
  <c r="CD62" i="93" s="1"/>
  <c r="FM63" i="93"/>
  <c r="EG64" i="93" s="1"/>
  <c r="B57" i="64"/>
  <c r="EL61" i="93"/>
  <c r="AJ65" i="93"/>
  <c r="AH63" i="93"/>
  <c r="EN61" i="93"/>
  <c r="FS63" i="93"/>
  <c r="B59" i="59" s="1"/>
  <c r="CL63" i="93"/>
  <c r="B48" i="83"/>
  <c r="D48" i="83"/>
  <c r="T47" i="83"/>
  <c r="D46" i="42"/>
  <c r="D46" i="71" s="1"/>
  <c r="V60" i="83"/>
  <c r="I57" i="83"/>
  <c r="L56" i="83"/>
  <c r="D55" i="104" s="1"/>
  <c r="P55" i="83"/>
  <c r="W54" i="83"/>
  <c r="X54" i="83"/>
  <c r="P54" i="82"/>
  <c r="X53" i="82"/>
  <c r="W53" i="82"/>
  <c r="V60" i="82"/>
  <c r="L56" i="82"/>
  <c r="C55" i="104" s="1"/>
  <c r="N58" i="81"/>
  <c r="AG6" i="37"/>
  <c r="AG12" i="37" s="1"/>
  <c r="BD26" i="48"/>
  <c r="BE26" i="48"/>
  <c r="BB26" i="48"/>
  <c r="M10" i="54"/>
  <c r="K10" i="54"/>
  <c r="I10" i="54"/>
  <c r="G10" i="54"/>
  <c r="E10" i="54"/>
  <c r="C10" i="54"/>
  <c r="Q17" i="50"/>
  <c r="P17" i="50"/>
  <c r="O17" i="50"/>
  <c r="N17" i="50"/>
  <c r="M17" i="50"/>
  <c r="L17" i="50"/>
  <c r="K17" i="50"/>
  <c r="J17" i="50"/>
  <c r="I17" i="50"/>
  <c r="H17" i="50"/>
  <c r="G17" i="50"/>
  <c r="F17" i="50"/>
  <c r="E17" i="50"/>
  <c r="D17" i="50"/>
  <c r="C17" i="50"/>
  <c r="D17" i="52"/>
  <c r="E17" i="52"/>
  <c r="F17" i="52"/>
  <c r="G17" i="52"/>
  <c r="H17" i="52"/>
  <c r="I17" i="52"/>
  <c r="J17" i="52"/>
  <c r="K17" i="52"/>
  <c r="L17" i="52"/>
  <c r="M17" i="52"/>
  <c r="N17" i="52"/>
  <c r="O17" i="52"/>
  <c r="P17" i="52"/>
  <c r="Q17" i="52"/>
  <c r="C17" i="52"/>
  <c r="D35" i="52"/>
  <c r="E35" i="52"/>
  <c r="F35" i="52"/>
  <c r="G35" i="52"/>
  <c r="H35" i="52"/>
  <c r="I35" i="52"/>
  <c r="J35" i="52"/>
  <c r="K35" i="52"/>
  <c r="L35" i="52"/>
  <c r="M35" i="52"/>
  <c r="C35" i="52"/>
  <c r="D35" i="50"/>
  <c r="E35" i="50"/>
  <c r="F35" i="50"/>
  <c r="G35" i="50"/>
  <c r="H35" i="50"/>
  <c r="I35" i="50"/>
  <c r="J35" i="50"/>
  <c r="K35" i="50"/>
  <c r="L35" i="50"/>
  <c r="M35" i="50"/>
  <c r="C35" i="50"/>
  <c r="Q35" i="50"/>
  <c r="P35" i="50"/>
  <c r="O35" i="50"/>
  <c r="N35" i="50"/>
  <c r="Q26" i="52"/>
  <c r="P26" i="52"/>
  <c r="O26" i="52"/>
  <c r="N26" i="52"/>
  <c r="M26" i="52"/>
  <c r="L26" i="52"/>
  <c r="K26" i="52"/>
  <c r="I26" i="52"/>
  <c r="H26" i="52"/>
  <c r="G26" i="52"/>
  <c r="F26" i="52"/>
  <c r="E26" i="52"/>
  <c r="D26" i="52"/>
  <c r="C26" i="52"/>
  <c r="Q53" i="52"/>
  <c r="P53" i="52"/>
  <c r="O53" i="52"/>
  <c r="N53" i="52"/>
  <c r="M53" i="52"/>
  <c r="L53" i="52"/>
  <c r="K53" i="52"/>
  <c r="I53" i="52"/>
  <c r="H53" i="52"/>
  <c r="G53" i="52"/>
  <c r="F53" i="52"/>
  <c r="E53" i="52"/>
  <c r="D53" i="52"/>
  <c r="C53" i="52"/>
  <c r="Q44" i="52"/>
  <c r="P44" i="52"/>
  <c r="O44" i="52"/>
  <c r="N44" i="52"/>
  <c r="M44" i="52"/>
  <c r="L44" i="52"/>
  <c r="K44" i="52"/>
  <c r="I44" i="52"/>
  <c r="H44" i="52"/>
  <c r="G44" i="52"/>
  <c r="F44" i="52"/>
  <c r="E44" i="52"/>
  <c r="D44" i="52"/>
  <c r="C44" i="52"/>
  <c r="Q35" i="52"/>
  <c r="P35" i="52"/>
  <c r="O35" i="52"/>
  <c r="N35" i="52"/>
  <c r="Q8" i="52"/>
  <c r="P8" i="52"/>
  <c r="O8" i="52"/>
  <c r="N8" i="52"/>
  <c r="M8" i="52"/>
  <c r="L8" i="52"/>
  <c r="K8" i="52"/>
  <c r="I8" i="52"/>
  <c r="H8" i="52"/>
  <c r="G8" i="52"/>
  <c r="F8" i="52"/>
  <c r="E8" i="52"/>
  <c r="D8" i="52"/>
  <c r="C8" i="52"/>
  <c r="K5" i="49"/>
  <c r="J5" i="49"/>
  <c r="I5" i="49"/>
  <c r="AA10" i="26"/>
  <c r="AF6" i="49"/>
  <c r="AF7" i="49"/>
  <c r="AF8" i="49"/>
  <c r="AF9" i="49"/>
  <c r="AF10" i="49"/>
  <c r="AF11" i="49"/>
  <c r="AF12" i="49"/>
  <c r="AF13" i="49"/>
  <c r="AF14" i="49"/>
  <c r="AF15" i="49"/>
  <c r="AF16" i="49"/>
  <c r="AF17" i="49"/>
  <c r="AF18" i="49"/>
  <c r="AF19" i="49"/>
  <c r="AF20" i="49"/>
  <c r="AF21" i="49"/>
  <c r="AF22" i="49"/>
  <c r="AF23" i="49"/>
  <c r="AF24" i="49"/>
  <c r="AF25" i="49"/>
  <c r="AF26" i="49"/>
  <c r="AF27" i="49"/>
  <c r="AF28" i="49"/>
  <c r="AF29" i="49"/>
  <c r="AF30" i="49"/>
  <c r="AF31" i="49"/>
  <c r="AF32" i="49"/>
  <c r="AF33" i="49"/>
  <c r="AF34" i="49"/>
  <c r="AF35" i="49"/>
  <c r="AF36" i="49"/>
  <c r="AF37" i="49"/>
  <c r="AF38" i="49"/>
  <c r="AF39" i="49"/>
  <c r="AF40" i="49"/>
  <c r="AF41" i="49"/>
  <c r="AF42" i="49"/>
  <c r="AF43" i="49"/>
  <c r="AF44" i="49"/>
  <c r="AF5" i="49"/>
  <c r="T5" i="49"/>
  <c r="U5" i="49"/>
  <c r="T6" i="49"/>
  <c r="U6" i="49"/>
  <c r="T7" i="49"/>
  <c r="U7" i="49"/>
  <c r="T8" i="49"/>
  <c r="U8" i="49"/>
  <c r="T9" i="49"/>
  <c r="U9" i="49"/>
  <c r="T10" i="49"/>
  <c r="U10" i="49"/>
  <c r="T11" i="49"/>
  <c r="U11" i="49"/>
  <c r="T12" i="49"/>
  <c r="U12" i="49"/>
  <c r="T13" i="49"/>
  <c r="U13" i="49"/>
  <c r="T14" i="49"/>
  <c r="U14" i="49"/>
  <c r="T15" i="49"/>
  <c r="U15" i="49"/>
  <c r="T16" i="49"/>
  <c r="U16" i="49"/>
  <c r="T17" i="49"/>
  <c r="U17" i="49"/>
  <c r="T18" i="49"/>
  <c r="U18" i="49"/>
  <c r="T19" i="49"/>
  <c r="U19" i="49"/>
  <c r="T20" i="49"/>
  <c r="U20" i="49"/>
  <c r="T21" i="49"/>
  <c r="U21" i="49"/>
  <c r="T22" i="49"/>
  <c r="U22" i="49"/>
  <c r="T23" i="49"/>
  <c r="U23" i="49"/>
  <c r="T24" i="49"/>
  <c r="U24" i="49"/>
  <c r="T25" i="49"/>
  <c r="U25" i="49"/>
  <c r="T26" i="49"/>
  <c r="U26" i="49"/>
  <c r="T27" i="49"/>
  <c r="U27" i="49"/>
  <c r="T28" i="49"/>
  <c r="U28" i="49"/>
  <c r="T29" i="49"/>
  <c r="U29" i="49"/>
  <c r="T30" i="49"/>
  <c r="U30" i="49"/>
  <c r="T31" i="49"/>
  <c r="U31" i="49"/>
  <c r="T32" i="49"/>
  <c r="U32" i="49"/>
  <c r="T33" i="49"/>
  <c r="U33" i="49"/>
  <c r="T34" i="49"/>
  <c r="U34" i="49"/>
  <c r="T35" i="49"/>
  <c r="U35" i="49"/>
  <c r="T36" i="49"/>
  <c r="U36" i="49"/>
  <c r="T37" i="49"/>
  <c r="U37" i="49"/>
  <c r="T38" i="49"/>
  <c r="U38" i="49"/>
  <c r="T39" i="49"/>
  <c r="U39" i="49"/>
  <c r="T40" i="49"/>
  <c r="U40" i="49"/>
  <c r="T41" i="49"/>
  <c r="U41" i="49"/>
  <c r="T42" i="49"/>
  <c r="U42" i="49"/>
  <c r="T43" i="49"/>
  <c r="U43" i="49"/>
  <c r="T44" i="49"/>
  <c r="U44" i="49"/>
  <c r="O26" i="50"/>
  <c r="D26" i="50"/>
  <c r="E26" i="50"/>
  <c r="F26" i="50"/>
  <c r="G26" i="50"/>
  <c r="H26" i="50"/>
  <c r="I26" i="50"/>
  <c r="K26" i="50"/>
  <c r="L26" i="50"/>
  <c r="M26" i="50"/>
  <c r="N26" i="50"/>
  <c r="P26" i="50"/>
  <c r="Q26" i="50"/>
  <c r="Q53" i="50"/>
  <c r="P53" i="50"/>
  <c r="O53" i="50"/>
  <c r="N53" i="50"/>
  <c r="M53" i="50"/>
  <c r="L53" i="50"/>
  <c r="K53" i="50"/>
  <c r="I53" i="50"/>
  <c r="H53" i="50"/>
  <c r="G53" i="50"/>
  <c r="F53" i="50"/>
  <c r="E53" i="50"/>
  <c r="D53" i="50"/>
  <c r="C53" i="50"/>
  <c r="Q44" i="50"/>
  <c r="P44" i="50"/>
  <c r="O44" i="50"/>
  <c r="N44" i="50"/>
  <c r="M44" i="50"/>
  <c r="L44" i="50"/>
  <c r="K44" i="50"/>
  <c r="I44" i="50"/>
  <c r="H44" i="50"/>
  <c r="G44" i="50"/>
  <c r="F44" i="50"/>
  <c r="E44" i="50"/>
  <c r="D44" i="50"/>
  <c r="C44" i="50"/>
  <c r="C26" i="50"/>
  <c r="D8" i="50"/>
  <c r="E8" i="50"/>
  <c r="F8" i="50"/>
  <c r="G8" i="50"/>
  <c r="H8" i="50"/>
  <c r="I8" i="50"/>
  <c r="K8" i="50"/>
  <c r="L8" i="50"/>
  <c r="M8" i="50"/>
  <c r="N8" i="50"/>
  <c r="O8" i="50"/>
  <c r="P8" i="50"/>
  <c r="Q8" i="50"/>
  <c r="C8" i="50"/>
  <c r="W44" i="49"/>
  <c r="V44" i="49"/>
  <c r="W43" i="49"/>
  <c r="V43" i="49"/>
  <c r="W42" i="49"/>
  <c r="V42" i="49"/>
  <c r="W41" i="49"/>
  <c r="V41" i="49"/>
  <c r="W40" i="49"/>
  <c r="V40" i="49"/>
  <c r="W39" i="49"/>
  <c r="V39" i="49"/>
  <c r="W38" i="49"/>
  <c r="V38" i="49"/>
  <c r="W37" i="49"/>
  <c r="V37" i="49"/>
  <c r="W36" i="49"/>
  <c r="V36" i="49"/>
  <c r="W35" i="49"/>
  <c r="V35" i="49"/>
  <c r="W34" i="49"/>
  <c r="V34" i="49"/>
  <c r="W33" i="49"/>
  <c r="V33" i="49"/>
  <c r="W32" i="49"/>
  <c r="V32" i="49"/>
  <c r="W31" i="49"/>
  <c r="V31" i="49"/>
  <c r="W30" i="49"/>
  <c r="V30" i="49"/>
  <c r="W29" i="49"/>
  <c r="V29" i="49"/>
  <c r="W28" i="49"/>
  <c r="V28" i="49"/>
  <c r="W27" i="49"/>
  <c r="V27" i="49"/>
  <c r="W26" i="49"/>
  <c r="V26" i="49"/>
  <c r="W25" i="49"/>
  <c r="V25" i="49"/>
  <c r="W24" i="49"/>
  <c r="V24" i="49"/>
  <c r="W23" i="49"/>
  <c r="V23" i="49"/>
  <c r="W22" i="49"/>
  <c r="V22" i="49"/>
  <c r="W21" i="49"/>
  <c r="V21" i="49"/>
  <c r="W20" i="49"/>
  <c r="V20" i="49"/>
  <c r="W19" i="49"/>
  <c r="V19" i="49"/>
  <c r="W18" i="49"/>
  <c r="V18" i="49"/>
  <c r="W17" i="49"/>
  <c r="V17" i="49"/>
  <c r="W16" i="49"/>
  <c r="V16" i="49"/>
  <c r="W15" i="49"/>
  <c r="V15" i="49"/>
  <c r="W14" i="49"/>
  <c r="V14" i="49"/>
  <c r="W13" i="49"/>
  <c r="V13" i="49"/>
  <c r="W12" i="49"/>
  <c r="V12" i="49"/>
  <c r="W11" i="49"/>
  <c r="V11" i="49"/>
  <c r="W10" i="49"/>
  <c r="V10" i="49"/>
  <c r="W9" i="49"/>
  <c r="V9" i="49"/>
  <c r="W8" i="49"/>
  <c r="V8" i="49"/>
  <c r="W7" i="49"/>
  <c r="V7" i="49"/>
  <c r="W6" i="49"/>
  <c r="V6" i="49"/>
  <c r="W5" i="49"/>
  <c r="V5" i="49"/>
  <c r="I6" i="49"/>
  <c r="J6" i="49"/>
  <c r="K6" i="49"/>
  <c r="L6" i="49"/>
  <c r="I7" i="49"/>
  <c r="J7" i="49"/>
  <c r="K7" i="49"/>
  <c r="L7" i="49"/>
  <c r="I8" i="49"/>
  <c r="J8" i="49"/>
  <c r="K8" i="49"/>
  <c r="L8" i="49"/>
  <c r="I9" i="49"/>
  <c r="J9" i="49"/>
  <c r="K9" i="49"/>
  <c r="L9" i="49"/>
  <c r="I10" i="49"/>
  <c r="J10" i="49"/>
  <c r="K10" i="49"/>
  <c r="L10" i="49"/>
  <c r="I11" i="49"/>
  <c r="J11" i="49"/>
  <c r="K11" i="49"/>
  <c r="L11" i="49"/>
  <c r="I12" i="49"/>
  <c r="J12" i="49"/>
  <c r="K12" i="49"/>
  <c r="L12" i="49"/>
  <c r="I13" i="49"/>
  <c r="J13" i="49"/>
  <c r="K13" i="49"/>
  <c r="L13" i="49"/>
  <c r="I14" i="49"/>
  <c r="J14" i="49"/>
  <c r="K14" i="49"/>
  <c r="L14" i="49"/>
  <c r="I15" i="49"/>
  <c r="J15" i="49"/>
  <c r="K15" i="49"/>
  <c r="L15" i="49"/>
  <c r="I16" i="49"/>
  <c r="J16" i="49"/>
  <c r="K16" i="49"/>
  <c r="L16" i="49"/>
  <c r="I17" i="49"/>
  <c r="J17" i="49"/>
  <c r="K17" i="49"/>
  <c r="L17" i="49"/>
  <c r="I18" i="49"/>
  <c r="J18" i="49"/>
  <c r="K18" i="49"/>
  <c r="L18" i="49"/>
  <c r="I19" i="49"/>
  <c r="J19" i="49"/>
  <c r="K19" i="49"/>
  <c r="L19" i="49"/>
  <c r="I20" i="49"/>
  <c r="J20" i="49"/>
  <c r="K20" i="49"/>
  <c r="L20" i="49"/>
  <c r="I21" i="49"/>
  <c r="J21" i="49"/>
  <c r="K21" i="49"/>
  <c r="L21" i="49"/>
  <c r="I22" i="49"/>
  <c r="J22" i="49"/>
  <c r="K22" i="49"/>
  <c r="L22" i="49"/>
  <c r="I23" i="49"/>
  <c r="J23" i="49"/>
  <c r="K23" i="49"/>
  <c r="L23" i="49"/>
  <c r="I24" i="49"/>
  <c r="J24" i="49"/>
  <c r="K24" i="49"/>
  <c r="L24" i="49"/>
  <c r="I25" i="49"/>
  <c r="J25" i="49"/>
  <c r="K25" i="49"/>
  <c r="L25" i="49"/>
  <c r="I26" i="49"/>
  <c r="J26" i="49"/>
  <c r="K26" i="49"/>
  <c r="L26" i="49"/>
  <c r="I27" i="49"/>
  <c r="J27" i="49"/>
  <c r="K27" i="49"/>
  <c r="L27" i="49"/>
  <c r="I28" i="49"/>
  <c r="J28" i="49"/>
  <c r="K28" i="49"/>
  <c r="L28" i="49"/>
  <c r="I29" i="49"/>
  <c r="J29" i="49"/>
  <c r="K29" i="49"/>
  <c r="L29" i="49"/>
  <c r="I30" i="49"/>
  <c r="J30" i="49"/>
  <c r="K30" i="49"/>
  <c r="L30" i="49"/>
  <c r="I31" i="49"/>
  <c r="J31" i="49"/>
  <c r="K31" i="49"/>
  <c r="L31" i="49"/>
  <c r="I32" i="49"/>
  <c r="J32" i="49"/>
  <c r="K32" i="49"/>
  <c r="L32" i="49"/>
  <c r="I33" i="49"/>
  <c r="J33" i="49"/>
  <c r="K33" i="49"/>
  <c r="L33" i="49"/>
  <c r="I34" i="49"/>
  <c r="J34" i="49"/>
  <c r="K34" i="49"/>
  <c r="L34" i="49"/>
  <c r="I35" i="49"/>
  <c r="J35" i="49"/>
  <c r="K35" i="49"/>
  <c r="L35" i="49"/>
  <c r="I36" i="49"/>
  <c r="J36" i="49"/>
  <c r="K36" i="49"/>
  <c r="L36" i="49"/>
  <c r="I37" i="49"/>
  <c r="J37" i="49"/>
  <c r="K37" i="49"/>
  <c r="L37" i="49"/>
  <c r="I38" i="49"/>
  <c r="J38" i="49"/>
  <c r="K38" i="49"/>
  <c r="L38" i="49"/>
  <c r="I39" i="49"/>
  <c r="J39" i="49"/>
  <c r="K39" i="49"/>
  <c r="L39" i="49"/>
  <c r="I40" i="49"/>
  <c r="J40" i="49"/>
  <c r="K40" i="49"/>
  <c r="L40" i="49"/>
  <c r="I41" i="49"/>
  <c r="J41" i="49"/>
  <c r="K41" i="49"/>
  <c r="L41" i="49"/>
  <c r="I42" i="49"/>
  <c r="J42" i="49"/>
  <c r="K42" i="49"/>
  <c r="L42" i="49"/>
  <c r="I43" i="49"/>
  <c r="J43" i="49"/>
  <c r="K43" i="49"/>
  <c r="L43" i="49"/>
  <c r="I44" i="49"/>
  <c r="J44" i="49"/>
  <c r="K44" i="49"/>
  <c r="L44" i="49"/>
  <c r="L5" i="49"/>
  <c r="V58" i="93" l="1"/>
  <c r="EO58" i="93" s="1"/>
  <c r="AD59" i="93"/>
  <c r="E51" i="71"/>
  <c r="B52" i="56"/>
  <c r="B52" i="109" s="1"/>
  <c r="E52" i="110"/>
  <c r="FM61" i="96"/>
  <c r="EG62" i="96" s="1"/>
  <c r="BV61" i="96"/>
  <c r="C50" i="109"/>
  <c r="C51" i="56"/>
  <c r="F51" i="71" s="1"/>
  <c r="F51" i="110"/>
  <c r="C45" i="42"/>
  <c r="C45" i="108" s="1"/>
  <c r="B47" i="82"/>
  <c r="G47" i="82" s="1"/>
  <c r="D48" i="81"/>
  <c r="H10" i="40" s="1"/>
  <c r="T46" i="82"/>
  <c r="B46" i="107"/>
  <c r="C45" i="71"/>
  <c r="I57" i="82"/>
  <c r="C55" i="102"/>
  <c r="T47" i="81"/>
  <c r="B54" i="104"/>
  <c r="X55" i="81"/>
  <c r="W55" i="81"/>
  <c r="B55" i="102"/>
  <c r="L56" i="81"/>
  <c r="B48" i="81"/>
  <c r="B47" i="105" s="1"/>
  <c r="B46" i="42"/>
  <c r="D46" i="108"/>
  <c r="G48" i="83"/>
  <c r="S48" i="83" s="1"/>
  <c r="D47" i="42" s="1"/>
  <c r="D47" i="71" s="1"/>
  <c r="FU63" i="93"/>
  <c r="B59" i="60" s="1"/>
  <c r="BW63" i="93"/>
  <c r="EH63" i="93" s="1"/>
  <c r="AC64" i="93"/>
  <c r="U63" i="93"/>
  <c r="AA64" i="93"/>
  <c r="S63" i="93"/>
  <c r="AE63" i="93"/>
  <c r="W62" i="93"/>
  <c r="FV56" i="96"/>
  <c r="C52" i="62"/>
  <c r="FV57" i="93"/>
  <c r="B53" i="62"/>
  <c r="U58" i="97"/>
  <c r="EN58" i="97" s="1"/>
  <c r="AC59" i="97"/>
  <c r="BW65" i="97"/>
  <c r="EH64" i="97"/>
  <c r="AA61" i="97"/>
  <c r="S60" i="97"/>
  <c r="EL60" i="97" s="1"/>
  <c r="CI63" i="97"/>
  <c r="CA62" i="97"/>
  <c r="FQ62" i="97" s="1"/>
  <c r="AE58" i="97"/>
  <c r="W57" i="97"/>
  <c r="EP57" i="97" s="1"/>
  <c r="ED66" i="97"/>
  <c r="R58" i="97"/>
  <c r="Z58" i="97" s="1"/>
  <c r="BZ58" i="97" s="1"/>
  <c r="FK58" i="97"/>
  <c r="EK59" i="97" s="1"/>
  <c r="AD58" i="97"/>
  <c r="V57" i="97"/>
  <c r="EO57" i="97" s="1"/>
  <c r="CL60" i="97"/>
  <c r="CD59" i="97"/>
  <c r="FT59" i="97" s="1"/>
  <c r="BR57" i="97"/>
  <c r="EC57" i="97" s="1"/>
  <c r="FP57" i="97"/>
  <c r="FV57" i="97" s="1"/>
  <c r="BU66" i="97"/>
  <c r="EF65" i="97"/>
  <c r="CM60" i="97"/>
  <c r="CE59" i="97"/>
  <c r="FU59" i="97" s="1"/>
  <c r="FR61" i="97"/>
  <c r="BT61" i="97"/>
  <c r="EE61" i="97" s="1"/>
  <c r="FM63" i="97"/>
  <c r="EG64" i="97" s="1"/>
  <c r="BV63" i="97"/>
  <c r="CK61" i="97"/>
  <c r="CC60" i="97"/>
  <c r="FS60" i="97" s="1"/>
  <c r="FL62" i="97"/>
  <c r="EM63" i="97" s="1"/>
  <c r="T62" i="97"/>
  <c r="AB62" i="97" s="1"/>
  <c r="CB62" i="97" s="1"/>
  <c r="CK61" i="96"/>
  <c r="BU61" i="96" s="1"/>
  <c r="EF61" i="96" s="1"/>
  <c r="FS60" i="96"/>
  <c r="C56" i="59" s="1"/>
  <c r="CM60" i="96"/>
  <c r="BW60" i="96" s="1"/>
  <c r="EH60" i="96" s="1"/>
  <c r="FU59" i="96"/>
  <c r="C55" i="60" s="1"/>
  <c r="FR62" i="96"/>
  <c r="C58" i="63" s="1"/>
  <c r="BT62" i="96"/>
  <c r="EE62" i="96" s="1"/>
  <c r="AA61" i="96"/>
  <c r="S60" i="96"/>
  <c r="EL60" i="96" s="1"/>
  <c r="AD58" i="96"/>
  <c r="V57" i="96"/>
  <c r="EO57" i="96" s="1"/>
  <c r="R58" i="96"/>
  <c r="Z58" i="96" s="1"/>
  <c r="BZ58" i="96" s="1"/>
  <c r="FK58" i="96"/>
  <c r="EK59" i="96" s="1"/>
  <c r="CL60" i="96"/>
  <c r="CD59" i="96"/>
  <c r="FT59" i="96" s="1"/>
  <c r="C55" i="64" s="1"/>
  <c r="FP57" i="96"/>
  <c r="BR57" i="96"/>
  <c r="EC57" i="96" s="1"/>
  <c r="FL63" i="96"/>
  <c r="EM64" i="96" s="1"/>
  <c r="T63" i="96"/>
  <c r="AB63" i="96" s="1"/>
  <c r="CB63" i="96" s="1"/>
  <c r="AE58" i="96"/>
  <c r="W57" i="96"/>
  <c r="EP57" i="96" s="1"/>
  <c r="CI63" i="96"/>
  <c r="BS63" i="96" s="1"/>
  <c r="ED63" i="96" s="1"/>
  <c r="FQ62" i="96"/>
  <c r="C58" i="58" s="1"/>
  <c r="AC59" i="96"/>
  <c r="U58" i="96"/>
  <c r="EN58" i="96" s="1"/>
  <c r="CI64" i="93"/>
  <c r="BS64" i="93" s="1"/>
  <c r="ED64" i="93" s="1"/>
  <c r="FQ63" i="93"/>
  <c r="B59" i="58" s="1"/>
  <c r="CK64" i="93"/>
  <c r="CJ64" i="93"/>
  <c r="CM64" i="93"/>
  <c r="BW64" i="93" s="1"/>
  <c r="EH64" i="93" s="1"/>
  <c r="R59" i="93"/>
  <c r="Z59" i="93" s="1"/>
  <c r="BZ59" i="93" s="1"/>
  <c r="FK59" i="93"/>
  <c r="EK60" i="93" s="1"/>
  <c r="BR58" i="93"/>
  <c r="EC58" i="93" s="1"/>
  <c r="FP58" i="93"/>
  <c r="T62" i="93"/>
  <c r="AB62" i="93" s="1"/>
  <c r="CB62" i="93" s="1"/>
  <c r="FL62" i="93"/>
  <c r="EM63" i="93" s="1"/>
  <c r="BT61" i="93"/>
  <c r="EE61" i="93" s="1"/>
  <c r="FR61" i="93"/>
  <c r="B57" i="63" s="1"/>
  <c r="BV63" i="93"/>
  <c r="CD63" i="93" s="1"/>
  <c r="FM64" i="93"/>
  <c r="EG65" i="93" s="1"/>
  <c r="FT62" i="93"/>
  <c r="B58" i="64" s="1"/>
  <c r="AH64" i="93"/>
  <c r="EP62" i="93"/>
  <c r="AJ66" i="93"/>
  <c r="CL64" i="93"/>
  <c r="EL62" i="93"/>
  <c r="EN62" i="93"/>
  <c r="J28" i="40"/>
  <c r="J29" i="40" s="1"/>
  <c r="P56" i="83"/>
  <c r="X55" i="83"/>
  <c r="W55" i="83"/>
  <c r="I58" i="83"/>
  <c r="L57" i="83"/>
  <c r="D56" i="104" s="1"/>
  <c r="V61" i="83"/>
  <c r="V61" i="82"/>
  <c r="L57" i="82"/>
  <c r="C56" i="104" s="1"/>
  <c r="P55" i="82"/>
  <c r="X54" i="82"/>
  <c r="W54" i="82"/>
  <c r="N59" i="81"/>
  <c r="AH6" i="37"/>
  <c r="AH12" i="37" s="1"/>
  <c r="E52" i="71" l="1"/>
  <c r="V59" i="93"/>
  <c r="EO59" i="93" s="1"/>
  <c r="AD60" i="93"/>
  <c r="B53" i="56"/>
  <c r="B53" i="109" s="1"/>
  <c r="E53" i="110"/>
  <c r="FM62" i="96"/>
  <c r="EG63" i="96" s="1"/>
  <c r="BV62" i="96"/>
  <c r="C51" i="109"/>
  <c r="C52" i="56"/>
  <c r="F52" i="71" s="1"/>
  <c r="F52" i="110"/>
  <c r="C46" i="105"/>
  <c r="B47" i="106"/>
  <c r="S47" i="82"/>
  <c r="C46" i="107"/>
  <c r="I58" i="82"/>
  <c r="C56" i="102"/>
  <c r="B55" i="104"/>
  <c r="W56" i="81"/>
  <c r="X56" i="81"/>
  <c r="B56" i="102"/>
  <c r="L57" i="81"/>
  <c r="W57" i="81" s="1"/>
  <c r="G48" i="81"/>
  <c r="B47" i="107" s="1"/>
  <c r="B46" i="71"/>
  <c r="B46" i="108"/>
  <c r="H6" i="40"/>
  <c r="H16" i="40" s="1"/>
  <c r="D47" i="108"/>
  <c r="D49" i="83"/>
  <c r="B49" i="83"/>
  <c r="T48" i="83"/>
  <c r="FS64" i="93"/>
  <c r="B60" i="59" s="1"/>
  <c r="BU64" i="93"/>
  <c r="EF64" i="93" s="1"/>
  <c r="AA65" i="93"/>
  <c r="S64" i="93"/>
  <c r="AC65" i="93"/>
  <c r="U64" i="93"/>
  <c r="AE64" i="93"/>
  <c r="W63" i="93"/>
  <c r="EP63" i="93" s="1"/>
  <c r="FV57" i="96"/>
  <c r="C53" i="62"/>
  <c r="FV58" i="93"/>
  <c r="B54" i="62"/>
  <c r="CK62" i="97"/>
  <c r="CC61" i="97"/>
  <c r="FS61" i="97" s="1"/>
  <c r="R59" i="97"/>
  <c r="Z59" i="97" s="1"/>
  <c r="BZ59" i="97" s="1"/>
  <c r="FK59" i="97"/>
  <c r="EK60" i="97" s="1"/>
  <c r="EF66" i="97"/>
  <c r="BR58" i="97"/>
  <c r="EC58" i="97" s="1"/>
  <c r="FP58" i="97"/>
  <c r="FV58" i="97" s="1"/>
  <c r="AA62" i="97"/>
  <c r="S61" i="97"/>
  <c r="EL61" i="97" s="1"/>
  <c r="V58" i="97"/>
  <c r="EO58" i="97" s="1"/>
  <c r="AD59" i="97"/>
  <c r="FM64" i="97"/>
  <c r="EG65" i="97" s="1"/>
  <c r="BV64" i="97"/>
  <c r="CM61" i="97"/>
  <c r="CE60" i="97"/>
  <c r="FU60" i="97" s="1"/>
  <c r="CI64" i="97"/>
  <c r="CA63" i="97"/>
  <c r="FQ63" i="97" s="1"/>
  <c r="BT62" i="97"/>
  <c r="EE62" i="97" s="1"/>
  <c r="FR62" i="97"/>
  <c r="BW66" i="97"/>
  <c r="EH65" i="97"/>
  <c r="FL63" i="97"/>
  <c r="EM64" i="97" s="1"/>
  <c r="T63" i="97"/>
  <c r="AB63" i="97" s="1"/>
  <c r="CB63" i="97" s="1"/>
  <c r="CL61" i="97"/>
  <c r="CD60" i="97"/>
  <c r="FT60" i="97" s="1"/>
  <c r="W58" i="97"/>
  <c r="EP58" i="97" s="1"/>
  <c r="AE59" i="97"/>
  <c r="AC60" i="97"/>
  <c r="U59" i="97"/>
  <c r="EN59" i="97" s="1"/>
  <c r="U59" i="96"/>
  <c r="EN59" i="96" s="1"/>
  <c r="AC60" i="96"/>
  <c r="CM61" i="96"/>
  <c r="BW61" i="96" s="1"/>
  <c r="EH61" i="96" s="1"/>
  <c r="FU60" i="96"/>
  <c r="C56" i="60" s="1"/>
  <c r="W58" i="96"/>
  <c r="EP58" i="96" s="1"/>
  <c r="AE59" i="96"/>
  <c r="BT63" i="96"/>
  <c r="EE63" i="96" s="1"/>
  <c r="FR63" i="96"/>
  <c r="C59" i="63" s="1"/>
  <c r="R59" i="96"/>
  <c r="Z59" i="96" s="1"/>
  <c r="BZ59" i="96" s="1"/>
  <c r="FK59" i="96"/>
  <c r="EK60" i="96" s="1"/>
  <c r="FL64" i="96"/>
  <c r="EM65" i="96" s="1"/>
  <c r="T64" i="96"/>
  <c r="AB64" i="96" s="1"/>
  <c r="CB64" i="96" s="1"/>
  <c r="CL61" i="96"/>
  <c r="CD60" i="96"/>
  <c r="FT60" i="96" s="1"/>
  <c r="C56" i="64" s="1"/>
  <c r="BR58" i="96"/>
  <c r="EC58" i="96" s="1"/>
  <c r="FP58" i="96"/>
  <c r="AD59" i="96"/>
  <c r="V58" i="96"/>
  <c r="EO58" i="96" s="1"/>
  <c r="CI64" i="96"/>
  <c r="BS64" i="96" s="1"/>
  <c r="ED64" i="96" s="1"/>
  <c r="FQ63" i="96"/>
  <c r="C59" i="58" s="1"/>
  <c r="AA62" i="96"/>
  <c r="S61" i="96"/>
  <c r="EL61" i="96" s="1"/>
  <c r="CK62" i="96"/>
  <c r="BU62" i="96" s="1"/>
  <c r="EF62" i="96" s="1"/>
  <c r="FS61" i="96"/>
  <c r="C57" i="59" s="1"/>
  <c r="CM65" i="93"/>
  <c r="BW65" i="93" s="1"/>
  <c r="EH65" i="93" s="1"/>
  <c r="CJ65" i="93"/>
  <c r="FU64" i="93"/>
  <c r="B60" i="60" s="1"/>
  <c r="CK65" i="93"/>
  <c r="CI65" i="93"/>
  <c r="BS65" i="93" s="1"/>
  <c r="ED65" i="93" s="1"/>
  <c r="FQ64" i="93"/>
  <c r="B60" i="58" s="1"/>
  <c r="T63" i="93"/>
  <c r="AB63" i="93" s="1"/>
  <c r="CB63" i="93" s="1"/>
  <c r="FL63" i="93"/>
  <c r="EM64" i="93" s="1"/>
  <c r="FR62" i="93"/>
  <c r="B58" i="63" s="1"/>
  <c r="BT62" i="93"/>
  <c r="EE62" i="93" s="1"/>
  <c r="R60" i="93"/>
  <c r="Z60" i="93" s="1"/>
  <c r="BZ60" i="93" s="1"/>
  <c r="FK60" i="93"/>
  <c r="EK61" i="93" s="1"/>
  <c r="FP59" i="93"/>
  <c r="BR59" i="93"/>
  <c r="EC59" i="93" s="1"/>
  <c r="BV64" i="93"/>
  <c r="CD64" i="93" s="1"/>
  <c r="FM65" i="93"/>
  <c r="EG66" i="93" s="1"/>
  <c r="FT63" i="93"/>
  <c r="B59" i="64" s="1"/>
  <c r="FU65" i="93"/>
  <c r="B61" i="60" s="1"/>
  <c r="CL65" i="93"/>
  <c r="EN63" i="93"/>
  <c r="EL63" i="93"/>
  <c r="AH65" i="93"/>
  <c r="V62" i="83"/>
  <c r="L58" i="83"/>
  <c r="D57" i="104" s="1"/>
  <c r="I59" i="83"/>
  <c r="P57" i="83"/>
  <c r="W56" i="83"/>
  <c r="X56" i="83"/>
  <c r="V62" i="82"/>
  <c r="P56" i="82"/>
  <c r="W55" i="82"/>
  <c r="X55" i="82"/>
  <c r="L58" i="82"/>
  <c r="C57" i="104" s="1"/>
  <c r="N60" i="81"/>
  <c r="AI6" i="37"/>
  <c r="AI12" i="37" s="1"/>
  <c r="AA11" i="26"/>
  <c r="AA12" i="26"/>
  <c r="AA13" i="26"/>
  <c r="AA14" i="26"/>
  <c r="AA15" i="26"/>
  <c r="AA16" i="26"/>
  <c r="AA17" i="26"/>
  <c r="AA18" i="26"/>
  <c r="AA19" i="26"/>
  <c r="AA20" i="26"/>
  <c r="AA21" i="26"/>
  <c r="AA22" i="26"/>
  <c r="AA23" i="26"/>
  <c r="AA24" i="26"/>
  <c r="AA25" i="26"/>
  <c r="AA26" i="26"/>
  <c r="AA27" i="26"/>
  <c r="AA28" i="26"/>
  <c r="AA29" i="26"/>
  <c r="AA30" i="26"/>
  <c r="AA31" i="26"/>
  <c r="AA32" i="26"/>
  <c r="AA33" i="26"/>
  <c r="AA34" i="26"/>
  <c r="AA35" i="26"/>
  <c r="AA36" i="26"/>
  <c r="AA37" i="26"/>
  <c r="AA38" i="26"/>
  <c r="AA39" i="26"/>
  <c r="AA40" i="26"/>
  <c r="AA41" i="26"/>
  <c r="AA42" i="26"/>
  <c r="AA43" i="26"/>
  <c r="AA44" i="26"/>
  <c r="AA45" i="26"/>
  <c r="AA46" i="26"/>
  <c r="AA47" i="26"/>
  <c r="AA48" i="26"/>
  <c r="AA49" i="26"/>
  <c r="AA50" i="26"/>
  <c r="AA51" i="26"/>
  <c r="AA52" i="26"/>
  <c r="AA53" i="26"/>
  <c r="AA54" i="26"/>
  <c r="AA55" i="26"/>
  <c r="AA56" i="26"/>
  <c r="AA57" i="26"/>
  <c r="AA58" i="26"/>
  <c r="AA59" i="26"/>
  <c r="AA60" i="26"/>
  <c r="AA61" i="26"/>
  <c r="AA62" i="26"/>
  <c r="AA63" i="26"/>
  <c r="AA64" i="26"/>
  <c r="T55" i="26"/>
  <c r="V15" i="38"/>
  <c r="D15" i="38"/>
  <c r="V60" i="93" l="1"/>
  <c r="EO60" i="93" s="1"/>
  <c r="AD61" i="93"/>
  <c r="E53" i="71"/>
  <c r="B54" i="56"/>
  <c r="E54" i="71" s="1"/>
  <c r="E54" i="110"/>
  <c r="FM63" i="96"/>
  <c r="EG64" i="96" s="1"/>
  <c r="BV63" i="96"/>
  <c r="C52" i="109"/>
  <c r="C53" i="56"/>
  <c r="F53" i="71" s="1"/>
  <c r="F53" i="110"/>
  <c r="G49" i="83"/>
  <c r="S49" i="83" s="1"/>
  <c r="D48" i="42" s="1"/>
  <c r="D48" i="71" s="1"/>
  <c r="I59" i="82"/>
  <c r="C57" i="102"/>
  <c r="T47" i="82"/>
  <c r="D48" i="82"/>
  <c r="B48" i="82"/>
  <c r="C46" i="42"/>
  <c r="S48" i="81"/>
  <c r="B56" i="104"/>
  <c r="X57" i="81"/>
  <c r="B57" i="102"/>
  <c r="I59" i="81"/>
  <c r="J19" i="40"/>
  <c r="J24" i="40" s="1"/>
  <c r="L58" i="81"/>
  <c r="FS65" i="93"/>
  <c r="B61" i="59" s="1"/>
  <c r="BU65" i="93"/>
  <c r="EF65" i="93" s="1"/>
  <c r="AA66" i="93"/>
  <c r="S66" i="93" s="1"/>
  <c r="S65" i="93"/>
  <c r="AC66" i="93"/>
  <c r="U66" i="93" s="1"/>
  <c r="U65" i="93"/>
  <c r="AE65" i="93"/>
  <c r="W64" i="93"/>
  <c r="EP64" i="93" s="1"/>
  <c r="FV58" i="96"/>
  <c r="C54" i="62"/>
  <c r="FV59" i="93"/>
  <c r="B55" i="62"/>
  <c r="FL64" i="97"/>
  <c r="EM65" i="97" s="1"/>
  <c r="T64" i="97"/>
  <c r="AB64" i="97" s="1"/>
  <c r="CB64" i="97" s="1"/>
  <c r="AC61" i="97"/>
  <c r="U60" i="97"/>
  <c r="EN60" i="97" s="1"/>
  <c r="CK63" i="97"/>
  <c r="CC62" i="97"/>
  <c r="FS62" i="97" s="1"/>
  <c r="CM62" i="97"/>
  <c r="CE61" i="97"/>
  <c r="FU61" i="97" s="1"/>
  <c r="AE60" i="97"/>
  <c r="W59" i="97"/>
  <c r="EP59" i="97" s="1"/>
  <c r="EH66" i="97"/>
  <c r="BV65" i="97"/>
  <c r="FM65" i="97"/>
  <c r="EG66" i="97" s="1"/>
  <c r="AD60" i="97"/>
  <c r="V59" i="97"/>
  <c r="EO59" i="97" s="1"/>
  <c r="R60" i="97"/>
  <c r="Z60" i="97" s="1"/>
  <c r="BZ60" i="97" s="1"/>
  <c r="FK60" i="97"/>
  <c r="EK61" i="97" s="1"/>
  <c r="CL62" i="97"/>
  <c r="CD61" i="97"/>
  <c r="FT61" i="97" s="1"/>
  <c r="FP59" i="97"/>
  <c r="FV59" i="97" s="1"/>
  <c r="BR59" i="97"/>
  <c r="EC59" i="97" s="1"/>
  <c r="BT63" i="97"/>
  <c r="EE63" i="97" s="1"/>
  <c r="FR63" i="97"/>
  <c r="CI65" i="97"/>
  <c r="CA64" i="97"/>
  <c r="FQ64" i="97" s="1"/>
  <c r="AA63" i="97"/>
  <c r="S62" i="97"/>
  <c r="EL62" i="97" s="1"/>
  <c r="EL64" i="93"/>
  <c r="CM62" i="96"/>
  <c r="BW62" i="96" s="1"/>
  <c r="EH62" i="96" s="1"/>
  <c r="FU61" i="96"/>
  <c r="C57" i="60" s="1"/>
  <c r="R60" i="96"/>
  <c r="Z60" i="96" s="1"/>
  <c r="BZ60" i="96" s="1"/>
  <c r="FK60" i="96"/>
  <c r="EK61" i="96" s="1"/>
  <c r="AA63" i="96"/>
  <c r="S62" i="96"/>
  <c r="EL62" i="96" s="1"/>
  <c r="BR59" i="96"/>
  <c r="EC59" i="96" s="1"/>
  <c r="FP59" i="96"/>
  <c r="CL62" i="96"/>
  <c r="CD61" i="96"/>
  <c r="FT61" i="96" s="1"/>
  <c r="C57" i="64" s="1"/>
  <c r="CI65" i="96"/>
  <c r="BS65" i="96" s="1"/>
  <c r="ED65" i="96" s="1"/>
  <c r="FQ64" i="96"/>
  <c r="C60" i="58" s="1"/>
  <c r="AE60" i="96"/>
  <c r="W59" i="96"/>
  <c r="EP59" i="96" s="1"/>
  <c r="FR64" i="96"/>
  <c r="C60" i="63" s="1"/>
  <c r="BT64" i="96"/>
  <c r="EE64" i="96" s="1"/>
  <c r="FL65" i="96"/>
  <c r="EM66" i="96" s="1"/>
  <c r="T65" i="96"/>
  <c r="AB65" i="96" s="1"/>
  <c r="CB65" i="96" s="1"/>
  <c r="AD60" i="96"/>
  <c r="V59" i="96"/>
  <c r="EO59" i="96" s="1"/>
  <c r="AC61" i="96"/>
  <c r="U60" i="96"/>
  <c r="EN60" i="96" s="1"/>
  <c r="CK63" i="96"/>
  <c r="BU63" i="96" s="1"/>
  <c r="EF63" i="96" s="1"/>
  <c r="FS62" i="96"/>
  <c r="C58" i="59" s="1"/>
  <c r="CK66" i="93"/>
  <c r="BU66" i="93" s="1"/>
  <c r="EF66" i="93" s="1"/>
  <c r="CJ66" i="93"/>
  <c r="CM66" i="93"/>
  <c r="BW66" i="93" s="1"/>
  <c r="EH66" i="93" s="1"/>
  <c r="CI66" i="93"/>
  <c r="BS66" i="93" s="1"/>
  <c r="ED66" i="93" s="1"/>
  <c r="FQ65" i="93"/>
  <c r="B61" i="58" s="1"/>
  <c r="R61" i="93"/>
  <c r="Z61" i="93" s="1"/>
  <c r="BZ61" i="93" s="1"/>
  <c r="FK61" i="93"/>
  <c r="EK62" i="93" s="1"/>
  <c r="FP60" i="93"/>
  <c r="BR60" i="93"/>
  <c r="EC60" i="93" s="1"/>
  <c r="T64" i="93"/>
  <c r="AB64" i="93" s="1"/>
  <c r="CB64" i="93" s="1"/>
  <c r="FL64" i="93"/>
  <c r="EM65" i="93" s="1"/>
  <c r="BT63" i="93"/>
  <c r="EE63" i="93" s="1"/>
  <c r="FR63" i="93"/>
  <c r="B59" i="63" s="1"/>
  <c r="BV65" i="93"/>
  <c r="CD65" i="93" s="1"/>
  <c r="FM66" i="93"/>
  <c r="FT64" i="93"/>
  <c r="B60" i="64" s="1"/>
  <c r="EN64" i="93"/>
  <c r="FS66" i="93"/>
  <c r="B62" i="59" s="1"/>
  <c r="CL66" i="93"/>
  <c r="AH66" i="93"/>
  <c r="P58" i="83"/>
  <c r="X57" i="83"/>
  <c r="W57" i="83"/>
  <c r="L59" i="83"/>
  <c r="D58" i="104" s="1"/>
  <c r="I60" i="83"/>
  <c r="V63" i="83"/>
  <c r="P57" i="82"/>
  <c r="X56" i="82"/>
  <c r="W56" i="82"/>
  <c r="L59" i="82"/>
  <c r="C58" i="104" s="1"/>
  <c r="V63" i="82"/>
  <c r="N61" i="81"/>
  <c r="AJ6" i="37"/>
  <c r="AJ12" i="37" s="1"/>
  <c r="AH5" i="38"/>
  <c r="AI5" i="38" s="1"/>
  <c r="AJ5" i="38" s="1"/>
  <c r="AK5" i="38" s="1"/>
  <c r="AL5" i="38" s="1"/>
  <c r="AM5" i="38" s="1"/>
  <c r="AN5" i="38" s="1"/>
  <c r="AO5" i="38" s="1"/>
  <c r="AP5" i="38" s="1"/>
  <c r="AI13" i="38"/>
  <c r="AJ13" i="38" s="1"/>
  <c r="AK13" i="38" s="1"/>
  <c r="AL13" i="38" s="1"/>
  <c r="AM13" i="38" s="1"/>
  <c r="AN13" i="38" s="1"/>
  <c r="AO13" i="38" s="1"/>
  <c r="AP13" i="38" s="1"/>
  <c r="AH8" i="38"/>
  <c r="V61" i="93" l="1"/>
  <c r="EO61" i="93" s="1"/>
  <c r="AD62" i="93"/>
  <c r="B54" i="109"/>
  <c r="B55" i="56"/>
  <c r="B55" i="109" s="1"/>
  <c r="E55" i="110"/>
  <c r="FM64" i="96"/>
  <c r="EG65" i="96" s="1"/>
  <c r="BV64" i="96"/>
  <c r="C53" i="109"/>
  <c r="C54" i="56"/>
  <c r="F54" i="71" s="1"/>
  <c r="F54" i="110"/>
  <c r="B50" i="83"/>
  <c r="G50" i="83" s="1"/>
  <c r="S50" i="83" s="1"/>
  <c r="B51" i="83" s="1"/>
  <c r="D50" i="83"/>
  <c r="T49" i="83"/>
  <c r="H7" i="40"/>
  <c r="C47" i="105"/>
  <c r="G48" i="82"/>
  <c r="C46" i="108"/>
  <c r="C46" i="71"/>
  <c r="H11" i="40"/>
  <c r="C47" i="106"/>
  <c r="I60" i="82"/>
  <c r="C58" i="102"/>
  <c r="B49" i="81"/>
  <c r="D49" i="81"/>
  <c r="B48" i="106" s="1"/>
  <c r="B47" i="42"/>
  <c r="T48" i="81"/>
  <c r="B57" i="104"/>
  <c r="F57" i="104" s="1"/>
  <c r="W58" i="81"/>
  <c r="X58" i="81"/>
  <c r="B58" i="102"/>
  <c r="L59" i="81"/>
  <c r="I60" i="81"/>
  <c r="D48" i="108"/>
  <c r="AE66" i="93"/>
  <c r="W66" i="93" s="1"/>
  <c r="EP66" i="93" s="1"/>
  <c r="W65" i="93"/>
  <c r="EP65" i="93" s="1"/>
  <c r="FV59" i="96"/>
  <c r="C55" i="62"/>
  <c r="FV60" i="93"/>
  <c r="B56" i="62"/>
  <c r="FL65" i="97"/>
  <c r="EM66" i="97" s="1"/>
  <c r="T65" i="97"/>
  <c r="AB65" i="97" s="1"/>
  <c r="CB65" i="97" s="1"/>
  <c r="BV66" i="97"/>
  <c r="FM66" i="97"/>
  <c r="AD61" i="97"/>
  <c r="V60" i="97"/>
  <c r="EO60" i="97" s="1"/>
  <c r="CK64" i="97"/>
  <c r="CC63" i="97"/>
  <c r="FS63" i="97" s="1"/>
  <c r="CM63" i="97"/>
  <c r="CE62" i="97"/>
  <c r="FU62" i="97" s="1"/>
  <c r="CL63" i="97"/>
  <c r="CD62" i="97"/>
  <c r="FT62" i="97" s="1"/>
  <c r="R61" i="97"/>
  <c r="Z61" i="97" s="1"/>
  <c r="BZ61" i="97" s="1"/>
  <c r="FK61" i="97"/>
  <c r="EK62" i="97" s="1"/>
  <c r="AC62" i="97"/>
  <c r="U61" i="97"/>
  <c r="EN61" i="97" s="1"/>
  <c r="AA64" i="97"/>
  <c r="S63" i="97"/>
  <c r="EL63" i="97" s="1"/>
  <c r="CI66" i="97"/>
  <c r="CA66" i="97" s="1"/>
  <c r="FQ66" i="97" s="1"/>
  <c r="CA65" i="97"/>
  <c r="FQ65" i="97" s="1"/>
  <c r="BR60" i="97"/>
  <c r="EC60" i="97" s="1"/>
  <c r="FP60" i="97"/>
  <c r="FV60" i="97" s="1"/>
  <c r="AE61" i="97"/>
  <c r="W60" i="97"/>
  <c r="EP60" i="97" s="1"/>
  <c r="FR64" i="97"/>
  <c r="BT64" i="97"/>
  <c r="EE64" i="97" s="1"/>
  <c r="EL65" i="93"/>
  <c r="BT65" i="96"/>
  <c r="EE65" i="96" s="1"/>
  <c r="FR65" i="96"/>
  <c r="C61" i="63" s="1"/>
  <c r="FL66" i="96"/>
  <c r="T66" i="96"/>
  <c r="AB66" i="96" s="1"/>
  <c r="CB66" i="96" s="1"/>
  <c r="CI66" i="96"/>
  <c r="FQ65" i="96"/>
  <c r="C61" i="58" s="1"/>
  <c r="R61" i="96"/>
  <c r="Z61" i="96" s="1"/>
  <c r="BZ61" i="96" s="1"/>
  <c r="FK61" i="96"/>
  <c r="EK62" i="96" s="1"/>
  <c r="AA64" i="96"/>
  <c r="S63" i="96"/>
  <c r="EL63" i="96" s="1"/>
  <c r="CK64" i="96"/>
  <c r="BU64" i="96" s="1"/>
  <c r="EF64" i="96" s="1"/>
  <c r="FS63" i="96"/>
  <c r="C59" i="59" s="1"/>
  <c r="CL63" i="96"/>
  <c r="CD62" i="96"/>
  <c r="FT62" i="96" s="1"/>
  <c r="C58" i="64" s="1"/>
  <c r="BR60" i="96"/>
  <c r="EC60" i="96" s="1"/>
  <c r="FP60" i="96"/>
  <c r="AC62" i="96"/>
  <c r="U61" i="96"/>
  <c r="EN61" i="96" s="1"/>
  <c r="AD61" i="96"/>
  <c r="V60" i="96"/>
  <c r="EO60" i="96" s="1"/>
  <c r="AE61" i="96"/>
  <c r="W60" i="96"/>
  <c r="EP60" i="96" s="1"/>
  <c r="CM63" i="96"/>
  <c r="BW63" i="96" s="1"/>
  <c r="EH63" i="96" s="1"/>
  <c r="FU62" i="96"/>
  <c r="C58" i="60" s="1"/>
  <c r="FQ66" i="93"/>
  <c r="B62" i="58" s="1"/>
  <c r="FU66" i="93"/>
  <c r="B62" i="60" s="1"/>
  <c r="T65" i="93"/>
  <c r="AB65" i="93" s="1"/>
  <c r="CB65" i="93" s="1"/>
  <c r="FL65" i="93"/>
  <c r="EM66" i="93" s="1"/>
  <c r="BT64" i="93"/>
  <c r="EE64" i="93" s="1"/>
  <c r="FR64" i="93"/>
  <c r="B60" i="63" s="1"/>
  <c r="R62" i="93"/>
  <c r="Z62" i="93" s="1"/>
  <c r="BZ62" i="93" s="1"/>
  <c r="FK62" i="93"/>
  <c r="EK63" i="93" s="1"/>
  <c r="BR61" i="93"/>
  <c r="EC61" i="93" s="1"/>
  <c r="FP61" i="93"/>
  <c r="BV66" i="93"/>
  <c r="CD66" i="93" s="1"/>
  <c r="FT66" i="93" s="1"/>
  <c r="B62" i="64" s="1"/>
  <c r="FT65" i="93"/>
  <c r="B61" i="64" s="1"/>
  <c r="EN66" i="93"/>
  <c r="EN65" i="93"/>
  <c r="L60" i="83"/>
  <c r="D59" i="104" s="1"/>
  <c r="I61" i="83"/>
  <c r="P59" i="83"/>
  <c r="X58" i="83"/>
  <c r="W58" i="83"/>
  <c r="P58" i="82"/>
  <c r="X57" i="82"/>
  <c r="W57" i="82"/>
  <c r="N62" i="81"/>
  <c r="AK6" i="37"/>
  <c r="AK12" i="37" s="1"/>
  <c r="AI8" i="38"/>
  <c r="AJ8" i="38" s="1"/>
  <c r="AK8" i="38" s="1"/>
  <c r="AL8" i="38" s="1"/>
  <c r="AM8" i="38" s="1"/>
  <c r="AN8" i="38" s="1"/>
  <c r="AO8" i="38" s="1"/>
  <c r="AP8" i="38" s="1"/>
  <c r="AH9" i="38"/>
  <c r="AI9" i="38" s="1"/>
  <c r="C44" i="42"/>
  <c r="D44" i="42" s="1"/>
  <c r="E44" i="42" s="1"/>
  <c r="C43" i="42"/>
  <c r="D43" i="42" s="1"/>
  <c r="E43" i="42" s="1"/>
  <c r="DW45" i="28"/>
  <c r="DV45" i="28"/>
  <c r="DU45" i="28"/>
  <c r="DT45" i="28"/>
  <c r="DS45" i="28"/>
  <c r="DR45" i="28"/>
  <c r="DO45" i="28"/>
  <c r="DN45" i="28"/>
  <c r="DM45" i="28"/>
  <c r="DL45" i="28"/>
  <c r="DK45" i="28"/>
  <c r="DJ45" i="28"/>
  <c r="DW44" i="28"/>
  <c r="DV44" i="28"/>
  <c r="DU44" i="28"/>
  <c r="DT44" i="28"/>
  <c r="DS44" i="28"/>
  <c r="DR44" i="28"/>
  <c r="DO44" i="28"/>
  <c r="DN44" i="28"/>
  <c r="DM44" i="28"/>
  <c r="DL44" i="28"/>
  <c r="DK44" i="28"/>
  <c r="DJ44" i="28"/>
  <c r="DW43" i="28"/>
  <c r="DV43" i="28"/>
  <c r="DU43" i="28"/>
  <c r="DT43" i="28"/>
  <c r="DS43" i="28"/>
  <c r="DR43" i="28"/>
  <c r="DO43" i="28"/>
  <c r="DN43" i="28"/>
  <c r="DM43" i="28"/>
  <c r="DL43" i="28"/>
  <c r="DK43" i="28"/>
  <c r="DJ43" i="28"/>
  <c r="DW42" i="28"/>
  <c r="DV42" i="28"/>
  <c r="DU42" i="28"/>
  <c r="DT42" i="28"/>
  <c r="DS42" i="28"/>
  <c r="DR42" i="28"/>
  <c r="DO42" i="28"/>
  <c r="DN42" i="28"/>
  <c r="DM42" i="28"/>
  <c r="DL42" i="28"/>
  <c r="DK42" i="28"/>
  <c r="DJ42" i="28"/>
  <c r="DW41" i="28"/>
  <c r="DV41" i="28"/>
  <c r="DU41" i="28"/>
  <c r="DT41" i="28"/>
  <c r="DS41" i="28"/>
  <c r="DR41" i="28"/>
  <c r="DO41" i="28"/>
  <c r="DN41" i="28"/>
  <c r="DM41" i="28"/>
  <c r="DL41" i="28"/>
  <c r="DK41" i="28"/>
  <c r="DJ41" i="28"/>
  <c r="DW40" i="28"/>
  <c r="DV40" i="28"/>
  <c r="DU40" i="28"/>
  <c r="DT40" i="28"/>
  <c r="DS40" i="28"/>
  <c r="DR40" i="28"/>
  <c r="DO40" i="28"/>
  <c r="DN40" i="28"/>
  <c r="DM40" i="28"/>
  <c r="DL40" i="28"/>
  <c r="DK40" i="28"/>
  <c r="DJ40" i="28"/>
  <c r="DW39" i="28"/>
  <c r="DV39" i="28"/>
  <c r="DU39" i="28"/>
  <c r="DT39" i="28"/>
  <c r="DS39" i="28"/>
  <c r="DR39" i="28"/>
  <c r="DO39" i="28"/>
  <c r="DN39" i="28"/>
  <c r="DM39" i="28"/>
  <c r="DL39" i="28"/>
  <c r="DK39" i="28"/>
  <c r="DJ39" i="28"/>
  <c r="DW38" i="28"/>
  <c r="DV38" i="28"/>
  <c r="DU38" i="28"/>
  <c r="DT38" i="28"/>
  <c r="DS38" i="28"/>
  <c r="DR38" i="28"/>
  <c r="DO38" i="28"/>
  <c r="DN38" i="28"/>
  <c r="DM38" i="28"/>
  <c r="DL38" i="28"/>
  <c r="DK38" i="28"/>
  <c r="DJ38" i="28"/>
  <c r="DW37" i="28"/>
  <c r="DV37" i="28"/>
  <c r="DU37" i="28"/>
  <c r="DT37" i="28"/>
  <c r="DS37" i="28"/>
  <c r="DR37" i="28"/>
  <c r="DO37" i="28"/>
  <c r="DN37" i="28"/>
  <c r="DM37" i="28"/>
  <c r="DL37" i="28"/>
  <c r="DK37" i="28"/>
  <c r="DJ37" i="28"/>
  <c r="DW36" i="28"/>
  <c r="DV36" i="28"/>
  <c r="DU36" i="28"/>
  <c r="DT36" i="28"/>
  <c r="DS36" i="28"/>
  <c r="DR36" i="28"/>
  <c r="DO36" i="28"/>
  <c r="DN36" i="28"/>
  <c r="DM36" i="28"/>
  <c r="DL36" i="28"/>
  <c r="DK36" i="28"/>
  <c r="DJ36" i="28"/>
  <c r="DW35" i="28"/>
  <c r="DV35" i="28"/>
  <c r="DU35" i="28"/>
  <c r="DT35" i="28"/>
  <c r="DS35" i="28"/>
  <c r="DR35" i="28"/>
  <c r="DO35" i="28"/>
  <c r="DN35" i="28"/>
  <c r="DM35" i="28"/>
  <c r="DL35" i="28"/>
  <c r="DK35" i="28"/>
  <c r="DJ35" i="28"/>
  <c r="DW34" i="28"/>
  <c r="DV34" i="28"/>
  <c r="DU34" i="28"/>
  <c r="DT34" i="28"/>
  <c r="DS34" i="28"/>
  <c r="DR34" i="28"/>
  <c r="DO34" i="28"/>
  <c r="DN34" i="28"/>
  <c r="DM34" i="28"/>
  <c r="DL34" i="28"/>
  <c r="DK34" i="28"/>
  <c r="DJ34" i="28"/>
  <c r="DW33" i="28"/>
  <c r="DV33" i="28"/>
  <c r="DU33" i="28"/>
  <c r="DT33" i="28"/>
  <c r="DS33" i="28"/>
  <c r="DR33" i="28"/>
  <c r="DO33" i="28"/>
  <c r="DN33" i="28"/>
  <c r="DM33" i="28"/>
  <c r="DL33" i="28"/>
  <c r="DK33" i="28"/>
  <c r="DJ33" i="28"/>
  <c r="DW32" i="28"/>
  <c r="DV32" i="28"/>
  <c r="DU32" i="28"/>
  <c r="DT32" i="28"/>
  <c r="DS32" i="28"/>
  <c r="DR32" i="28"/>
  <c r="DO32" i="28"/>
  <c r="DN32" i="28"/>
  <c r="DM32" i="28"/>
  <c r="DL32" i="28"/>
  <c r="DK32" i="28"/>
  <c r="DJ32" i="28"/>
  <c r="DW31" i="28"/>
  <c r="DV31" i="28"/>
  <c r="DU31" i="28"/>
  <c r="DT31" i="28"/>
  <c r="DS31" i="28"/>
  <c r="DR31" i="28"/>
  <c r="DO31" i="28"/>
  <c r="DN31" i="28"/>
  <c r="DM31" i="28"/>
  <c r="DL31" i="28"/>
  <c r="DK31" i="28"/>
  <c r="DJ31" i="28"/>
  <c r="DW30" i="28"/>
  <c r="DV30" i="28"/>
  <c r="DU30" i="28"/>
  <c r="DT30" i="28"/>
  <c r="DS30" i="28"/>
  <c r="DR30" i="28"/>
  <c r="DO30" i="28"/>
  <c r="DN30" i="28"/>
  <c r="DM30" i="28"/>
  <c r="DL30" i="28"/>
  <c r="DK30" i="28"/>
  <c r="DJ30" i="28"/>
  <c r="DW29" i="28"/>
  <c r="DV29" i="28"/>
  <c r="DU29" i="28"/>
  <c r="DT29" i="28"/>
  <c r="DS29" i="28"/>
  <c r="DR29" i="28"/>
  <c r="DO29" i="28"/>
  <c r="DN29" i="28"/>
  <c r="DM29" i="28"/>
  <c r="DL29" i="28"/>
  <c r="DK29" i="28"/>
  <c r="DJ29" i="28"/>
  <c r="DW28" i="28"/>
  <c r="DV28" i="28"/>
  <c r="DU28" i="28"/>
  <c r="DT28" i="28"/>
  <c r="DS28" i="28"/>
  <c r="DR28" i="28"/>
  <c r="DO28" i="28"/>
  <c r="DN28" i="28"/>
  <c r="DM28" i="28"/>
  <c r="DL28" i="28"/>
  <c r="DK28" i="28"/>
  <c r="DJ28" i="28"/>
  <c r="DW27" i="28"/>
  <c r="DV27" i="28"/>
  <c r="DU27" i="28"/>
  <c r="DT27" i="28"/>
  <c r="DS27" i="28"/>
  <c r="DR27" i="28"/>
  <c r="DO27" i="28"/>
  <c r="DN27" i="28"/>
  <c r="DM27" i="28"/>
  <c r="DL27" i="28"/>
  <c r="DK27" i="28"/>
  <c r="DJ27" i="28"/>
  <c r="DW26" i="28"/>
  <c r="DV26" i="28"/>
  <c r="DU26" i="28"/>
  <c r="DT26" i="28"/>
  <c r="DS26" i="28"/>
  <c r="DR26" i="28"/>
  <c r="DO26" i="28"/>
  <c r="DN26" i="28"/>
  <c r="DM26" i="28"/>
  <c r="DL26" i="28"/>
  <c r="DK26" i="28"/>
  <c r="DJ26" i="28"/>
  <c r="DW25" i="28"/>
  <c r="DV25" i="28"/>
  <c r="DU25" i="28"/>
  <c r="DT25" i="28"/>
  <c r="DS25" i="28"/>
  <c r="DR25" i="28"/>
  <c r="DO25" i="28"/>
  <c r="DN25" i="28"/>
  <c r="DM25" i="28"/>
  <c r="DL25" i="28"/>
  <c r="DK25" i="28"/>
  <c r="DJ25" i="28"/>
  <c r="DW24" i="28"/>
  <c r="DV24" i="28"/>
  <c r="DU24" i="28"/>
  <c r="DT24" i="28"/>
  <c r="DS24" i="28"/>
  <c r="DR24" i="28"/>
  <c r="DO24" i="28"/>
  <c r="DN24" i="28"/>
  <c r="DM24" i="28"/>
  <c r="DL24" i="28"/>
  <c r="DK24" i="28"/>
  <c r="DJ24" i="28"/>
  <c r="DW23" i="28"/>
  <c r="DV23" i="28"/>
  <c r="DU23" i="28"/>
  <c r="DT23" i="28"/>
  <c r="DS23" i="28"/>
  <c r="DR23" i="28"/>
  <c r="DO23" i="28"/>
  <c r="DN23" i="28"/>
  <c r="DM23" i="28"/>
  <c r="DL23" i="28"/>
  <c r="DK23" i="28"/>
  <c r="DJ23" i="28"/>
  <c r="DW22" i="28"/>
  <c r="DV22" i="28"/>
  <c r="DU22" i="28"/>
  <c r="DT22" i="28"/>
  <c r="DS22" i="28"/>
  <c r="DR22" i="28"/>
  <c r="DO22" i="28"/>
  <c r="DN22" i="28"/>
  <c r="DM22" i="28"/>
  <c r="DL22" i="28"/>
  <c r="DK22" i="28"/>
  <c r="DJ22" i="28"/>
  <c r="DW21" i="28"/>
  <c r="DV21" i="28"/>
  <c r="DU21" i="28"/>
  <c r="DT21" i="28"/>
  <c r="DS21" i="28"/>
  <c r="DR21" i="28"/>
  <c r="DO21" i="28"/>
  <c r="DN21" i="28"/>
  <c r="DM21" i="28"/>
  <c r="DL21" i="28"/>
  <c r="DK21" i="28"/>
  <c r="DJ21" i="28"/>
  <c r="CI20" i="28"/>
  <c r="CQ20" i="28" s="1"/>
  <c r="CH20" i="28"/>
  <c r="CP20" i="28" s="1"/>
  <c r="CG20" i="28"/>
  <c r="CO20" i="28" s="1"/>
  <c r="CF20" i="28"/>
  <c r="CN20" i="28" s="1"/>
  <c r="CE20" i="28"/>
  <c r="CM20" i="28" s="1"/>
  <c r="CD20" i="28"/>
  <c r="CL20" i="28" s="1"/>
  <c r="EC19" i="28"/>
  <c r="EC7" i="28"/>
  <c r="AM63" i="24"/>
  <c r="AL63" i="24"/>
  <c r="AK63" i="24"/>
  <c r="AG63" i="24"/>
  <c r="AF63" i="24"/>
  <c r="AB63" i="24"/>
  <c r="W63" i="24"/>
  <c r="V63" i="24"/>
  <c r="T63" i="24"/>
  <c r="O63" i="24"/>
  <c r="N63" i="24"/>
  <c r="M63" i="24"/>
  <c r="K63" i="24"/>
  <c r="J63" i="24"/>
  <c r="H63" i="24"/>
  <c r="AM62" i="24"/>
  <c r="AL62" i="24"/>
  <c r="AK62" i="24"/>
  <c r="AG62" i="24"/>
  <c r="AF62" i="24"/>
  <c r="AB62" i="24"/>
  <c r="W62" i="24"/>
  <c r="V62" i="24"/>
  <c r="U62" i="24"/>
  <c r="T62" i="24"/>
  <c r="O62" i="24"/>
  <c r="N62" i="24"/>
  <c r="M62" i="24"/>
  <c r="K62" i="24"/>
  <c r="J62" i="24"/>
  <c r="H62" i="24"/>
  <c r="AM61" i="24"/>
  <c r="AL61" i="24"/>
  <c r="AK61" i="24"/>
  <c r="AG61" i="24"/>
  <c r="AF61" i="24"/>
  <c r="AB61" i="24"/>
  <c r="W61" i="24"/>
  <c r="V61" i="24"/>
  <c r="U61" i="24"/>
  <c r="T61" i="24"/>
  <c r="O61" i="24"/>
  <c r="N61" i="24"/>
  <c r="M61" i="24"/>
  <c r="K61" i="24"/>
  <c r="J61" i="24"/>
  <c r="H61" i="24"/>
  <c r="AM60" i="24"/>
  <c r="AL60" i="24"/>
  <c r="AK60" i="24"/>
  <c r="AG60" i="24"/>
  <c r="AF60" i="24"/>
  <c r="AB60" i="24"/>
  <c r="W60" i="24"/>
  <c r="V60" i="24"/>
  <c r="U60" i="24"/>
  <c r="T60" i="24"/>
  <c r="O60" i="24"/>
  <c r="N60" i="24"/>
  <c r="M60" i="24"/>
  <c r="K60" i="24"/>
  <c r="J60" i="24"/>
  <c r="H60" i="24"/>
  <c r="AM59" i="24"/>
  <c r="AL59" i="24"/>
  <c r="AK59" i="24"/>
  <c r="AG59" i="24"/>
  <c r="AF59" i="24"/>
  <c r="AB59" i="24"/>
  <c r="W59" i="24"/>
  <c r="V59" i="24"/>
  <c r="U59" i="24"/>
  <c r="T59" i="24"/>
  <c r="O59" i="24"/>
  <c r="N59" i="24"/>
  <c r="M59" i="24"/>
  <c r="K59" i="24"/>
  <c r="J59" i="24"/>
  <c r="H59" i="24"/>
  <c r="AM58" i="24"/>
  <c r="AL58" i="24"/>
  <c r="AK58" i="24"/>
  <c r="AG58" i="24"/>
  <c r="AF58" i="24"/>
  <c r="AB58" i="24"/>
  <c r="W58" i="24"/>
  <c r="V58" i="24"/>
  <c r="T58" i="24"/>
  <c r="O58" i="24"/>
  <c r="N58" i="24"/>
  <c r="M58" i="24"/>
  <c r="K58" i="24"/>
  <c r="J58" i="24"/>
  <c r="H58" i="24"/>
  <c r="AM57" i="24"/>
  <c r="AL57" i="24"/>
  <c r="AK57" i="24"/>
  <c r="AG57" i="24"/>
  <c r="AF57" i="24"/>
  <c r="AB57" i="24"/>
  <c r="W57" i="24"/>
  <c r="V57" i="24"/>
  <c r="U57" i="24"/>
  <c r="T57" i="24"/>
  <c r="O57" i="24"/>
  <c r="N57" i="24"/>
  <c r="M57" i="24"/>
  <c r="K57" i="24"/>
  <c r="J57" i="24"/>
  <c r="H57" i="24"/>
  <c r="AM56" i="24"/>
  <c r="AL56" i="24"/>
  <c r="AK56" i="24"/>
  <c r="AG56" i="24"/>
  <c r="AF56" i="24"/>
  <c r="AB56" i="24"/>
  <c r="W56" i="24"/>
  <c r="V56" i="24"/>
  <c r="U56" i="24"/>
  <c r="T56" i="24"/>
  <c r="O56" i="24"/>
  <c r="N56" i="24"/>
  <c r="M56" i="24"/>
  <c r="K56" i="24"/>
  <c r="J56" i="24"/>
  <c r="H56" i="24"/>
  <c r="AM55" i="24"/>
  <c r="AL55" i="24"/>
  <c r="AK55" i="24"/>
  <c r="AG55" i="24"/>
  <c r="AF55" i="24"/>
  <c r="AB55" i="24"/>
  <c r="W55" i="24"/>
  <c r="V55" i="24"/>
  <c r="U55" i="24"/>
  <c r="T55" i="24"/>
  <c r="O55" i="24"/>
  <c r="N55" i="24"/>
  <c r="M55" i="24"/>
  <c r="K55" i="24"/>
  <c r="J55" i="24"/>
  <c r="H55" i="24"/>
  <c r="AM54" i="24"/>
  <c r="AL54" i="24"/>
  <c r="AK54" i="24"/>
  <c r="AG54" i="24"/>
  <c r="AF54" i="24"/>
  <c r="AB54" i="24"/>
  <c r="W54" i="24"/>
  <c r="V54" i="24"/>
  <c r="U54" i="24"/>
  <c r="T54" i="24"/>
  <c r="O54" i="24"/>
  <c r="N54" i="24"/>
  <c r="M54" i="24"/>
  <c r="K54" i="24"/>
  <c r="J54" i="24"/>
  <c r="H54" i="24"/>
  <c r="AM53" i="24"/>
  <c r="AL53" i="24"/>
  <c r="AK53" i="24"/>
  <c r="AG53" i="24"/>
  <c r="AF53" i="24"/>
  <c r="AB53" i="24"/>
  <c r="W53" i="24"/>
  <c r="V53" i="24"/>
  <c r="T53" i="24"/>
  <c r="O53" i="24"/>
  <c r="N53" i="24"/>
  <c r="M53" i="24"/>
  <c r="K53" i="24"/>
  <c r="J53" i="24"/>
  <c r="H53" i="24"/>
  <c r="AM52" i="24"/>
  <c r="AL52" i="24"/>
  <c r="AK52" i="24"/>
  <c r="AG52" i="24"/>
  <c r="AF52" i="24"/>
  <c r="AB52" i="24"/>
  <c r="W52" i="24"/>
  <c r="V52" i="24"/>
  <c r="U52" i="24"/>
  <c r="T52" i="24"/>
  <c r="O52" i="24"/>
  <c r="N52" i="24"/>
  <c r="M52" i="24"/>
  <c r="K52" i="24"/>
  <c r="J52" i="24"/>
  <c r="H52" i="24"/>
  <c r="AM51" i="24"/>
  <c r="AL51" i="24"/>
  <c r="AK51" i="24"/>
  <c r="AG51" i="24"/>
  <c r="AF51" i="24"/>
  <c r="AB51" i="24"/>
  <c r="W51" i="24"/>
  <c r="V51" i="24"/>
  <c r="U51" i="24"/>
  <c r="T51" i="24"/>
  <c r="O51" i="24"/>
  <c r="N51" i="24"/>
  <c r="M51" i="24"/>
  <c r="K51" i="24"/>
  <c r="J51" i="24"/>
  <c r="H51" i="24"/>
  <c r="AM50" i="24"/>
  <c r="AL50" i="24"/>
  <c r="AK50" i="24"/>
  <c r="AG50" i="24"/>
  <c r="AF50" i="24"/>
  <c r="AB50" i="24"/>
  <c r="W50" i="24"/>
  <c r="V50" i="24"/>
  <c r="U50" i="24"/>
  <c r="T50" i="24"/>
  <c r="O50" i="24"/>
  <c r="N50" i="24"/>
  <c r="M50" i="24"/>
  <c r="K50" i="24"/>
  <c r="J50" i="24"/>
  <c r="H50" i="24"/>
  <c r="AM49" i="24"/>
  <c r="AL49" i="24"/>
  <c r="AK49" i="24"/>
  <c r="AG49" i="24"/>
  <c r="AF49" i="24"/>
  <c r="AB49" i="24"/>
  <c r="W49" i="24"/>
  <c r="V49" i="24"/>
  <c r="U49" i="24"/>
  <c r="T49" i="24"/>
  <c r="O49" i="24"/>
  <c r="N49" i="24"/>
  <c r="M49" i="24"/>
  <c r="K49" i="24"/>
  <c r="J49" i="24"/>
  <c r="H49" i="24"/>
  <c r="AM48" i="24"/>
  <c r="AL48" i="24"/>
  <c r="AK48" i="24"/>
  <c r="AG48" i="24"/>
  <c r="AF48" i="24"/>
  <c r="AB48" i="24"/>
  <c r="W48" i="24"/>
  <c r="V48" i="24"/>
  <c r="T48" i="24"/>
  <c r="O48" i="24"/>
  <c r="N48" i="24"/>
  <c r="M48" i="24"/>
  <c r="K48" i="24"/>
  <c r="J48" i="24"/>
  <c r="H48" i="24"/>
  <c r="AM47" i="24"/>
  <c r="AL47" i="24"/>
  <c r="AK47" i="24"/>
  <c r="AG47" i="24"/>
  <c r="AF47" i="24"/>
  <c r="AB47" i="24"/>
  <c r="W47" i="24"/>
  <c r="V47" i="24"/>
  <c r="U47" i="24"/>
  <c r="T47" i="24"/>
  <c r="O47" i="24"/>
  <c r="N47" i="24"/>
  <c r="M47" i="24"/>
  <c r="K47" i="24"/>
  <c r="J47" i="24"/>
  <c r="H47" i="24"/>
  <c r="AM46" i="24"/>
  <c r="AL46" i="24"/>
  <c r="AK46" i="24"/>
  <c r="AG46" i="24"/>
  <c r="AF46" i="24"/>
  <c r="AB46" i="24"/>
  <c r="W46" i="24"/>
  <c r="V46" i="24"/>
  <c r="U46" i="24"/>
  <c r="T46" i="24"/>
  <c r="O46" i="24"/>
  <c r="N46" i="24"/>
  <c r="M46" i="24"/>
  <c r="K46" i="24"/>
  <c r="J46" i="24"/>
  <c r="H46" i="24"/>
  <c r="AM45" i="24"/>
  <c r="AL45" i="24"/>
  <c r="AK45" i="24"/>
  <c r="AG45" i="24"/>
  <c r="AF45" i="24"/>
  <c r="AB45" i="24"/>
  <c r="W45" i="24"/>
  <c r="V45" i="24"/>
  <c r="U45" i="24"/>
  <c r="T45" i="24"/>
  <c r="O45" i="24"/>
  <c r="N45" i="24"/>
  <c r="M45" i="24"/>
  <c r="K45" i="24"/>
  <c r="J45" i="24"/>
  <c r="H45" i="24"/>
  <c r="AM44" i="24"/>
  <c r="AL44" i="24"/>
  <c r="AK44" i="24"/>
  <c r="AG44" i="24"/>
  <c r="AF44" i="24"/>
  <c r="AB44" i="24"/>
  <c r="W44" i="24"/>
  <c r="V44" i="24"/>
  <c r="U44" i="24"/>
  <c r="T44" i="24"/>
  <c r="O44" i="24"/>
  <c r="N44" i="24"/>
  <c r="M44" i="24"/>
  <c r="K44" i="24"/>
  <c r="J44" i="24"/>
  <c r="H44" i="24"/>
  <c r="AM43" i="24"/>
  <c r="AL43" i="24"/>
  <c r="AK43" i="24"/>
  <c r="AJ43" i="24"/>
  <c r="AG43" i="24"/>
  <c r="AF43" i="24"/>
  <c r="AE43" i="24"/>
  <c r="AB43" i="24"/>
  <c r="AA43" i="24"/>
  <c r="W43" i="24"/>
  <c r="S43" i="24"/>
  <c r="O43" i="24"/>
  <c r="M43" i="24"/>
  <c r="J43" i="24"/>
  <c r="G43" i="24"/>
  <c r="AM42" i="24"/>
  <c r="AL42" i="24"/>
  <c r="AK42" i="24"/>
  <c r="AJ42" i="24"/>
  <c r="AG42" i="24"/>
  <c r="AE42" i="24"/>
  <c r="AA42" i="24"/>
  <c r="W42" i="24"/>
  <c r="S42" i="24"/>
  <c r="O42" i="24"/>
  <c r="G42" i="24"/>
  <c r="AM41" i="24"/>
  <c r="AL41" i="24"/>
  <c r="AK41" i="24"/>
  <c r="AJ41" i="24"/>
  <c r="AG41" i="24"/>
  <c r="AE41" i="24"/>
  <c r="AA41" i="24"/>
  <c r="W41" i="24"/>
  <c r="S41" i="24"/>
  <c r="O41" i="24"/>
  <c r="G41" i="24"/>
  <c r="AM40" i="24"/>
  <c r="AL40" i="24"/>
  <c r="AK40" i="24"/>
  <c r="AJ40" i="24"/>
  <c r="AG40" i="24"/>
  <c r="AE40" i="24"/>
  <c r="AA40" i="24"/>
  <c r="W40" i="24"/>
  <c r="S40" i="24"/>
  <c r="O40" i="24"/>
  <c r="G40" i="24"/>
  <c r="AM39" i="24"/>
  <c r="AL39" i="24"/>
  <c r="AK39" i="24"/>
  <c r="AJ39" i="24"/>
  <c r="AG39" i="24"/>
  <c r="AE39" i="24"/>
  <c r="AA39" i="24"/>
  <c r="W39" i="24"/>
  <c r="S39" i="24"/>
  <c r="O39" i="24"/>
  <c r="G39" i="24"/>
  <c r="AM38" i="24"/>
  <c r="AL38" i="24"/>
  <c r="AK38" i="24"/>
  <c r="AJ38" i="24"/>
  <c r="AG38" i="24"/>
  <c r="AE38" i="24"/>
  <c r="AA38" i="24"/>
  <c r="W38" i="24"/>
  <c r="S38" i="24"/>
  <c r="O38" i="24"/>
  <c r="G38" i="24"/>
  <c r="AM37" i="24"/>
  <c r="AL37" i="24"/>
  <c r="AK37" i="24"/>
  <c r="AJ37" i="24"/>
  <c r="AG37" i="24"/>
  <c r="AE37" i="24"/>
  <c r="AA37" i="24"/>
  <c r="W37" i="24"/>
  <c r="S37" i="24"/>
  <c r="O37" i="24"/>
  <c r="G37" i="24"/>
  <c r="AM36" i="24"/>
  <c r="AL36" i="24"/>
  <c r="AK36" i="24"/>
  <c r="AJ36" i="24"/>
  <c r="AG36" i="24"/>
  <c r="AE36" i="24"/>
  <c r="AA36" i="24"/>
  <c r="W36" i="24"/>
  <c r="S36" i="24"/>
  <c r="O36" i="24"/>
  <c r="G36" i="24"/>
  <c r="AM35" i="24"/>
  <c r="AL35" i="24"/>
  <c r="AK35" i="24"/>
  <c r="AJ35" i="24"/>
  <c r="AG35" i="24"/>
  <c r="AE35" i="24"/>
  <c r="AA35" i="24"/>
  <c r="W35" i="24"/>
  <c r="S35" i="24"/>
  <c r="O35" i="24"/>
  <c r="G35" i="24"/>
  <c r="AM34" i="24"/>
  <c r="AL34" i="24"/>
  <c r="AK34" i="24"/>
  <c r="AJ34" i="24"/>
  <c r="AG34" i="24"/>
  <c r="AE34" i="24"/>
  <c r="AA34" i="24"/>
  <c r="W34" i="24"/>
  <c r="S34" i="24"/>
  <c r="O34" i="24"/>
  <c r="G34" i="24"/>
  <c r="AM33" i="24"/>
  <c r="AL33" i="24"/>
  <c r="AK33" i="24"/>
  <c r="AJ33" i="24"/>
  <c r="AG33" i="24"/>
  <c r="AE33" i="24"/>
  <c r="AA33" i="24"/>
  <c r="W33" i="24"/>
  <c r="S33" i="24"/>
  <c r="O33" i="24"/>
  <c r="G33" i="24"/>
  <c r="AM32" i="24"/>
  <c r="AL32" i="24"/>
  <c r="AK32" i="24"/>
  <c r="AJ32" i="24"/>
  <c r="AG32" i="24"/>
  <c r="AE32" i="24"/>
  <c r="AA32" i="24"/>
  <c r="W32" i="24"/>
  <c r="S32" i="24"/>
  <c r="O32" i="24"/>
  <c r="G32" i="24"/>
  <c r="AM31" i="24"/>
  <c r="AL31" i="24"/>
  <c r="AK31" i="24"/>
  <c r="AJ31" i="24"/>
  <c r="AG31" i="24"/>
  <c r="AE31" i="24"/>
  <c r="AA31" i="24"/>
  <c r="W31" i="24"/>
  <c r="S31" i="24"/>
  <c r="O31" i="24"/>
  <c r="G31" i="24"/>
  <c r="AM30" i="24"/>
  <c r="AL30" i="24"/>
  <c r="AK30" i="24"/>
  <c r="AJ30" i="24"/>
  <c r="AG30" i="24"/>
  <c r="AE30" i="24"/>
  <c r="AA30" i="24"/>
  <c r="W30" i="24"/>
  <c r="S30" i="24"/>
  <c r="O30" i="24"/>
  <c r="G30" i="24"/>
  <c r="AM29" i="24"/>
  <c r="AL29" i="24"/>
  <c r="AK29" i="24"/>
  <c r="AJ29" i="24"/>
  <c r="AG29" i="24"/>
  <c r="AE29" i="24"/>
  <c r="AA29" i="24"/>
  <c r="W29" i="24"/>
  <c r="S29" i="24"/>
  <c r="O29" i="24"/>
  <c r="G29" i="24"/>
  <c r="AM28" i="24"/>
  <c r="AL28" i="24"/>
  <c r="AK28" i="24"/>
  <c r="AJ28" i="24"/>
  <c r="AG28" i="24"/>
  <c r="AE28" i="24"/>
  <c r="AA28" i="24"/>
  <c r="W28" i="24"/>
  <c r="S28" i="24"/>
  <c r="O28" i="24"/>
  <c r="G28" i="24"/>
  <c r="AM27" i="24"/>
  <c r="AL27" i="24"/>
  <c r="AK27" i="24"/>
  <c r="AJ27" i="24"/>
  <c r="AG27" i="24"/>
  <c r="AE27" i="24"/>
  <c r="AA27" i="24"/>
  <c r="W27" i="24"/>
  <c r="S27" i="24"/>
  <c r="O27" i="24"/>
  <c r="G27" i="24"/>
  <c r="AM26" i="24"/>
  <c r="AL26" i="24"/>
  <c r="AK26" i="24"/>
  <c r="AJ26" i="24"/>
  <c r="AG26" i="24"/>
  <c r="AE26" i="24"/>
  <c r="AA26" i="24"/>
  <c r="W26" i="24"/>
  <c r="S26" i="24"/>
  <c r="O26" i="24"/>
  <c r="G26" i="24"/>
  <c r="AM25" i="24"/>
  <c r="AL25" i="24"/>
  <c r="AK25" i="24"/>
  <c r="AJ25" i="24"/>
  <c r="AG25" i="24"/>
  <c r="AE25" i="24"/>
  <c r="AA25" i="24"/>
  <c r="W25" i="24"/>
  <c r="S25" i="24"/>
  <c r="O25" i="24"/>
  <c r="G25" i="24"/>
  <c r="AM24" i="24"/>
  <c r="AL24" i="24"/>
  <c r="AK24" i="24"/>
  <c r="AJ24" i="24"/>
  <c r="AG24" i="24"/>
  <c r="AE24" i="24"/>
  <c r="AA24" i="24"/>
  <c r="W24" i="24"/>
  <c r="S24" i="24"/>
  <c r="O24" i="24"/>
  <c r="G24" i="24"/>
  <c r="AM23" i="24"/>
  <c r="AL23" i="24"/>
  <c r="AK23" i="24"/>
  <c r="AJ23" i="24"/>
  <c r="AG23" i="24"/>
  <c r="AE23" i="24"/>
  <c r="AA23" i="24"/>
  <c r="W23" i="24"/>
  <c r="S23" i="24"/>
  <c r="O23" i="24"/>
  <c r="G23" i="24"/>
  <c r="AM22" i="24"/>
  <c r="AL22" i="24"/>
  <c r="AK22" i="24"/>
  <c r="AJ22" i="24"/>
  <c r="AG22" i="24"/>
  <c r="AE22" i="24"/>
  <c r="AA22" i="24"/>
  <c r="W22" i="24"/>
  <c r="S22" i="24"/>
  <c r="O22" i="24"/>
  <c r="G22" i="24"/>
  <c r="AM21" i="24"/>
  <c r="AL21" i="24"/>
  <c r="AK21" i="24"/>
  <c r="AJ21" i="24"/>
  <c r="AG21" i="24"/>
  <c r="AE21" i="24"/>
  <c r="AA21" i="24"/>
  <c r="W21" i="24"/>
  <c r="S21" i="24"/>
  <c r="O21" i="24"/>
  <c r="G21" i="24"/>
  <c r="AM20" i="24"/>
  <c r="AL20" i="24"/>
  <c r="AK20" i="24"/>
  <c r="AJ20" i="24"/>
  <c r="AG20" i="24"/>
  <c r="AE20" i="24"/>
  <c r="AA20" i="24"/>
  <c r="W20" i="24"/>
  <c r="S20" i="24"/>
  <c r="O20" i="24"/>
  <c r="G20" i="24"/>
  <c r="AM19" i="24"/>
  <c r="AL19" i="24"/>
  <c r="AK19" i="24"/>
  <c r="AJ19" i="24"/>
  <c r="AG19" i="24"/>
  <c r="AE19" i="24"/>
  <c r="AA19" i="24"/>
  <c r="W19" i="24"/>
  <c r="S19" i="24"/>
  <c r="O19" i="24"/>
  <c r="G19" i="24"/>
  <c r="AM18" i="24"/>
  <c r="AL18" i="24"/>
  <c r="AK18" i="24"/>
  <c r="AJ18" i="24"/>
  <c r="AG18" i="24"/>
  <c r="AE18" i="24"/>
  <c r="AA18" i="24"/>
  <c r="W18" i="24"/>
  <c r="S18" i="24"/>
  <c r="O18" i="24"/>
  <c r="G18" i="24"/>
  <c r="AM17" i="24"/>
  <c r="AL17" i="24"/>
  <c r="AK17" i="24"/>
  <c r="AJ17" i="24"/>
  <c r="AG17" i="24"/>
  <c r="AE17" i="24"/>
  <c r="AA17" i="24"/>
  <c r="W17" i="24"/>
  <c r="S17" i="24"/>
  <c r="O17" i="24"/>
  <c r="G17" i="24"/>
  <c r="AM16" i="24"/>
  <c r="AL16" i="24"/>
  <c r="AK16" i="24"/>
  <c r="AJ16" i="24"/>
  <c r="AG16" i="24"/>
  <c r="AE16" i="24"/>
  <c r="AA16" i="24"/>
  <c r="W16" i="24"/>
  <c r="S16" i="24"/>
  <c r="O16" i="24"/>
  <c r="G16" i="24"/>
  <c r="AM15" i="24"/>
  <c r="AL15" i="24"/>
  <c r="AK15" i="24"/>
  <c r="AJ15" i="24"/>
  <c r="AG15" i="24"/>
  <c r="AE15" i="24"/>
  <c r="AA15" i="24"/>
  <c r="W15" i="24"/>
  <c r="S15" i="24"/>
  <c r="O15" i="24"/>
  <c r="G15" i="24"/>
  <c r="AM14" i="24"/>
  <c r="AL14" i="24"/>
  <c r="AK14" i="24"/>
  <c r="AJ14" i="24"/>
  <c r="AG14" i="24"/>
  <c r="AE14" i="24"/>
  <c r="AA14" i="24"/>
  <c r="W14" i="24"/>
  <c r="S14" i="24"/>
  <c r="O14" i="24"/>
  <c r="G14" i="24"/>
  <c r="AM13" i="24"/>
  <c r="AL13" i="24"/>
  <c r="AK13" i="24"/>
  <c r="AJ13" i="24"/>
  <c r="AG13" i="24"/>
  <c r="AE13" i="24"/>
  <c r="AA13" i="24"/>
  <c r="W13" i="24"/>
  <c r="S13" i="24"/>
  <c r="O13" i="24"/>
  <c r="G13" i="24"/>
  <c r="AM12" i="24"/>
  <c r="AL12" i="24"/>
  <c r="AK12" i="24"/>
  <c r="AJ12" i="24"/>
  <c r="AG12" i="24"/>
  <c r="AE12" i="24"/>
  <c r="AA12" i="24"/>
  <c r="W12" i="24"/>
  <c r="S12" i="24"/>
  <c r="O12" i="24"/>
  <c r="G12" i="24"/>
  <c r="AM11" i="24"/>
  <c r="AL11" i="24"/>
  <c r="AK11" i="24"/>
  <c r="AJ11" i="24"/>
  <c r="AG11" i="24"/>
  <c r="AE11" i="24"/>
  <c r="AA11" i="24"/>
  <c r="W11" i="24"/>
  <c r="S11" i="24"/>
  <c r="O11" i="24"/>
  <c r="G11" i="24"/>
  <c r="AM10" i="24"/>
  <c r="AL10" i="24"/>
  <c r="AK10" i="24"/>
  <c r="AJ10" i="24"/>
  <c r="AG10" i="24"/>
  <c r="AE10" i="24"/>
  <c r="AA10" i="24"/>
  <c r="W10" i="24"/>
  <c r="S10" i="24"/>
  <c r="O10" i="24"/>
  <c r="G10" i="24"/>
  <c r="AM9" i="24"/>
  <c r="AL9" i="24"/>
  <c r="AK9" i="24"/>
  <c r="AJ9" i="24"/>
  <c r="AG9" i="24"/>
  <c r="AE9" i="24"/>
  <c r="AA9" i="24"/>
  <c r="W9" i="24"/>
  <c r="S9" i="24"/>
  <c r="O9" i="24"/>
  <c r="G9" i="24"/>
  <c r="AM8" i="24"/>
  <c r="AL8" i="24"/>
  <c r="AK8" i="24"/>
  <c r="AJ8" i="24"/>
  <c r="AG8" i="24"/>
  <c r="AE8" i="24"/>
  <c r="AA8" i="24"/>
  <c r="W8" i="24"/>
  <c r="S8" i="24"/>
  <c r="O8" i="24"/>
  <c r="G8" i="24"/>
  <c r="AM7" i="24"/>
  <c r="AL7" i="24"/>
  <c r="AK7" i="24"/>
  <c r="AJ7" i="24"/>
  <c r="AG7" i="24"/>
  <c r="AE7" i="24"/>
  <c r="AA7" i="24"/>
  <c r="W7" i="24"/>
  <c r="S7" i="24"/>
  <c r="O7" i="24"/>
  <c r="G7" i="24"/>
  <c r="AM6" i="24"/>
  <c r="AL6" i="24"/>
  <c r="AK6" i="24"/>
  <c r="AJ6" i="24"/>
  <c r="AG6" i="24"/>
  <c r="AE6" i="24"/>
  <c r="AA6" i="24"/>
  <c r="W6" i="24"/>
  <c r="S6" i="24"/>
  <c r="O6" i="24"/>
  <c r="G6" i="24"/>
  <c r="AM5" i="24"/>
  <c r="AL5" i="24"/>
  <c r="AK5" i="24"/>
  <c r="AJ5" i="24"/>
  <c r="AG5" i="24"/>
  <c r="AE5" i="24"/>
  <c r="AA5" i="24"/>
  <c r="W5" i="24"/>
  <c r="S5" i="24"/>
  <c r="O5" i="24"/>
  <c r="G5" i="24"/>
  <c r="AL4" i="24"/>
  <c r="AK4" i="24"/>
  <c r="AJ4" i="24"/>
  <c r="AE4" i="24"/>
  <c r="AA4" i="24"/>
  <c r="W4" i="24"/>
  <c r="S4" i="24"/>
  <c r="O4" i="24"/>
  <c r="G4" i="24"/>
  <c r="AA3" i="24"/>
  <c r="W3" i="24"/>
  <c r="S3" i="24"/>
  <c r="E801" i="22"/>
  <c r="E800" i="22"/>
  <c r="E799" i="22"/>
  <c r="E798" i="22"/>
  <c r="E797" i="22"/>
  <c r="E796" i="22"/>
  <c r="E795" i="22"/>
  <c r="E794" i="22"/>
  <c r="E793" i="22"/>
  <c r="E792" i="22"/>
  <c r="E791" i="22"/>
  <c r="E790" i="22"/>
  <c r="E789" i="22"/>
  <c r="E788" i="22"/>
  <c r="E787" i="22"/>
  <c r="E786" i="22"/>
  <c r="E785" i="22"/>
  <c r="E784" i="22"/>
  <c r="E783" i="22"/>
  <c r="E782" i="22"/>
  <c r="E781" i="22"/>
  <c r="E780" i="22"/>
  <c r="E779" i="22"/>
  <c r="E778" i="22"/>
  <c r="E777" i="22"/>
  <c r="E776" i="22"/>
  <c r="E775" i="22"/>
  <c r="E774" i="22"/>
  <c r="E773" i="22"/>
  <c r="E772" i="22"/>
  <c r="E771" i="22"/>
  <c r="E770" i="22"/>
  <c r="E769" i="22"/>
  <c r="E768" i="22"/>
  <c r="E767" i="22"/>
  <c r="E766" i="22"/>
  <c r="E765" i="22"/>
  <c r="E764" i="22"/>
  <c r="E763" i="22"/>
  <c r="E762" i="22"/>
  <c r="E761" i="22"/>
  <c r="E760" i="22"/>
  <c r="E759" i="22"/>
  <c r="E758" i="22"/>
  <c r="E757" i="22"/>
  <c r="E756" i="22"/>
  <c r="E755" i="22"/>
  <c r="E754" i="22"/>
  <c r="E753" i="22"/>
  <c r="E752" i="22"/>
  <c r="E751" i="22"/>
  <c r="E750" i="22"/>
  <c r="E749" i="22"/>
  <c r="E748" i="22"/>
  <c r="E747" i="22"/>
  <c r="E746" i="22"/>
  <c r="E745" i="22"/>
  <c r="E744" i="22"/>
  <c r="E743" i="22"/>
  <c r="E742" i="22"/>
  <c r="E741" i="22"/>
  <c r="E740" i="22"/>
  <c r="E739" i="22"/>
  <c r="E738" i="22"/>
  <c r="E737" i="22"/>
  <c r="E736" i="22"/>
  <c r="E735" i="22"/>
  <c r="E734" i="22"/>
  <c r="E733" i="22"/>
  <c r="E732" i="22"/>
  <c r="E731" i="22"/>
  <c r="E730" i="22"/>
  <c r="E729" i="22"/>
  <c r="E728" i="22"/>
  <c r="E727" i="22"/>
  <c r="E726" i="22"/>
  <c r="E725" i="22"/>
  <c r="E724" i="22"/>
  <c r="E723" i="22"/>
  <c r="E722" i="22"/>
  <c r="E721" i="22"/>
  <c r="E720" i="22"/>
  <c r="E719" i="22"/>
  <c r="E718" i="22"/>
  <c r="E717" i="22"/>
  <c r="E716" i="22"/>
  <c r="E715" i="22"/>
  <c r="E714" i="22"/>
  <c r="E713" i="22"/>
  <c r="E712" i="22"/>
  <c r="E711" i="22"/>
  <c r="E710" i="22"/>
  <c r="E709" i="22"/>
  <c r="E708" i="22"/>
  <c r="E707" i="22"/>
  <c r="E706" i="22"/>
  <c r="E705" i="22"/>
  <c r="E704" i="22"/>
  <c r="E703" i="22"/>
  <c r="E702" i="22"/>
  <c r="E701" i="22"/>
  <c r="E700" i="22"/>
  <c r="E699" i="22"/>
  <c r="E698" i="22"/>
  <c r="E697" i="22"/>
  <c r="E696" i="22"/>
  <c r="E695" i="22"/>
  <c r="E694" i="22"/>
  <c r="E693" i="22"/>
  <c r="E692" i="22"/>
  <c r="E691" i="22"/>
  <c r="E690" i="22"/>
  <c r="E689" i="22"/>
  <c r="E688" i="22"/>
  <c r="E687" i="22"/>
  <c r="E686" i="22"/>
  <c r="E685" i="22"/>
  <c r="E684" i="22"/>
  <c r="E683" i="22"/>
  <c r="E682" i="22"/>
  <c r="E681" i="22"/>
  <c r="E680" i="22"/>
  <c r="E679" i="22"/>
  <c r="E678" i="22"/>
  <c r="E677" i="22"/>
  <c r="E676" i="22"/>
  <c r="E675" i="22"/>
  <c r="E674" i="22"/>
  <c r="E673" i="22"/>
  <c r="E672" i="22"/>
  <c r="E671" i="22"/>
  <c r="E670" i="22"/>
  <c r="E669" i="22"/>
  <c r="E668" i="22"/>
  <c r="E667" i="22"/>
  <c r="E666" i="22"/>
  <c r="E665" i="22"/>
  <c r="E664" i="22"/>
  <c r="E663" i="22"/>
  <c r="E662" i="22"/>
  <c r="E661" i="22"/>
  <c r="E660" i="22"/>
  <c r="E659" i="22"/>
  <c r="E658" i="22"/>
  <c r="E657" i="22"/>
  <c r="E656" i="22"/>
  <c r="E655" i="22"/>
  <c r="E654" i="22"/>
  <c r="E653" i="22"/>
  <c r="E652" i="22"/>
  <c r="E651" i="22"/>
  <c r="E650" i="22"/>
  <c r="E649" i="22"/>
  <c r="E648" i="22"/>
  <c r="E647" i="22"/>
  <c r="E646" i="22"/>
  <c r="E645" i="22"/>
  <c r="E644" i="22"/>
  <c r="E643" i="22"/>
  <c r="E642" i="22"/>
  <c r="E641" i="22"/>
  <c r="E640" i="22"/>
  <c r="E639" i="22"/>
  <c r="E638" i="22"/>
  <c r="E637" i="22"/>
  <c r="E636" i="22"/>
  <c r="E635" i="22"/>
  <c r="E634" i="22"/>
  <c r="E633" i="22"/>
  <c r="E632" i="22"/>
  <c r="E631" i="22"/>
  <c r="E630" i="22"/>
  <c r="E629" i="22"/>
  <c r="E628" i="22"/>
  <c r="E627" i="22"/>
  <c r="E626" i="22"/>
  <c r="E625" i="22"/>
  <c r="E624" i="22"/>
  <c r="E623" i="22"/>
  <c r="E622" i="22"/>
  <c r="E621" i="22"/>
  <c r="E620" i="22"/>
  <c r="E619" i="22"/>
  <c r="E618" i="22"/>
  <c r="E617" i="22"/>
  <c r="E616" i="22"/>
  <c r="E615" i="22"/>
  <c r="E614" i="22"/>
  <c r="E613" i="22"/>
  <c r="E612" i="22"/>
  <c r="E611" i="22"/>
  <c r="E610" i="22"/>
  <c r="E609" i="22"/>
  <c r="E608" i="22"/>
  <c r="E607" i="22"/>
  <c r="E606" i="22"/>
  <c r="E605" i="22"/>
  <c r="E604" i="22"/>
  <c r="E603" i="22"/>
  <c r="E602" i="22"/>
  <c r="E601" i="22"/>
  <c r="E600" i="22"/>
  <c r="E599" i="22"/>
  <c r="E598" i="22"/>
  <c r="E597" i="22"/>
  <c r="E596" i="22"/>
  <c r="E595" i="22"/>
  <c r="E594" i="22"/>
  <c r="E593" i="22"/>
  <c r="E592" i="22"/>
  <c r="E591" i="22"/>
  <c r="E590" i="22"/>
  <c r="E589" i="22"/>
  <c r="E588" i="22"/>
  <c r="E587" i="22"/>
  <c r="E586" i="22"/>
  <c r="E585" i="22"/>
  <c r="E584" i="22"/>
  <c r="E583" i="22"/>
  <c r="E582" i="22"/>
  <c r="E581" i="22"/>
  <c r="E580" i="22"/>
  <c r="E579" i="22"/>
  <c r="E578" i="22"/>
  <c r="E577" i="22"/>
  <c r="E576" i="22"/>
  <c r="E575" i="22"/>
  <c r="E574" i="22"/>
  <c r="E573" i="22"/>
  <c r="E572" i="22"/>
  <c r="E571" i="22"/>
  <c r="E570" i="22"/>
  <c r="E569" i="22"/>
  <c r="E568" i="22"/>
  <c r="E567" i="22"/>
  <c r="E566" i="22"/>
  <c r="E565" i="22"/>
  <c r="E564" i="22"/>
  <c r="E563" i="22"/>
  <c r="E562" i="22"/>
  <c r="E561" i="22"/>
  <c r="E560" i="22"/>
  <c r="E559" i="22"/>
  <c r="E558" i="22"/>
  <c r="E557" i="22"/>
  <c r="E556" i="22"/>
  <c r="E555" i="22"/>
  <c r="E554" i="22"/>
  <c r="E553" i="22"/>
  <c r="E552" i="22"/>
  <c r="E551" i="22"/>
  <c r="E550" i="22"/>
  <c r="E549" i="22"/>
  <c r="E548" i="22"/>
  <c r="E547" i="22"/>
  <c r="E546" i="22"/>
  <c r="E545" i="22"/>
  <c r="E544" i="22"/>
  <c r="E543" i="22"/>
  <c r="E542" i="22"/>
  <c r="E541" i="22"/>
  <c r="E540" i="22"/>
  <c r="E539" i="22"/>
  <c r="E538" i="22"/>
  <c r="E537" i="22"/>
  <c r="E536" i="22"/>
  <c r="E535" i="22"/>
  <c r="E534" i="22"/>
  <c r="E533" i="22"/>
  <c r="E532" i="22"/>
  <c r="E531" i="22"/>
  <c r="E530" i="22"/>
  <c r="E529" i="22"/>
  <c r="E528" i="22"/>
  <c r="E527" i="22"/>
  <c r="E526" i="22"/>
  <c r="E525" i="22"/>
  <c r="E524" i="22"/>
  <c r="E523" i="22"/>
  <c r="E522" i="22"/>
  <c r="E521" i="22"/>
  <c r="E520" i="22"/>
  <c r="E519" i="22"/>
  <c r="E518" i="22"/>
  <c r="E517" i="22"/>
  <c r="E516" i="22"/>
  <c r="E515" i="22"/>
  <c r="E514" i="22"/>
  <c r="E513" i="22"/>
  <c r="E512" i="22"/>
  <c r="E511" i="22"/>
  <c r="E510" i="22"/>
  <c r="E509" i="22"/>
  <c r="E508" i="22"/>
  <c r="E507" i="22"/>
  <c r="E506" i="22"/>
  <c r="E505" i="22"/>
  <c r="E504" i="22"/>
  <c r="E503" i="22"/>
  <c r="E502" i="22"/>
  <c r="E501" i="22"/>
  <c r="E500" i="22"/>
  <c r="E499" i="22"/>
  <c r="E498" i="22"/>
  <c r="E497" i="22"/>
  <c r="E496" i="22"/>
  <c r="E495" i="22"/>
  <c r="E494" i="22"/>
  <c r="E493" i="22"/>
  <c r="E492" i="22"/>
  <c r="E491" i="22"/>
  <c r="E490" i="22"/>
  <c r="E489" i="22"/>
  <c r="E488" i="22"/>
  <c r="E487" i="22"/>
  <c r="E486" i="22"/>
  <c r="E485" i="22"/>
  <c r="E484" i="22"/>
  <c r="E483" i="22"/>
  <c r="E482" i="22"/>
  <c r="E481" i="22"/>
  <c r="E480" i="22"/>
  <c r="E479" i="22"/>
  <c r="E478" i="22"/>
  <c r="E477" i="22"/>
  <c r="E476" i="22"/>
  <c r="E475" i="22"/>
  <c r="E474" i="22"/>
  <c r="E473" i="22"/>
  <c r="E472" i="22"/>
  <c r="E471" i="22"/>
  <c r="E470" i="22"/>
  <c r="E469" i="22"/>
  <c r="E468" i="22"/>
  <c r="E467" i="22"/>
  <c r="E466" i="22"/>
  <c r="E465" i="22"/>
  <c r="E464" i="22"/>
  <c r="E463" i="22"/>
  <c r="E462" i="22"/>
  <c r="E461" i="22"/>
  <c r="E460" i="22"/>
  <c r="E459" i="22"/>
  <c r="E458" i="22"/>
  <c r="E457" i="22"/>
  <c r="E456" i="22"/>
  <c r="E455" i="22"/>
  <c r="E454" i="22"/>
  <c r="E453" i="22"/>
  <c r="E452" i="22"/>
  <c r="E451" i="22"/>
  <c r="E450" i="22"/>
  <c r="E449" i="22"/>
  <c r="E448" i="22"/>
  <c r="E447" i="22"/>
  <c r="E446" i="22"/>
  <c r="E445" i="22"/>
  <c r="E444" i="22"/>
  <c r="E443" i="22"/>
  <c r="E442" i="22"/>
  <c r="E441" i="22"/>
  <c r="E440" i="22"/>
  <c r="E439" i="22"/>
  <c r="E438" i="22"/>
  <c r="E437" i="22"/>
  <c r="E436" i="22"/>
  <c r="E435" i="22"/>
  <c r="E434" i="22"/>
  <c r="E433" i="22"/>
  <c r="E432" i="22"/>
  <c r="E431" i="22"/>
  <c r="E430" i="22"/>
  <c r="E429" i="22"/>
  <c r="E428" i="22"/>
  <c r="E427" i="22"/>
  <c r="E426" i="22"/>
  <c r="E425" i="22"/>
  <c r="E424" i="22"/>
  <c r="E423" i="22"/>
  <c r="E422" i="22"/>
  <c r="E421" i="22"/>
  <c r="E420" i="22"/>
  <c r="E419" i="22"/>
  <c r="E418" i="22"/>
  <c r="E417" i="22"/>
  <c r="E416" i="22"/>
  <c r="E415" i="22"/>
  <c r="E414" i="22"/>
  <c r="E413" i="22"/>
  <c r="E412" i="22"/>
  <c r="E411" i="22"/>
  <c r="E410" i="22"/>
  <c r="E409" i="22"/>
  <c r="E408" i="22"/>
  <c r="E407" i="22"/>
  <c r="E406" i="22"/>
  <c r="E405" i="22"/>
  <c r="E404" i="22"/>
  <c r="E403" i="22"/>
  <c r="E402" i="22"/>
  <c r="E401" i="22"/>
  <c r="E400" i="22"/>
  <c r="E399" i="22"/>
  <c r="E398" i="22"/>
  <c r="E397" i="22"/>
  <c r="E396" i="22"/>
  <c r="E395" i="22"/>
  <c r="E394" i="22"/>
  <c r="E393" i="22"/>
  <c r="E392" i="22"/>
  <c r="E391" i="22"/>
  <c r="E390" i="22"/>
  <c r="E389" i="22"/>
  <c r="E388" i="22"/>
  <c r="E387" i="22"/>
  <c r="E386" i="22"/>
  <c r="E385" i="22"/>
  <c r="E384" i="22"/>
  <c r="E383" i="22"/>
  <c r="E382" i="22"/>
  <c r="E381" i="22"/>
  <c r="E380" i="22"/>
  <c r="E379" i="22"/>
  <c r="E378" i="22"/>
  <c r="E377" i="22"/>
  <c r="E376" i="22"/>
  <c r="E375" i="22"/>
  <c r="E374" i="22"/>
  <c r="E373" i="22"/>
  <c r="E372" i="22"/>
  <c r="E371" i="22"/>
  <c r="E370" i="22"/>
  <c r="E369" i="22"/>
  <c r="E368" i="22"/>
  <c r="E367" i="22"/>
  <c r="E366" i="22"/>
  <c r="E365" i="22"/>
  <c r="E364" i="22"/>
  <c r="E363" i="22"/>
  <c r="E362" i="22"/>
  <c r="E361" i="22"/>
  <c r="E360" i="22"/>
  <c r="E359" i="22"/>
  <c r="E358" i="22"/>
  <c r="E357" i="22"/>
  <c r="E356" i="22"/>
  <c r="E355" i="22"/>
  <c r="E354" i="22"/>
  <c r="E353" i="22"/>
  <c r="E352" i="22"/>
  <c r="E351" i="22"/>
  <c r="E350" i="22"/>
  <c r="E349" i="22"/>
  <c r="E348" i="22"/>
  <c r="E347" i="22"/>
  <c r="E346" i="22"/>
  <c r="E345" i="22"/>
  <c r="E344" i="22"/>
  <c r="E343" i="22"/>
  <c r="E342" i="22"/>
  <c r="E341" i="22"/>
  <c r="E340" i="22"/>
  <c r="E339" i="22"/>
  <c r="E338" i="22"/>
  <c r="E337" i="22"/>
  <c r="E336" i="22"/>
  <c r="E335" i="22"/>
  <c r="E334" i="22"/>
  <c r="E333" i="22"/>
  <c r="E332" i="22"/>
  <c r="E331" i="22"/>
  <c r="E330" i="22"/>
  <c r="E329" i="22"/>
  <c r="E328" i="22"/>
  <c r="E327" i="22"/>
  <c r="E326" i="22"/>
  <c r="E325" i="22"/>
  <c r="E324" i="22"/>
  <c r="E323" i="22"/>
  <c r="E322" i="22"/>
  <c r="E321" i="22"/>
  <c r="E320" i="22"/>
  <c r="E319" i="22"/>
  <c r="E318" i="22"/>
  <c r="E317" i="22"/>
  <c r="E316" i="22"/>
  <c r="E315" i="22"/>
  <c r="E314" i="22"/>
  <c r="E313" i="22"/>
  <c r="E312" i="22"/>
  <c r="E311" i="22"/>
  <c r="E310" i="22"/>
  <c r="E309" i="22"/>
  <c r="E308" i="22"/>
  <c r="E307" i="22"/>
  <c r="E306" i="22"/>
  <c r="E305" i="22"/>
  <c r="E304" i="22"/>
  <c r="E303" i="22"/>
  <c r="E302" i="22"/>
  <c r="E301" i="22"/>
  <c r="E300" i="22"/>
  <c r="E299" i="22"/>
  <c r="E298" i="22"/>
  <c r="E297" i="22"/>
  <c r="E296" i="22"/>
  <c r="E295" i="22"/>
  <c r="E294" i="22"/>
  <c r="E293" i="22"/>
  <c r="E292" i="22"/>
  <c r="E291" i="22"/>
  <c r="E290" i="22"/>
  <c r="E289" i="22"/>
  <c r="E288" i="22"/>
  <c r="E287" i="22"/>
  <c r="E286" i="22"/>
  <c r="E285" i="22"/>
  <c r="E284" i="22"/>
  <c r="E283" i="22"/>
  <c r="E282" i="22"/>
  <c r="E281" i="22"/>
  <c r="E280" i="22"/>
  <c r="E279" i="22"/>
  <c r="E278" i="22"/>
  <c r="E277" i="22"/>
  <c r="E276" i="22"/>
  <c r="E275" i="22"/>
  <c r="E274" i="22"/>
  <c r="E273" i="22"/>
  <c r="E272" i="22"/>
  <c r="E271" i="22"/>
  <c r="E270" i="22"/>
  <c r="E269" i="22"/>
  <c r="E268" i="22"/>
  <c r="E267" i="22"/>
  <c r="E266" i="22"/>
  <c r="E265" i="22"/>
  <c r="E264" i="22"/>
  <c r="E263" i="22"/>
  <c r="E262" i="22"/>
  <c r="E261" i="22"/>
  <c r="E260" i="22"/>
  <c r="E259" i="22"/>
  <c r="E258" i="22"/>
  <c r="E257" i="22"/>
  <c r="E256" i="22"/>
  <c r="E255" i="22"/>
  <c r="E254" i="22"/>
  <c r="E253" i="22"/>
  <c r="E252" i="22"/>
  <c r="E251" i="22"/>
  <c r="E250" i="22"/>
  <c r="E249" i="22"/>
  <c r="E248" i="22"/>
  <c r="E247" i="22"/>
  <c r="E246" i="22"/>
  <c r="E245" i="22"/>
  <c r="E244" i="22"/>
  <c r="E243" i="22"/>
  <c r="E242" i="22"/>
  <c r="E241" i="22"/>
  <c r="E240" i="22"/>
  <c r="E239" i="22"/>
  <c r="E238" i="22"/>
  <c r="E237" i="22"/>
  <c r="E236" i="22"/>
  <c r="E235" i="22"/>
  <c r="E234" i="22"/>
  <c r="E233" i="22"/>
  <c r="E232" i="22"/>
  <c r="E231" i="22"/>
  <c r="E230" i="22"/>
  <c r="E229" i="22"/>
  <c r="E228" i="22"/>
  <c r="E227" i="22"/>
  <c r="E226" i="22"/>
  <c r="E225" i="22"/>
  <c r="E224" i="22"/>
  <c r="E223" i="22"/>
  <c r="E222" i="22"/>
  <c r="E221" i="22"/>
  <c r="E220" i="22"/>
  <c r="E219" i="22"/>
  <c r="E218" i="22"/>
  <c r="E217" i="22"/>
  <c r="E216" i="22"/>
  <c r="E215" i="22"/>
  <c r="E214" i="22"/>
  <c r="E213" i="22"/>
  <c r="E212" i="22"/>
  <c r="E211" i="22"/>
  <c r="E210" i="22"/>
  <c r="E209" i="22"/>
  <c r="E208" i="22"/>
  <c r="E207" i="22"/>
  <c r="E206" i="22"/>
  <c r="E205" i="22"/>
  <c r="E204" i="22"/>
  <c r="E203" i="22"/>
  <c r="E202" i="22"/>
  <c r="E201" i="22"/>
  <c r="E200" i="22"/>
  <c r="E199" i="22"/>
  <c r="E198" i="22"/>
  <c r="E197" i="22"/>
  <c r="E196" i="22"/>
  <c r="E195" i="22"/>
  <c r="E194" i="22"/>
  <c r="E193" i="22"/>
  <c r="E192" i="22"/>
  <c r="E191" i="22"/>
  <c r="E190" i="22"/>
  <c r="E189" i="22"/>
  <c r="E188" i="22"/>
  <c r="E187" i="22"/>
  <c r="E186" i="22"/>
  <c r="E185" i="22"/>
  <c r="E184" i="22"/>
  <c r="E183" i="22"/>
  <c r="E182" i="22"/>
  <c r="E181" i="22"/>
  <c r="E180" i="22"/>
  <c r="E179" i="22"/>
  <c r="E178" i="22"/>
  <c r="E177" i="22"/>
  <c r="E176" i="22"/>
  <c r="E175" i="22"/>
  <c r="E174" i="22"/>
  <c r="E173" i="22"/>
  <c r="E172" i="22"/>
  <c r="E171" i="22"/>
  <c r="E170" i="22"/>
  <c r="E169" i="22"/>
  <c r="E168" i="22"/>
  <c r="E167" i="22"/>
  <c r="E166" i="22"/>
  <c r="E165" i="22"/>
  <c r="E164" i="22"/>
  <c r="E163" i="22"/>
  <c r="E162" i="22"/>
  <c r="E161" i="22"/>
  <c r="E160" i="22"/>
  <c r="E159" i="22"/>
  <c r="E158" i="22"/>
  <c r="E157" i="22"/>
  <c r="E156" i="22"/>
  <c r="E155" i="22"/>
  <c r="E154" i="22"/>
  <c r="E153" i="22"/>
  <c r="E152" i="22"/>
  <c r="E151" i="22"/>
  <c r="E150" i="22"/>
  <c r="E149" i="22"/>
  <c r="E148" i="22"/>
  <c r="E147" i="22"/>
  <c r="E146" i="22"/>
  <c r="E145" i="22"/>
  <c r="E144" i="22"/>
  <c r="E143" i="22"/>
  <c r="E142" i="22"/>
  <c r="E141" i="22"/>
  <c r="E140" i="22"/>
  <c r="E139" i="22"/>
  <c r="E138" i="22"/>
  <c r="E137" i="22"/>
  <c r="E136" i="22"/>
  <c r="E135" i="22"/>
  <c r="E134" i="22"/>
  <c r="E133" i="22"/>
  <c r="E132" i="22"/>
  <c r="E131" i="22"/>
  <c r="E130" i="22"/>
  <c r="E129" i="22"/>
  <c r="E128" i="22"/>
  <c r="E127" i="22"/>
  <c r="E126" i="22"/>
  <c r="E125" i="22"/>
  <c r="E124" i="22"/>
  <c r="E123" i="22"/>
  <c r="E122" i="22"/>
  <c r="E121" i="22"/>
  <c r="E120" i="22"/>
  <c r="E119" i="22"/>
  <c r="E118" i="22"/>
  <c r="E117" i="22"/>
  <c r="E116" i="22"/>
  <c r="E115" i="22"/>
  <c r="E114" i="22"/>
  <c r="E113" i="22"/>
  <c r="E112" i="22"/>
  <c r="E111" i="22"/>
  <c r="E110" i="22"/>
  <c r="E109" i="22"/>
  <c r="E108" i="22"/>
  <c r="E107" i="22"/>
  <c r="E106" i="22"/>
  <c r="E105" i="22"/>
  <c r="E104" i="22"/>
  <c r="E103" i="22"/>
  <c r="E102" i="22"/>
  <c r="E101" i="22"/>
  <c r="E100" i="22"/>
  <c r="E99" i="22"/>
  <c r="E98" i="22"/>
  <c r="E97" i="22"/>
  <c r="E96" i="22"/>
  <c r="E95" i="22"/>
  <c r="E94" i="22"/>
  <c r="E93" i="22"/>
  <c r="E92" i="22"/>
  <c r="E91" i="22"/>
  <c r="E90" i="22"/>
  <c r="E89" i="22"/>
  <c r="E88" i="22"/>
  <c r="E87" i="22"/>
  <c r="E86" i="22"/>
  <c r="E85" i="22"/>
  <c r="E84" i="22"/>
  <c r="E83" i="22"/>
  <c r="E82" i="22"/>
  <c r="E81" i="22"/>
  <c r="E80" i="22"/>
  <c r="E79" i="22"/>
  <c r="E78" i="22"/>
  <c r="E77" i="22"/>
  <c r="E76" i="22"/>
  <c r="E75" i="22"/>
  <c r="E74" i="22"/>
  <c r="E73" i="22"/>
  <c r="E72" i="22"/>
  <c r="E71" i="22"/>
  <c r="E70" i="22"/>
  <c r="E69" i="22"/>
  <c r="E68" i="22"/>
  <c r="E67" i="22"/>
  <c r="E66" i="22"/>
  <c r="E65" i="22"/>
  <c r="E64" i="22"/>
  <c r="E63" i="22"/>
  <c r="E62" i="22"/>
  <c r="E61" i="22"/>
  <c r="E60" i="22"/>
  <c r="E59" i="22"/>
  <c r="E58" i="22"/>
  <c r="E57" i="22"/>
  <c r="E56" i="22"/>
  <c r="E55" i="22"/>
  <c r="E54" i="22"/>
  <c r="E53" i="22"/>
  <c r="E52" i="22"/>
  <c r="E51" i="22"/>
  <c r="E50" i="22"/>
  <c r="E49" i="22"/>
  <c r="E48" i="22"/>
  <c r="E47" i="22"/>
  <c r="E46" i="22"/>
  <c r="E45" i="22"/>
  <c r="E44" i="22"/>
  <c r="E43" i="22"/>
  <c r="E42" i="22"/>
  <c r="E41" i="22"/>
  <c r="E40" i="22"/>
  <c r="E39" i="22"/>
  <c r="E38" i="22"/>
  <c r="E37" i="22"/>
  <c r="E36" i="22"/>
  <c r="E35" i="22"/>
  <c r="E34" i="22"/>
  <c r="E33" i="22"/>
  <c r="E32" i="22"/>
  <c r="E31" i="22"/>
  <c r="E30" i="22"/>
  <c r="E29" i="22"/>
  <c r="E28" i="22"/>
  <c r="E27" i="22"/>
  <c r="E26" i="22"/>
  <c r="E25" i="22"/>
  <c r="E24" i="22"/>
  <c r="E23" i="22"/>
  <c r="E22" i="22"/>
  <c r="E21" i="22"/>
  <c r="E20" i="22"/>
  <c r="E19" i="22"/>
  <c r="E18" i="22"/>
  <c r="E17" i="22"/>
  <c r="E16" i="22"/>
  <c r="E15" i="22"/>
  <c r="E14" i="22"/>
  <c r="E13" i="22"/>
  <c r="E12" i="22"/>
  <c r="E11" i="22"/>
  <c r="E10" i="22"/>
  <c r="E9" i="22"/>
  <c r="E8" i="22"/>
  <c r="E7" i="22"/>
  <c r="E6" i="22"/>
  <c r="E5" i="22"/>
  <c r="E4" i="22"/>
  <c r="E3" i="22"/>
  <c r="E2" i="22"/>
  <c r="AR63" i="20"/>
  <c r="AM63" i="20"/>
  <c r="AL63" i="20"/>
  <c r="AK63" i="20"/>
  <c r="AG63" i="20"/>
  <c r="AF63" i="20"/>
  <c r="AB63" i="20"/>
  <c r="W63" i="20"/>
  <c r="V63" i="20"/>
  <c r="T63" i="20"/>
  <c r="O63" i="20"/>
  <c r="N63" i="20"/>
  <c r="K63" i="20"/>
  <c r="H63" i="20"/>
  <c r="AR62" i="20"/>
  <c r="AM62" i="20"/>
  <c r="AL62" i="20"/>
  <c r="AK62" i="20"/>
  <c r="AG62" i="20"/>
  <c r="AF62" i="20"/>
  <c r="AB62" i="20"/>
  <c r="W62" i="20"/>
  <c r="V62" i="20"/>
  <c r="U62" i="20"/>
  <c r="T62" i="20"/>
  <c r="O62" i="20"/>
  <c r="N62" i="20"/>
  <c r="K62" i="20"/>
  <c r="H62" i="20"/>
  <c r="AR61" i="20"/>
  <c r="AM61" i="20"/>
  <c r="AL61" i="20"/>
  <c r="AK61" i="20"/>
  <c r="AG61" i="20"/>
  <c r="AF61" i="20"/>
  <c r="AB61" i="20"/>
  <c r="W61" i="20"/>
  <c r="V61" i="20"/>
  <c r="U61" i="20"/>
  <c r="T61" i="20"/>
  <c r="O61" i="20"/>
  <c r="N61" i="20"/>
  <c r="K61" i="20"/>
  <c r="H61" i="20"/>
  <c r="AR60" i="20"/>
  <c r="AM60" i="20"/>
  <c r="AL60" i="20"/>
  <c r="AK60" i="20"/>
  <c r="AG60" i="20"/>
  <c r="AF60" i="20"/>
  <c r="AB60" i="20"/>
  <c r="W60" i="20"/>
  <c r="V60" i="20"/>
  <c r="U60" i="20"/>
  <c r="T60" i="20"/>
  <c r="O60" i="20"/>
  <c r="N60" i="20"/>
  <c r="K60" i="20"/>
  <c r="H60" i="20"/>
  <c r="AR59" i="20"/>
  <c r="AM59" i="20"/>
  <c r="AL59" i="20"/>
  <c r="AK59" i="20"/>
  <c r="AG59" i="20"/>
  <c r="AF59" i="20"/>
  <c r="AB59" i="20"/>
  <c r="W59" i="20"/>
  <c r="V59" i="20"/>
  <c r="U59" i="20"/>
  <c r="T59" i="20"/>
  <c r="O59" i="20"/>
  <c r="N59" i="20"/>
  <c r="K59" i="20"/>
  <c r="H59" i="20"/>
  <c r="AR58" i="20"/>
  <c r="AM58" i="20"/>
  <c r="AL58" i="20"/>
  <c r="AK58" i="20"/>
  <c r="AG58" i="20"/>
  <c r="AF58" i="20"/>
  <c r="AB58" i="20"/>
  <c r="W58" i="20"/>
  <c r="V58" i="20"/>
  <c r="T58" i="20"/>
  <c r="O58" i="20"/>
  <c r="N58" i="20"/>
  <c r="K58" i="20"/>
  <c r="H58" i="20"/>
  <c r="AR57" i="20"/>
  <c r="AM57" i="20"/>
  <c r="AL57" i="20"/>
  <c r="AK57" i="20"/>
  <c r="AG57" i="20"/>
  <c r="AF57" i="20"/>
  <c r="AB57" i="20"/>
  <c r="W57" i="20"/>
  <c r="V57" i="20"/>
  <c r="U57" i="20"/>
  <c r="T57" i="20"/>
  <c r="O57" i="20"/>
  <c r="N57" i="20"/>
  <c r="K57" i="20"/>
  <c r="H57" i="20"/>
  <c r="AR56" i="20"/>
  <c r="AM56" i="20"/>
  <c r="AL56" i="20"/>
  <c r="AK56" i="20"/>
  <c r="AG56" i="20"/>
  <c r="AF56" i="20"/>
  <c r="AB56" i="20"/>
  <c r="W56" i="20"/>
  <c r="V56" i="20"/>
  <c r="U56" i="20"/>
  <c r="T56" i="20"/>
  <c r="O56" i="20"/>
  <c r="N56" i="20"/>
  <c r="K56" i="20"/>
  <c r="H56" i="20"/>
  <c r="AR55" i="20"/>
  <c r="AM55" i="20"/>
  <c r="AL55" i="20"/>
  <c r="AK55" i="20"/>
  <c r="AG55" i="20"/>
  <c r="AF55" i="20"/>
  <c r="AB55" i="20"/>
  <c r="W55" i="20"/>
  <c r="V55" i="20"/>
  <c r="U55" i="20"/>
  <c r="T55" i="20"/>
  <c r="O55" i="20"/>
  <c r="N55" i="20"/>
  <c r="K55" i="20"/>
  <c r="H55" i="20"/>
  <c r="AR54" i="20"/>
  <c r="AM54" i="20"/>
  <c r="AL54" i="20"/>
  <c r="AK54" i="20"/>
  <c r="AG54" i="20"/>
  <c r="AF54" i="20"/>
  <c r="AB54" i="20"/>
  <c r="W54" i="20"/>
  <c r="V54" i="20"/>
  <c r="U54" i="20"/>
  <c r="T54" i="20"/>
  <c r="O54" i="20"/>
  <c r="N54" i="20"/>
  <c r="K54" i="20"/>
  <c r="H54" i="20"/>
  <c r="AR53" i="20"/>
  <c r="AM53" i="20"/>
  <c r="AL53" i="20"/>
  <c r="AK53" i="20"/>
  <c r="AG53" i="20"/>
  <c r="AF53" i="20"/>
  <c r="AB53" i="20"/>
  <c r="W53" i="20"/>
  <c r="V53" i="20"/>
  <c r="T53" i="20"/>
  <c r="O53" i="20"/>
  <c r="N53" i="20"/>
  <c r="K53" i="20"/>
  <c r="H53" i="20"/>
  <c r="AR52" i="20"/>
  <c r="AM52" i="20"/>
  <c r="AL52" i="20"/>
  <c r="AK52" i="20"/>
  <c r="AG52" i="20"/>
  <c r="AF52" i="20"/>
  <c r="AB52" i="20"/>
  <c r="W52" i="20"/>
  <c r="V52" i="20"/>
  <c r="U52" i="20"/>
  <c r="T52" i="20"/>
  <c r="O52" i="20"/>
  <c r="N52" i="20"/>
  <c r="K52" i="20"/>
  <c r="H52" i="20"/>
  <c r="AR51" i="20"/>
  <c r="AM51" i="20"/>
  <c r="AL51" i="20"/>
  <c r="AK51" i="20"/>
  <c r="AG51" i="20"/>
  <c r="AF51" i="20"/>
  <c r="AB51" i="20"/>
  <c r="W51" i="20"/>
  <c r="V51" i="20"/>
  <c r="U51" i="20"/>
  <c r="T51" i="20"/>
  <c r="O51" i="20"/>
  <c r="N51" i="20"/>
  <c r="K51" i="20"/>
  <c r="H51" i="20"/>
  <c r="AR50" i="20"/>
  <c r="AM50" i="20"/>
  <c r="AL50" i="20"/>
  <c r="AK50" i="20"/>
  <c r="AG50" i="20"/>
  <c r="AF50" i="20"/>
  <c r="AB50" i="20"/>
  <c r="W50" i="20"/>
  <c r="V50" i="20"/>
  <c r="U50" i="20"/>
  <c r="T50" i="20"/>
  <c r="O50" i="20"/>
  <c r="N50" i="20"/>
  <c r="K50" i="20"/>
  <c r="H50" i="20"/>
  <c r="AR49" i="20"/>
  <c r="AM49" i="20"/>
  <c r="AL49" i="20"/>
  <c r="AK49" i="20"/>
  <c r="AG49" i="20"/>
  <c r="AF49" i="20"/>
  <c r="AB49" i="20"/>
  <c r="W49" i="20"/>
  <c r="V49" i="20"/>
  <c r="U49" i="20"/>
  <c r="T49" i="20"/>
  <c r="O49" i="20"/>
  <c r="N49" i="20"/>
  <c r="K49" i="20"/>
  <c r="H49" i="20"/>
  <c r="AR48" i="20"/>
  <c r="AM48" i="20"/>
  <c r="AL48" i="20"/>
  <c r="AK48" i="20"/>
  <c r="AG48" i="20"/>
  <c r="AF48" i="20"/>
  <c r="AB48" i="20"/>
  <c r="W48" i="20"/>
  <c r="V48" i="20"/>
  <c r="T48" i="20"/>
  <c r="O48" i="20"/>
  <c r="N48" i="20"/>
  <c r="K48" i="20"/>
  <c r="H48" i="20"/>
  <c r="AR47" i="20"/>
  <c r="AM47" i="20"/>
  <c r="AL47" i="20"/>
  <c r="AK47" i="20"/>
  <c r="AG47" i="20"/>
  <c r="AF47" i="20"/>
  <c r="AB47" i="20"/>
  <c r="W47" i="20"/>
  <c r="V47" i="20"/>
  <c r="U47" i="20"/>
  <c r="T47" i="20"/>
  <c r="O47" i="20"/>
  <c r="N47" i="20"/>
  <c r="K47" i="20"/>
  <c r="H47" i="20"/>
  <c r="AR46" i="20"/>
  <c r="AM46" i="20"/>
  <c r="AL46" i="20"/>
  <c r="AK46" i="20"/>
  <c r="AG46" i="20"/>
  <c r="AF46" i="20"/>
  <c r="AB46" i="20"/>
  <c r="W46" i="20"/>
  <c r="V46" i="20"/>
  <c r="U46" i="20"/>
  <c r="T46" i="20"/>
  <c r="O46" i="20"/>
  <c r="N46" i="20"/>
  <c r="K46" i="20"/>
  <c r="H46" i="20"/>
  <c r="AR45" i="20"/>
  <c r="AM45" i="20"/>
  <c r="AL45" i="20"/>
  <c r="AK45" i="20"/>
  <c r="AG45" i="20"/>
  <c r="AF45" i="20"/>
  <c r="AB45" i="20"/>
  <c r="W45" i="20"/>
  <c r="V45" i="20"/>
  <c r="U45" i="20"/>
  <c r="T45" i="20"/>
  <c r="O45" i="20"/>
  <c r="N45" i="20"/>
  <c r="K45" i="20"/>
  <c r="H45" i="20"/>
  <c r="AR44" i="20"/>
  <c r="AM44" i="20"/>
  <c r="AL44" i="20"/>
  <c r="AK44" i="20"/>
  <c r="AG44" i="20"/>
  <c r="AF44" i="20"/>
  <c r="AB44" i="20"/>
  <c r="W44" i="20"/>
  <c r="V44" i="20"/>
  <c r="U44" i="20"/>
  <c r="O44" i="20"/>
  <c r="N44" i="20"/>
  <c r="K44" i="20"/>
  <c r="H44" i="20"/>
  <c r="AR43" i="20"/>
  <c r="AM43" i="20"/>
  <c r="AL43" i="20"/>
  <c r="AK43" i="20"/>
  <c r="AJ43" i="20"/>
  <c r="AG43" i="20"/>
  <c r="AF43" i="20"/>
  <c r="AE43" i="20"/>
  <c r="AB43" i="20"/>
  <c r="AA43" i="20"/>
  <c r="W43" i="20"/>
  <c r="S43" i="20"/>
  <c r="O43" i="20"/>
  <c r="G43" i="20"/>
  <c r="AR42" i="20"/>
  <c r="AM42" i="20"/>
  <c r="AL42" i="20"/>
  <c r="AK42" i="20"/>
  <c r="AJ42" i="20"/>
  <c r="AG42" i="20"/>
  <c r="AE42" i="20"/>
  <c r="AA42" i="20"/>
  <c r="W42" i="20"/>
  <c r="S42" i="20"/>
  <c r="O42" i="20"/>
  <c r="G42" i="20"/>
  <c r="B42" i="20"/>
  <c r="AR41" i="20"/>
  <c r="AM41" i="20"/>
  <c r="AL41" i="20"/>
  <c r="AK41" i="20"/>
  <c r="AJ41" i="20"/>
  <c r="AG41" i="20"/>
  <c r="AE41" i="20"/>
  <c r="AA41" i="20"/>
  <c r="W41" i="20"/>
  <c r="S41" i="20"/>
  <c r="O41" i="20"/>
  <c r="G41" i="20"/>
  <c r="B41" i="20"/>
  <c r="AR40" i="20"/>
  <c r="AM40" i="20"/>
  <c r="AL40" i="20"/>
  <c r="AK40" i="20"/>
  <c r="AJ40" i="20"/>
  <c r="AG40" i="20"/>
  <c r="AE40" i="20"/>
  <c r="AA40" i="20"/>
  <c r="W40" i="20"/>
  <c r="S40" i="20"/>
  <c r="O40" i="20"/>
  <c r="G40" i="20"/>
  <c r="B40" i="20"/>
  <c r="AR39" i="20"/>
  <c r="AM39" i="20"/>
  <c r="AL39" i="20"/>
  <c r="AK39" i="20"/>
  <c r="AJ39" i="20"/>
  <c r="AG39" i="20"/>
  <c r="AE39" i="20"/>
  <c r="AA39" i="20"/>
  <c r="W39" i="20"/>
  <c r="S39" i="20"/>
  <c r="O39" i="20"/>
  <c r="G39" i="20"/>
  <c r="B39" i="20"/>
  <c r="AR38" i="20"/>
  <c r="AM38" i="20"/>
  <c r="AL38" i="20"/>
  <c r="AK38" i="20"/>
  <c r="AJ38" i="20"/>
  <c r="AG38" i="20"/>
  <c r="AE38" i="20"/>
  <c r="AA38" i="20"/>
  <c r="W38" i="20"/>
  <c r="S38" i="20"/>
  <c r="O38" i="20"/>
  <c r="G38" i="20"/>
  <c r="B38" i="20"/>
  <c r="AR37" i="20"/>
  <c r="AM37" i="20"/>
  <c r="AL37" i="20"/>
  <c r="AK37" i="20"/>
  <c r="AJ37" i="20"/>
  <c r="AG37" i="20"/>
  <c r="AE37" i="20"/>
  <c r="AA37" i="20"/>
  <c r="W37" i="20"/>
  <c r="S37" i="20"/>
  <c r="O37" i="20"/>
  <c r="G37" i="20"/>
  <c r="B37" i="20"/>
  <c r="AR36" i="20"/>
  <c r="AM36" i="20"/>
  <c r="AL36" i="20"/>
  <c r="AK36" i="20"/>
  <c r="AJ36" i="20"/>
  <c r="AG36" i="20"/>
  <c r="AE36" i="20"/>
  <c r="AA36" i="20"/>
  <c r="W36" i="20"/>
  <c r="S36" i="20"/>
  <c r="O36" i="20"/>
  <c r="G36" i="20"/>
  <c r="B36" i="20"/>
  <c r="AR35" i="20"/>
  <c r="AM35" i="20"/>
  <c r="AL35" i="20"/>
  <c r="AK35" i="20"/>
  <c r="AJ35" i="20"/>
  <c r="AG35" i="20"/>
  <c r="AE35" i="20"/>
  <c r="AA35" i="20"/>
  <c r="W35" i="20"/>
  <c r="S35" i="20"/>
  <c r="O35" i="20"/>
  <c r="G35" i="20"/>
  <c r="B35" i="20"/>
  <c r="AR34" i="20"/>
  <c r="AM34" i="20"/>
  <c r="AL34" i="20"/>
  <c r="AK34" i="20"/>
  <c r="AJ34" i="20"/>
  <c r="AG34" i="20"/>
  <c r="AE34" i="20"/>
  <c r="AA34" i="20"/>
  <c r="W34" i="20"/>
  <c r="S34" i="20"/>
  <c r="O34" i="20"/>
  <c r="G34" i="20"/>
  <c r="B34" i="20"/>
  <c r="AR33" i="20"/>
  <c r="AM33" i="20"/>
  <c r="AL33" i="20"/>
  <c r="AK33" i="20"/>
  <c r="AJ33" i="20"/>
  <c r="AG33" i="20"/>
  <c r="AE33" i="20"/>
  <c r="AA33" i="20"/>
  <c r="W33" i="20"/>
  <c r="S33" i="20"/>
  <c r="O33" i="20"/>
  <c r="G33" i="20"/>
  <c r="B33" i="20"/>
  <c r="AR32" i="20"/>
  <c r="AM32" i="20"/>
  <c r="AL32" i="20"/>
  <c r="AK32" i="20"/>
  <c r="AJ32" i="20"/>
  <c r="AG32" i="20"/>
  <c r="AE32" i="20"/>
  <c r="AA32" i="20"/>
  <c r="W32" i="20"/>
  <c r="S32" i="20"/>
  <c r="O32" i="20"/>
  <c r="G32" i="20"/>
  <c r="B32" i="20"/>
  <c r="AR31" i="20"/>
  <c r="AM31" i="20"/>
  <c r="AL31" i="20"/>
  <c r="AK31" i="20"/>
  <c r="AJ31" i="20"/>
  <c r="AG31" i="20"/>
  <c r="AE31" i="20"/>
  <c r="AA31" i="20"/>
  <c r="W31" i="20"/>
  <c r="S31" i="20"/>
  <c r="O31" i="20"/>
  <c r="G31" i="20"/>
  <c r="B31" i="20"/>
  <c r="AR30" i="20"/>
  <c r="AM30" i="20"/>
  <c r="AL30" i="20"/>
  <c r="AK30" i="20"/>
  <c r="AJ30" i="20"/>
  <c r="AG30" i="20"/>
  <c r="AE30" i="20"/>
  <c r="AA30" i="20"/>
  <c r="W30" i="20"/>
  <c r="S30" i="20"/>
  <c r="O30" i="20"/>
  <c r="G30" i="20"/>
  <c r="B30" i="20"/>
  <c r="AR29" i="20"/>
  <c r="AM29" i="20"/>
  <c r="AL29" i="20"/>
  <c r="AK29" i="20"/>
  <c r="AJ29" i="20"/>
  <c r="AG29" i="20"/>
  <c r="AE29" i="20"/>
  <c r="AA29" i="20"/>
  <c r="W29" i="20"/>
  <c r="S29" i="20"/>
  <c r="O29" i="20"/>
  <c r="G29" i="20"/>
  <c r="B29" i="20"/>
  <c r="AR28" i="20"/>
  <c r="AM28" i="20"/>
  <c r="AL28" i="20"/>
  <c r="AK28" i="20"/>
  <c r="AJ28" i="20"/>
  <c r="AG28" i="20"/>
  <c r="AE28" i="20"/>
  <c r="AA28" i="20"/>
  <c r="W28" i="20"/>
  <c r="S28" i="20"/>
  <c r="O28" i="20"/>
  <c r="G28" i="20"/>
  <c r="B28" i="20"/>
  <c r="AR27" i="20"/>
  <c r="AM27" i="20"/>
  <c r="AL27" i="20"/>
  <c r="AK27" i="20"/>
  <c r="AJ27" i="20"/>
  <c r="AG27" i="20"/>
  <c r="AE27" i="20"/>
  <c r="AA27" i="20"/>
  <c r="W27" i="20"/>
  <c r="S27" i="20"/>
  <c r="O27" i="20"/>
  <c r="G27" i="20"/>
  <c r="B27" i="20"/>
  <c r="AR26" i="20"/>
  <c r="AM26" i="20"/>
  <c r="AL26" i="20"/>
  <c r="AK26" i="20"/>
  <c r="AJ26" i="20"/>
  <c r="AG26" i="20"/>
  <c r="AE26" i="20"/>
  <c r="AA26" i="20"/>
  <c r="W26" i="20"/>
  <c r="S26" i="20"/>
  <c r="O26" i="20"/>
  <c r="G26" i="20"/>
  <c r="B26" i="20"/>
  <c r="AR25" i="20"/>
  <c r="AM25" i="20"/>
  <c r="AL25" i="20"/>
  <c r="AK25" i="20"/>
  <c r="AJ25" i="20"/>
  <c r="AG25" i="20"/>
  <c r="AE25" i="20"/>
  <c r="AA25" i="20"/>
  <c r="W25" i="20"/>
  <c r="S25" i="20"/>
  <c r="O25" i="20"/>
  <c r="G25" i="20"/>
  <c r="B25" i="20"/>
  <c r="AR24" i="20"/>
  <c r="AM24" i="20"/>
  <c r="AL24" i="20"/>
  <c r="AK24" i="20"/>
  <c r="AJ24" i="20"/>
  <c r="AG24" i="20"/>
  <c r="AE24" i="20"/>
  <c r="AA24" i="20"/>
  <c r="W24" i="20"/>
  <c r="S24" i="20"/>
  <c r="O24" i="20"/>
  <c r="G24" i="20"/>
  <c r="B24" i="20"/>
  <c r="AR23" i="20"/>
  <c r="AM23" i="20"/>
  <c r="AL23" i="20"/>
  <c r="AK23" i="20"/>
  <c r="AJ23" i="20"/>
  <c r="AG23" i="20"/>
  <c r="AE23" i="20"/>
  <c r="AA23" i="20"/>
  <c r="W23" i="20"/>
  <c r="S23" i="20"/>
  <c r="O23" i="20"/>
  <c r="G23" i="20"/>
  <c r="B23" i="20"/>
  <c r="AR22" i="20"/>
  <c r="AM22" i="20"/>
  <c r="AL22" i="20"/>
  <c r="AK22" i="20"/>
  <c r="AJ22" i="20"/>
  <c r="AG22" i="20"/>
  <c r="AE22" i="20"/>
  <c r="AA22" i="20"/>
  <c r="W22" i="20"/>
  <c r="S22" i="20"/>
  <c r="O22" i="20"/>
  <c r="G22" i="20"/>
  <c r="B22" i="20"/>
  <c r="AR21" i="20"/>
  <c r="AM21" i="20"/>
  <c r="AL21" i="20"/>
  <c r="AK21" i="20"/>
  <c r="AJ21" i="20"/>
  <c r="AG21" i="20"/>
  <c r="AE21" i="20"/>
  <c r="AA21" i="20"/>
  <c r="W21" i="20"/>
  <c r="S21" i="20"/>
  <c r="O21" i="20"/>
  <c r="G21" i="20"/>
  <c r="B21" i="20"/>
  <c r="AR20" i="20"/>
  <c r="AM20" i="20"/>
  <c r="AL20" i="20"/>
  <c r="AK20" i="20"/>
  <c r="AJ20" i="20"/>
  <c r="AG20" i="20"/>
  <c r="AE20" i="20"/>
  <c r="AA20" i="20"/>
  <c r="W20" i="20"/>
  <c r="S20" i="20"/>
  <c r="O20" i="20"/>
  <c r="G20" i="20"/>
  <c r="B20" i="20"/>
  <c r="AR19" i="20"/>
  <c r="AM19" i="20"/>
  <c r="AL19" i="20"/>
  <c r="AK19" i="20"/>
  <c r="AJ19" i="20"/>
  <c r="AG19" i="20"/>
  <c r="AE19" i="20"/>
  <c r="AA19" i="20"/>
  <c r="W19" i="20"/>
  <c r="S19" i="20"/>
  <c r="O19" i="20"/>
  <c r="G19" i="20"/>
  <c r="B19" i="20"/>
  <c r="AR18" i="20"/>
  <c r="AM18" i="20"/>
  <c r="AL18" i="20"/>
  <c r="AK18" i="20"/>
  <c r="AJ18" i="20"/>
  <c r="AG18" i="20"/>
  <c r="AE18" i="20"/>
  <c r="AA18" i="20"/>
  <c r="W18" i="20"/>
  <c r="S18" i="20"/>
  <c r="O18" i="20"/>
  <c r="G18" i="20"/>
  <c r="B18" i="20"/>
  <c r="AR17" i="20"/>
  <c r="AM17" i="20"/>
  <c r="AL17" i="20"/>
  <c r="AK17" i="20"/>
  <c r="AJ17" i="20"/>
  <c r="AG17" i="20"/>
  <c r="AE17" i="20"/>
  <c r="AA17" i="20"/>
  <c r="W17" i="20"/>
  <c r="S17" i="20"/>
  <c r="O17" i="20"/>
  <c r="G17" i="20"/>
  <c r="B17" i="20"/>
  <c r="AR16" i="20"/>
  <c r="AM16" i="20"/>
  <c r="AL16" i="20"/>
  <c r="AK16" i="20"/>
  <c r="AJ16" i="20"/>
  <c r="AG16" i="20"/>
  <c r="AE16" i="20"/>
  <c r="AA16" i="20"/>
  <c r="W16" i="20"/>
  <c r="S16" i="20"/>
  <c r="O16" i="20"/>
  <c r="G16" i="20"/>
  <c r="B16" i="20"/>
  <c r="AR15" i="20"/>
  <c r="AM15" i="20"/>
  <c r="AL15" i="20"/>
  <c r="AK15" i="20"/>
  <c r="AJ15" i="20"/>
  <c r="AG15" i="20"/>
  <c r="AE15" i="20"/>
  <c r="AA15" i="20"/>
  <c r="W15" i="20"/>
  <c r="S15" i="20"/>
  <c r="O15" i="20"/>
  <c r="G15" i="20"/>
  <c r="B15" i="20"/>
  <c r="AR14" i="20"/>
  <c r="AM14" i="20"/>
  <c r="AL14" i="20"/>
  <c r="AK14" i="20"/>
  <c r="AJ14" i="20"/>
  <c r="AG14" i="20"/>
  <c r="AE14" i="20"/>
  <c r="AA14" i="20"/>
  <c r="W14" i="20"/>
  <c r="S14" i="20"/>
  <c r="O14" i="20"/>
  <c r="G14" i="20"/>
  <c r="B14" i="20"/>
  <c r="AR13" i="20"/>
  <c r="AM13" i="20"/>
  <c r="AL13" i="20"/>
  <c r="AK13" i="20"/>
  <c r="AJ13" i="20"/>
  <c r="AG13" i="20"/>
  <c r="AE13" i="20"/>
  <c r="AA13" i="20"/>
  <c r="W13" i="20"/>
  <c r="S13" i="20"/>
  <c r="O13" i="20"/>
  <c r="G13" i="20"/>
  <c r="B13" i="20"/>
  <c r="AR12" i="20"/>
  <c r="AM12" i="20"/>
  <c r="AL12" i="20"/>
  <c r="AK12" i="20"/>
  <c r="AJ12" i="20"/>
  <c r="AG12" i="20"/>
  <c r="AE12" i="20"/>
  <c r="AA12" i="20"/>
  <c r="W12" i="20"/>
  <c r="S12" i="20"/>
  <c r="O12" i="20"/>
  <c r="G12" i="20"/>
  <c r="B12" i="20"/>
  <c r="AR11" i="20"/>
  <c r="AM11" i="20"/>
  <c r="AL11" i="20"/>
  <c r="AK11" i="20"/>
  <c r="AJ11" i="20"/>
  <c r="AG11" i="20"/>
  <c r="AE11" i="20"/>
  <c r="AA11" i="20"/>
  <c r="W11" i="20"/>
  <c r="S11" i="20"/>
  <c r="O11" i="20"/>
  <c r="G11" i="20"/>
  <c r="B11" i="20"/>
  <c r="AR10" i="20"/>
  <c r="AM10" i="20"/>
  <c r="AL10" i="20"/>
  <c r="AK10" i="20"/>
  <c r="AJ10" i="20"/>
  <c r="AG10" i="20"/>
  <c r="AE10" i="20"/>
  <c r="AA10" i="20"/>
  <c r="W10" i="20"/>
  <c r="S10" i="20"/>
  <c r="O10" i="20"/>
  <c r="G10" i="20"/>
  <c r="B10" i="20"/>
  <c r="AR9" i="20"/>
  <c r="AM9" i="20"/>
  <c r="AL9" i="20"/>
  <c r="AK9" i="20"/>
  <c r="AJ9" i="20"/>
  <c r="AG9" i="20"/>
  <c r="AE9" i="20"/>
  <c r="AA9" i="20"/>
  <c r="W9" i="20"/>
  <c r="S9" i="20"/>
  <c r="O9" i="20"/>
  <c r="G9" i="20"/>
  <c r="B9" i="20"/>
  <c r="AR8" i="20"/>
  <c r="AM8" i="20"/>
  <c r="AL8" i="20"/>
  <c r="AK8" i="20"/>
  <c r="AJ8" i="20"/>
  <c r="AG8" i="20"/>
  <c r="AE8" i="20"/>
  <c r="AA8" i="20"/>
  <c r="W8" i="20"/>
  <c r="S8" i="20"/>
  <c r="O8" i="20"/>
  <c r="G8" i="20"/>
  <c r="B8" i="20"/>
  <c r="AR7" i="20"/>
  <c r="AM7" i="20"/>
  <c r="AL7" i="20"/>
  <c r="AK7" i="20"/>
  <c r="AJ7" i="20"/>
  <c r="AG7" i="20"/>
  <c r="AE7" i="20"/>
  <c r="AA7" i="20"/>
  <c r="W7" i="20"/>
  <c r="S7" i="20"/>
  <c r="O7" i="20"/>
  <c r="G7" i="20"/>
  <c r="B7" i="20"/>
  <c r="AR6" i="20"/>
  <c r="AM6" i="20"/>
  <c r="AL6" i="20"/>
  <c r="AK6" i="20"/>
  <c r="AJ6" i="20"/>
  <c r="AG6" i="20"/>
  <c r="AE6" i="20"/>
  <c r="AA6" i="20"/>
  <c r="W6" i="20"/>
  <c r="S6" i="20"/>
  <c r="O6" i="20"/>
  <c r="G6" i="20"/>
  <c r="B6" i="20"/>
  <c r="AR5" i="20"/>
  <c r="AM5" i="20"/>
  <c r="AL5" i="20"/>
  <c r="AK5" i="20"/>
  <c r="AJ5" i="20"/>
  <c r="AG5" i="20"/>
  <c r="AE5" i="20"/>
  <c r="AA5" i="20"/>
  <c r="W5" i="20"/>
  <c r="S5" i="20"/>
  <c r="O5" i="20"/>
  <c r="G5" i="20"/>
  <c r="B5" i="20"/>
  <c r="AR4" i="20"/>
  <c r="AL4" i="20"/>
  <c r="AK4" i="20"/>
  <c r="AJ4" i="20"/>
  <c r="AE4" i="20"/>
  <c r="AA4" i="20"/>
  <c r="W4" i="20"/>
  <c r="S4" i="20"/>
  <c r="O4" i="20"/>
  <c r="G4" i="20"/>
  <c r="B4" i="20"/>
  <c r="AR3" i="20"/>
  <c r="AA3" i="20"/>
  <c r="W3" i="20"/>
  <c r="S3" i="20"/>
  <c r="B3" i="20"/>
  <c r="BB63" i="26"/>
  <c r="BA63" i="26"/>
  <c r="AX63" i="26"/>
  <c r="AW63" i="26"/>
  <c r="AV63" i="26"/>
  <c r="AR63" i="26"/>
  <c r="AQ63" i="26"/>
  <c r="AM63" i="26"/>
  <c r="AH63" i="26"/>
  <c r="AG63" i="26"/>
  <c r="AE63" i="26"/>
  <c r="Z63" i="26"/>
  <c r="Y63" i="26"/>
  <c r="X63" i="26"/>
  <c r="W63" i="26"/>
  <c r="U63" i="26"/>
  <c r="T63" i="26"/>
  <c r="R63" i="26"/>
  <c r="O63" i="26"/>
  <c r="N63" i="26"/>
  <c r="M63" i="26"/>
  <c r="K63" i="26"/>
  <c r="J63" i="26"/>
  <c r="H63" i="26"/>
  <c r="BB62" i="26"/>
  <c r="BA62" i="26"/>
  <c r="AX62" i="26"/>
  <c r="AW62" i="26"/>
  <c r="AV62" i="26"/>
  <c r="AR62" i="26"/>
  <c r="AQ62" i="26"/>
  <c r="AM62" i="26"/>
  <c r="AH62" i="26"/>
  <c r="AG62" i="26"/>
  <c r="AF62" i="26"/>
  <c r="AE62" i="26"/>
  <c r="Z62" i="26"/>
  <c r="Y62" i="26"/>
  <c r="X62" i="26"/>
  <c r="W62" i="26"/>
  <c r="U62" i="26"/>
  <c r="T62" i="26"/>
  <c r="R62" i="26"/>
  <c r="O62" i="26"/>
  <c r="N62" i="26"/>
  <c r="M62" i="26"/>
  <c r="K62" i="26"/>
  <c r="J62" i="26"/>
  <c r="H62" i="26"/>
  <c r="BB61" i="26"/>
  <c r="BA61" i="26"/>
  <c r="AX61" i="26"/>
  <c r="AW61" i="26"/>
  <c r="AV61" i="26"/>
  <c r="AR61" i="26"/>
  <c r="AQ61" i="26"/>
  <c r="AM61" i="26"/>
  <c r="AH61" i="26"/>
  <c r="AG61" i="26"/>
  <c r="AF61" i="26"/>
  <c r="AE61" i="26"/>
  <c r="Z61" i="26"/>
  <c r="Y61" i="26"/>
  <c r="X61" i="26"/>
  <c r="W61" i="26"/>
  <c r="U61" i="26"/>
  <c r="T61" i="26"/>
  <c r="R61" i="26"/>
  <c r="O61" i="26"/>
  <c r="N61" i="26"/>
  <c r="M61" i="26"/>
  <c r="K61" i="26"/>
  <c r="J61" i="26"/>
  <c r="H61" i="26"/>
  <c r="BB60" i="26"/>
  <c r="BA60" i="26"/>
  <c r="AX60" i="26"/>
  <c r="AW60" i="26"/>
  <c r="AV60" i="26"/>
  <c r="AR60" i="26"/>
  <c r="AQ60" i="26"/>
  <c r="AM60" i="26"/>
  <c r="AH60" i="26"/>
  <c r="AG60" i="26"/>
  <c r="AF60" i="26"/>
  <c r="AE60" i="26"/>
  <c r="Z60" i="26"/>
  <c r="Y60" i="26"/>
  <c r="X60" i="26"/>
  <c r="W60" i="26"/>
  <c r="U60" i="26"/>
  <c r="T60" i="26"/>
  <c r="R60" i="26"/>
  <c r="O60" i="26"/>
  <c r="N60" i="26"/>
  <c r="M60" i="26"/>
  <c r="K60" i="26"/>
  <c r="J60" i="26"/>
  <c r="H60" i="26"/>
  <c r="BB59" i="26"/>
  <c r="BA59" i="26"/>
  <c r="AX59" i="26"/>
  <c r="AW59" i="26"/>
  <c r="AV59" i="26"/>
  <c r="AR59" i="26"/>
  <c r="AQ59" i="26"/>
  <c r="AM59" i="26"/>
  <c r="AH59" i="26"/>
  <c r="AG59" i="26"/>
  <c r="AF59" i="26"/>
  <c r="AE59" i="26"/>
  <c r="Z59" i="26"/>
  <c r="Y59" i="26"/>
  <c r="X59" i="26"/>
  <c r="W59" i="26"/>
  <c r="U59" i="26"/>
  <c r="T59" i="26"/>
  <c r="R59" i="26"/>
  <c r="O59" i="26"/>
  <c r="N59" i="26"/>
  <c r="M59" i="26"/>
  <c r="K59" i="26"/>
  <c r="J59" i="26"/>
  <c r="H59" i="26"/>
  <c r="BB58" i="26"/>
  <c r="BA58" i="26"/>
  <c r="AX58" i="26"/>
  <c r="AW58" i="26"/>
  <c r="AV58" i="26"/>
  <c r="AR58" i="26"/>
  <c r="AQ58" i="26"/>
  <c r="AM58" i="26"/>
  <c r="AH58" i="26"/>
  <c r="AG58" i="26"/>
  <c r="AE58" i="26"/>
  <c r="Z58" i="26"/>
  <c r="Y58" i="26"/>
  <c r="X58" i="26"/>
  <c r="W58" i="26"/>
  <c r="U58" i="26"/>
  <c r="T58" i="26"/>
  <c r="R58" i="26"/>
  <c r="O58" i="26"/>
  <c r="N58" i="26"/>
  <c r="M58" i="26"/>
  <c r="K58" i="26"/>
  <c r="J58" i="26"/>
  <c r="H58" i="26"/>
  <c r="BB57" i="26"/>
  <c r="BA57" i="26"/>
  <c r="AX57" i="26"/>
  <c r="AW57" i="26"/>
  <c r="AV57" i="26"/>
  <c r="AR57" i="26"/>
  <c r="AQ57" i="26"/>
  <c r="AM57" i="26"/>
  <c r="AH57" i="26"/>
  <c r="AG57" i="26"/>
  <c r="AF57" i="26"/>
  <c r="AE57" i="26"/>
  <c r="Z57" i="26"/>
  <c r="Y57" i="26"/>
  <c r="X57" i="26"/>
  <c r="W57" i="26"/>
  <c r="U57" i="26"/>
  <c r="T57" i="26"/>
  <c r="R57" i="26"/>
  <c r="O57" i="26"/>
  <c r="N57" i="26"/>
  <c r="M57" i="26"/>
  <c r="K57" i="26"/>
  <c r="J57" i="26"/>
  <c r="H57" i="26"/>
  <c r="BB56" i="26"/>
  <c r="BA56" i="26"/>
  <c r="AX56" i="26"/>
  <c r="AW56" i="26"/>
  <c r="AV56" i="26"/>
  <c r="AR56" i="26"/>
  <c r="AQ56" i="26"/>
  <c r="AM56" i="26"/>
  <c r="AH56" i="26"/>
  <c r="AG56" i="26"/>
  <c r="AF56" i="26"/>
  <c r="AE56" i="26"/>
  <c r="Z56" i="26"/>
  <c r="Y56" i="26"/>
  <c r="X56" i="26"/>
  <c r="W56" i="26"/>
  <c r="U56" i="26"/>
  <c r="T56" i="26"/>
  <c r="R56" i="26"/>
  <c r="O56" i="26"/>
  <c r="N56" i="26"/>
  <c r="M56" i="26"/>
  <c r="K56" i="26"/>
  <c r="J56" i="26"/>
  <c r="H56" i="26"/>
  <c r="BB55" i="26"/>
  <c r="BA55" i="26"/>
  <c r="AX55" i="26"/>
  <c r="AW55" i="26"/>
  <c r="AV55" i="26"/>
  <c r="AR55" i="26"/>
  <c r="AQ55" i="26"/>
  <c r="AM55" i="26"/>
  <c r="AH55" i="26"/>
  <c r="AG55" i="26"/>
  <c r="AF55" i="26"/>
  <c r="AE55" i="26"/>
  <c r="Z55" i="26"/>
  <c r="Y55" i="26"/>
  <c r="X55" i="26"/>
  <c r="W55" i="26"/>
  <c r="U55" i="26"/>
  <c r="R55" i="26"/>
  <c r="O55" i="26"/>
  <c r="N55" i="26"/>
  <c r="M55" i="26"/>
  <c r="K55" i="26"/>
  <c r="J55" i="26"/>
  <c r="H55" i="26"/>
  <c r="BB54" i="26"/>
  <c r="BA54" i="26"/>
  <c r="AX54" i="26"/>
  <c r="AW54" i="26"/>
  <c r="AV54" i="26"/>
  <c r="AR54" i="26"/>
  <c r="AQ54" i="26"/>
  <c r="AM54" i="26"/>
  <c r="AH54" i="26"/>
  <c r="AG54" i="26"/>
  <c r="AF54" i="26"/>
  <c r="AE54" i="26"/>
  <c r="Z54" i="26"/>
  <c r="Y54" i="26"/>
  <c r="X54" i="26"/>
  <c r="W54" i="26"/>
  <c r="U54" i="26"/>
  <c r="T54" i="26"/>
  <c r="R54" i="26"/>
  <c r="O54" i="26"/>
  <c r="N54" i="26"/>
  <c r="M54" i="26"/>
  <c r="K54" i="26"/>
  <c r="J54" i="26"/>
  <c r="H54" i="26"/>
  <c r="BB53" i="26"/>
  <c r="BA53" i="26"/>
  <c r="AX53" i="26"/>
  <c r="AW53" i="26"/>
  <c r="AV53" i="26"/>
  <c r="AR53" i="26"/>
  <c r="AQ53" i="26"/>
  <c r="AM53" i="26"/>
  <c r="AH53" i="26"/>
  <c r="AG53" i="26"/>
  <c r="AE53" i="26"/>
  <c r="Z53" i="26"/>
  <c r="Y53" i="26"/>
  <c r="X53" i="26"/>
  <c r="W53" i="26"/>
  <c r="U53" i="26"/>
  <c r="T53" i="26"/>
  <c r="R53" i="26"/>
  <c r="O53" i="26"/>
  <c r="N53" i="26"/>
  <c r="M53" i="26"/>
  <c r="K53" i="26"/>
  <c r="J53" i="26"/>
  <c r="H53" i="26"/>
  <c r="BB52" i="26"/>
  <c r="BA52" i="26"/>
  <c r="AX52" i="26"/>
  <c r="AW52" i="26"/>
  <c r="AV52" i="26"/>
  <c r="AR52" i="26"/>
  <c r="AQ52" i="26"/>
  <c r="AM52" i="26"/>
  <c r="AH52" i="26"/>
  <c r="AG52" i="26"/>
  <c r="AF52" i="26"/>
  <c r="AE52" i="26"/>
  <c r="Z52" i="26"/>
  <c r="Y52" i="26"/>
  <c r="X52" i="26"/>
  <c r="W52" i="26"/>
  <c r="U52" i="26"/>
  <c r="T52" i="26"/>
  <c r="R52" i="26"/>
  <c r="O52" i="26"/>
  <c r="N52" i="26"/>
  <c r="M52" i="26"/>
  <c r="K52" i="26"/>
  <c r="J52" i="26"/>
  <c r="H52" i="26"/>
  <c r="BB51" i="26"/>
  <c r="BA51" i="26"/>
  <c r="AX51" i="26"/>
  <c r="AW51" i="26"/>
  <c r="AV51" i="26"/>
  <c r="AR51" i="26"/>
  <c r="AQ51" i="26"/>
  <c r="AM51" i="26"/>
  <c r="AH51" i="26"/>
  <c r="AG51" i="26"/>
  <c r="AF51" i="26"/>
  <c r="AE51" i="26"/>
  <c r="Z51" i="26"/>
  <c r="Y51" i="26"/>
  <c r="X51" i="26"/>
  <c r="W51" i="26"/>
  <c r="U51" i="26"/>
  <c r="T51" i="26"/>
  <c r="R51" i="26"/>
  <c r="O51" i="26"/>
  <c r="N51" i="26"/>
  <c r="M51" i="26"/>
  <c r="K51" i="26"/>
  <c r="J51" i="26"/>
  <c r="H51" i="26"/>
  <c r="BB50" i="26"/>
  <c r="BA50" i="26"/>
  <c r="AX50" i="26"/>
  <c r="AW50" i="26"/>
  <c r="AV50" i="26"/>
  <c r="AR50" i="26"/>
  <c r="AQ50" i="26"/>
  <c r="AM50" i="26"/>
  <c r="AH50" i="26"/>
  <c r="AG50" i="26"/>
  <c r="AF50" i="26"/>
  <c r="AE50" i="26"/>
  <c r="Z50" i="26"/>
  <c r="Y50" i="26"/>
  <c r="X50" i="26"/>
  <c r="W50" i="26"/>
  <c r="U50" i="26"/>
  <c r="T50" i="26"/>
  <c r="R50" i="26"/>
  <c r="O50" i="26"/>
  <c r="N50" i="26"/>
  <c r="M50" i="26"/>
  <c r="K50" i="26"/>
  <c r="J50" i="26"/>
  <c r="H50" i="26"/>
  <c r="BB49" i="26"/>
  <c r="BA49" i="26"/>
  <c r="AX49" i="26"/>
  <c r="AW49" i="26"/>
  <c r="AV49" i="26"/>
  <c r="AR49" i="26"/>
  <c r="AQ49" i="26"/>
  <c r="AM49" i="26"/>
  <c r="AH49" i="26"/>
  <c r="AG49" i="26"/>
  <c r="AF49" i="26"/>
  <c r="AE49" i="26"/>
  <c r="Z49" i="26"/>
  <c r="Y49" i="26"/>
  <c r="X49" i="26"/>
  <c r="W49" i="26"/>
  <c r="U49" i="26"/>
  <c r="T49" i="26"/>
  <c r="R49" i="26"/>
  <c r="O49" i="26"/>
  <c r="N49" i="26"/>
  <c r="M49" i="26"/>
  <c r="K49" i="26"/>
  <c r="J49" i="26"/>
  <c r="H49" i="26"/>
  <c r="BB48" i="26"/>
  <c r="BA48" i="26"/>
  <c r="AX48" i="26"/>
  <c r="AW48" i="26"/>
  <c r="AV48" i="26"/>
  <c r="AR48" i="26"/>
  <c r="AQ48" i="26"/>
  <c r="AM48" i="26"/>
  <c r="AH48" i="26"/>
  <c r="AG48" i="26"/>
  <c r="AE48" i="26"/>
  <c r="Z48" i="26"/>
  <c r="Y48" i="26"/>
  <c r="X48" i="26"/>
  <c r="W48" i="26"/>
  <c r="U48" i="26"/>
  <c r="T48" i="26"/>
  <c r="R48" i="26"/>
  <c r="O48" i="26"/>
  <c r="N48" i="26"/>
  <c r="M48" i="26"/>
  <c r="K48" i="26"/>
  <c r="J48" i="26"/>
  <c r="H48" i="26"/>
  <c r="BB47" i="26"/>
  <c r="BA47" i="26"/>
  <c r="AX47" i="26"/>
  <c r="AW47" i="26"/>
  <c r="AV47" i="26"/>
  <c r="AR47" i="26"/>
  <c r="AQ47" i="26"/>
  <c r="AM47" i="26"/>
  <c r="AH47" i="26"/>
  <c r="AG47" i="26"/>
  <c r="AF47" i="26"/>
  <c r="AE47" i="26"/>
  <c r="Z47" i="26"/>
  <c r="Y47" i="26"/>
  <c r="X47" i="26"/>
  <c r="W47" i="26"/>
  <c r="U47" i="26"/>
  <c r="T47" i="26"/>
  <c r="R47" i="26"/>
  <c r="O47" i="26"/>
  <c r="N47" i="26"/>
  <c r="M47" i="26"/>
  <c r="K47" i="26"/>
  <c r="J47" i="26"/>
  <c r="H47" i="26"/>
  <c r="BB46" i="26"/>
  <c r="BA46" i="26"/>
  <c r="AX46" i="26"/>
  <c r="AW46" i="26"/>
  <c r="AV46" i="26"/>
  <c r="AR46" i="26"/>
  <c r="AQ46" i="26"/>
  <c r="AM46" i="26"/>
  <c r="AH46" i="26"/>
  <c r="AG46" i="26"/>
  <c r="AF46" i="26"/>
  <c r="AE46" i="26"/>
  <c r="Z46" i="26"/>
  <c r="Y46" i="26"/>
  <c r="X46" i="26"/>
  <c r="W46" i="26"/>
  <c r="U46" i="26"/>
  <c r="T46" i="26"/>
  <c r="R46" i="26"/>
  <c r="O46" i="26"/>
  <c r="N46" i="26"/>
  <c r="M46" i="26"/>
  <c r="K46" i="26"/>
  <c r="J46" i="26"/>
  <c r="H46" i="26"/>
  <c r="BB45" i="26"/>
  <c r="BA45" i="26"/>
  <c r="AX45" i="26"/>
  <c r="AW45" i="26"/>
  <c r="AV45" i="26"/>
  <c r="AR45" i="26"/>
  <c r="AQ45" i="26"/>
  <c r="AM45" i="26"/>
  <c r="AH45" i="26"/>
  <c r="AG45" i="26"/>
  <c r="AF45" i="26"/>
  <c r="AE45" i="26"/>
  <c r="Z45" i="26"/>
  <c r="Y45" i="26"/>
  <c r="X45" i="26"/>
  <c r="W45" i="26"/>
  <c r="U45" i="26"/>
  <c r="T45" i="26"/>
  <c r="R45" i="26"/>
  <c r="O45" i="26"/>
  <c r="N45" i="26"/>
  <c r="M45" i="26"/>
  <c r="K45" i="26"/>
  <c r="J45" i="26"/>
  <c r="H45" i="26"/>
  <c r="BB44" i="26"/>
  <c r="BA44" i="26"/>
  <c r="AX44" i="26"/>
  <c r="AW44" i="26"/>
  <c r="AV44" i="26"/>
  <c r="AR44" i="26"/>
  <c r="AQ44" i="26"/>
  <c r="AM44" i="26"/>
  <c r="AH44" i="26"/>
  <c r="AG44" i="26"/>
  <c r="AF44" i="26"/>
  <c r="Z44" i="26"/>
  <c r="Y44" i="26"/>
  <c r="X44" i="26"/>
  <c r="W44" i="26"/>
  <c r="U44" i="26"/>
  <c r="R44" i="26"/>
  <c r="O44" i="26"/>
  <c r="N44" i="26"/>
  <c r="M44" i="26"/>
  <c r="K44" i="26"/>
  <c r="J44" i="26"/>
  <c r="H44" i="26"/>
  <c r="BB43" i="26"/>
  <c r="BA43" i="26"/>
  <c r="AX43" i="26"/>
  <c r="AW43" i="26"/>
  <c r="AV43" i="26"/>
  <c r="AU43" i="26"/>
  <c r="AR43" i="26"/>
  <c r="AQ43" i="26"/>
  <c r="AP43" i="26"/>
  <c r="AM43" i="26"/>
  <c r="AL43" i="26"/>
  <c r="AH43" i="26"/>
  <c r="AD43" i="26"/>
  <c r="Z43" i="26"/>
  <c r="Y43" i="26"/>
  <c r="X43" i="26"/>
  <c r="U43" i="26"/>
  <c r="O43" i="26"/>
  <c r="M43" i="26"/>
  <c r="J43" i="26"/>
  <c r="G43" i="26"/>
  <c r="BB42" i="26"/>
  <c r="BA42" i="26"/>
  <c r="AX42" i="26"/>
  <c r="AW42" i="26"/>
  <c r="AV42" i="26"/>
  <c r="AU42" i="26"/>
  <c r="AR42" i="26"/>
  <c r="AP42" i="26"/>
  <c r="AL42" i="26"/>
  <c r="AH42" i="26"/>
  <c r="AD42" i="26"/>
  <c r="Z42" i="26"/>
  <c r="Y42" i="26"/>
  <c r="X42" i="26"/>
  <c r="U42" i="26"/>
  <c r="O42" i="26"/>
  <c r="G42" i="26"/>
  <c r="BB41" i="26"/>
  <c r="BA41" i="26"/>
  <c r="AX41" i="26"/>
  <c r="AW41" i="26"/>
  <c r="AV41" i="26"/>
  <c r="AU41" i="26"/>
  <c r="AR41" i="26"/>
  <c r="AP41" i="26"/>
  <c r="AL41" i="26"/>
  <c r="AH41" i="26"/>
  <c r="AD41" i="26"/>
  <c r="Z41" i="26"/>
  <c r="Y41" i="26"/>
  <c r="X41" i="26"/>
  <c r="U41" i="26"/>
  <c r="O41" i="26"/>
  <c r="G41" i="26"/>
  <c r="BB40" i="26"/>
  <c r="BA40" i="26"/>
  <c r="AX40" i="26"/>
  <c r="AW40" i="26"/>
  <c r="AV40" i="26"/>
  <c r="AU40" i="26"/>
  <c r="AR40" i="26"/>
  <c r="AP40" i="26"/>
  <c r="AL40" i="26"/>
  <c r="AH40" i="26"/>
  <c r="AD40" i="26"/>
  <c r="Z40" i="26"/>
  <c r="Y40" i="26"/>
  <c r="X40" i="26"/>
  <c r="U40" i="26"/>
  <c r="O40" i="26"/>
  <c r="G40" i="26"/>
  <c r="BB39" i="26"/>
  <c r="BA39" i="26"/>
  <c r="AX39" i="26"/>
  <c r="AW39" i="26"/>
  <c r="AV39" i="26"/>
  <c r="AU39" i="26"/>
  <c r="AR39" i="26"/>
  <c r="AP39" i="26"/>
  <c r="AL39" i="26"/>
  <c r="AH39" i="26"/>
  <c r="AD39" i="26"/>
  <c r="Z39" i="26"/>
  <c r="Y39" i="26"/>
  <c r="X39" i="26"/>
  <c r="U39" i="26"/>
  <c r="O39" i="26"/>
  <c r="G39" i="26"/>
  <c r="BB38" i="26"/>
  <c r="BA38" i="26"/>
  <c r="AX38" i="26"/>
  <c r="AW38" i="26"/>
  <c r="AV38" i="26"/>
  <c r="AU38" i="26"/>
  <c r="AR38" i="26"/>
  <c r="AP38" i="26"/>
  <c r="AL38" i="26"/>
  <c r="AH38" i="26"/>
  <c r="AD38" i="26"/>
  <c r="Z38" i="26"/>
  <c r="Y38" i="26"/>
  <c r="X38" i="26"/>
  <c r="U38" i="26"/>
  <c r="O38" i="26"/>
  <c r="G38" i="26"/>
  <c r="BB37" i="26"/>
  <c r="BA37" i="26"/>
  <c r="AX37" i="26"/>
  <c r="AW37" i="26"/>
  <c r="AV37" i="26"/>
  <c r="AU37" i="26"/>
  <c r="AR37" i="26"/>
  <c r="AP37" i="26"/>
  <c r="AL37" i="26"/>
  <c r="AH37" i="26"/>
  <c r="AD37" i="26"/>
  <c r="Z37" i="26"/>
  <c r="Y37" i="26"/>
  <c r="X37" i="26"/>
  <c r="U37" i="26"/>
  <c r="O37" i="26"/>
  <c r="G37" i="26"/>
  <c r="BB36" i="26"/>
  <c r="BA36" i="26"/>
  <c r="AX36" i="26"/>
  <c r="AW36" i="26"/>
  <c r="AV36" i="26"/>
  <c r="AU36" i="26"/>
  <c r="AR36" i="26"/>
  <c r="AP36" i="26"/>
  <c r="AL36" i="26"/>
  <c r="AH36" i="26"/>
  <c r="AD36" i="26"/>
  <c r="Z36" i="26"/>
  <c r="Y36" i="26"/>
  <c r="X36" i="26"/>
  <c r="U36" i="26"/>
  <c r="O36" i="26"/>
  <c r="G36" i="26"/>
  <c r="BB35" i="26"/>
  <c r="BA35" i="26"/>
  <c r="AX35" i="26"/>
  <c r="AW35" i="26"/>
  <c r="AV35" i="26"/>
  <c r="AU35" i="26"/>
  <c r="AR35" i="26"/>
  <c r="AP35" i="26"/>
  <c r="AL35" i="26"/>
  <c r="AH35" i="26"/>
  <c r="AD35" i="26"/>
  <c r="Z35" i="26"/>
  <c r="Y35" i="26"/>
  <c r="X35" i="26"/>
  <c r="U35" i="26"/>
  <c r="O35" i="26"/>
  <c r="G35" i="26"/>
  <c r="BB34" i="26"/>
  <c r="BA34" i="26"/>
  <c r="AX34" i="26"/>
  <c r="AW34" i="26"/>
  <c r="AV34" i="26"/>
  <c r="AU34" i="26"/>
  <c r="AR34" i="26"/>
  <c r="AP34" i="26"/>
  <c r="AL34" i="26"/>
  <c r="AH34" i="26"/>
  <c r="AD34" i="26"/>
  <c r="Z34" i="26"/>
  <c r="Y34" i="26"/>
  <c r="X34" i="26"/>
  <c r="O34" i="26"/>
  <c r="G34" i="26"/>
  <c r="BB33" i="26"/>
  <c r="BA33" i="26"/>
  <c r="AX33" i="26"/>
  <c r="AW33" i="26"/>
  <c r="AV33" i="26"/>
  <c r="AU33" i="26"/>
  <c r="AR33" i="26"/>
  <c r="AP33" i="26"/>
  <c r="AL33" i="26"/>
  <c r="AH33" i="26"/>
  <c r="AD33" i="26"/>
  <c r="Z33" i="26"/>
  <c r="Y33" i="26"/>
  <c r="X33" i="26"/>
  <c r="O33" i="26"/>
  <c r="G33" i="26"/>
  <c r="BB32" i="26"/>
  <c r="BA32" i="26"/>
  <c r="AX32" i="26"/>
  <c r="AW32" i="26"/>
  <c r="AV32" i="26"/>
  <c r="AU32" i="26"/>
  <c r="AR32" i="26"/>
  <c r="AP32" i="26"/>
  <c r="AL32" i="26"/>
  <c r="AH32" i="26"/>
  <c r="AD32" i="26"/>
  <c r="Z32" i="26"/>
  <c r="Y32" i="26"/>
  <c r="X32" i="26"/>
  <c r="O32" i="26"/>
  <c r="G32" i="26"/>
  <c r="BB31" i="26"/>
  <c r="BA31" i="26"/>
  <c r="AX31" i="26"/>
  <c r="AW31" i="26"/>
  <c r="AV31" i="26"/>
  <c r="AU31" i="26"/>
  <c r="AR31" i="26"/>
  <c r="AP31" i="26"/>
  <c r="AL31" i="26"/>
  <c r="AH31" i="26"/>
  <c r="AD31" i="26"/>
  <c r="Z31" i="26"/>
  <c r="Y31" i="26"/>
  <c r="X31" i="26"/>
  <c r="O31" i="26"/>
  <c r="G31" i="26"/>
  <c r="BB30" i="26"/>
  <c r="BA30" i="26"/>
  <c r="AX30" i="26"/>
  <c r="AW30" i="26"/>
  <c r="AV30" i="26"/>
  <c r="AU30" i="26"/>
  <c r="AR30" i="26"/>
  <c r="AP30" i="26"/>
  <c r="AL30" i="26"/>
  <c r="AH30" i="26"/>
  <c r="AD30" i="26"/>
  <c r="Z30" i="26"/>
  <c r="Y30" i="26"/>
  <c r="X30" i="26"/>
  <c r="O30" i="26"/>
  <c r="G30" i="26"/>
  <c r="BB29" i="26"/>
  <c r="BA29" i="26"/>
  <c r="AX29" i="26"/>
  <c r="AW29" i="26"/>
  <c r="AV29" i="26"/>
  <c r="AU29" i="26"/>
  <c r="AR29" i="26"/>
  <c r="AP29" i="26"/>
  <c r="AL29" i="26"/>
  <c r="AH29" i="26"/>
  <c r="AD29" i="26"/>
  <c r="Z29" i="26"/>
  <c r="Y29" i="26"/>
  <c r="X29" i="26"/>
  <c r="O29" i="26"/>
  <c r="G29" i="26"/>
  <c r="BB28" i="26"/>
  <c r="BA28" i="26"/>
  <c r="AX28" i="26"/>
  <c r="AW28" i="26"/>
  <c r="AV28" i="26"/>
  <c r="AU28" i="26"/>
  <c r="AR28" i="26"/>
  <c r="AP28" i="26"/>
  <c r="AL28" i="26"/>
  <c r="AH28" i="26"/>
  <c r="AD28" i="26"/>
  <c r="Z28" i="26"/>
  <c r="Y28" i="26"/>
  <c r="X28" i="26"/>
  <c r="O28" i="26"/>
  <c r="G28" i="26"/>
  <c r="BB27" i="26"/>
  <c r="BA27" i="26"/>
  <c r="AX27" i="26"/>
  <c r="AW27" i="26"/>
  <c r="AV27" i="26"/>
  <c r="AU27" i="26"/>
  <c r="AR27" i="26"/>
  <c r="AP27" i="26"/>
  <c r="AL27" i="26"/>
  <c r="AH27" i="26"/>
  <c r="AD27" i="26"/>
  <c r="Z27" i="26"/>
  <c r="Y27" i="26"/>
  <c r="X27" i="26"/>
  <c r="O27" i="26"/>
  <c r="G27" i="26"/>
  <c r="BB26" i="26"/>
  <c r="BA26" i="26"/>
  <c r="AX26" i="26"/>
  <c r="AW26" i="26"/>
  <c r="AV26" i="26"/>
  <c r="AU26" i="26"/>
  <c r="AR26" i="26"/>
  <c r="AP26" i="26"/>
  <c r="AL26" i="26"/>
  <c r="AH26" i="26"/>
  <c r="AD26" i="26"/>
  <c r="Z26" i="26"/>
  <c r="Y26" i="26"/>
  <c r="X26" i="26"/>
  <c r="O26" i="26"/>
  <c r="G26" i="26"/>
  <c r="BB25" i="26"/>
  <c r="BA25" i="26"/>
  <c r="AX25" i="26"/>
  <c r="AW25" i="26"/>
  <c r="AV25" i="26"/>
  <c r="AU25" i="26"/>
  <c r="AR25" i="26"/>
  <c r="AP25" i="26"/>
  <c r="AL25" i="26"/>
  <c r="AH25" i="26"/>
  <c r="AD25" i="26"/>
  <c r="Z25" i="26"/>
  <c r="Y25" i="26"/>
  <c r="X25" i="26"/>
  <c r="O25" i="26"/>
  <c r="G25" i="26"/>
  <c r="BB24" i="26"/>
  <c r="BA24" i="26"/>
  <c r="AX24" i="26"/>
  <c r="AW24" i="26"/>
  <c r="AV24" i="26"/>
  <c r="AU24" i="26"/>
  <c r="AR24" i="26"/>
  <c r="AP24" i="26"/>
  <c r="AL24" i="26"/>
  <c r="AH24" i="26"/>
  <c r="AD24" i="26"/>
  <c r="Z24" i="26"/>
  <c r="Y24" i="26"/>
  <c r="X24" i="26"/>
  <c r="O24" i="26"/>
  <c r="G24" i="26"/>
  <c r="BB23" i="26"/>
  <c r="BA23" i="26"/>
  <c r="AX23" i="26"/>
  <c r="AW23" i="26"/>
  <c r="AV23" i="26"/>
  <c r="AU23" i="26"/>
  <c r="AR23" i="26"/>
  <c r="AP23" i="26"/>
  <c r="AL23" i="26"/>
  <c r="AH23" i="26"/>
  <c r="AD23" i="26"/>
  <c r="Z23" i="26"/>
  <c r="Y23" i="26"/>
  <c r="X23" i="26"/>
  <c r="O23" i="26"/>
  <c r="G23" i="26"/>
  <c r="BB22" i="26"/>
  <c r="BA22" i="26"/>
  <c r="AX22" i="26"/>
  <c r="AW22" i="26"/>
  <c r="AV22" i="26"/>
  <c r="AU22" i="26"/>
  <c r="AR22" i="26"/>
  <c r="AP22" i="26"/>
  <c r="AL22" i="26"/>
  <c r="AH22" i="26"/>
  <c r="AD22" i="26"/>
  <c r="Z22" i="26"/>
  <c r="Y22" i="26"/>
  <c r="X22" i="26"/>
  <c r="O22" i="26"/>
  <c r="G22" i="26"/>
  <c r="BB21" i="26"/>
  <c r="BA21" i="26"/>
  <c r="AX21" i="26"/>
  <c r="AW21" i="26"/>
  <c r="AV21" i="26"/>
  <c r="AU21" i="26"/>
  <c r="AR21" i="26"/>
  <c r="AP21" i="26"/>
  <c r="AL21" i="26"/>
  <c r="AH21" i="26"/>
  <c r="AD21" i="26"/>
  <c r="Z21" i="26"/>
  <c r="Y21" i="26"/>
  <c r="X21" i="26"/>
  <c r="O21" i="26"/>
  <c r="G21" i="26"/>
  <c r="BB20" i="26"/>
  <c r="BA20" i="26"/>
  <c r="AX20" i="26"/>
  <c r="AW20" i="26"/>
  <c r="AV20" i="26"/>
  <c r="AU20" i="26"/>
  <c r="AR20" i="26"/>
  <c r="AP20" i="26"/>
  <c r="AL20" i="26"/>
  <c r="AH20" i="26"/>
  <c r="AD20" i="26"/>
  <c r="Z20" i="26"/>
  <c r="Y20" i="26"/>
  <c r="X20" i="26"/>
  <c r="O20" i="26"/>
  <c r="G20" i="26"/>
  <c r="BB19" i="26"/>
  <c r="BA19" i="26"/>
  <c r="AX19" i="26"/>
  <c r="AW19" i="26"/>
  <c r="AV19" i="26"/>
  <c r="AU19" i="26"/>
  <c r="AR19" i="26"/>
  <c r="AP19" i="26"/>
  <c r="AL19" i="26"/>
  <c r="AH19" i="26"/>
  <c r="AD19" i="26"/>
  <c r="Z19" i="26"/>
  <c r="Y19" i="26"/>
  <c r="X19" i="26"/>
  <c r="O19" i="26"/>
  <c r="G19" i="26"/>
  <c r="BB18" i="26"/>
  <c r="BA18" i="26"/>
  <c r="AX18" i="26"/>
  <c r="AW18" i="26"/>
  <c r="AV18" i="26"/>
  <c r="AU18" i="26"/>
  <c r="AR18" i="26"/>
  <c r="AP18" i="26"/>
  <c r="AL18" i="26"/>
  <c r="AH18" i="26"/>
  <c r="AD18" i="26"/>
  <c r="Z18" i="26"/>
  <c r="Y18" i="26"/>
  <c r="X18" i="26"/>
  <c r="O18" i="26"/>
  <c r="G18" i="26"/>
  <c r="BB17" i="26"/>
  <c r="BA17" i="26"/>
  <c r="AX17" i="26"/>
  <c r="AW17" i="26"/>
  <c r="AV17" i="26"/>
  <c r="AU17" i="26"/>
  <c r="AR17" i="26"/>
  <c r="AP17" i="26"/>
  <c r="AL17" i="26"/>
  <c r="AH17" i="26"/>
  <c r="AD17" i="26"/>
  <c r="Z17" i="26"/>
  <c r="Y17" i="26"/>
  <c r="X17" i="26"/>
  <c r="O17" i="26"/>
  <c r="G17" i="26"/>
  <c r="BB16" i="26"/>
  <c r="BA16" i="26"/>
  <c r="AX16" i="26"/>
  <c r="AW16" i="26"/>
  <c r="AV16" i="26"/>
  <c r="AU16" i="26"/>
  <c r="AR16" i="26"/>
  <c r="AP16" i="26"/>
  <c r="AL16" i="26"/>
  <c r="AH16" i="26"/>
  <c r="AD16" i="26"/>
  <c r="Z16" i="26"/>
  <c r="Y16" i="26"/>
  <c r="X16" i="26"/>
  <c r="O16" i="26"/>
  <c r="G16" i="26"/>
  <c r="BB15" i="26"/>
  <c r="BA15" i="26"/>
  <c r="AX15" i="26"/>
  <c r="AW15" i="26"/>
  <c r="AV15" i="26"/>
  <c r="AU15" i="26"/>
  <c r="AR15" i="26"/>
  <c r="AP15" i="26"/>
  <c r="AL15" i="26"/>
  <c r="AH15" i="26"/>
  <c r="AD15" i="26"/>
  <c r="Z15" i="26"/>
  <c r="Y15" i="26"/>
  <c r="X15" i="26"/>
  <c r="O15" i="26"/>
  <c r="G15" i="26"/>
  <c r="BB14" i="26"/>
  <c r="BA14" i="26"/>
  <c r="AX14" i="26"/>
  <c r="AW14" i="26"/>
  <c r="AV14" i="26"/>
  <c r="AU14" i="26"/>
  <c r="AR14" i="26"/>
  <c r="AP14" i="26"/>
  <c r="AL14" i="26"/>
  <c r="AH14" i="26"/>
  <c r="AD14" i="26"/>
  <c r="Z14" i="26"/>
  <c r="Y14" i="26"/>
  <c r="X14" i="26"/>
  <c r="O14" i="26"/>
  <c r="G14" i="26"/>
  <c r="BB13" i="26"/>
  <c r="BA13" i="26"/>
  <c r="AX13" i="26"/>
  <c r="AW13" i="26"/>
  <c r="AV13" i="26"/>
  <c r="AU13" i="26"/>
  <c r="AR13" i="26"/>
  <c r="AP13" i="26"/>
  <c r="AL13" i="26"/>
  <c r="AH13" i="26"/>
  <c r="AD13" i="26"/>
  <c r="Z13" i="26"/>
  <c r="Y13" i="26"/>
  <c r="X13" i="26"/>
  <c r="O13" i="26"/>
  <c r="G13" i="26"/>
  <c r="BB12" i="26"/>
  <c r="BA12" i="26"/>
  <c r="AX12" i="26"/>
  <c r="AW12" i="26"/>
  <c r="AV12" i="26"/>
  <c r="AU12" i="26"/>
  <c r="AR12" i="26"/>
  <c r="AP12" i="26"/>
  <c r="AL12" i="26"/>
  <c r="AH12" i="26"/>
  <c r="AD12" i="26"/>
  <c r="O12" i="26"/>
  <c r="G12" i="26"/>
  <c r="BB11" i="26"/>
  <c r="BA11" i="26"/>
  <c r="AX11" i="26"/>
  <c r="AW11" i="26"/>
  <c r="AV11" i="26"/>
  <c r="AU11" i="26"/>
  <c r="AR11" i="26"/>
  <c r="AP11" i="26"/>
  <c r="AL11" i="26"/>
  <c r="AH11" i="26"/>
  <c r="AD11" i="26"/>
  <c r="O11" i="26"/>
  <c r="G11" i="26"/>
  <c r="BB10" i="26"/>
  <c r="BA10" i="26"/>
  <c r="AX10" i="26"/>
  <c r="AW10" i="26"/>
  <c r="AV10" i="26"/>
  <c r="AU10" i="26"/>
  <c r="AR10" i="26"/>
  <c r="AP10" i="26"/>
  <c r="AL10" i="26"/>
  <c r="AH10" i="26"/>
  <c r="AD10" i="26"/>
  <c r="O10" i="26"/>
  <c r="G10" i="26"/>
  <c r="BB9" i="26"/>
  <c r="BA9" i="26"/>
  <c r="AX9" i="26"/>
  <c r="AW9" i="26"/>
  <c r="AV9" i="26"/>
  <c r="AU9" i="26"/>
  <c r="AR9" i="26"/>
  <c r="AP9" i="26"/>
  <c r="AL9" i="26"/>
  <c r="AH9" i="26"/>
  <c r="AD9" i="26"/>
  <c r="O9" i="26"/>
  <c r="G9" i="26"/>
  <c r="BB8" i="26"/>
  <c r="BA8" i="26"/>
  <c r="AX8" i="26"/>
  <c r="AW8" i="26"/>
  <c r="AV8" i="26"/>
  <c r="AU8" i="26"/>
  <c r="AR8" i="26"/>
  <c r="AP8" i="26"/>
  <c r="AL8" i="26"/>
  <c r="AH8" i="26"/>
  <c r="AD8" i="26"/>
  <c r="O8" i="26"/>
  <c r="G8" i="26"/>
  <c r="BB7" i="26"/>
  <c r="BA7" i="26"/>
  <c r="AX7" i="26"/>
  <c r="AW7" i="26"/>
  <c r="AV7" i="26"/>
  <c r="AU7" i="26"/>
  <c r="AR7" i="26"/>
  <c r="AP7" i="26"/>
  <c r="AL7" i="26"/>
  <c r="AH7" i="26"/>
  <c r="AD7" i="26"/>
  <c r="O7" i="26"/>
  <c r="G7" i="26"/>
  <c r="BB6" i="26"/>
  <c r="BA6" i="26"/>
  <c r="AX6" i="26"/>
  <c r="AW6" i="26"/>
  <c r="AV6" i="26"/>
  <c r="AU6" i="26"/>
  <c r="AR6" i="26"/>
  <c r="AP6" i="26"/>
  <c r="AL6" i="26"/>
  <c r="AH6" i="26"/>
  <c r="AD6" i="26"/>
  <c r="O6" i="26"/>
  <c r="G6" i="26"/>
  <c r="BB5" i="26"/>
  <c r="BA5" i="26"/>
  <c r="AX5" i="26"/>
  <c r="AW5" i="26"/>
  <c r="AV5" i="26"/>
  <c r="AU5" i="26"/>
  <c r="AR5" i="26"/>
  <c r="AP5" i="26"/>
  <c r="AL5" i="26"/>
  <c r="AH5" i="26"/>
  <c r="AD5" i="26"/>
  <c r="O5" i="26"/>
  <c r="G5" i="26"/>
  <c r="AW4" i="26"/>
  <c r="AV4" i="26"/>
  <c r="AU4" i="26"/>
  <c r="AP4" i="26"/>
  <c r="AL4" i="26"/>
  <c r="AH4" i="26"/>
  <c r="AD4" i="26"/>
  <c r="O4" i="26"/>
  <c r="G4" i="26"/>
  <c r="AL3" i="26"/>
  <c r="AH3" i="26"/>
  <c r="AD3" i="26"/>
  <c r="AR63" i="27"/>
  <c r="AQ63" i="27"/>
  <c r="AP63" i="27"/>
  <c r="AL63" i="27"/>
  <c r="AK63" i="27"/>
  <c r="AG63" i="27"/>
  <c r="AB63" i="27"/>
  <c r="W63" i="27"/>
  <c r="V63" i="27"/>
  <c r="T63" i="27"/>
  <c r="O63" i="27"/>
  <c r="N63" i="27"/>
  <c r="K63" i="27"/>
  <c r="H63" i="27"/>
  <c r="AR62" i="27"/>
  <c r="AQ62" i="27"/>
  <c r="AP62" i="27"/>
  <c r="AL62" i="27"/>
  <c r="AK62" i="27"/>
  <c r="AG62" i="27"/>
  <c r="AB62" i="27"/>
  <c r="W62" i="27"/>
  <c r="V62" i="27"/>
  <c r="U62" i="27"/>
  <c r="T62" i="27"/>
  <c r="O62" i="27"/>
  <c r="N62" i="27"/>
  <c r="K62" i="27"/>
  <c r="H62" i="27"/>
  <c r="AR61" i="27"/>
  <c r="AQ61" i="27"/>
  <c r="AP61" i="27"/>
  <c r="AL61" i="27"/>
  <c r="AK61" i="27"/>
  <c r="AG61" i="27"/>
  <c r="AB61" i="27"/>
  <c r="W61" i="27"/>
  <c r="V61" i="27"/>
  <c r="U61" i="27"/>
  <c r="T61" i="27"/>
  <c r="O61" i="27"/>
  <c r="N61" i="27"/>
  <c r="K61" i="27"/>
  <c r="H61" i="27"/>
  <c r="AR60" i="27"/>
  <c r="AQ60" i="27"/>
  <c r="AP60" i="27"/>
  <c r="AL60" i="27"/>
  <c r="AK60" i="27"/>
  <c r="AG60" i="27"/>
  <c r="AB60" i="27"/>
  <c r="W60" i="27"/>
  <c r="V60" i="27"/>
  <c r="U60" i="27"/>
  <c r="T60" i="27"/>
  <c r="O60" i="27"/>
  <c r="N60" i="27"/>
  <c r="K60" i="27"/>
  <c r="H60" i="27"/>
  <c r="AR59" i="27"/>
  <c r="AQ59" i="27"/>
  <c r="AP59" i="27"/>
  <c r="AL59" i="27"/>
  <c r="AK59" i="27"/>
  <c r="AG59" i="27"/>
  <c r="AB59" i="27"/>
  <c r="W59" i="27"/>
  <c r="V59" i="27"/>
  <c r="U59" i="27"/>
  <c r="T59" i="27"/>
  <c r="O59" i="27"/>
  <c r="N59" i="27"/>
  <c r="K59" i="27"/>
  <c r="H59" i="27"/>
  <c r="AR58" i="27"/>
  <c r="AQ58" i="27"/>
  <c r="AP58" i="27"/>
  <c r="AL58" i="27"/>
  <c r="AK58" i="27"/>
  <c r="AG58" i="27"/>
  <c r="AB58" i="27"/>
  <c r="W58" i="27"/>
  <c r="V58" i="27"/>
  <c r="T58" i="27"/>
  <c r="O58" i="27"/>
  <c r="N58" i="27"/>
  <c r="K58" i="27"/>
  <c r="H58" i="27"/>
  <c r="AR57" i="27"/>
  <c r="AQ57" i="27"/>
  <c r="AP57" i="27"/>
  <c r="AL57" i="27"/>
  <c r="AK57" i="27"/>
  <c r="AG57" i="27"/>
  <c r="AB57" i="27"/>
  <c r="W57" i="27"/>
  <c r="V57" i="27"/>
  <c r="U57" i="27"/>
  <c r="T57" i="27"/>
  <c r="O57" i="27"/>
  <c r="N57" i="27"/>
  <c r="K57" i="27"/>
  <c r="H57" i="27"/>
  <c r="AR56" i="27"/>
  <c r="AQ56" i="27"/>
  <c r="AP56" i="27"/>
  <c r="AL56" i="27"/>
  <c r="AK56" i="27"/>
  <c r="AG56" i="27"/>
  <c r="AB56" i="27"/>
  <c r="W56" i="27"/>
  <c r="V56" i="27"/>
  <c r="U56" i="27"/>
  <c r="T56" i="27"/>
  <c r="O56" i="27"/>
  <c r="N56" i="27"/>
  <c r="K56" i="27"/>
  <c r="H56" i="27"/>
  <c r="AR55" i="27"/>
  <c r="AQ55" i="27"/>
  <c r="AP55" i="27"/>
  <c r="AL55" i="27"/>
  <c r="AK55" i="27"/>
  <c r="AG55" i="27"/>
  <c r="AB55" i="27"/>
  <c r="W55" i="27"/>
  <c r="V55" i="27"/>
  <c r="U55" i="27"/>
  <c r="T55" i="27"/>
  <c r="O55" i="27"/>
  <c r="N55" i="27"/>
  <c r="K55" i="27"/>
  <c r="H55" i="27"/>
  <c r="AR54" i="27"/>
  <c r="AQ54" i="27"/>
  <c r="AP54" i="27"/>
  <c r="AL54" i="27"/>
  <c r="AK54" i="27"/>
  <c r="AG54" i="27"/>
  <c r="AB54" i="27"/>
  <c r="W54" i="27"/>
  <c r="V54" i="27"/>
  <c r="U54" i="27"/>
  <c r="T54" i="27"/>
  <c r="O54" i="27"/>
  <c r="N54" i="27"/>
  <c r="K54" i="27"/>
  <c r="H54" i="27"/>
  <c r="AT53" i="27"/>
  <c r="AR53" i="27"/>
  <c r="AQ53" i="27"/>
  <c r="AP53" i="27"/>
  <c r="AL53" i="27"/>
  <c r="AK53" i="27"/>
  <c r="AG53" i="27"/>
  <c r="AB53" i="27"/>
  <c r="W53" i="27"/>
  <c r="V53" i="27"/>
  <c r="T53" i="27"/>
  <c r="O53" i="27"/>
  <c r="N53" i="27"/>
  <c r="K53" i="27"/>
  <c r="H53" i="27"/>
  <c r="AR52" i="27"/>
  <c r="AQ52" i="27"/>
  <c r="AP52" i="27"/>
  <c r="AL52" i="27"/>
  <c r="AK52" i="27"/>
  <c r="AG52" i="27"/>
  <c r="AB52" i="27"/>
  <c r="W52" i="27"/>
  <c r="V52" i="27"/>
  <c r="U52" i="27"/>
  <c r="T52" i="27"/>
  <c r="O52" i="27"/>
  <c r="N52" i="27"/>
  <c r="K52" i="27"/>
  <c r="H52" i="27"/>
  <c r="AR51" i="27"/>
  <c r="AQ51" i="27"/>
  <c r="AP51" i="27"/>
  <c r="AL51" i="27"/>
  <c r="AK51" i="27"/>
  <c r="AG51" i="27"/>
  <c r="AB51" i="27"/>
  <c r="W51" i="27"/>
  <c r="V51" i="27"/>
  <c r="U51" i="27"/>
  <c r="T51" i="27"/>
  <c r="O51" i="27"/>
  <c r="N51" i="27"/>
  <c r="K51" i="27"/>
  <c r="H51" i="27"/>
  <c r="AR50" i="27"/>
  <c r="AQ50" i="27"/>
  <c r="AP50" i="27"/>
  <c r="AL50" i="27"/>
  <c r="AK50" i="27"/>
  <c r="AG50" i="27"/>
  <c r="AB50" i="27"/>
  <c r="W50" i="27"/>
  <c r="V50" i="27"/>
  <c r="U50" i="27"/>
  <c r="T50" i="27"/>
  <c r="O50" i="27"/>
  <c r="N50" i="27"/>
  <c r="K50" i="27"/>
  <c r="H50" i="27"/>
  <c r="AR49" i="27"/>
  <c r="AQ49" i="27"/>
  <c r="AP49" i="27"/>
  <c r="AL49" i="27"/>
  <c r="AK49" i="27"/>
  <c r="AG49" i="27"/>
  <c r="AB49" i="27"/>
  <c r="W49" i="27"/>
  <c r="V49" i="27"/>
  <c r="U49" i="27"/>
  <c r="T49" i="27"/>
  <c r="O49" i="27"/>
  <c r="N49" i="27"/>
  <c r="K49" i="27"/>
  <c r="H49" i="27"/>
  <c r="AR48" i="27"/>
  <c r="AQ48" i="27"/>
  <c r="AP48" i="27"/>
  <c r="AL48" i="27"/>
  <c r="AK48" i="27"/>
  <c r="AG48" i="27"/>
  <c r="AB48" i="27"/>
  <c r="W48" i="27"/>
  <c r="V48" i="27"/>
  <c r="T48" i="27"/>
  <c r="O48" i="27"/>
  <c r="N48" i="27"/>
  <c r="K48" i="27"/>
  <c r="H48" i="27"/>
  <c r="AR47" i="27"/>
  <c r="AQ47" i="27"/>
  <c r="AP47" i="27"/>
  <c r="AL47" i="27"/>
  <c r="AK47" i="27"/>
  <c r="AG47" i="27"/>
  <c r="AB47" i="27"/>
  <c r="W47" i="27"/>
  <c r="V47" i="27"/>
  <c r="U47" i="27"/>
  <c r="T47" i="27"/>
  <c r="O47" i="27"/>
  <c r="N47" i="27"/>
  <c r="K47" i="27"/>
  <c r="H47" i="27"/>
  <c r="AR46" i="27"/>
  <c r="AQ46" i="27"/>
  <c r="AP46" i="27"/>
  <c r="AL46" i="27"/>
  <c r="AK46" i="27"/>
  <c r="AG46" i="27"/>
  <c r="AB46" i="27"/>
  <c r="W46" i="27"/>
  <c r="V46" i="27"/>
  <c r="U46" i="27"/>
  <c r="T46" i="27"/>
  <c r="O46" i="27"/>
  <c r="N46" i="27"/>
  <c r="K46" i="27"/>
  <c r="H46" i="27"/>
  <c r="AR45" i="27"/>
  <c r="AQ45" i="27"/>
  <c r="AP45" i="27"/>
  <c r="AL45" i="27"/>
  <c r="AK45" i="27"/>
  <c r="AG45" i="27"/>
  <c r="AB45" i="27"/>
  <c r="W45" i="27"/>
  <c r="V45" i="27"/>
  <c r="U45" i="27"/>
  <c r="T45" i="27"/>
  <c r="O45" i="27"/>
  <c r="N45" i="27"/>
  <c r="K45" i="27"/>
  <c r="H45" i="27"/>
  <c r="AR44" i="27"/>
  <c r="AQ44" i="27"/>
  <c r="AP44" i="27"/>
  <c r="AL44" i="27"/>
  <c r="AK44" i="27"/>
  <c r="AG44" i="27"/>
  <c r="AB44" i="27"/>
  <c r="W44" i="27"/>
  <c r="V44" i="27"/>
  <c r="U44" i="27"/>
  <c r="O44" i="27"/>
  <c r="N44" i="27"/>
  <c r="K44" i="27"/>
  <c r="H44" i="27"/>
  <c r="AR43" i="27"/>
  <c r="AQ43" i="27"/>
  <c r="AP43" i="27"/>
  <c r="AO43" i="27"/>
  <c r="AL43" i="27"/>
  <c r="AK43" i="27"/>
  <c r="AJ43" i="27"/>
  <c r="AG43" i="27"/>
  <c r="AF43" i="27"/>
  <c r="AB43" i="27"/>
  <c r="AA43" i="27"/>
  <c r="W43" i="27"/>
  <c r="S43" i="27"/>
  <c r="O43" i="27"/>
  <c r="G43" i="27"/>
  <c r="AR42" i="27"/>
  <c r="AQ42" i="27"/>
  <c r="AP42" i="27"/>
  <c r="AO42" i="27"/>
  <c r="AL42" i="27"/>
  <c r="AJ42" i="27"/>
  <c r="AF42" i="27"/>
  <c r="AA42" i="27"/>
  <c r="W42" i="27"/>
  <c r="S42" i="27"/>
  <c r="O42" i="27"/>
  <c r="G42" i="27"/>
  <c r="AR41" i="27"/>
  <c r="AQ41" i="27"/>
  <c r="AP41" i="27"/>
  <c r="AO41" i="27"/>
  <c r="AL41" i="27"/>
  <c r="AJ41" i="27"/>
  <c r="AF41" i="27"/>
  <c r="AA41" i="27"/>
  <c r="W41" i="27"/>
  <c r="S41" i="27"/>
  <c r="O41" i="27"/>
  <c r="G41" i="27"/>
  <c r="AR40" i="27"/>
  <c r="AQ40" i="27"/>
  <c r="AP40" i="27"/>
  <c r="AO40" i="27"/>
  <c r="AL40" i="27"/>
  <c r="AJ40" i="27"/>
  <c r="AF40" i="27"/>
  <c r="AA40" i="27"/>
  <c r="W40" i="27"/>
  <c r="S40" i="27"/>
  <c r="O40" i="27"/>
  <c r="G40" i="27"/>
  <c r="AR39" i="27"/>
  <c r="AQ39" i="27"/>
  <c r="AP39" i="27"/>
  <c r="AO39" i="27"/>
  <c r="AL39" i="27"/>
  <c r="AJ39" i="27"/>
  <c r="AF39" i="27"/>
  <c r="AA39" i="27"/>
  <c r="W39" i="27"/>
  <c r="S39" i="27"/>
  <c r="O39" i="27"/>
  <c r="G39" i="27"/>
  <c r="AR38" i="27"/>
  <c r="AQ38" i="27"/>
  <c r="AP38" i="27"/>
  <c r="AO38" i="27"/>
  <c r="AL38" i="27"/>
  <c r="AJ38" i="27"/>
  <c r="AF38" i="27"/>
  <c r="AA38" i="27"/>
  <c r="W38" i="27"/>
  <c r="S38" i="27"/>
  <c r="O38" i="27"/>
  <c r="G38" i="27"/>
  <c r="AR37" i="27"/>
  <c r="AQ37" i="27"/>
  <c r="AP37" i="27"/>
  <c r="AO37" i="27"/>
  <c r="AL37" i="27"/>
  <c r="AJ37" i="27"/>
  <c r="AF37" i="27"/>
  <c r="AA37" i="27"/>
  <c r="W37" i="27"/>
  <c r="S37" i="27"/>
  <c r="O37" i="27"/>
  <c r="G37" i="27"/>
  <c r="AR36" i="27"/>
  <c r="AQ36" i="27"/>
  <c r="AP36" i="27"/>
  <c r="AO36" i="27"/>
  <c r="AL36" i="27"/>
  <c r="AJ36" i="27"/>
  <c r="AF36" i="27"/>
  <c r="AA36" i="27"/>
  <c r="W36" i="27"/>
  <c r="S36" i="27"/>
  <c r="O36" i="27"/>
  <c r="G36" i="27"/>
  <c r="AR35" i="27"/>
  <c r="AQ35" i="27"/>
  <c r="AP35" i="27"/>
  <c r="AO35" i="27"/>
  <c r="AL35" i="27"/>
  <c r="AJ35" i="27"/>
  <c r="AF35" i="27"/>
  <c r="AA35" i="27"/>
  <c r="W35" i="27"/>
  <c r="S35" i="27"/>
  <c r="O35" i="27"/>
  <c r="G35" i="27"/>
  <c r="AR34" i="27"/>
  <c r="AQ34" i="27"/>
  <c r="AP34" i="27"/>
  <c r="AO34" i="27"/>
  <c r="AL34" i="27"/>
  <c r="AJ34" i="27"/>
  <c r="AF34" i="27"/>
  <c r="AA34" i="27"/>
  <c r="W34" i="27"/>
  <c r="S34" i="27"/>
  <c r="O34" i="27"/>
  <c r="G34" i="27"/>
  <c r="AR33" i="27"/>
  <c r="AQ33" i="27"/>
  <c r="AP33" i="27"/>
  <c r="AO33" i="27"/>
  <c r="AL33" i="27"/>
  <c r="AJ33" i="27"/>
  <c r="AF33" i="27"/>
  <c r="AA33" i="27"/>
  <c r="W33" i="27"/>
  <c r="S33" i="27"/>
  <c r="O33" i="27"/>
  <c r="G33" i="27"/>
  <c r="AR32" i="27"/>
  <c r="AQ32" i="27"/>
  <c r="AP32" i="27"/>
  <c r="AO32" i="27"/>
  <c r="AL32" i="27"/>
  <c r="AJ32" i="27"/>
  <c r="AF32" i="27"/>
  <c r="AA32" i="27"/>
  <c r="W32" i="27"/>
  <c r="S32" i="27"/>
  <c r="O32" i="27"/>
  <c r="G32" i="27"/>
  <c r="AR31" i="27"/>
  <c r="AQ31" i="27"/>
  <c r="AP31" i="27"/>
  <c r="AO31" i="27"/>
  <c r="AL31" i="27"/>
  <c r="AJ31" i="27"/>
  <c r="AF31" i="27"/>
  <c r="AA31" i="27"/>
  <c r="W31" i="27"/>
  <c r="S31" i="27"/>
  <c r="O31" i="27"/>
  <c r="G31" i="27"/>
  <c r="AR30" i="27"/>
  <c r="AQ30" i="27"/>
  <c r="AP30" i="27"/>
  <c r="AO30" i="27"/>
  <c r="AL30" i="27"/>
  <c r="AJ30" i="27"/>
  <c r="AF30" i="27"/>
  <c r="AA30" i="27"/>
  <c r="W30" i="27"/>
  <c r="S30" i="27"/>
  <c r="O30" i="27"/>
  <c r="G30" i="27"/>
  <c r="AR29" i="27"/>
  <c r="AQ29" i="27"/>
  <c r="AP29" i="27"/>
  <c r="AO29" i="27"/>
  <c r="AL29" i="27"/>
  <c r="AJ29" i="27"/>
  <c r="AF29" i="27"/>
  <c r="AA29" i="27"/>
  <c r="W29" i="27"/>
  <c r="S29" i="27"/>
  <c r="O29" i="27"/>
  <c r="G29" i="27"/>
  <c r="AR28" i="27"/>
  <c r="AQ28" i="27"/>
  <c r="AP28" i="27"/>
  <c r="AO28" i="27"/>
  <c r="AL28" i="27"/>
  <c r="AJ28" i="27"/>
  <c r="AF28" i="27"/>
  <c r="AA28" i="27"/>
  <c r="W28" i="27"/>
  <c r="S28" i="27"/>
  <c r="O28" i="27"/>
  <c r="G28" i="27"/>
  <c r="AR27" i="27"/>
  <c r="AQ27" i="27"/>
  <c r="AP27" i="27"/>
  <c r="AO27" i="27"/>
  <c r="AL27" i="27"/>
  <c r="AJ27" i="27"/>
  <c r="AF27" i="27"/>
  <c r="AA27" i="27"/>
  <c r="W27" i="27"/>
  <c r="S27" i="27"/>
  <c r="O27" i="27"/>
  <c r="G27" i="27"/>
  <c r="AR26" i="27"/>
  <c r="AQ26" i="27"/>
  <c r="AP26" i="27"/>
  <c r="AO26" i="27"/>
  <c r="AL26" i="27"/>
  <c r="AJ26" i="27"/>
  <c r="AF26" i="27"/>
  <c r="AA26" i="27"/>
  <c r="W26" i="27"/>
  <c r="S26" i="27"/>
  <c r="O26" i="27"/>
  <c r="G26" i="27"/>
  <c r="AR25" i="27"/>
  <c r="AQ25" i="27"/>
  <c r="AP25" i="27"/>
  <c r="AO25" i="27"/>
  <c r="AL25" i="27"/>
  <c r="AJ25" i="27"/>
  <c r="AF25" i="27"/>
  <c r="AA25" i="27"/>
  <c r="W25" i="27"/>
  <c r="S25" i="27"/>
  <c r="O25" i="27"/>
  <c r="G25" i="27"/>
  <c r="AR24" i="27"/>
  <c r="AQ24" i="27"/>
  <c r="AP24" i="27"/>
  <c r="AO24" i="27"/>
  <c r="AL24" i="27"/>
  <c r="AJ24" i="27"/>
  <c r="AF24" i="27"/>
  <c r="AA24" i="27"/>
  <c r="W24" i="27"/>
  <c r="S24" i="27"/>
  <c r="O24" i="27"/>
  <c r="G24" i="27"/>
  <c r="AR23" i="27"/>
  <c r="AQ23" i="27"/>
  <c r="AP23" i="27"/>
  <c r="AO23" i="27"/>
  <c r="AL23" i="27"/>
  <c r="AJ23" i="27"/>
  <c r="AF23" i="27"/>
  <c r="AA23" i="27"/>
  <c r="W23" i="27"/>
  <c r="S23" i="27"/>
  <c r="O23" i="27"/>
  <c r="G23" i="27"/>
  <c r="AR22" i="27"/>
  <c r="AQ22" i="27"/>
  <c r="AP22" i="27"/>
  <c r="AO22" i="27"/>
  <c r="AL22" i="27"/>
  <c r="AJ22" i="27"/>
  <c r="AF22" i="27"/>
  <c r="AA22" i="27"/>
  <c r="W22" i="27"/>
  <c r="S22" i="27"/>
  <c r="O22" i="27"/>
  <c r="G22" i="27"/>
  <c r="AR21" i="27"/>
  <c r="AQ21" i="27"/>
  <c r="AP21" i="27"/>
  <c r="AO21" i="27"/>
  <c r="AL21" i="27"/>
  <c r="AJ21" i="27"/>
  <c r="AF21" i="27"/>
  <c r="AA21" i="27"/>
  <c r="W21" i="27"/>
  <c r="S21" i="27"/>
  <c r="O21" i="27"/>
  <c r="G21" i="27"/>
  <c r="AR20" i="27"/>
  <c r="AQ20" i="27"/>
  <c r="AP20" i="27"/>
  <c r="AO20" i="27"/>
  <c r="AL20" i="27"/>
  <c r="AJ20" i="27"/>
  <c r="AF20" i="27"/>
  <c r="AA20" i="27"/>
  <c r="W20" i="27"/>
  <c r="S20" i="27"/>
  <c r="O20" i="27"/>
  <c r="G20" i="27"/>
  <c r="AR19" i="27"/>
  <c r="AQ19" i="27"/>
  <c r="AP19" i="27"/>
  <c r="AO19" i="27"/>
  <c r="AL19" i="27"/>
  <c r="AJ19" i="27"/>
  <c r="AF19" i="27"/>
  <c r="AA19" i="27"/>
  <c r="W19" i="27"/>
  <c r="S19" i="27"/>
  <c r="O19" i="27"/>
  <c r="G19" i="27"/>
  <c r="AR18" i="27"/>
  <c r="AQ18" i="27"/>
  <c r="AP18" i="27"/>
  <c r="AO18" i="27"/>
  <c r="AL18" i="27"/>
  <c r="AJ18" i="27"/>
  <c r="AF18" i="27"/>
  <c r="AA18" i="27"/>
  <c r="W18" i="27"/>
  <c r="S18" i="27"/>
  <c r="O18" i="27"/>
  <c r="G18" i="27"/>
  <c r="AR17" i="27"/>
  <c r="AQ17" i="27"/>
  <c r="AP17" i="27"/>
  <c r="AO17" i="27"/>
  <c r="AL17" i="27"/>
  <c r="AJ17" i="27"/>
  <c r="AF17" i="27"/>
  <c r="AA17" i="27"/>
  <c r="W17" i="27"/>
  <c r="S17" i="27"/>
  <c r="O17" i="27"/>
  <c r="G17" i="27"/>
  <c r="AR16" i="27"/>
  <c r="AQ16" i="27"/>
  <c r="AP16" i="27"/>
  <c r="AO16" i="27"/>
  <c r="AL16" i="27"/>
  <c r="AJ16" i="27"/>
  <c r="AF16" i="27"/>
  <c r="AA16" i="27"/>
  <c r="W16" i="27"/>
  <c r="S16" i="27"/>
  <c r="O16" i="27"/>
  <c r="G16" i="27"/>
  <c r="AR15" i="27"/>
  <c r="AQ15" i="27"/>
  <c r="AP15" i="27"/>
  <c r="AO15" i="27"/>
  <c r="AL15" i="27"/>
  <c r="AJ15" i="27"/>
  <c r="AF15" i="27"/>
  <c r="AA15" i="27"/>
  <c r="W15" i="27"/>
  <c r="S15" i="27"/>
  <c r="O15" i="27"/>
  <c r="G15" i="27"/>
  <c r="AR14" i="27"/>
  <c r="AQ14" i="27"/>
  <c r="AP14" i="27"/>
  <c r="AO14" i="27"/>
  <c r="AL14" i="27"/>
  <c r="AJ14" i="27"/>
  <c r="AF14" i="27"/>
  <c r="AA14" i="27"/>
  <c r="W14" i="27"/>
  <c r="S14" i="27"/>
  <c r="O14" i="27"/>
  <c r="G14" i="27"/>
  <c r="AR13" i="27"/>
  <c r="AQ13" i="27"/>
  <c r="AP13" i="27"/>
  <c r="AO13" i="27"/>
  <c r="AL13" i="27"/>
  <c r="AJ13" i="27"/>
  <c r="AF13" i="27"/>
  <c r="AA13" i="27"/>
  <c r="W13" i="27"/>
  <c r="S13" i="27"/>
  <c r="O13" i="27"/>
  <c r="G13" i="27"/>
  <c r="AR12" i="27"/>
  <c r="AQ12" i="27"/>
  <c r="AP12" i="27"/>
  <c r="AO12" i="27"/>
  <c r="AL12" i="27"/>
  <c r="AJ12" i="27"/>
  <c r="AF12" i="27"/>
  <c r="AA12" i="27"/>
  <c r="W12" i="27"/>
  <c r="S12" i="27"/>
  <c r="O12" i="27"/>
  <c r="G12" i="27"/>
  <c r="AR11" i="27"/>
  <c r="AQ11" i="27"/>
  <c r="AP11" i="27"/>
  <c r="AO11" i="27"/>
  <c r="AL11" i="27"/>
  <c r="AJ11" i="27"/>
  <c r="AF11" i="27"/>
  <c r="AA11" i="27"/>
  <c r="W11" i="27"/>
  <c r="S11" i="27"/>
  <c r="O11" i="27"/>
  <c r="G11" i="27"/>
  <c r="AR10" i="27"/>
  <c r="AQ10" i="27"/>
  <c r="AP10" i="27"/>
  <c r="AO10" i="27"/>
  <c r="AL10" i="27"/>
  <c r="AJ10" i="27"/>
  <c r="AF10" i="27"/>
  <c r="AA10" i="27"/>
  <c r="W10" i="27"/>
  <c r="S10" i="27"/>
  <c r="O10" i="27"/>
  <c r="G10" i="27"/>
  <c r="AR9" i="27"/>
  <c r="AQ9" i="27"/>
  <c r="AP9" i="27"/>
  <c r="AO9" i="27"/>
  <c r="AL9" i="27"/>
  <c r="AJ9" i="27"/>
  <c r="AF9" i="27"/>
  <c r="AA9" i="27"/>
  <c r="W9" i="27"/>
  <c r="S9" i="27"/>
  <c r="O9" i="27"/>
  <c r="G9" i="27"/>
  <c r="AR8" i="27"/>
  <c r="AQ8" i="27"/>
  <c r="AP8" i="27"/>
  <c r="AO8" i="27"/>
  <c r="AL8" i="27"/>
  <c r="AJ8" i="27"/>
  <c r="AF8" i="27"/>
  <c r="AA8" i="27"/>
  <c r="W8" i="27"/>
  <c r="S8" i="27"/>
  <c r="O8" i="27"/>
  <c r="G8" i="27"/>
  <c r="AR7" i="27"/>
  <c r="AQ7" i="27"/>
  <c r="AP7" i="27"/>
  <c r="AO7" i="27"/>
  <c r="AL7" i="27"/>
  <c r="AJ7" i="27"/>
  <c r="AF7" i="27"/>
  <c r="AA7" i="27"/>
  <c r="W7" i="27"/>
  <c r="S7" i="27"/>
  <c r="O7" i="27"/>
  <c r="G7" i="27"/>
  <c r="AR6" i="27"/>
  <c r="AQ6" i="27"/>
  <c r="AP6" i="27"/>
  <c r="AO6" i="27"/>
  <c r="AL6" i="27"/>
  <c r="AJ6" i="27"/>
  <c r="AF6" i="27"/>
  <c r="AA6" i="27"/>
  <c r="W6" i="27"/>
  <c r="S6" i="27"/>
  <c r="O6" i="27"/>
  <c r="G6" i="27"/>
  <c r="AR5" i="27"/>
  <c r="AQ5" i="27"/>
  <c r="AP5" i="27"/>
  <c r="AO5" i="27"/>
  <c r="AL5" i="27"/>
  <c r="AJ5" i="27"/>
  <c r="AF5" i="27"/>
  <c r="AA5" i="27"/>
  <c r="W5" i="27"/>
  <c r="S5" i="27"/>
  <c r="O5" i="27"/>
  <c r="G5" i="27"/>
  <c r="AQ4" i="27"/>
  <c r="AP4" i="27"/>
  <c r="AO4" i="27"/>
  <c r="AJ4" i="27"/>
  <c r="AF4" i="27"/>
  <c r="AA4" i="27"/>
  <c r="W4" i="27"/>
  <c r="S4" i="27"/>
  <c r="O4" i="27"/>
  <c r="G4" i="27"/>
  <c r="AF3" i="27"/>
  <c r="AA3" i="27"/>
  <c r="W3" i="27"/>
  <c r="S3" i="27"/>
  <c r="AN63" i="18"/>
  <c r="AL63" i="18"/>
  <c r="AH63" i="18"/>
  <c r="AG63" i="18"/>
  <c r="AC63" i="18"/>
  <c r="X63" i="18"/>
  <c r="S63" i="18"/>
  <c r="R63" i="18"/>
  <c r="K63" i="18"/>
  <c r="J63" i="18"/>
  <c r="I63" i="18"/>
  <c r="H63" i="18"/>
  <c r="AN62" i="18"/>
  <c r="AL62" i="18"/>
  <c r="AH62" i="18"/>
  <c r="AG62" i="18"/>
  <c r="AC62" i="18"/>
  <c r="X62" i="18"/>
  <c r="S62" i="18"/>
  <c r="R62" i="18"/>
  <c r="Q62" i="18"/>
  <c r="K62" i="18"/>
  <c r="J62" i="18"/>
  <c r="I62" i="18"/>
  <c r="H62" i="18"/>
  <c r="AN61" i="18"/>
  <c r="AL61" i="18"/>
  <c r="AH61" i="18"/>
  <c r="AG61" i="18"/>
  <c r="AC61" i="18"/>
  <c r="X61" i="18"/>
  <c r="S61" i="18"/>
  <c r="R61" i="18"/>
  <c r="Q61" i="18"/>
  <c r="K61" i="18"/>
  <c r="J61" i="18"/>
  <c r="I61" i="18"/>
  <c r="H61" i="18"/>
  <c r="AN60" i="18"/>
  <c r="AL60" i="18"/>
  <c r="AH60" i="18"/>
  <c r="AG60" i="18"/>
  <c r="AC60" i="18"/>
  <c r="X60" i="18"/>
  <c r="S60" i="18"/>
  <c r="R60" i="18"/>
  <c r="Q60" i="18"/>
  <c r="K60" i="18"/>
  <c r="J60" i="18"/>
  <c r="I60" i="18"/>
  <c r="H60" i="18"/>
  <c r="AN59" i="18"/>
  <c r="AL59" i="18"/>
  <c r="AH59" i="18"/>
  <c r="AG59" i="18"/>
  <c r="AC59" i="18"/>
  <c r="X59" i="18"/>
  <c r="S59" i="18"/>
  <c r="R59" i="18"/>
  <c r="Q59" i="18"/>
  <c r="K59" i="18"/>
  <c r="J59" i="18"/>
  <c r="I59" i="18"/>
  <c r="H59" i="18"/>
  <c r="AN58" i="18"/>
  <c r="AL58" i="18"/>
  <c r="AH58" i="18"/>
  <c r="AG58" i="18"/>
  <c r="AC58" i="18"/>
  <c r="X58" i="18"/>
  <c r="S58" i="18"/>
  <c r="R58" i="18"/>
  <c r="K58" i="18"/>
  <c r="J58" i="18"/>
  <c r="I58" i="18"/>
  <c r="H58" i="18"/>
  <c r="AN57" i="18"/>
  <c r="AL57" i="18"/>
  <c r="AH57" i="18"/>
  <c r="AG57" i="18"/>
  <c r="AC57" i="18"/>
  <c r="X57" i="18"/>
  <c r="S57" i="18"/>
  <c r="R57" i="18"/>
  <c r="Q57" i="18"/>
  <c r="K57" i="18"/>
  <c r="J57" i="18"/>
  <c r="I57" i="18"/>
  <c r="H57" i="18"/>
  <c r="AN56" i="18"/>
  <c r="AL56" i="18"/>
  <c r="AH56" i="18"/>
  <c r="AG56" i="18"/>
  <c r="AC56" i="18"/>
  <c r="X56" i="18"/>
  <c r="S56" i="18"/>
  <c r="R56" i="18"/>
  <c r="Q56" i="18"/>
  <c r="K56" i="18"/>
  <c r="J56" i="18"/>
  <c r="I56" i="18"/>
  <c r="H56" i="18"/>
  <c r="AN55" i="18"/>
  <c r="AL55" i="18"/>
  <c r="AH55" i="18"/>
  <c r="AG55" i="18"/>
  <c r="AC55" i="18"/>
  <c r="X55" i="18"/>
  <c r="S55" i="18"/>
  <c r="R55" i="18"/>
  <c r="Q55" i="18"/>
  <c r="K55" i="18"/>
  <c r="J55" i="18"/>
  <c r="I55" i="18"/>
  <c r="H55" i="18"/>
  <c r="AN54" i="18"/>
  <c r="AL54" i="18"/>
  <c r="AH54" i="18"/>
  <c r="AG54" i="18"/>
  <c r="AC54" i="18"/>
  <c r="X54" i="18"/>
  <c r="S54" i="18"/>
  <c r="R54" i="18"/>
  <c r="Q54" i="18"/>
  <c r="K54" i="18"/>
  <c r="J54" i="18"/>
  <c r="I54" i="18"/>
  <c r="H54" i="18"/>
  <c r="AN53" i="18"/>
  <c r="AL53" i="18"/>
  <c r="AH53" i="18"/>
  <c r="AG53" i="18"/>
  <c r="AC53" i="18"/>
  <c r="X53" i="18"/>
  <c r="S53" i="18"/>
  <c r="R53" i="18"/>
  <c r="K53" i="18"/>
  <c r="J53" i="18"/>
  <c r="I53" i="18"/>
  <c r="H53" i="18"/>
  <c r="AN52" i="18"/>
  <c r="AL52" i="18"/>
  <c r="AH52" i="18"/>
  <c r="AG52" i="18"/>
  <c r="AC52" i="18"/>
  <c r="X52" i="18"/>
  <c r="S52" i="18"/>
  <c r="R52" i="18"/>
  <c r="Q52" i="18"/>
  <c r="K52" i="18"/>
  <c r="J52" i="18"/>
  <c r="I52" i="18"/>
  <c r="H52" i="18"/>
  <c r="AN51" i="18"/>
  <c r="AL51" i="18"/>
  <c r="AH51" i="18"/>
  <c r="AG51" i="18"/>
  <c r="AC51" i="18"/>
  <c r="X51" i="18"/>
  <c r="S51" i="18"/>
  <c r="R51" i="18"/>
  <c r="Q51" i="18"/>
  <c r="K51" i="18"/>
  <c r="J51" i="18"/>
  <c r="I51" i="18"/>
  <c r="H51" i="18"/>
  <c r="AN50" i="18"/>
  <c r="AL50" i="18"/>
  <c r="AH50" i="18"/>
  <c r="AG50" i="18"/>
  <c r="AC50" i="18"/>
  <c r="X50" i="18"/>
  <c r="S50" i="18"/>
  <c r="R50" i="18"/>
  <c r="Q50" i="18"/>
  <c r="K50" i="18"/>
  <c r="J50" i="18"/>
  <c r="I50" i="18"/>
  <c r="H50" i="18"/>
  <c r="AN49" i="18"/>
  <c r="AL49" i="18"/>
  <c r="AH49" i="18"/>
  <c r="AG49" i="18"/>
  <c r="AC49" i="18"/>
  <c r="X49" i="18"/>
  <c r="S49" i="18"/>
  <c r="R49" i="18"/>
  <c r="Q49" i="18"/>
  <c r="K49" i="18"/>
  <c r="J49" i="18"/>
  <c r="I49" i="18"/>
  <c r="H49" i="18"/>
  <c r="AN48" i="18"/>
  <c r="AL48" i="18"/>
  <c r="AH48" i="18"/>
  <c r="AG48" i="18"/>
  <c r="AC48" i="18"/>
  <c r="X48" i="18"/>
  <c r="S48" i="18"/>
  <c r="R48" i="18"/>
  <c r="K48" i="18"/>
  <c r="J48" i="18"/>
  <c r="I48" i="18"/>
  <c r="H48" i="18"/>
  <c r="AN47" i="18"/>
  <c r="AL47" i="18"/>
  <c r="AH47" i="18"/>
  <c r="AG47" i="18"/>
  <c r="AC47" i="18"/>
  <c r="X47" i="18"/>
  <c r="S47" i="18"/>
  <c r="R47" i="18"/>
  <c r="Q47" i="18"/>
  <c r="K47" i="18"/>
  <c r="J47" i="18"/>
  <c r="I47" i="18"/>
  <c r="H47" i="18"/>
  <c r="AN46" i="18"/>
  <c r="AL46" i="18"/>
  <c r="AH46" i="18"/>
  <c r="AG46" i="18"/>
  <c r="AC46" i="18"/>
  <c r="X46" i="18"/>
  <c r="S46" i="18"/>
  <c r="R46" i="18"/>
  <c r="Q46" i="18"/>
  <c r="K46" i="18"/>
  <c r="J46" i="18"/>
  <c r="I46" i="18"/>
  <c r="H46" i="18"/>
  <c r="AN45" i="18"/>
  <c r="AL45" i="18"/>
  <c r="AH45" i="18"/>
  <c r="AG45" i="18"/>
  <c r="AC45" i="18"/>
  <c r="X45" i="18"/>
  <c r="S45" i="18"/>
  <c r="R45" i="18"/>
  <c r="Q45" i="18"/>
  <c r="K45" i="18"/>
  <c r="J45" i="18"/>
  <c r="I45" i="18"/>
  <c r="H45" i="18"/>
  <c r="AN44" i="18"/>
  <c r="AL44" i="18"/>
  <c r="AH44" i="18"/>
  <c r="AG44" i="18"/>
  <c r="AC44" i="18"/>
  <c r="X44" i="18"/>
  <c r="S44" i="18"/>
  <c r="R44" i="18"/>
  <c r="Q44" i="18"/>
  <c r="K44" i="18"/>
  <c r="J44" i="18"/>
  <c r="I44" i="18"/>
  <c r="H44" i="18"/>
  <c r="AN43" i="18"/>
  <c r="AM43" i="18"/>
  <c r="AL43" i="18"/>
  <c r="AK43" i="18"/>
  <c r="AH43" i="18"/>
  <c r="AG43" i="18"/>
  <c r="AF43" i="18"/>
  <c r="AC43" i="18"/>
  <c r="AB43" i="18"/>
  <c r="X43" i="18"/>
  <c r="W43" i="18"/>
  <c r="S43" i="18"/>
  <c r="O43" i="18"/>
  <c r="K43" i="18"/>
  <c r="G43" i="18"/>
  <c r="AN42" i="18"/>
  <c r="AM42" i="18"/>
  <c r="AL42" i="18"/>
  <c r="AK42" i="18"/>
  <c r="AH42" i="18"/>
  <c r="AF42" i="18"/>
  <c r="AB42" i="18"/>
  <c r="W42" i="18"/>
  <c r="S42" i="18"/>
  <c r="O42" i="18"/>
  <c r="K42" i="18"/>
  <c r="G42" i="18"/>
  <c r="AN41" i="18"/>
  <c r="AM41" i="18"/>
  <c r="AL41" i="18"/>
  <c r="AK41" i="18"/>
  <c r="AH41" i="18"/>
  <c r="AF41" i="18"/>
  <c r="AB41" i="18"/>
  <c r="W41" i="18"/>
  <c r="S41" i="18"/>
  <c r="O41" i="18"/>
  <c r="K41" i="18"/>
  <c r="G41" i="18"/>
  <c r="AN40" i="18"/>
  <c r="AM40" i="18"/>
  <c r="AL40" i="18"/>
  <c r="AK40" i="18"/>
  <c r="AH40" i="18"/>
  <c r="AF40" i="18"/>
  <c r="AB40" i="18"/>
  <c r="W40" i="18"/>
  <c r="S40" i="18"/>
  <c r="O40" i="18"/>
  <c r="K40" i="18"/>
  <c r="G40" i="18"/>
  <c r="AN39" i="18"/>
  <c r="AM39" i="18"/>
  <c r="AL39" i="18"/>
  <c r="AK39" i="18"/>
  <c r="AH39" i="18"/>
  <c r="AF39" i="18"/>
  <c r="AB39" i="18"/>
  <c r="W39" i="18"/>
  <c r="S39" i="18"/>
  <c r="O39" i="18"/>
  <c r="K39" i="18"/>
  <c r="G39" i="18"/>
  <c r="AN38" i="18"/>
  <c r="AM38" i="18"/>
  <c r="AL38" i="18"/>
  <c r="AK38" i="18"/>
  <c r="AH38" i="18"/>
  <c r="AF38" i="18"/>
  <c r="AB38" i="18"/>
  <c r="W38" i="18"/>
  <c r="S38" i="18"/>
  <c r="O38" i="18"/>
  <c r="K38" i="18"/>
  <c r="G38" i="18"/>
  <c r="AN37" i="18"/>
  <c r="AM37" i="18"/>
  <c r="AL37" i="18"/>
  <c r="AK37" i="18"/>
  <c r="AH37" i="18"/>
  <c r="AF37" i="18"/>
  <c r="AB37" i="18"/>
  <c r="W37" i="18"/>
  <c r="S37" i="18"/>
  <c r="O37" i="18"/>
  <c r="K37" i="18"/>
  <c r="G37" i="18"/>
  <c r="AN36" i="18"/>
  <c r="AM36" i="18"/>
  <c r="AL36" i="18"/>
  <c r="AK36" i="18"/>
  <c r="AH36" i="18"/>
  <c r="AF36" i="18"/>
  <c r="AB36" i="18"/>
  <c r="W36" i="18"/>
  <c r="S36" i="18"/>
  <c r="O36" i="18"/>
  <c r="K36" i="18"/>
  <c r="G36" i="18"/>
  <c r="AN35" i="18"/>
  <c r="AM35" i="18"/>
  <c r="AL35" i="18"/>
  <c r="AK35" i="18"/>
  <c r="AH35" i="18"/>
  <c r="AF35" i="18"/>
  <c r="AB35" i="18"/>
  <c r="W35" i="18"/>
  <c r="S35" i="18"/>
  <c r="O35" i="18"/>
  <c r="K35" i="18"/>
  <c r="G35" i="18"/>
  <c r="AN34" i="18"/>
  <c r="AM34" i="18"/>
  <c r="AL34" i="18"/>
  <c r="AK34" i="18"/>
  <c r="AH34" i="18"/>
  <c r="AF34" i="18"/>
  <c r="AB34" i="18"/>
  <c r="W34" i="18"/>
  <c r="S34" i="18"/>
  <c r="O34" i="18"/>
  <c r="K34" i="18"/>
  <c r="G34" i="18"/>
  <c r="AN33" i="18"/>
  <c r="AM33" i="18"/>
  <c r="AL33" i="18"/>
  <c r="AK33" i="18"/>
  <c r="AH33" i="18"/>
  <c r="AF33" i="18"/>
  <c r="AB33" i="18"/>
  <c r="W33" i="18"/>
  <c r="S33" i="18"/>
  <c r="O33" i="18"/>
  <c r="K33" i="18"/>
  <c r="G33" i="18"/>
  <c r="AN32" i="18"/>
  <c r="AM32" i="18"/>
  <c r="AL32" i="18"/>
  <c r="AK32" i="18"/>
  <c r="AH32" i="18"/>
  <c r="AF32" i="18"/>
  <c r="AB32" i="18"/>
  <c r="W32" i="18"/>
  <c r="S32" i="18"/>
  <c r="O32" i="18"/>
  <c r="K32" i="18"/>
  <c r="G32" i="18"/>
  <c r="AN31" i="18"/>
  <c r="AM31" i="18"/>
  <c r="AL31" i="18"/>
  <c r="AK31" i="18"/>
  <c r="AH31" i="18"/>
  <c r="AF31" i="18"/>
  <c r="AB31" i="18"/>
  <c r="W31" i="18"/>
  <c r="S31" i="18"/>
  <c r="O31" i="18"/>
  <c r="K31" i="18"/>
  <c r="G31" i="18"/>
  <c r="AN30" i="18"/>
  <c r="AM30" i="18"/>
  <c r="AL30" i="18"/>
  <c r="AK30" i="18"/>
  <c r="AH30" i="18"/>
  <c r="AF30" i="18"/>
  <c r="AB30" i="18"/>
  <c r="W30" i="18"/>
  <c r="S30" i="18"/>
  <c r="O30" i="18"/>
  <c r="K30" i="18"/>
  <c r="G30" i="18"/>
  <c r="AN29" i="18"/>
  <c r="AM29" i="18"/>
  <c r="AL29" i="18"/>
  <c r="AK29" i="18"/>
  <c r="AH29" i="18"/>
  <c r="AF29" i="18"/>
  <c r="AB29" i="18"/>
  <c r="W29" i="18"/>
  <c r="S29" i="18"/>
  <c r="O29" i="18"/>
  <c r="K29" i="18"/>
  <c r="G29" i="18"/>
  <c r="AN28" i="18"/>
  <c r="AM28" i="18"/>
  <c r="AL28" i="18"/>
  <c r="AK28" i="18"/>
  <c r="AH28" i="18"/>
  <c r="AF28" i="18"/>
  <c r="AB28" i="18"/>
  <c r="W28" i="18"/>
  <c r="S28" i="18"/>
  <c r="O28" i="18"/>
  <c r="K28" i="18"/>
  <c r="G28" i="18"/>
  <c r="AN27" i="18"/>
  <c r="AM27" i="18"/>
  <c r="AL27" i="18"/>
  <c r="AK27" i="18"/>
  <c r="AH27" i="18"/>
  <c r="AF27" i="18"/>
  <c r="AB27" i="18"/>
  <c r="W27" i="18"/>
  <c r="S27" i="18"/>
  <c r="O27" i="18"/>
  <c r="K27" i="18"/>
  <c r="G27" i="18"/>
  <c r="AN26" i="18"/>
  <c r="AM26" i="18"/>
  <c r="AL26" i="18"/>
  <c r="AK26" i="18"/>
  <c r="AH26" i="18"/>
  <c r="AF26" i="18"/>
  <c r="AB26" i="18"/>
  <c r="W26" i="18"/>
  <c r="S26" i="18"/>
  <c r="O26" i="18"/>
  <c r="K26" i="18"/>
  <c r="G26" i="18"/>
  <c r="AN25" i="18"/>
  <c r="AM25" i="18"/>
  <c r="AL25" i="18"/>
  <c r="AK25" i="18"/>
  <c r="AH25" i="18"/>
  <c r="AF25" i="18"/>
  <c r="AB25" i="18"/>
  <c r="W25" i="18"/>
  <c r="S25" i="18"/>
  <c r="O25" i="18"/>
  <c r="K25" i="18"/>
  <c r="G25" i="18"/>
  <c r="AN24" i="18"/>
  <c r="AM24" i="18"/>
  <c r="AL24" i="18"/>
  <c r="AK24" i="18"/>
  <c r="AH24" i="18"/>
  <c r="AF24" i="18"/>
  <c r="AB24" i="18"/>
  <c r="W24" i="18"/>
  <c r="S24" i="18"/>
  <c r="O24" i="18"/>
  <c r="K24" i="18"/>
  <c r="G24" i="18"/>
  <c r="AN23" i="18"/>
  <c r="AM23" i="18"/>
  <c r="AL23" i="18"/>
  <c r="AK23" i="18"/>
  <c r="AH23" i="18"/>
  <c r="AF23" i="18"/>
  <c r="AB23" i="18"/>
  <c r="W23" i="18"/>
  <c r="S23" i="18"/>
  <c r="O23" i="18"/>
  <c r="K23" i="18"/>
  <c r="G23" i="18"/>
  <c r="AN22" i="18"/>
  <c r="AM22" i="18"/>
  <c r="AL22" i="18"/>
  <c r="AK22" i="18"/>
  <c r="AH22" i="18"/>
  <c r="AF22" i="18"/>
  <c r="AB22" i="18"/>
  <c r="W22" i="18"/>
  <c r="S22" i="18"/>
  <c r="O22" i="18"/>
  <c r="K22" i="18"/>
  <c r="G22" i="18"/>
  <c r="AN21" i="18"/>
  <c r="AM21" i="18"/>
  <c r="AL21" i="18"/>
  <c r="AK21" i="18"/>
  <c r="AH21" i="18"/>
  <c r="AF21" i="18"/>
  <c r="AB21" i="18"/>
  <c r="W21" i="18"/>
  <c r="S21" i="18"/>
  <c r="O21" i="18"/>
  <c r="K21" i="18"/>
  <c r="G21" i="18"/>
  <c r="AN20" i="18"/>
  <c r="AM20" i="18"/>
  <c r="AL20" i="18"/>
  <c r="AK20" i="18"/>
  <c r="AH20" i="18"/>
  <c r="AF20" i="18"/>
  <c r="AB20" i="18"/>
  <c r="W20" i="18"/>
  <c r="S20" i="18"/>
  <c r="O20" i="18"/>
  <c r="K20" i="18"/>
  <c r="G20" i="18"/>
  <c r="AN19" i="18"/>
  <c r="AM19" i="18"/>
  <c r="AL19" i="18"/>
  <c r="AK19" i="18"/>
  <c r="AH19" i="18"/>
  <c r="AF19" i="18"/>
  <c r="AB19" i="18"/>
  <c r="W19" i="18"/>
  <c r="S19" i="18"/>
  <c r="O19" i="18"/>
  <c r="K19" i="18"/>
  <c r="G19" i="18"/>
  <c r="AN18" i="18"/>
  <c r="AM18" i="18"/>
  <c r="AL18" i="18"/>
  <c r="AK18" i="18"/>
  <c r="AH18" i="18"/>
  <c r="AF18" i="18"/>
  <c r="AB18" i="18"/>
  <c r="W18" i="18"/>
  <c r="S18" i="18"/>
  <c r="O18" i="18"/>
  <c r="K18" i="18"/>
  <c r="G18" i="18"/>
  <c r="AN17" i="18"/>
  <c r="AM17" i="18"/>
  <c r="AL17" i="18"/>
  <c r="AK17" i="18"/>
  <c r="AH17" i="18"/>
  <c r="AF17" i="18"/>
  <c r="AB17" i="18"/>
  <c r="W17" i="18"/>
  <c r="S17" i="18"/>
  <c r="O17" i="18"/>
  <c r="K17" i="18"/>
  <c r="G17" i="18"/>
  <c r="AN16" i="18"/>
  <c r="AM16" i="18"/>
  <c r="AL16" i="18"/>
  <c r="AK16" i="18"/>
  <c r="AH16" i="18"/>
  <c r="AF16" i="18"/>
  <c r="AB16" i="18"/>
  <c r="W16" i="18"/>
  <c r="S16" i="18"/>
  <c r="O16" i="18"/>
  <c r="K16" i="18"/>
  <c r="G16" i="18"/>
  <c r="AN15" i="18"/>
  <c r="AM15" i="18"/>
  <c r="AL15" i="18"/>
  <c r="AK15" i="18"/>
  <c r="AH15" i="18"/>
  <c r="AF15" i="18"/>
  <c r="AB15" i="18"/>
  <c r="W15" i="18"/>
  <c r="S15" i="18"/>
  <c r="O15" i="18"/>
  <c r="K15" i="18"/>
  <c r="G15" i="18"/>
  <c r="AN14" i="18"/>
  <c r="AM14" i="18"/>
  <c r="AL14" i="18"/>
  <c r="AK14" i="18"/>
  <c r="AH14" i="18"/>
  <c r="AF14" i="18"/>
  <c r="AB14" i="18"/>
  <c r="W14" i="18"/>
  <c r="S14" i="18"/>
  <c r="O14" i="18"/>
  <c r="K14" i="18"/>
  <c r="G14" i="18"/>
  <c r="AN13" i="18"/>
  <c r="AM13" i="18"/>
  <c r="AL13" i="18"/>
  <c r="AK13" i="18"/>
  <c r="AH13" i="18"/>
  <c r="AF13" i="18"/>
  <c r="AB13" i="18"/>
  <c r="W13" i="18"/>
  <c r="S13" i="18"/>
  <c r="O13" i="18"/>
  <c r="K13" i="18"/>
  <c r="G13" i="18"/>
  <c r="AN12" i="18"/>
  <c r="AM12" i="18"/>
  <c r="AL12" i="18"/>
  <c r="AK12" i="18"/>
  <c r="AH12" i="18"/>
  <c r="AF12" i="18"/>
  <c r="AB12" i="18"/>
  <c r="W12" i="18"/>
  <c r="S12" i="18"/>
  <c r="O12" i="18"/>
  <c r="K12" i="18"/>
  <c r="G12" i="18"/>
  <c r="AN11" i="18"/>
  <c r="AM11" i="18"/>
  <c r="AL11" i="18"/>
  <c r="AK11" i="18"/>
  <c r="AH11" i="18"/>
  <c r="AF11" i="18"/>
  <c r="AB11" i="18"/>
  <c r="W11" i="18"/>
  <c r="S11" i="18"/>
  <c r="O11" i="18"/>
  <c r="K11" i="18"/>
  <c r="G11" i="18"/>
  <c r="AN10" i="18"/>
  <c r="AM10" i="18"/>
  <c r="AL10" i="18"/>
  <c r="AK10" i="18"/>
  <c r="AH10" i="18"/>
  <c r="AF10" i="18"/>
  <c r="AB10" i="18"/>
  <c r="W10" i="18"/>
  <c r="S10" i="18"/>
  <c r="O10" i="18"/>
  <c r="K10" i="18"/>
  <c r="G10" i="18"/>
  <c r="AN9" i="18"/>
  <c r="AM9" i="18"/>
  <c r="AL9" i="18"/>
  <c r="AK9" i="18"/>
  <c r="AH9" i="18"/>
  <c r="AF9" i="18"/>
  <c r="AB9" i="18"/>
  <c r="W9" i="18"/>
  <c r="S9" i="18"/>
  <c r="O9" i="18"/>
  <c r="K9" i="18"/>
  <c r="G9" i="18"/>
  <c r="AN8" i="18"/>
  <c r="AM8" i="18"/>
  <c r="AL8" i="18"/>
  <c r="AK8" i="18"/>
  <c r="AH8" i="18"/>
  <c r="AF8" i="18"/>
  <c r="AB8" i="18"/>
  <c r="W8" i="18"/>
  <c r="S8" i="18"/>
  <c r="O8" i="18"/>
  <c r="K8" i="18"/>
  <c r="G8" i="18"/>
  <c r="AN7" i="18"/>
  <c r="AM7" i="18"/>
  <c r="AL7" i="18"/>
  <c r="AK7" i="18"/>
  <c r="AH7" i="18"/>
  <c r="AF7" i="18"/>
  <c r="AB7" i="18"/>
  <c r="W7" i="18"/>
  <c r="S7" i="18"/>
  <c r="O7" i="18"/>
  <c r="K7" i="18"/>
  <c r="G7" i="18"/>
  <c r="AN6" i="18"/>
  <c r="AM6" i="18"/>
  <c r="AL6" i="18"/>
  <c r="AK6" i="18"/>
  <c r="AH6" i="18"/>
  <c r="AF6" i="18"/>
  <c r="AB6" i="18"/>
  <c r="W6" i="18"/>
  <c r="S6" i="18"/>
  <c r="O6" i="18"/>
  <c r="K6" i="18"/>
  <c r="G6" i="18"/>
  <c r="AN5" i="18"/>
  <c r="AM5" i="18"/>
  <c r="AL5" i="18"/>
  <c r="AK5" i="18"/>
  <c r="AH5" i="18"/>
  <c r="AF5" i="18"/>
  <c r="AB5" i="18"/>
  <c r="W5" i="18"/>
  <c r="S5" i="18"/>
  <c r="O5" i="18"/>
  <c r="K5" i="18"/>
  <c r="G5" i="18"/>
  <c r="AM4" i="18"/>
  <c r="AL4" i="18"/>
  <c r="AK4" i="18"/>
  <c r="AF4" i="18"/>
  <c r="AB4" i="18"/>
  <c r="W4" i="18"/>
  <c r="S4" i="18"/>
  <c r="O4" i="18"/>
  <c r="K4" i="18"/>
  <c r="G4" i="18"/>
  <c r="AB3" i="18"/>
  <c r="W3" i="18"/>
  <c r="S3" i="18"/>
  <c r="O3" i="18"/>
  <c r="AM43" i="14"/>
  <c r="AL43" i="14"/>
  <c r="AK43" i="14"/>
  <c r="AJ43" i="14"/>
  <c r="AG43" i="14"/>
  <c r="AE43" i="14"/>
  <c r="AB43" i="14"/>
  <c r="AA43" i="14"/>
  <c r="W43" i="14"/>
  <c r="V43" i="14"/>
  <c r="R43" i="14"/>
  <c r="O43" i="14"/>
  <c r="K43" i="14"/>
  <c r="G43" i="14"/>
  <c r="AM42" i="14"/>
  <c r="AL42" i="14"/>
  <c r="AK42" i="14"/>
  <c r="AJ42" i="14"/>
  <c r="AG42" i="14"/>
  <c r="AE42" i="14"/>
  <c r="AA42" i="14"/>
  <c r="V42" i="14"/>
  <c r="R42" i="14"/>
  <c r="O42" i="14"/>
  <c r="K42" i="14"/>
  <c r="G42" i="14"/>
  <c r="AM41" i="14"/>
  <c r="AL41" i="14"/>
  <c r="AK41" i="14"/>
  <c r="AJ41" i="14"/>
  <c r="AG41" i="14"/>
  <c r="AE41" i="14"/>
  <c r="AA41" i="14"/>
  <c r="V41" i="14"/>
  <c r="R41" i="14"/>
  <c r="O41" i="14"/>
  <c r="K41" i="14"/>
  <c r="G41" i="14"/>
  <c r="AM40" i="14"/>
  <c r="AL40" i="14"/>
  <c r="AK40" i="14"/>
  <c r="AJ40" i="14"/>
  <c r="AG40" i="14"/>
  <c r="AE40" i="14"/>
  <c r="AA40" i="14"/>
  <c r="V40" i="14"/>
  <c r="R40" i="14"/>
  <c r="O40" i="14"/>
  <c r="K40" i="14"/>
  <c r="G40" i="14"/>
  <c r="AM39" i="14"/>
  <c r="AL39" i="14"/>
  <c r="AK39" i="14"/>
  <c r="AJ39" i="14"/>
  <c r="AG39" i="14"/>
  <c r="AE39" i="14"/>
  <c r="AA39" i="14"/>
  <c r="V39" i="14"/>
  <c r="R39" i="14"/>
  <c r="O39" i="14"/>
  <c r="K39" i="14"/>
  <c r="G39" i="14"/>
  <c r="AM38" i="14"/>
  <c r="AL38" i="14"/>
  <c r="AK38" i="14"/>
  <c r="AJ38" i="14"/>
  <c r="AG38" i="14"/>
  <c r="AE38" i="14"/>
  <c r="AA38" i="14"/>
  <c r="V38" i="14"/>
  <c r="R38" i="14"/>
  <c r="O38" i="14"/>
  <c r="K38" i="14"/>
  <c r="G38" i="14"/>
  <c r="AM37" i="14"/>
  <c r="AL37" i="14"/>
  <c r="AK37" i="14"/>
  <c r="AJ37" i="14"/>
  <c r="AG37" i="14"/>
  <c r="AE37" i="14"/>
  <c r="AA37" i="14"/>
  <c r="V37" i="14"/>
  <c r="R37" i="14"/>
  <c r="O37" i="14"/>
  <c r="K37" i="14"/>
  <c r="G37" i="14"/>
  <c r="AM36" i="14"/>
  <c r="AL36" i="14"/>
  <c r="AK36" i="14"/>
  <c r="AJ36" i="14"/>
  <c r="AG36" i="14"/>
  <c r="AE36" i="14"/>
  <c r="AA36" i="14"/>
  <c r="V36" i="14"/>
  <c r="R36" i="14"/>
  <c r="O36" i="14"/>
  <c r="K36" i="14"/>
  <c r="G36" i="14"/>
  <c r="AM35" i="14"/>
  <c r="AL35" i="14"/>
  <c r="AK35" i="14"/>
  <c r="AJ35" i="14"/>
  <c r="AG35" i="14"/>
  <c r="AE35" i="14"/>
  <c r="AA35" i="14"/>
  <c r="V35" i="14"/>
  <c r="R35" i="14"/>
  <c r="O35" i="14"/>
  <c r="K35" i="14"/>
  <c r="G35" i="14"/>
  <c r="AM34" i="14"/>
  <c r="AL34" i="14"/>
  <c r="AK34" i="14"/>
  <c r="AJ34" i="14"/>
  <c r="AG34" i="14"/>
  <c r="AE34" i="14"/>
  <c r="AA34" i="14"/>
  <c r="V34" i="14"/>
  <c r="R34" i="14"/>
  <c r="O34" i="14"/>
  <c r="K34" i="14"/>
  <c r="G34" i="14"/>
  <c r="AM33" i="14"/>
  <c r="AL33" i="14"/>
  <c r="AK33" i="14"/>
  <c r="AJ33" i="14"/>
  <c r="AG33" i="14"/>
  <c r="AE33" i="14"/>
  <c r="AA33" i="14"/>
  <c r="V33" i="14"/>
  <c r="R33" i="14"/>
  <c r="O33" i="14"/>
  <c r="K33" i="14"/>
  <c r="G33" i="14"/>
  <c r="AM32" i="14"/>
  <c r="AL32" i="14"/>
  <c r="AK32" i="14"/>
  <c r="AJ32" i="14"/>
  <c r="AG32" i="14"/>
  <c r="AE32" i="14"/>
  <c r="AA32" i="14"/>
  <c r="V32" i="14"/>
  <c r="R32" i="14"/>
  <c r="O32" i="14"/>
  <c r="K32" i="14"/>
  <c r="G32" i="14"/>
  <c r="AM31" i="14"/>
  <c r="AL31" i="14"/>
  <c r="AK31" i="14"/>
  <c r="AJ31" i="14"/>
  <c r="AG31" i="14"/>
  <c r="AE31" i="14"/>
  <c r="AA31" i="14"/>
  <c r="V31" i="14"/>
  <c r="R31" i="14"/>
  <c r="O31" i="14"/>
  <c r="K31" i="14"/>
  <c r="G31" i="14"/>
  <c r="AM30" i="14"/>
  <c r="AL30" i="14"/>
  <c r="AK30" i="14"/>
  <c r="AJ30" i="14"/>
  <c r="AG30" i="14"/>
  <c r="AE30" i="14"/>
  <c r="AA30" i="14"/>
  <c r="V30" i="14"/>
  <c r="R30" i="14"/>
  <c r="O30" i="14"/>
  <c r="K30" i="14"/>
  <c r="G30" i="14"/>
  <c r="AM29" i="14"/>
  <c r="AL29" i="14"/>
  <c r="AK29" i="14"/>
  <c r="AJ29" i="14"/>
  <c r="AG29" i="14"/>
  <c r="AE29" i="14"/>
  <c r="AA29" i="14"/>
  <c r="V29" i="14"/>
  <c r="R29" i="14"/>
  <c r="O29" i="14"/>
  <c r="K29" i="14"/>
  <c r="G29" i="14"/>
  <c r="AM28" i="14"/>
  <c r="AL28" i="14"/>
  <c r="AK28" i="14"/>
  <c r="AJ28" i="14"/>
  <c r="AG28" i="14"/>
  <c r="AE28" i="14"/>
  <c r="AA28" i="14"/>
  <c r="V28" i="14"/>
  <c r="R28" i="14"/>
  <c r="O28" i="14"/>
  <c r="K28" i="14"/>
  <c r="G28" i="14"/>
  <c r="AM27" i="14"/>
  <c r="AL27" i="14"/>
  <c r="AK27" i="14"/>
  <c r="AJ27" i="14"/>
  <c r="AG27" i="14"/>
  <c r="AE27" i="14"/>
  <c r="AA27" i="14"/>
  <c r="V27" i="14"/>
  <c r="R27" i="14"/>
  <c r="O27" i="14"/>
  <c r="K27" i="14"/>
  <c r="G27" i="14"/>
  <c r="AM26" i="14"/>
  <c r="AL26" i="14"/>
  <c r="AK26" i="14"/>
  <c r="AJ26" i="14"/>
  <c r="AG26" i="14"/>
  <c r="AE26" i="14"/>
  <c r="AA26" i="14"/>
  <c r="V26" i="14"/>
  <c r="R26" i="14"/>
  <c r="O26" i="14"/>
  <c r="K26" i="14"/>
  <c r="G26" i="14"/>
  <c r="AM25" i="14"/>
  <c r="AL25" i="14"/>
  <c r="AK25" i="14"/>
  <c r="AJ25" i="14"/>
  <c r="AG25" i="14"/>
  <c r="AE25" i="14"/>
  <c r="AA25" i="14"/>
  <c r="V25" i="14"/>
  <c r="R25" i="14"/>
  <c r="O25" i="14"/>
  <c r="K25" i="14"/>
  <c r="G25" i="14"/>
  <c r="AM24" i="14"/>
  <c r="AL24" i="14"/>
  <c r="AK24" i="14"/>
  <c r="AJ24" i="14"/>
  <c r="AG24" i="14"/>
  <c r="AE24" i="14"/>
  <c r="AA24" i="14"/>
  <c r="V24" i="14"/>
  <c r="R24" i="14"/>
  <c r="O24" i="14"/>
  <c r="K24" i="14"/>
  <c r="G24" i="14"/>
  <c r="AM23" i="14"/>
  <c r="AL23" i="14"/>
  <c r="AK23" i="14"/>
  <c r="AJ23" i="14"/>
  <c r="AG23" i="14"/>
  <c r="AE23" i="14"/>
  <c r="AA23" i="14"/>
  <c r="V23" i="14"/>
  <c r="R23" i="14"/>
  <c r="O23" i="14"/>
  <c r="K23" i="14"/>
  <c r="G23" i="14"/>
  <c r="AM22" i="14"/>
  <c r="AL22" i="14"/>
  <c r="AK22" i="14"/>
  <c r="AJ22" i="14"/>
  <c r="AG22" i="14"/>
  <c r="AE22" i="14"/>
  <c r="AA22" i="14"/>
  <c r="V22" i="14"/>
  <c r="R22" i="14"/>
  <c r="O22" i="14"/>
  <c r="K22" i="14"/>
  <c r="G22" i="14"/>
  <c r="AM21" i="14"/>
  <c r="AL21" i="14"/>
  <c r="AK21" i="14"/>
  <c r="AJ21" i="14"/>
  <c r="AG21" i="14"/>
  <c r="AE21" i="14"/>
  <c r="AA21" i="14"/>
  <c r="V21" i="14"/>
  <c r="R21" i="14"/>
  <c r="O21" i="14"/>
  <c r="K21" i="14"/>
  <c r="G21" i="14"/>
  <c r="AM20" i="14"/>
  <c r="AL20" i="14"/>
  <c r="AK20" i="14"/>
  <c r="AJ20" i="14"/>
  <c r="AG20" i="14"/>
  <c r="AE20" i="14"/>
  <c r="AA20" i="14"/>
  <c r="V20" i="14"/>
  <c r="R20" i="14"/>
  <c r="O20" i="14"/>
  <c r="K20" i="14"/>
  <c r="G20" i="14"/>
  <c r="AM19" i="14"/>
  <c r="AL19" i="14"/>
  <c r="AK19" i="14"/>
  <c r="AJ19" i="14"/>
  <c r="AG19" i="14"/>
  <c r="AE19" i="14"/>
  <c r="AA19" i="14"/>
  <c r="V19" i="14"/>
  <c r="R19" i="14"/>
  <c r="O19" i="14"/>
  <c r="K19" i="14"/>
  <c r="G19" i="14"/>
  <c r="AM18" i="14"/>
  <c r="AL18" i="14"/>
  <c r="AK18" i="14"/>
  <c r="AJ18" i="14"/>
  <c r="AG18" i="14"/>
  <c r="AE18" i="14"/>
  <c r="AA18" i="14"/>
  <c r="V18" i="14"/>
  <c r="R18" i="14"/>
  <c r="O18" i="14"/>
  <c r="K18" i="14"/>
  <c r="G18" i="14"/>
  <c r="AM17" i="14"/>
  <c r="AL17" i="14"/>
  <c r="AK17" i="14"/>
  <c r="AJ17" i="14"/>
  <c r="AG17" i="14"/>
  <c r="AE17" i="14"/>
  <c r="AA17" i="14"/>
  <c r="V17" i="14"/>
  <c r="R17" i="14"/>
  <c r="O17" i="14"/>
  <c r="K17" i="14"/>
  <c r="G17" i="14"/>
  <c r="AM16" i="14"/>
  <c r="AL16" i="14"/>
  <c r="AK16" i="14"/>
  <c r="AJ16" i="14"/>
  <c r="AG16" i="14"/>
  <c r="AE16" i="14"/>
  <c r="AA16" i="14"/>
  <c r="V16" i="14"/>
  <c r="R16" i="14"/>
  <c r="O16" i="14"/>
  <c r="K16" i="14"/>
  <c r="G16" i="14"/>
  <c r="AM15" i="14"/>
  <c r="AL15" i="14"/>
  <c r="AK15" i="14"/>
  <c r="AJ15" i="14"/>
  <c r="AG15" i="14"/>
  <c r="AE15" i="14"/>
  <c r="AA15" i="14"/>
  <c r="V15" i="14"/>
  <c r="R15" i="14"/>
  <c r="O15" i="14"/>
  <c r="K15" i="14"/>
  <c r="G15" i="14"/>
  <c r="AM14" i="14"/>
  <c r="AL14" i="14"/>
  <c r="AK14" i="14"/>
  <c r="AJ14" i="14"/>
  <c r="AG14" i="14"/>
  <c r="AE14" i="14"/>
  <c r="AA14" i="14"/>
  <c r="V14" i="14"/>
  <c r="R14" i="14"/>
  <c r="O14" i="14"/>
  <c r="K14" i="14"/>
  <c r="G14" i="14"/>
  <c r="AM13" i="14"/>
  <c r="AL13" i="14"/>
  <c r="AK13" i="14"/>
  <c r="AJ13" i="14"/>
  <c r="AG13" i="14"/>
  <c r="AE13" i="14"/>
  <c r="AA13" i="14"/>
  <c r="V13" i="14"/>
  <c r="R13" i="14"/>
  <c r="O13" i="14"/>
  <c r="K13" i="14"/>
  <c r="G13" i="14"/>
  <c r="AM12" i="14"/>
  <c r="AL12" i="14"/>
  <c r="AK12" i="14"/>
  <c r="AJ12" i="14"/>
  <c r="AG12" i="14"/>
  <c r="AE12" i="14"/>
  <c r="AA12" i="14"/>
  <c r="V12" i="14"/>
  <c r="R12" i="14"/>
  <c r="O12" i="14"/>
  <c r="K12" i="14"/>
  <c r="G12" i="14"/>
  <c r="AM11" i="14"/>
  <c r="AL11" i="14"/>
  <c r="AK11" i="14"/>
  <c r="AJ11" i="14"/>
  <c r="AG11" i="14"/>
  <c r="AE11" i="14"/>
  <c r="AA11" i="14"/>
  <c r="V11" i="14"/>
  <c r="R11" i="14"/>
  <c r="O11" i="14"/>
  <c r="K11" i="14"/>
  <c r="G11" i="14"/>
  <c r="AM10" i="14"/>
  <c r="AL10" i="14"/>
  <c r="AK10" i="14"/>
  <c r="AJ10" i="14"/>
  <c r="AG10" i="14"/>
  <c r="AE10" i="14"/>
  <c r="AA10" i="14"/>
  <c r="V10" i="14"/>
  <c r="R10" i="14"/>
  <c r="O10" i="14"/>
  <c r="K10" i="14"/>
  <c r="G10" i="14"/>
  <c r="AM9" i="14"/>
  <c r="AL9" i="14"/>
  <c r="AK9" i="14"/>
  <c r="AJ9" i="14"/>
  <c r="AG9" i="14"/>
  <c r="AE9" i="14"/>
  <c r="AA9" i="14"/>
  <c r="V9" i="14"/>
  <c r="R9" i="14"/>
  <c r="O9" i="14"/>
  <c r="K9" i="14"/>
  <c r="G9" i="14"/>
  <c r="AM8" i="14"/>
  <c r="AL8" i="14"/>
  <c r="AK8" i="14"/>
  <c r="AJ8" i="14"/>
  <c r="AG8" i="14"/>
  <c r="AE8" i="14"/>
  <c r="AA8" i="14"/>
  <c r="V8" i="14"/>
  <c r="R8" i="14"/>
  <c r="O8" i="14"/>
  <c r="K8" i="14"/>
  <c r="G8" i="14"/>
  <c r="AM7" i="14"/>
  <c r="AL7" i="14"/>
  <c r="AK7" i="14"/>
  <c r="AJ7" i="14"/>
  <c r="AG7" i="14"/>
  <c r="AE7" i="14"/>
  <c r="AA7" i="14"/>
  <c r="V7" i="14"/>
  <c r="R7" i="14"/>
  <c r="O7" i="14"/>
  <c r="K7" i="14"/>
  <c r="G7" i="14"/>
  <c r="AM6" i="14"/>
  <c r="AL6" i="14"/>
  <c r="AK6" i="14"/>
  <c r="AJ6" i="14"/>
  <c r="AG6" i="14"/>
  <c r="AE6" i="14"/>
  <c r="AA6" i="14"/>
  <c r="V6" i="14"/>
  <c r="R6" i="14"/>
  <c r="O6" i="14"/>
  <c r="K6" i="14"/>
  <c r="G6" i="14"/>
  <c r="AM5" i="14"/>
  <c r="AL5" i="14"/>
  <c r="AK5" i="14"/>
  <c r="AJ5" i="14"/>
  <c r="AG5" i="14"/>
  <c r="AE5" i="14"/>
  <c r="AA5" i="14"/>
  <c r="V5" i="14"/>
  <c r="R5" i="14"/>
  <c r="O5" i="14"/>
  <c r="K5" i="14"/>
  <c r="G5" i="14"/>
  <c r="AL4" i="14"/>
  <c r="AK4" i="14"/>
  <c r="AJ4" i="14"/>
  <c r="AE4" i="14"/>
  <c r="AA4" i="14"/>
  <c r="V4" i="14"/>
  <c r="R4" i="14"/>
  <c r="O4" i="14"/>
  <c r="K4" i="14"/>
  <c r="G4" i="14"/>
  <c r="AA3" i="14"/>
  <c r="V3" i="14"/>
  <c r="R3" i="14"/>
  <c r="O3" i="14"/>
  <c r="AN43" i="25"/>
  <c r="AI43" i="25"/>
  <c r="AH43" i="25"/>
  <c r="AG43" i="25"/>
  <c r="AF43" i="25"/>
  <c r="AC43" i="25"/>
  <c r="AA43" i="25"/>
  <c r="W43" i="25"/>
  <c r="S43" i="25"/>
  <c r="P43" i="25"/>
  <c r="L43" i="25"/>
  <c r="H43" i="25"/>
  <c r="C43" i="25"/>
  <c r="AN42" i="25"/>
  <c r="AI42" i="25"/>
  <c r="AH42" i="25"/>
  <c r="AG42" i="25"/>
  <c r="AF42" i="25"/>
  <c r="AC42" i="25"/>
  <c r="AA42" i="25"/>
  <c r="W42" i="25"/>
  <c r="S42" i="25"/>
  <c r="P42" i="25"/>
  <c r="L42" i="25"/>
  <c r="H42" i="25"/>
  <c r="C42" i="25"/>
  <c r="AN41" i="25"/>
  <c r="AI41" i="25"/>
  <c r="AH41" i="25"/>
  <c r="AG41" i="25"/>
  <c r="AF41" i="25"/>
  <c r="AC41" i="25"/>
  <c r="AA41" i="25"/>
  <c r="W41" i="25"/>
  <c r="S41" i="25"/>
  <c r="P41" i="25"/>
  <c r="L41" i="25"/>
  <c r="H41" i="25"/>
  <c r="C41" i="25"/>
  <c r="AN40" i="25"/>
  <c r="AI40" i="25"/>
  <c r="AH40" i="25"/>
  <c r="AG40" i="25"/>
  <c r="AF40" i="25"/>
  <c r="AC40" i="25"/>
  <c r="AA40" i="25"/>
  <c r="W40" i="25"/>
  <c r="S40" i="25"/>
  <c r="P40" i="25"/>
  <c r="L40" i="25"/>
  <c r="H40" i="25"/>
  <c r="C40" i="25"/>
  <c r="AN39" i="25"/>
  <c r="AI39" i="25"/>
  <c r="AH39" i="25"/>
  <c r="AG39" i="25"/>
  <c r="AF39" i="25"/>
  <c r="AC39" i="25"/>
  <c r="AA39" i="25"/>
  <c r="W39" i="25"/>
  <c r="S39" i="25"/>
  <c r="P39" i="25"/>
  <c r="L39" i="25"/>
  <c r="H39" i="25"/>
  <c r="C39" i="25"/>
  <c r="AN38" i="25"/>
  <c r="AI38" i="25"/>
  <c r="AH38" i="25"/>
  <c r="AG38" i="25"/>
  <c r="AF38" i="25"/>
  <c r="AC38" i="25"/>
  <c r="AA38" i="25"/>
  <c r="W38" i="25"/>
  <c r="S38" i="25"/>
  <c r="P38" i="25"/>
  <c r="L38" i="25"/>
  <c r="H38" i="25"/>
  <c r="C38" i="25"/>
  <c r="AN37" i="25"/>
  <c r="AI37" i="25"/>
  <c r="AH37" i="25"/>
  <c r="AG37" i="25"/>
  <c r="AF37" i="25"/>
  <c r="AC37" i="25"/>
  <c r="AA37" i="25"/>
  <c r="W37" i="25"/>
  <c r="S37" i="25"/>
  <c r="P37" i="25"/>
  <c r="L37" i="25"/>
  <c r="H37" i="25"/>
  <c r="C37" i="25"/>
  <c r="AN36" i="25"/>
  <c r="AI36" i="25"/>
  <c r="AH36" i="25"/>
  <c r="AG36" i="25"/>
  <c r="AF36" i="25"/>
  <c r="AC36" i="25"/>
  <c r="AA36" i="25"/>
  <c r="W36" i="25"/>
  <c r="S36" i="25"/>
  <c r="P36" i="25"/>
  <c r="L36" i="25"/>
  <c r="H36" i="25"/>
  <c r="C36" i="25"/>
  <c r="AN35" i="25"/>
  <c r="AI35" i="25"/>
  <c r="AH35" i="25"/>
  <c r="AG35" i="25"/>
  <c r="AF35" i="25"/>
  <c r="AC35" i="25"/>
  <c r="AA35" i="25"/>
  <c r="W35" i="25"/>
  <c r="S35" i="25"/>
  <c r="P35" i="25"/>
  <c r="L35" i="25"/>
  <c r="H35" i="25"/>
  <c r="C35" i="25"/>
  <c r="AN34" i="25"/>
  <c r="AI34" i="25"/>
  <c r="AH34" i="25"/>
  <c r="AG34" i="25"/>
  <c r="AF34" i="25"/>
  <c r="AC34" i="25"/>
  <c r="AA34" i="25"/>
  <c r="W34" i="25"/>
  <c r="S34" i="25"/>
  <c r="P34" i="25"/>
  <c r="L34" i="25"/>
  <c r="H34" i="25"/>
  <c r="C34" i="25"/>
  <c r="AN33" i="25"/>
  <c r="AI33" i="25"/>
  <c r="AH33" i="25"/>
  <c r="AG33" i="25"/>
  <c r="AF33" i="25"/>
  <c r="AC33" i="25"/>
  <c r="AA33" i="25"/>
  <c r="W33" i="25"/>
  <c r="S33" i="25"/>
  <c r="P33" i="25"/>
  <c r="L33" i="25"/>
  <c r="H33" i="25"/>
  <c r="C33" i="25"/>
  <c r="AN32" i="25"/>
  <c r="AI32" i="25"/>
  <c r="AH32" i="25"/>
  <c r="AG32" i="25"/>
  <c r="AF32" i="25"/>
  <c r="AC32" i="25"/>
  <c r="AA32" i="25"/>
  <c r="W32" i="25"/>
  <c r="S32" i="25"/>
  <c r="P32" i="25"/>
  <c r="L32" i="25"/>
  <c r="H32" i="25"/>
  <c r="C32" i="25"/>
  <c r="AN31" i="25"/>
  <c r="AI31" i="25"/>
  <c r="AH31" i="25"/>
  <c r="AG31" i="25"/>
  <c r="AF31" i="25"/>
  <c r="AC31" i="25"/>
  <c r="AA31" i="25"/>
  <c r="W31" i="25"/>
  <c r="S31" i="25"/>
  <c r="P31" i="25"/>
  <c r="L31" i="25"/>
  <c r="H31" i="25"/>
  <c r="C31" i="25"/>
  <c r="AN30" i="25"/>
  <c r="AI30" i="25"/>
  <c r="AH30" i="25"/>
  <c r="AG30" i="25"/>
  <c r="AF30" i="25"/>
  <c r="AC30" i="25"/>
  <c r="AA30" i="25"/>
  <c r="W30" i="25"/>
  <c r="S30" i="25"/>
  <c r="P30" i="25"/>
  <c r="L30" i="25"/>
  <c r="H30" i="25"/>
  <c r="C30" i="25"/>
  <c r="AN29" i="25"/>
  <c r="AI29" i="25"/>
  <c r="AH29" i="25"/>
  <c r="AG29" i="25"/>
  <c r="AF29" i="25"/>
  <c r="AC29" i="25"/>
  <c r="AA29" i="25"/>
  <c r="W29" i="25"/>
  <c r="S29" i="25"/>
  <c r="P29" i="25"/>
  <c r="L29" i="25"/>
  <c r="H29" i="25"/>
  <c r="C29" i="25"/>
  <c r="AN28" i="25"/>
  <c r="AI28" i="25"/>
  <c r="AH28" i="25"/>
  <c r="AG28" i="25"/>
  <c r="AF28" i="25"/>
  <c r="AC28" i="25"/>
  <c r="AA28" i="25"/>
  <c r="W28" i="25"/>
  <c r="S28" i="25"/>
  <c r="P28" i="25"/>
  <c r="L28" i="25"/>
  <c r="H28" i="25"/>
  <c r="C28" i="25"/>
  <c r="AN27" i="25"/>
  <c r="AI27" i="25"/>
  <c r="AH27" i="25"/>
  <c r="AG27" i="25"/>
  <c r="AF27" i="25"/>
  <c r="AC27" i="25"/>
  <c r="AA27" i="25"/>
  <c r="W27" i="25"/>
  <c r="S27" i="25"/>
  <c r="P27" i="25"/>
  <c r="L27" i="25"/>
  <c r="H27" i="25"/>
  <c r="C27" i="25"/>
  <c r="AN26" i="25"/>
  <c r="AI26" i="25"/>
  <c r="AH26" i="25"/>
  <c r="AG26" i="25"/>
  <c r="AF26" i="25"/>
  <c r="AC26" i="25"/>
  <c r="AA26" i="25"/>
  <c r="W26" i="25"/>
  <c r="S26" i="25"/>
  <c r="P26" i="25"/>
  <c r="L26" i="25"/>
  <c r="H26" i="25"/>
  <c r="C26" i="25"/>
  <c r="AN25" i="25"/>
  <c r="AI25" i="25"/>
  <c r="AH25" i="25"/>
  <c r="AG25" i="25"/>
  <c r="AF25" i="25"/>
  <c r="AC25" i="25"/>
  <c r="AA25" i="25"/>
  <c r="W25" i="25"/>
  <c r="S25" i="25"/>
  <c r="P25" i="25"/>
  <c r="L25" i="25"/>
  <c r="H25" i="25"/>
  <c r="C25" i="25"/>
  <c r="AN24" i="25"/>
  <c r="AI24" i="25"/>
  <c r="AH24" i="25"/>
  <c r="AG24" i="25"/>
  <c r="AF24" i="25"/>
  <c r="AC24" i="25"/>
  <c r="AA24" i="25"/>
  <c r="W24" i="25"/>
  <c r="S24" i="25"/>
  <c r="P24" i="25"/>
  <c r="L24" i="25"/>
  <c r="H24" i="25"/>
  <c r="C24" i="25"/>
  <c r="AN23" i="25"/>
  <c r="AI23" i="25"/>
  <c r="AH23" i="25"/>
  <c r="AG23" i="25"/>
  <c r="AF23" i="25"/>
  <c r="AC23" i="25"/>
  <c r="AA23" i="25"/>
  <c r="W23" i="25"/>
  <c r="S23" i="25"/>
  <c r="P23" i="25"/>
  <c r="L23" i="25"/>
  <c r="H23" i="25"/>
  <c r="C23" i="25"/>
  <c r="AN22" i="25"/>
  <c r="AI22" i="25"/>
  <c r="AH22" i="25"/>
  <c r="AG22" i="25"/>
  <c r="AF22" i="25"/>
  <c r="AC22" i="25"/>
  <c r="AA22" i="25"/>
  <c r="W22" i="25"/>
  <c r="S22" i="25"/>
  <c r="P22" i="25"/>
  <c r="L22" i="25"/>
  <c r="H22" i="25"/>
  <c r="C22" i="25"/>
  <c r="AN21" i="25"/>
  <c r="AI21" i="25"/>
  <c r="AH21" i="25"/>
  <c r="AG21" i="25"/>
  <c r="AF21" i="25"/>
  <c r="AC21" i="25"/>
  <c r="AA21" i="25"/>
  <c r="W21" i="25"/>
  <c r="S21" i="25"/>
  <c r="P21" i="25"/>
  <c r="L21" i="25"/>
  <c r="H21" i="25"/>
  <c r="C21" i="25"/>
  <c r="AN20" i="25"/>
  <c r="AI20" i="25"/>
  <c r="AH20" i="25"/>
  <c r="AG20" i="25"/>
  <c r="AF20" i="25"/>
  <c r="AC20" i="25"/>
  <c r="AA20" i="25"/>
  <c r="W20" i="25"/>
  <c r="S20" i="25"/>
  <c r="P20" i="25"/>
  <c r="L20" i="25"/>
  <c r="H20" i="25"/>
  <c r="C20" i="25"/>
  <c r="AN19" i="25"/>
  <c r="AI19" i="25"/>
  <c r="AH19" i="25"/>
  <c r="AG19" i="25"/>
  <c r="AF19" i="25"/>
  <c r="AC19" i="25"/>
  <c r="AA19" i="25"/>
  <c r="W19" i="25"/>
  <c r="S19" i="25"/>
  <c r="P19" i="25"/>
  <c r="L19" i="25"/>
  <c r="H19" i="25"/>
  <c r="C19" i="25"/>
  <c r="AN18" i="25"/>
  <c r="AI18" i="25"/>
  <c r="AH18" i="25"/>
  <c r="AG18" i="25"/>
  <c r="AF18" i="25"/>
  <c r="AC18" i="25"/>
  <c r="AA18" i="25"/>
  <c r="W18" i="25"/>
  <c r="S18" i="25"/>
  <c r="P18" i="25"/>
  <c r="L18" i="25"/>
  <c r="H18" i="25"/>
  <c r="C18" i="25"/>
  <c r="AN17" i="25"/>
  <c r="AI17" i="25"/>
  <c r="AH17" i="25"/>
  <c r="AG17" i="25"/>
  <c r="AF17" i="25"/>
  <c r="AC17" i="25"/>
  <c r="AA17" i="25"/>
  <c r="W17" i="25"/>
  <c r="S17" i="25"/>
  <c r="P17" i="25"/>
  <c r="L17" i="25"/>
  <c r="H17" i="25"/>
  <c r="C17" i="25"/>
  <c r="AN16" i="25"/>
  <c r="AI16" i="25"/>
  <c r="AH16" i="25"/>
  <c r="AG16" i="25"/>
  <c r="AF16" i="25"/>
  <c r="AC16" i="25"/>
  <c r="AA16" i="25"/>
  <c r="W16" i="25"/>
  <c r="S16" i="25"/>
  <c r="P16" i="25"/>
  <c r="L16" i="25"/>
  <c r="H16" i="25"/>
  <c r="C16" i="25"/>
  <c r="AN15" i="25"/>
  <c r="AI15" i="25"/>
  <c r="AH15" i="25"/>
  <c r="AG15" i="25"/>
  <c r="AF15" i="25"/>
  <c r="AC15" i="25"/>
  <c r="AA15" i="25"/>
  <c r="W15" i="25"/>
  <c r="S15" i="25"/>
  <c r="P15" i="25"/>
  <c r="L15" i="25"/>
  <c r="H15" i="25"/>
  <c r="C15" i="25"/>
  <c r="AN14" i="25"/>
  <c r="AI14" i="25"/>
  <c r="AH14" i="25"/>
  <c r="AG14" i="25"/>
  <c r="AF14" i="25"/>
  <c r="AC14" i="25"/>
  <c r="AA14" i="25"/>
  <c r="W14" i="25"/>
  <c r="S14" i="25"/>
  <c r="P14" i="25"/>
  <c r="L14" i="25"/>
  <c r="H14" i="25"/>
  <c r="C14" i="25"/>
  <c r="AN13" i="25"/>
  <c r="AI13" i="25"/>
  <c r="AH13" i="25"/>
  <c r="AG13" i="25"/>
  <c r="AF13" i="25"/>
  <c r="AC13" i="25"/>
  <c r="AA13" i="25"/>
  <c r="W13" i="25"/>
  <c r="S13" i="25"/>
  <c r="P13" i="25"/>
  <c r="L13" i="25"/>
  <c r="H13" i="25"/>
  <c r="C13" i="25"/>
  <c r="AN12" i="25"/>
  <c r="AI12" i="25"/>
  <c r="AH12" i="25"/>
  <c r="AG12" i="25"/>
  <c r="AF12" i="25"/>
  <c r="AC12" i="25"/>
  <c r="AA12" i="25"/>
  <c r="W12" i="25"/>
  <c r="S12" i="25"/>
  <c r="P12" i="25"/>
  <c r="L12" i="25"/>
  <c r="H12" i="25"/>
  <c r="C12" i="25"/>
  <c r="AN11" i="25"/>
  <c r="AI11" i="25"/>
  <c r="AH11" i="25"/>
  <c r="AG11" i="25"/>
  <c r="AF11" i="25"/>
  <c r="AC11" i="25"/>
  <c r="AA11" i="25"/>
  <c r="W11" i="25"/>
  <c r="S11" i="25"/>
  <c r="P11" i="25"/>
  <c r="L11" i="25"/>
  <c r="H11" i="25"/>
  <c r="C11" i="25"/>
  <c r="AN10" i="25"/>
  <c r="AI10" i="25"/>
  <c r="AH10" i="25"/>
  <c r="AG10" i="25"/>
  <c r="AF10" i="25"/>
  <c r="AC10" i="25"/>
  <c r="AA10" i="25"/>
  <c r="W10" i="25"/>
  <c r="S10" i="25"/>
  <c r="P10" i="25"/>
  <c r="L10" i="25"/>
  <c r="H10" i="25"/>
  <c r="C10" i="25"/>
  <c r="AN9" i="25"/>
  <c r="AI9" i="25"/>
  <c r="AH9" i="25"/>
  <c r="AG9" i="25"/>
  <c r="AF9" i="25"/>
  <c r="AC9" i="25"/>
  <c r="AA9" i="25"/>
  <c r="W9" i="25"/>
  <c r="S9" i="25"/>
  <c r="P9" i="25"/>
  <c r="L9" i="25"/>
  <c r="H9" i="25"/>
  <c r="C9" i="25"/>
  <c r="AN8" i="25"/>
  <c r="AI8" i="25"/>
  <c r="AH8" i="25"/>
  <c r="AG8" i="25"/>
  <c r="AF8" i="25"/>
  <c r="AC8" i="25"/>
  <c r="AA8" i="25"/>
  <c r="W8" i="25"/>
  <c r="S8" i="25"/>
  <c r="P8" i="25"/>
  <c r="L8" i="25"/>
  <c r="H8" i="25"/>
  <c r="C8" i="25"/>
  <c r="AN7" i="25"/>
  <c r="AI7" i="25"/>
  <c r="AH7" i="25"/>
  <c r="AG7" i="25"/>
  <c r="AF7" i="25"/>
  <c r="AC7" i="25"/>
  <c r="AA7" i="25"/>
  <c r="W7" i="25"/>
  <c r="S7" i="25"/>
  <c r="P7" i="25"/>
  <c r="L7" i="25"/>
  <c r="H7" i="25"/>
  <c r="C7" i="25"/>
  <c r="AN6" i="25"/>
  <c r="AI6" i="25"/>
  <c r="AH6" i="25"/>
  <c r="AG6" i="25"/>
  <c r="AF6" i="25"/>
  <c r="AC6" i="25"/>
  <c r="AA6" i="25"/>
  <c r="W6" i="25"/>
  <c r="S6" i="25"/>
  <c r="P6" i="25"/>
  <c r="L6" i="25"/>
  <c r="H6" i="25"/>
  <c r="C6" i="25"/>
  <c r="AN5" i="25"/>
  <c r="AI5" i="25"/>
  <c r="AH5" i="25"/>
  <c r="AG5" i="25"/>
  <c r="AF5" i="25"/>
  <c r="AC5" i="25"/>
  <c r="AA5" i="25"/>
  <c r="W5" i="25"/>
  <c r="S5" i="25"/>
  <c r="P5" i="25"/>
  <c r="L5" i="25"/>
  <c r="H5" i="25"/>
  <c r="C5" i="25"/>
  <c r="AN4" i="25"/>
  <c r="AH4" i="25"/>
  <c r="AG4" i="25"/>
  <c r="AF4" i="25"/>
  <c r="AA4" i="25"/>
  <c r="W4" i="25"/>
  <c r="S4" i="25"/>
  <c r="P4" i="25"/>
  <c r="L4" i="25"/>
  <c r="H4" i="25"/>
  <c r="C4" i="25"/>
  <c r="AN3" i="25"/>
  <c r="W3" i="25"/>
  <c r="S3" i="25"/>
  <c r="P3" i="25"/>
  <c r="C3" i="25"/>
  <c r="R43" i="19"/>
  <c r="O43" i="19"/>
  <c r="K43" i="19"/>
  <c r="AF43" i="19" s="1"/>
  <c r="G43" i="19"/>
  <c r="R42" i="19"/>
  <c r="O42" i="19"/>
  <c r="K42" i="19"/>
  <c r="AF42" i="19" s="1"/>
  <c r="G42" i="19"/>
  <c r="AB41" i="19"/>
  <c r="R41" i="19"/>
  <c r="O41" i="19"/>
  <c r="K41" i="19"/>
  <c r="G41" i="19"/>
  <c r="AB40" i="19"/>
  <c r="R40" i="19"/>
  <c r="O40" i="19"/>
  <c r="K40" i="19"/>
  <c r="G40" i="19"/>
  <c r="AB39" i="19"/>
  <c r="R39" i="19"/>
  <c r="O39" i="19"/>
  <c r="K39" i="19"/>
  <c r="G39" i="19"/>
  <c r="AB38" i="19"/>
  <c r="R38" i="19"/>
  <c r="O38" i="19"/>
  <c r="K38" i="19"/>
  <c r="AF38" i="19" s="1"/>
  <c r="G38" i="19"/>
  <c r="AB37" i="19"/>
  <c r="R37" i="19"/>
  <c r="O37" i="19"/>
  <c r="K37" i="19"/>
  <c r="G37" i="19"/>
  <c r="AB36" i="19"/>
  <c r="R36" i="19"/>
  <c r="O36" i="19"/>
  <c r="K36" i="19"/>
  <c r="G36" i="19"/>
  <c r="AB35" i="19"/>
  <c r="R35" i="19"/>
  <c r="O35" i="19"/>
  <c r="K35" i="19"/>
  <c r="G35" i="19"/>
  <c r="AB34" i="19"/>
  <c r="R34" i="19"/>
  <c r="O34" i="19"/>
  <c r="K34" i="19"/>
  <c r="AF34" i="19" s="1"/>
  <c r="G34" i="19"/>
  <c r="AB33" i="19"/>
  <c r="R33" i="19"/>
  <c r="O33" i="19"/>
  <c r="K33" i="19"/>
  <c r="G33" i="19"/>
  <c r="AB32" i="19"/>
  <c r="R32" i="19"/>
  <c r="O32" i="19"/>
  <c r="K32" i="19"/>
  <c r="G32" i="19"/>
  <c r="AB31" i="19"/>
  <c r="R31" i="19"/>
  <c r="O31" i="19"/>
  <c r="K31" i="19"/>
  <c r="G31" i="19"/>
  <c r="AB30" i="19"/>
  <c r="R30" i="19"/>
  <c r="O30" i="19"/>
  <c r="K30" i="19"/>
  <c r="G30" i="19"/>
  <c r="AB29" i="19"/>
  <c r="R29" i="19"/>
  <c r="O29" i="19"/>
  <c r="K29" i="19"/>
  <c r="G29" i="19"/>
  <c r="AB28" i="19"/>
  <c r="R28" i="19"/>
  <c r="O28" i="19"/>
  <c r="K28" i="19"/>
  <c r="G28" i="19"/>
  <c r="AB27" i="19"/>
  <c r="R27" i="19"/>
  <c r="O27" i="19"/>
  <c r="K27" i="19"/>
  <c r="G27" i="19"/>
  <c r="AB26" i="19"/>
  <c r="R26" i="19"/>
  <c r="O26" i="19"/>
  <c r="K26" i="19"/>
  <c r="AF26" i="19" s="1"/>
  <c r="G26" i="19"/>
  <c r="R25" i="19"/>
  <c r="O25" i="19"/>
  <c r="K25" i="19"/>
  <c r="AF25" i="19" s="1"/>
  <c r="G25" i="19"/>
  <c r="AB24" i="19"/>
  <c r="R24" i="19"/>
  <c r="O24" i="19"/>
  <c r="K24" i="19"/>
  <c r="G24" i="19"/>
  <c r="AB23" i="19"/>
  <c r="R23" i="19"/>
  <c r="O23" i="19"/>
  <c r="K23" i="19"/>
  <c r="G23" i="19"/>
  <c r="AB22" i="19"/>
  <c r="R22" i="19"/>
  <c r="O22" i="19"/>
  <c r="K22" i="19"/>
  <c r="G22" i="19"/>
  <c r="AB21" i="19"/>
  <c r="R21" i="19"/>
  <c r="O21" i="19"/>
  <c r="K21" i="19"/>
  <c r="AF21" i="19" s="1"/>
  <c r="G21" i="19"/>
  <c r="AB20" i="19"/>
  <c r="R20" i="19"/>
  <c r="O20" i="19"/>
  <c r="K20" i="19"/>
  <c r="G20" i="19"/>
  <c r="AB19" i="19"/>
  <c r="R19" i="19"/>
  <c r="O19" i="19"/>
  <c r="K19" i="19"/>
  <c r="G19" i="19"/>
  <c r="AB18" i="19"/>
  <c r="R18" i="19"/>
  <c r="O18" i="19"/>
  <c r="K18" i="19"/>
  <c r="G18" i="19"/>
  <c r="AB17" i="19"/>
  <c r="R17" i="19"/>
  <c r="O17" i="19"/>
  <c r="K17" i="19"/>
  <c r="G17" i="19"/>
  <c r="AB16" i="19"/>
  <c r="R16" i="19"/>
  <c r="O16" i="19"/>
  <c r="K16" i="19"/>
  <c r="G16" i="19"/>
  <c r="AB15" i="19"/>
  <c r="R15" i="19"/>
  <c r="O15" i="19"/>
  <c r="K15" i="19"/>
  <c r="G15" i="19"/>
  <c r="AB14" i="19"/>
  <c r="R14" i="19"/>
  <c r="O14" i="19"/>
  <c r="K14" i="19"/>
  <c r="G14" i="19"/>
  <c r="AB13" i="19"/>
  <c r="R13" i="19"/>
  <c r="O13" i="19"/>
  <c r="K13" i="19"/>
  <c r="G13" i="19"/>
  <c r="AB12" i="19"/>
  <c r="R12" i="19"/>
  <c r="O12" i="19"/>
  <c r="K12" i="19"/>
  <c r="G12" i="19"/>
  <c r="AB11" i="19"/>
  <c r="R11" i="19"/>
  <c r="O11" i="19"/>
  <c r="K11" i="19"/>
  <c r="G11" i="19"/>
  <c r="R10" i="19"/>
  <c r="O10" i="19"/>
  <c r="K10" i="19"/>
  <c r="G10" i="19"/>
  <c r="AB9" i="19"/>
  <c r="R9" i="19"/>
  <c r="O9" i="19"/>
  <c r="K9" i="19"/>
  <c r="G9" i="19"/>
  <c r="AB8" i="19"/>
  <c r="R8" i="19"/>
  <c r="O8" i="19"/>
  <c r="K8" i="19"/>
  <c r="G8" i="19"/>
  <c r="AB7" i="19"/>
  <c r="R7" i="19"/>
  <c r="O7" i="19"/>
  <c r="K7" i="19"/>
  <c r="G7" i="19"/>
  <c r="R6" i="19"/>
  <c r="O6" i="19"/>
  <c r="K6" i="19"/>
  <c r="G6" i="19"/>
  <c r="R5" i="19"/>
  <c r="O5" i="19"/>
  <c r="K5" i="19"/>
  <c r="G5" i="19"/>
  <c r="R4" i="19"/>
  <c r="AF4" i="19" s="1"/>
  <c r="O4" i="19"/>
  <c r="Z4" i="19" s="1"/>
  <c r="R3" i="19"/>
  <c r="G583" i="12"/>
  <c r="E583" i="12"/>
  <c r="G582" i="12"/>
  <c r="E582" i="12"/>
  <c r="G581" i="12"/>
  <c r="E581" i="12"/>
  <c r="G580" i="12"/>
  <c r="E580" i="12"/>
  <c r="J579" i="12"/>
  <c r="G579" i="12"/>
  <c r="E579" i="12"/>
  <c r="J578" i="12"/>
  <c r="G578" i="12"/>
  <c r="E578" i="12"/>
  <c r="J577" i="12"/>
  <c r="G577" i="12"/>
  <c r="E577" i="12"/>
  <c r="J576" i="12"/>
  <c r="G576" i="12"/>
  <c r="E576" i="12"/>
  <c r="J575" i="12"/>
  <c r="G575" i="12"/>
  <c r="E575" i="12"/>
  <c r="J574" i="12"/>
  <c r="G574" i="12"/>
  <c r="E574" i="12"/>
  <c r="J573" i="12"/>
  <c r="G573" i="12"/>
  <c r="E573" i="12"/>
  <c r="J572" i="12"/>
  <c r="G572" i="12"/>
  <c r="E572" i="12"/>
  <c r="J571" i="12"/>
  <c r="G571" i="12"/>
  <c r="E571" i="12"/>
  <c r="J570" i="12"/>
  <c r="G570" i="12"/>
  <c r="E570" i="12"/>
  <c r="J569" i="12"/>
  <c r="G569" i="12"/>
  <c r="E569" i="12"/>
  <c r="J568" i="12"/>
  <c r="G568" i="12"/>
  <c r="E568" i="12"/>
  <c r="J567" i="12"/>
  <c r="G567" i="12"/>
  <c r="E567" i="12"/>
  <c r="J566" i="12"/>
  <c r="G566" i="12"/>
  <c r="E566" i="12"/>
  <c r="J565" i="12"/>
  <c r="G565" i="12"/>
  <c r="E565" i="12"/>
  <c r="J564" i="12"/>
  <c r="G564" i="12"/>
  <c r="E564" i="12"/>
  <c r="J563" i="12"/>
  <c r="G563" i="12"/>
  <c r="E563" i="12"/>
  <c r="J562" i="12"/>
  <c r="G562" i="12"/>
  <c r="E562" i="12"/>
  <c r="J561" i="12"/>
  <c r="G561" i="12"/>
  <c r="E561" i="12"/>
  <c r="J560" i="12"/>
  <c r="G560" i="12"/>
  <c r="E560" i="12"/>
  <c r="J559" i="12"/>
  <c r="G559" i="12"/>
  <c r="E559" i="12"/>
  <c r="J558" i="12"/>
  <c r="G558" i="12"/>
  <c r="E558" i="12"/>
  <c r="J557" i="12"/>
  <c r="G557" i="12"/>
  <c r="E557" i="12"/>
  <c r="J556" i="12"/>
  <c r="G556" i="12"/>
  <c r="E556" i="12"/>
  <c r="J555" i="12"/>
  <c r="G555" i="12"/>
  <c r="E555" i="12"/>
  <c r="J554" i="12"/>
  <c r="G554" i="12"/>
  <c r="E554" i="12"/>
  <c r="J553" i="12"/>
  <c r="G553" i="12"/>
  <c r="E553" i="12"/>
  <c r="J552" i="12"/>
  <c r="G552" i="12"/>
  <c r="E552" i="12"/>
  <c r="J551" i="12"/>
  <c r="G551" i="12"/>
  <c r="E551" i="12"/>
  <c r="J550" i="12"/>
  <c r="G550" i="12"/>
  <c r="E550" i="12"/>
  <c r="J549" i="12"/>
  <c r="G549" i="12"/>
  <c r="E549" i="12"/>
  <c r="J548" i="12"/>
  <c r="G548" i="12"/>
  <c r="E548" i="12"/>
  <c r="J547" i="12"/>
  <c r="G547" i="12"/>
  <c r="E547" i="12"/>
  <c r="J546" i="12"/>
  <c r="G546" i="12"/>
  <c r="E546" i="12"/>
  <c r="J545" i="12"/>
  <c r="G545" i="12"/>
  <c r="E545" i="12"/>
  <c r="J544" i="12"/>
  <c r="G544" i="12"/>
  <c r="E544" i="12"/>
  <c r="J543" i="12"/>
  <c r="G543" i="12"/>
  <c r="E543" i="12"/>
  <c r="J542" i="12"/>
  <c r="G542" i="12"/>
  <c r="E542" i="12"/>
  <c r="J541" i="12"/>
  <c r="G541" i="12"/>
  <c r="E541" i="12"/>
  <c r="J540" i="12"/>
  <c r="G540" i="12"/>
  <c r="E540" i="12"/>
  <c r="J539" i="12"/>
  <c r="G539" i="12"/>
  <c r="E539" i="12"/>
  <c r="J538" i="12"/>
  <c r="G538" i="12"/>
  <c r="E538" i="12"/>
  <c r="J537" i="12"/>
  <c r="G537" i="12"/>
  <c r="E537" i="12"/>
  <c r="J536" i="12"/>
  <c r="G536" i="12"/>
  <c r="E536" i="12"/>
  <c r="J535" i="12"/>
  <c r="G535" i="12"/>
  <c r="E535" i="12"/>
  <c r="J534" i="12"/>
  <c r="G534" i="12"/>
  <c r="E534" i="12"/>
  <c r="J533" i="12"/>
  <c r="G533" i="12"/>
  <c r="E533" i="12"/>
  <c r="J532" i="12"/>
  <c r="G532" i="12"/>
  <c r="E532" i="12"/>
  <c r="J531" i="12"/>
  <c r="G531" i="12"/>
  <c r="E531" i="12"/>
  <c r="J530" i="12"/>
  <c r="G530" i="12"/>
  <c r="E530" i="12"/>
  <c r="J529" i="12"/>
  <c r="G529" i="12"/>
  <c r="E529" i="12"/>
  <c r="J528" i="12"/>
  <c r="G528" i="12"/>
  <c r="E528" i="12"/>
  <c r="J527" i="12"/>
  <c r="G527" i="12"/>
  <c r="E527" i="12"/>
  <c r="J526" i="12"/>
  <c r="G526" i="12"/>
  <c r="E526" i="12"/>
  <c r="J525" i="12"/>
  <c r="G525" i="12"/>
  <c r="E525" i="12"/>
  <c r="J524" i="12"/>
  <c r="G524" i="12"/>
  <c r="E524" i="12"/>
  <c r="J523" i="12"/>
  <c r="G523" i="12"/>
  <c r="E523" i="12"/>
  <c r="J522" i="12"/>
  <c r="G522" i="12"/>
  <c r="E522" i="12"/>
  <c r="J521" i="12"/>
  <c r="G521" i="12"/>
  <c r="E521" i="12"/>
  <c r="J520" i="12"/>
  <c r="G520" i="12"/>
  <c r="E520" i="12"/>
  <c r="J519" i="12"/>
  <c r="G519" i="12"/>
  <c r="E519" i="12"/>
  <c r="J518" i="12"/>
  <c r="G518" i="12"/>
  <c r="E518" i="12"/>
  <c r="J517" i="12"/>
  <c r="G517" i="12"/>
  <c r="E517" i="12"/>
  <c r="J516" i="12"/>
  <c r="G516" i="12"/>
  <c r="E516" i="12"/>
  <c r="J515" i="12"/>
  <c r="G515" i="12"/>
  <c r="E515" i="12"/>
  <c r="J514" i="12"/>
  <c r="G514" i="12"/>
  <c r="E514" i="12"/>
  <c r="J513" i="12"/>
  <c r="G513" i="12"/>
  <c r="E513" i="12"/>
  <c r="J512" i="12"/>
  <c r="G512" i="12"/>
  <c r="E512" i="12"/>
  <c r="J511" i="12"/>
  <c r="G511" i="12"/>
  <c r="E511" i="12"/>
  <c r="J510" i="12"/>
  <c r="G510" i="12"/>
  <c r="E510" i="12"/>
  <c r="J509" i="12"/>
  <c r="G509" i="12"/>
  <c r="E509" i="12"/>
  <c r="J508" i="12"/>
  <c r="G508" i="12"/>
  <c r="E508" i="12"/>
  <c r="J507" i="12"/>
  <c r="G507" i="12"/>
  <c r="E507" i="12"/>
  <c r="J506" i="12"/>
  <c r="G506" i="12"/>
  <c r="E506" i="12"/>
  <c r="J505" i="12"/>
  <c r="G505" i="12"/>
  <c r="E505" i="12"/>
  <c r="J504" i="12"/>
  <c r="G504" i="12"/>
  <c r="E504" i="12"/>
  <c r="J503" i="12"/>
  <c r="G503" i="12"/>
  <c r="E503" i="12"/>
  <c r="J502" i="12"/>
  <c r="G502" i="12"/>
  <c r="E502" i="12"/>
  <c r="J501" i="12"/>
  <c r="G501" i="12"/>
  <c r="E501" i="12"/>
  <c r="J500" i="12"/>
  <c r="G500" i="12"/>
  <c r="E500" i="12"/>
  <c r="J499" i="12"/>
  <c r="G499" i="12"/>
  <c r="E499" i="12"/>
  <c r="J498" i="12"/>
  <c r="G498" i="12"/>
  <c r="E498" i="12"/>
  <c r="J497" i="12"/>
  <c r="G497" i="12"/>
  <c r="E497" i="12"/>
  <c r="J496" i="12"/>
  <c r="G496" i="12"/>
  <c r="E496" i="12"/>
  <c r="J495" i="12"/>
  <c r="G495" i="12"/>
  <c r="E495" i="12"/>
  <c r="J494" i="12"/>
  <c r="G494" i="12"/>
  <c r="E494" i="12"/>
  <c r="J493" i="12"/>
  <c r="G493" i="12"/>
  <c r="E493" i="12"/>
  <c r="J492" i="12"/>
  <c r="G492" i="12"/>
  <c r="E492" i="12"/>
  <c r="J491" i="12"/>
  <c r="G491" i="12"/>
  <c r="E491" i="12"/>
  <c r="J490" i="12"/>
  <c r="G490" i="12"/>
  <c r="E490" i="12"/>
  <c r="J489" i="12"/>
  <c r="G489" i="12"/>
  <c r="E489" i="12"/>
  <c r="J488" i="12"/>
  <c r="G488" i="12"/>
  <c r="E488" i="12"/>
  <c r="J487" i="12"/>
  <c r="G487" i="12"/>
  <c r="E487" i="12"/>
  <c r="J486" i="12"/>
  <c r="G486" i="12"/>
  <c r="E486" i="12"/>
  <c r="J485" i="12"/>
  <c r="G485" i="12"/>
  <c r="E485" i="12"/>
  <c r="J484" i="12"/>
  <c r="G484" i="12"/>
  <c r="E484" i="12"/>
  <c r="J483" i="12"/>
  <c r="G483" i="12"/>
  <c r="E483" i="12"/>
  <c r="J482" i="12"/>
  <c r="G482" i="12"/>
  <c r="E482" i="12"/>
  <c r="J481" i="12"/>
  <c r="G481" i="12"/>
  <c r="E481" i="12"/>
  <c r="J480" i="12"/>
  <c r="G480" i="12"/>
  <c r="E480" i="12"/>
  <c r="J479" i="12"/>
  <c r="G479" i="12"/>
  <c r="E479" i="12"/>
  <c r="J478" i="12"/>
  <c r="G478" i="12"/>
  <c r="E478" i="12"/>
  <c r="J477" i="12"/>
  <c r="G477" i="12"/>
  <c r="E477" i="12"/>
  <c r="J476" i="12"/>
  <c r="G476" i="12"/>
  <c r="E476" i="12"/>
  <c r="J475" i="12"/>
  <c r="G475" i="12"/>
  <c r="E475" i="12"/>
  <c r="J474" i="12"/>
  <c r="G474" i="12"/>
  <c r="E474" i="12"/>
  <c r="J473" i="12"/>
  <c r="G473" i="12"/>
  <c r="E473" i="12"/>
  <c r="J472" i="12"/>
  <c r="G472" i="12"/>
  <c r="E472" i="12"/>
  <c r="J471" i="12"/>
  <c r="G471" i="12"/>
  <c r="E471" i="12"/>
  <c r="J470" i="12"/>
  <c r="G470" i="12"/>
  <c r="E470" i="12"/>
  <c r="J469" i="12"/>
  <c r="G469" i="12"/>
  <c r="E469" i="12"/>
  <c r="J468" i="12"/>
  <c r="G468" i="12"/>
  <c r="E468" i="12"/>
  <c r="J467" i="12"/>
  <c r="G467" i="12"/>
  <c r="E467" i="12"/>
  <c r="J466" i="12"/>
  <c r="G466" i="12"/>
  <c r="E466" i="12"/>
  <c r="J465" i="12"/>
  <c r="G465" i="12"/>
  <c r="E465" i="12"/>
  <c r="J464" i="12"/>
  <c r="G464" i="12"/>
  <c r="E464" i="12"/>
  <c r="J463" i="12"/>
  <c r="G463" i="12"/>
  <c r="E463" i="12"/>
  <c r="G462" i="12"/>
  <c r="E462" i="12"/>
  <c r="J461" i="12"/>
  <c r="G461" i="12"/>
  <c r="E461" i="12"/>
  <c r="J460" i="12"/>
  <c r="G460" i="12"/>
  <c r="E460" i="12"/>
  <c r="J459" i="12"/>
  <c r="G459" i="12"/>
  <c r="E459" i="12"/>
  <c r="J458" i="12"/>
  <c r="G458" i="12"/>
  <c r="E458" i="12"/>
  <c r="J457" i="12"/>
  <c r="G457" i="12"/>
  <c r="E457" i="12"/>
  <c r="J456" i="12"/>
  <c r="G456" i="12"/>
  <c r="E456" i="12"/>
  <c r="J455" i="12"/>
  <c r="G455" i="12"/>
  <c r="E455" i="12"/>
  <c r="J454" i="12"/>
  <c r="G454" i="12"/>
  <c r="E454" i="12"/>
  <c r="J453" i="12"/>
  <c r="G453" i="12"/>
  <c r="E453" i="12"/>
  <c r="J452" i="12"/>
  <c r="G452" i="12"/>
  <c r="E452" i="12"/>
  <c r="J451" i="12"/>
  <c r="G451" i="12"/>
  <c r="E451" i="12"/>
  <c r="J450" i="12"/>
  <c r="G450" i="12"/>
  <c r="E450" i="12"/>
  <c r="J449" i="12"/>
  <c r="G449" i="12"/>
  <c r="E449" i="12"/>
  <c r="J448" i="12"/>
  <c r="G448" i="12"/>
  <c r="E448" i="12"/>
  <c r="J447" i="12"/>
  <c r="G447" i="12"/>
  <c r="E447" i="12"/>
  <c r="J446" i="12"/>
  <c r="G446" i="12"/>
  <c r="E446" i="12"/>
  <c r="J445" i="12"/>
  <c r="G445" i="12"/>
  <c r="E445" i="12"/>
  <c r="J444" i="12"/>
  <c r="G444" i="12"/>
  <c r="E444" i="12"/>
  <c r="J443" i="12"/>
  <c r="G443" i="12"/>
  <c r="E443" i="12"/>
  <c r="J442" i="12"/>
  <c r="G442" i="12"/>
  <c r="E442" i="12"/>
  <c r="J441" i="12"/>
  <c r="G441" i="12"/>
  <c r="E441" i="12"/>
  <c r="J440" i="12"/>
  <c r="G440" i="12"/>
  <c r="E440" i="12"/>
  <c r="J439" i="12"/>
  <c r="G439" i="12"/>
  <c r="E439" i="12"/>
  <c r="J438" i="12"/>
  <c r="G438" i="12"/>
  <c r="E438" i="12"/>
  <c r="J437" i="12"/>
  <c r="G437" i="12"/>
  <c r="E437" i="12"/>
  <c r="J436" i="12"/>
  <c r="G436" i="12"/>
  <c r="E436" i="12"/>
  <c r="J435" i="12"/>
  <c r="G435" i="12"/>
  <c r="E435" i="12"/>
  <c r="J434" i="12"/>
  <c r="G434" i="12"/>
  <c r="E434" i="12"/>
  <c r="J433" i="12"/>
  <c r="G433" i="12"/>
  <c r="E433" i="12"/>
  <c r="J432" i="12"/>
  <c r="G432" i="12"/>
  <c r="E432" i="12"/>
  <c r="J431" i="12"/>
  <c r="G431" i="12"/>
  <c r="E431" i="12"/>
  <c r="J430" i="12"/>
  <c r="G430" i="12"/>
  <c r="E430" i="12"/>
  <c r="J429" i="12"/>
  <c r="G429" i="12"/>
  <c r="E429" i="12"/>
  <c r="J428" i="12"/>
  <c r="G428" i="12"/>
  <c r="E428" i="12"/>
  <c r="J427" i="12"/>
  <c r="G427" i="12"/>
  <c r="E427" i="12"/>
  <c r="J426" i="12"/>
  <c r="G426" i="12"/>
  <c r="E426" i="12"/>
  <c r="J425" i="12"/>
  <c r="G425" i="12"/>
  <c r="E425" i="12"/>
  <c r="J424" i="12"/>
  <c r="G424" i="12"/>
  <c r="E424" i="12"/>
  <c r="J423" i="12"/>
  <c r="G423" i="12"/>
  <c r="E423" i="12"/>
  <c r="J422" i="12"/>
  <c r="G422" i="12"/>
  <c r="E422" i="12"/>
  <c r="J421" i="12"/>
  <c r="G421" i="12"/>
  <c r="E421" i="12"/>
  <c r="J420" i="12"/>
  <c r="G420" i="12"/>
  <c r="E420" i="12"/>
  <c r="J419" i="12"/>
  <c r="G419" i="12"/>
  <c r="E419" i="12"/>
  <c r="J418" i="12"/>
  <c r="G418" i="12"/>
  <c r="E418" i="12"/>
  <c r="J417" i="12"/>
  <c r="G417" i="12"/>
  <c r="E417" i="12"/>
  <c r="J416" i="12"/>
  <c r="G416" i="12"/>
  <c r="E416" i="12"/>
  <c r="J415" i="12"/>
  <c r="G415" i="12"/>
  <c r="E415" i="12"/>
  <c r="J414" i="12"/>
  <c r="G414" i="12"/>
  <c r="E414" i="12"/>
  <c r="J413" i="12"/>
  <c r="G413" i="12"/>
  <c r="E413" i="12"/>
  <c r="J412" i="12"/>
  <c r="G412" i="12"/>
  <c r="E412" i="12"/>
  <c r="J411" i="12"/>
  <c r="G411" i="12"/>
  <c r="E411" i="12"/>
  <c r="J410" i="12"/>
  <c r="G410" i="12"/>
  <c r="E410" i="12"/>
  <c r="J409" i="12"/>
  <c r="G409" i="12"/>
  <c r="E409" i="12"/>
  <c r="J408" i="12"/>
  <c r="G408" i="12"/>
  <c r="E408" i="12"/>
  <c r="J407" i="12"/>
  <c r="G407" i="12"/>
  <c r="E407" i="12"/>
  <c r="J406" i="12"/>
  <c r="G406" i="12"/>
  <c r="E406" i="12"/>
  <c r="J405" i="12"/>
  <c r="G405" i="12"/>
  <c r="E405" i="12"/>
  <c r="J404" i="12"/>
  <c r="G404" i="12"/>
  <c r="E404" i="12"/>
  <c r="J403" i="12"/>
  <c r="G403" i="12"/>
  <c r="E403" i="12"/>
  <c r="J402" i="12"/>
  <c r="G402" i="12"/>
  <c r="E402" i="12"/>
  <c r="J401" i="12"/>
  <c r="G401" i="12"/>
  <c r="E401" i="12"/>
  <c r="J400" i="12"/>
  <c r="G400" i="12"/>
  <c r="E400" i="12"/>
  <c r="J399" i="12"/>
  <c r="G399" i="12"/>
  <c r="E399" i="12"/>
  <c r="J398" i="12"/>
  <c r="G398" i="12"/>
  <c r="E398" i="12"/>
  <c r="J397" i="12"/>
  <c r="G397" i="12"/>
  <c r="E397" i="12"/>
  <c r="J396" i="12"/>
  <c r="G396" i="12"/>
  <c r="E396" i="12"/>
  <c r="J395" i="12"/>
  <c r="G395" i="12"/>
  <c r="E395" i="12"/>
  <c r="J394" i="12"/>
  <c r="G394" i="12"/>
  <c r="E394" i="12"/>
  <c r="J393" i="12"/>
  <c r="G393" i="12"/>
  <c r="E393" i="12"/>
  <c r="J392" i="12"/>
  <c r="G392" i="12"/>
  <c r="E392" i="12"/>
  <c r="J391" i="12"/>
  <c r="G391" i="12"/>
  <c r="E391" i="12"/>
  <c r="J390" i="12"/>
  <c r="G390" i="12"/>
  <c r="E390" i="12"/>
  <c r="J389" i="12"/>
  <c r="G389" i="12"/>
  <c r="E389" i="12"/>
  <c r="J388" i="12"/>
  <c r="G388" i="12"/>
  <c r="E388" i="12"/>
  <c r="J387" i="12"/>
  <c r="G387" i="12"/>
  <c r="E387" i="12"/>
  <c r="J386" i="12"/>
  <c r="G386" i="12"/>
  <c r="E386" i="12"/>
  <c r="J385" i="12"/>
  <c r="G385" i="12"/>
  <c r="E385" i="12"/>
  <c r="J384" i="12"/>
  <c r="G384" i="12"/>
  <c r="E384" i="12"/>
  <c r="J383" i="12"/>
  <c r="G383" i="12"/>
  <c r="E383" i="12"/>
  <c r="J382" i="12"/>
  <c r="G382" i="12"/>
  <c r="E382" i="12"/>
  <c r="J381" i="12"/>
  <c r="G381" i="12"/>
  <c r="E381" i="12"/>
  <c r="J380" i="12"/>
  <c r="G380" i="12"/>
  <c r="E380" i="12"/>
  <c r="J379" i="12"/>
  <c r="G379" i="12"/>
  <c r="E379" i="12"/>
  <c r="J378" i="12"/>
  <c r="G378" i="12"/>
  <c r="E378" i="12"/>
  <c r="J377" i="12"/>
  <c r="G377" i="12"/>
  <c r="E377" i="12"/>
  <c r="J376" i="12"/>
  <c r="G376" i="12"/>
  <c r="E376" i="12"/>
  <c r="J375" i="12"/>
  <c r="G375" i="12"/>
  <c r="E375" i="12"/>
  <c r="J374" i="12"/>
  <c r="G374" i="12"/>
  <c r="E374" i="12"/>
  <c r="J373" i="12"/>
  <c r="G373" i="12"/>
  <c r="E373" i="12"/>
  <c r="J372" i="12"/>
  <c r="G372" i="12"/>
  <c r="E372" i="12"/>
  <c r="J371" i="12"/>
  <c r="G371" i="12"/>
  <c r="E371" i="12"/>
  <c r="J370" i="12"/>
  <c r="G370" i="12"/>
  <c r="E370" i="12"/>
  <c r="J369" i="12"/>
  <c r="G369" i="12"/>
  <c r="E369" i="12"/>
  <c r="J368" i="12"/>
  <c r="G368" i="12"/>
  <c r="E368" i="12"/>
  <c r="J367" i="12"/>
  <c r="G367" i="12"/>
  <c r="E367" i="12"/>
  <c r="J366" i="12"/>
  <c r="G366" i="12"/>
  <c r="E366" i="12"/>
  <c r="J365" i="12"/>
  <c r="G365" i="12"/>
  <c r="E365" i="12"/>
  <c r="J364" i="12"/>
  <c r="G364" i="12"/>
  <c r="E364" i="12"/>
  <c r="J363" i="12"/>
  <c r="G363" i="12"/>
  <c r="E363" i="12"/>
  <c r="J362" i="12"/>
  <c r="G362" i="12"/>
  <c r="E362" i="12"/>
  <c r="J361" i="12"/>
  <c r="G361" i="12"/>
  <c r="E361" i="12"/>
  <c r="J360" i="12"/>
  <c r="G360" i="12"/>
  <c r="E360" i="12"/>
  <c r="J359" i="12"/>
  <c r="G359" i="12"/>
  <c r="E359" i="12"/>
  <c r="J358" i="12"/>
  <c r="G358" i="12"/>
  <c r="E358" i="12"/>
  <c r="J357" i="12"/>
  <c r="G357" i="12"/>
  <c r="E357" i="12"/>
  <c r="J356" i="12"/>
  <c r="G356" i="12"/>
  <c r="E356" i="12"/>
  <c r="J355" i="12"/>
  <c r="G355" i="12"/>
  <c r="E355" i="12"/>
  <c r="J354" i="12"/>
  <c r="G354" i="12"/>
  <c r="E354" i="12"/>
  <c r="J353" i="12"/>
  <c r="G353" i="12"/>
  <c r="E353" i="12"/>
  <c r="J352" i="12"/>
  <c r="G352" i="12"/>
  <c r="E352" i="12"/>
  <c r="J351" i="12"/>
  <c r="G351" i="12"/>
  <c r="E351" i="12"/>
  <c r="J350" i="12"/>
  <c r="G350" i="12"/>
  <c r="E350" i="12"/>
  <c r="J349" i="12"/>
  <c r="G349" i="12"/>
  <c r="E349" i="12"/>
  <c r="J348" i="12"/>
  <c r="G348" i="12"/>
  <c r="E348" i="12"/>
  <c r="J347" i="12"/>
  <c r="G347" i="12"/>
  <c r="E347" i="12"/>
  <c r="J346" i="12"/>
  <c r="G346" i="12"/>
  <c r="E346" i="12"/>
  <c r="J345" i="12"/>
  <c r="G345" i="12"/>
  <c r="E345" i="12"/>
  <c r="J344" i="12"/>
  <c r="G344" i="12"/>
  <c r="E344" i="12"/>
  <c r="J343" i="12"/>
  <c r="G343" i="12"/>
  <c r="E343" i="12"/>
  <c r="J342" i="12"/>
  <c r="G342" i="12"/>
  <c r="E342" i="12"/>
  <c r="J341" i="12"/>
  <c r="G341" i="12"/>
  <c r="E341" i="12"/>
  <c r="J340" i="12"/>
  <c r="G340" i="12"/>
  <c r="E340" i="12"/>
  <c r="J339" i="12"/>
  <c r="G339" i="12"/>
  <c r="E339" i="12"/>
  <c r="J338" i="12"/>
  <c r="G338" i="12"/>
  <c r="E338" i="12"/>
  <c r="J337" i="12"/>
  <c r="G337" i="12"/>
  <c r="E337" i="12"/>
  <c r="J336" i="12"/>
  <c r="G336" i="12"/>
  <c r="E336" i="12"/>
  <c r="J335" i="12"/>
  <c r="G335" i="12"/>
  <c r="E335" i="12"/>
  <c r="J334" i="12"/>
  <c r="G334" i="12"/>
  <c r="E334" i="12"/>
  <c r="J333" i="12"/>
  <c r="G333" i="12"/>
  <c r="E333" i="12"/>
  <c r="J332" i="12"/>
  <c r="G332" i="12"/>
  <c r="E332" i="12"/>
  <c r="J331" i="12"/>
  <c r="G331" i="12"/>
  <c r="E331" i="12"/>
  <c r="J330" i="12"/>
  <c r="G330" i="12"/>
  <c r="E330" i="12"/>
  <c r="J329" i="12"/>
  <c r="G329" i="12"/>
  <c r="E329" i="12"/>
  <c r="J328" i="12"/>
  <c r="G328" i="12"/>
  <c r="E328" i="12"/>
  <c r="J327" i="12"/>
  <c r="G327" i="12"/>
  <c r="E327" i="12"/>
  <c r="J326" i="12"/>
  <c r="G326" i="12"/>
  <c r="E326" i="12"/>
  <c r="J325" i="12"/>
  <c r="G325" i="12"/>
  <c r="E325" i="12"/>
  <c r="J324" i="12"/>
  <c r="G324" i="12"/>
  <c r="E324" i="12"/>
  <c r="J323" i="12"/>
  <c r="G323" i="12"/>
  <c r="E323" i="12"/>
  <c r="J322" i="12"/>
  <c r="G322" i="12"/>
  <c r="E322" i="12"/>
  <c r="J321" i="12"/>
  <c r="G321" i="12"/>
  <c r="E321" i="12"/>
  <c r="J320" i="12"/>
  <c r="G320" i="12"/>
  <c r="E320" i="12"/>
  <c r="J319" i="12"/>
  <c r="G319" i="12"/>
  <c r="E319" i="12"/>
  <c r="J318" i="12"/>
  <c r="G318" i="12"/>
  <c r="E318" i="12"/>
  <c r="J317" i="12"/>
  <c r="G317" i="12"/>
  <c r="E317" i="12"/>
  <c r="J316" i="12"/>
  <c r="G316" i="12"/>
  <c r="E316" i="12"/>
  <c r="J315" i="12"/>
  <c r="G315" i="12"/>
  <c r="E315" i="12"/>
  <c r="J314" i="12"/>
  <c r="G314" i="12"/>
  <c r="E314" i="12"/>
  <c r="J313" i="12"/>
  <c r="G313" i="12"/>
  <c r="E313" i="12"/>
  <c r="J312" i="12"/>
  <c r="G312" i="12"/>
  <c r="E312" i="12"/>
  <c r="J311" i="12"/>
  <c r="G311" i="12"/>
  <c r="E311" i="12"/>
  <c r="J310" i="12"/>
  <c r="G310" i="12"/>
  <c r="E310" i="12"/>
  <c r="J309" i="12"/>
  <c r="G309" i="12"/>
  <c r="E309" i="12"/>
  <c r="J308" i="12"/>
  <c r="G308" i="12"/>
  <c r="E308" i="12"/>
  <c r="J307" i="12"/>
  <c r="G307" i="12"/>
  <c r="E307" i="12"/>
  <c r="J306" i="12"/>
  <c r="G306" i="12"/>
  <c r="E306" i="12"/>
  <c r="J305" i="12"/>
  <c r="G305" i="12"/>
  <c r="E305" i="12"/>
  <c r="J304" i="12"/>
  <c r="G304" i="12"/>
  <c r="E304" i="12"/>
  <c r="J303" i="12"/>
  <c r="G303" i="12"/>
  <c r="E303" i="12"/>
  <c r="J302" i="12"/>
  <c r="G302" i="12"/>
  <c r="E302" i="12"/>
  <c r="J301" i="12"/>
  <c r="G301" i="12"/>
  <c r="E301" i="12"/>
  <c r="J300" i="12"/>
  <c r="G300" i="12"/>
  <c r="E300" i="12"/>
  <c r="J299" i="12"/>
  <c r="G299" i="12"/>
  <c r="E299" i="12"/>
  <c r="J298" i="12"/>
  <c r="G298" i="12"/>
  <c r="E298" i="12"/>
  <c r="J297" i="12"/>
  <c r="G297" i="12"/>
  <c r="E297" i="12"/>
  <c r="J296" i="12"/>
  <c r="G296" i="12"/>
  <c r="E296" i="12"/>
  <c r="J295" i="12"/>
  <c r="G295" i="12"/>
  <c r="E295" i="12"/>
  <c r="J294" i="12"/>
  <c r="G294" i="12"/>
  <c r="E294" i="12"/>
  <c r="J293" i="12"/>
  <c r="G293" i="12"/>
  <c r="E293" i="12"/>
  <c r="J292" i="12"/>
  <c r="G292" i="12"/>
  <c r="E292" i="12"/>
  <c r="J291" i="12"/>
  <c r="G291" i="12"/>
  <c r="E291" i="12"/>
  <c r="J290" i="12"/>
  <c r="G290" i="12"/>
  <c r="E290" i="12"/>
  <c r="J289" i="12"/>
  <c r="G289" i="12"/>
  <c r="E289" i="12"/>
  <c r="J288" i="12"/>
  <c r="G288" i="12"/>
  <c r="E288" i="12"/>
  <c r="J287" i="12"/>
  <c r="G287" i="12"/>
  <c r="E287" i="12"/>
  <c r="J286" i="12"/>
  <c r="G286" i="12"/>
  <c r="E286" i="12"/>
  <c r="J285" i="12"/>
  <c r="G285" i="12"/>
  <c r="E285" i="12"/>
  <c r="J284" i="12"/>
  <c r="G284" i="12"/>
  <c r="E284" i="12"/>
  <c r="J283" i="12"/>
  <c r="G283" i="12"/>
  <c r="E283" i="12"/>
  <c r="J282" i="12"/>
  <c r="G282" i="12"/>
  <c r="E282" i="12"/>
  <c r="J281" i="12"/>
  <c r="G281" i="12"/>
  <c r="E281" i="12"/>
  <c r="J280" i="12"/>
  <c r="G280" i="12"/>
  <c r="E280" i="12"/>
  <c r="J279" i="12"/>
  <c r="G279" i="12"/>
  <c r="E279" i="12"/>
  <c r="J278" i="12"/>
  <c r="G278" i="12"/>
  <c r="E278" i="12"/>
  <c r="J277" i="12"/>
  <c r="G277" i="12"/>
  <c r="E277" i="12"/>
  <c r="J276" i="12"/>
  <c r="G276" i="12"/>
  <c r="E276" i="12"/>
  <c r="J275" i="12"/>
  <c r="G275" i="12"/>
  <c r="E275" i="12"/>
  <c r="J274" i="12"/>
  <c r="G274" i="12"/>
  <c r="E274" i="12"/>
  <c r="J273" i="12"/>
  <c r="G273" i="12"/>
  <c r="E273" i="12"/>
  <c r="J272" i="12"/>
  <c r="G272" i="12"/>
  <c r="E272" i="12"/>
  <c r="J271" i="12"/>
  <c r="G271" i="12"/>
  <c r="E271" i="12"/>
  <c r="J270" i="12"/>
  <c r="G270" i="12"/>
  <c r="E270" i="12"/>
  <c r="J269" i="12"/>
  <c r="G269" i="12"/>
  <c r="E269" i="12"/>
  <c r="J268" i="12"/>
  <c r="G268" i="12"/>
  <c r="E268" i="12"/>
  <c r="J267" i="12"/>
  <c r="G267" i="12"/>
  <c r="E267" i="12"/>
  <c r="J266" i="12"/>
  <c r="G266" i="12"/>
  <c r="E266" i="12"/>
  <c r="J265" i="12"/>
  <c r="G265" i="12"/>
  <c r="E265" i="12"/>
  <c r="J264" i="12"/>
  <c r="G264" i="12"/>
  <c r="E264" i="12"/>
  <c r="J263" i="12"/>
  <c r="G263" i="12"/>
  <c r="E263" i="12"/>
  <c r="J262" i="12"/>
  <c r="G262" i="12"/>
  <c r="E262" i="12"/>
  <c r="J261" i="12"/>
  <c r="G261" i="12"/>
  <c r="E261" i="12"/>
  <c r="J260" i="12"/>
  <c r="G260" i="12"/>
  <c r="E260" i="12"/>
  <c r="J259" i="12"/>
  <c r="G259" i="12"/>
  <c r="E259" i="12"/>
  <c r="J258" i="12"/>
  <c r="G258" i="12"/>
  <c r="E258" i="12"/>
  <c r="J257" i="12"/>
  <c r="G257" i="12"/>
  <c r="E257" i="12"/>
  <c r="J256" i="12"/>
  <c r="G256" i="12"/>
  <c r="E256" i="12"/>
  <c r="J255" i="12"/>
  <c r="G255" i="12"/>
  <c r="E255" i="12"/>
  <c r="J254" i="12"/>
  <c r="G254" i="12"/>
  <c r="E254" i="12"/>
  <c r="J253" i="12"/>
  <c r="G253" i="12"/>
  <c r="E253" i="12"/>
  <c r="J252" i="12"/>
  <c r="G252" i="12"/>
  <c r="E252" i="12"/>
  <c r="J251" i="12"/>
  <c r="G251" i="12"/>
  <c r="E251" i="12"/>
  <c r="J250" i="12"/>
  <c r="G250" i="12"/>
  <c r="E250" i="12"/>
  <c r="J249" i="12"/>
  <c r="G249" i="12"/>
  <c r="E249" i="12"/>
  <c r="J248" i="12"/>
  <c r="G248" i="12"/>
  <c r="E248" i="12"/>
  <c r="J247" i="12"/>
  <c r="G247" i="12"/>
  <c r="E247" i="12"/>
  <c r="J246" i="12"/>
  <c r="G246" i="12"/>
  <c r="E246" i="12"/>
  <c r="J245" i="12"/>
  <c r="G245" i="12"/>
  <c r="E245" i="12"/>
  <c r="J244" i="12"/>
  <c r="G244" i="12"/>
  <c r="E244" i="12"/>
  <c r="J243" i="12"/>
  <c r="G243" i="12"/>
  <c r="E243" i="12"/>
  <c r="J242" i="12"/>
  <c r="G242" i="12"/>
  <c r="E242" i="12"/>
  <c r="J241" i="12"/>
  <c r="G241" i="12"/>
  <c r="E241" i="12"/>
  <c r="J240" i="12"/>
  <c r="G240" i="12"/>
  <c r="E240" i="12"/>
  <c r="J239" i="12"/>
  <c r="G239" i="12"/>
  <c r="E239" i="12"/>
  <c r="J238" i="12"/>
  <c r="G238" i="12"/>
  <c r="E238" i="12"/>
  <c r="J237" i="12"/>
  <c r="G237" i="12"/>
  <c r="E237" i="12"/>
  <c r="J236" i="12"/>
  <c r="G236" i="12"/>
  <c r="E236" i="12"/>
  <c r="J235" i="12"/>
  <c r="G235" i="12"/>
  <c r="E235" i="12"/>
  <c r="J234" i="12"/>
  <c r="G234" i="12"/>
  <c r="E234" i="12"/>
  <c r="J233" i="12"/>
  <c r="G233" i="12"/>
  <c r="E233" i="12"/>
  <c r="J232" i="12"/>
  <c r="G232" i="12"/>
  <c r="E232" i="12"/>
  <c r="J231" i="12"/>
  <c r="G231" i="12"/>
  <c r="E231" i="12"/>
  <c r="J230" i="12"/>
  <c r="G230" i="12"/>
  <c r="E230" i="12"/>
  <c r="J229" i="12"/>
  <c r="G229" i="12"/>
  <c r="E229" i="12"/>
  <c r="J228" i="12"/>
  <c r="G228" i="12"/>
  <c r="E228" i="12"/>
  <c r="J227" i="12"/>
  <c r="G227" i="12"/>
  <c r="E227" i="12"/>
  <c r="J226" i="12"/>
  <c r="G226" i="12"/>
  <c r="E226" i="12"/>
  <c r="J225" i="12"/>
  <c r="G225" i="12"/>
  <c r="E225" i="12"/>
  <c r="J224" i="12"/>
  <c r="G224" i="12"/>
  <c r="E224" i="12"/>
  <c r="J223" i="12"/>
  <c r="G223" i="12"/>
  <c r="E223" i="12"/>
  <c r="J222" i="12"/>
  <c r="G222" i="12"/>
  <c r="E222" i="12"/>
  <c r="J221" i="12"/>
  <c r="G221" i="12"/>
  <c r="E221" i="12"/>
  <c r="J220" i="12"/>
  <c r="G220" i="12"/>
  <c r="E220" i="12"/>
  <c r="J219" i="12"/>
  <c r="G219" i="12"/>
  <c r="E219" i="12"/>
  <c r="J218" i="12"/>
  <c r="G218" i="12"/>
  <c r="E218" i="12"/>
  <c r="J217" i="12"/>
  <c r="G217" i="12"/>
  <c r="E217" i="12"/>
  <c r="J216" i="12"/>
  <c r="G216" i="12"/>
  <c r="E216" i="12"/>
  <c r="J215" i="12"/>
  <c r="G215" i="12"/>
  <c r="E215" i="12"/>
  <c r="J214" i="12"/>
  <c r="G214" i="12"/>
  <c r="E214" i="12"/>
  <c r="J213" i="12"/>
  <c r="G213" i="12"/>
  <c r="E213" i="12"/>
  <c r="J212" i="12"/>
  <c r="G212" i="12"/>
  <c r="E212" i="12"/>
  <c r="J211" i="12"/>
  <c r="G211" i="12"/>
  <c r="E211" i="12"/>
  <c r="J210" i="12"/>
  <c r="G210" i="12"/>
  <c r="E210" i="12"/>
  <c r="J209" i="12"/>
  <c r="G209" i="12"/>
  <c r="E209" i="12"/>
  <c r="J208" i="12"/>
  <c r="G208" i="12"/>
  <c r="E208" i="12"/>
  <c r="J207" i="12"/>
  <c r="G207" i="12"/>
  <c r="E207" i="12"/>
  <c r="J206" i="12"/>
  <c r="G206" i="12"/>
  <c r="E206" i="12"/>
  <c r="J205" i="12"/>
  <c r="G205" i="12"/>
  <c r="E205" i="12"/>
  <c r="J204" i="12"/>
  <c r="G204" i="12"/>
  <c r="E204" i="12"/>
  <c r="J203" i="12"/>
  <c r="G203" i="12"/>
  <c r="E203" i="12"/>
  <c r="J202" i="12"/>
  <c r="G202" i="12"/>
  <c r="E202" i="12"/>
  <c r="J201" i="12"/>
  <c r="G201" i="12"/>
  <c r="E201" i="12"/>
  <c r="J200" i="12"/>
  <c r="G200" i="12"/>
  <c r="E200" i="12"/>
  <c r="J199" i="12"/>
  <c r="G199" i="12"/>
  <c r="E199" i="12"/>
  <c r="J198" i="12"/>
  <c r="G198" i="12"/>
  <c r="E198" i="12"/>
  <c r="J197" i="12"/>
  <c r="G197" i="12"/>
  <c r="E197" i="12"/>
  <c r="J196" i="12"/>
  <c r="G196" i="12"/>
  <c r="E196" i="12"/>
  <c r="J195" i="12"/>
  <c r="G195" i="12"/>
  <c r="E195" i="12"/>
  <c r="J194" i="12"/>
  <c r="G194" i="12"/>
  <c r="E194" i="12"/>
  <c r="J193" i="12"/>
  <c r="G193" i="12"/>
  <c r="E193" i="12"/>
  <c r="J192" i="12"/>
  <c r="G192" i="12"/>
  <c r="E192" i="12"/>
  <c r="J191" i="12"/>
  <c r="G191" i="12"/>
  <c r="E191" i="12"/>
  <c r="J190" i="12"/>
  <c r="G190" i="12"/>
  <c r="E190" i="12"/>
  <c r="J189" i="12"/>
  <c r="G189" i="12"/>
  <c r="E189" i="12"/>
  <c r="J188" i="12"/>
  <c r="G188" i="12"/>
  <c r="E188" i="12"/>
  <c r="J187" i="12"/>
  <c r="G187" i="12"/>
  <c r="E187" i="12"/>
  <c r="J186" i="12"/>
  <c r="G186" i="12"/>
  <c r="E186" i="12"/>
  <c r="J185" i="12"/>
  <c r="G185" i="12"/>
  <c r="E185" i="12"/>
  <c r="J184" i="12"/>
  <c r="G184" i="12"/>
  <c r="E184" i="12"/>
  <c r="J183" i="12"/>
  <c r="G183" i="12"/>
  <c r="E183" i="12"/>
  <c r="J182" i="12"/>
  <c r="G182" i="12"/>
  <c r="E182" i="12"/>
  <c r="J181" i="12"/>
  <c r="G181" i="12"/>
  <c r="E181" i="12"/>
  <c r="J180" i="12"/>
  <c r="G180" i="12"/>
  <c r="E180" i="12"/>
  <c r="J179" i="12"/>
  <c r="G179" i="12"/>
  <c r="E179" i="12"/>
  <c r="J178" i="12"/>
  <c r="G178" i="12"/>
  <c r="E178" i="12"/>
  <c r="J177" i="12"/>
  <c r="G177" i="12"/>
  <c r="E177" i="12"/>
  <c r="J176" i="12"/>
  <c r="G176" i="12"/>
  <c r="E176" i="12"/>
  <c r="J175" i="12"/>
  <c r="G175" i="12"/>
  <c r="E175" i="12"/>
  <c r="J174" i="12"/>
  <c r="G174" i="12"/>
  <c r="E174" i="12"/>
  <c r="J173" i="12"/>
  <c r="G173" i="12"/>
  <c r="E173" i="12"/>
  <c r="J172" i="12"/>
  <c r="G172" i="12"/>
  <c r="E172" i="12"/>
  <c r="J171" i="12"/>
  <c r="G171" i="12"/>
  <c r="E171" i="12"/>
  <c r="J170" i="12"/>
  <c r="G170" i="12"/>
  <c r="E170" i="12"/>
  <c r="J169" i="12"/>
  <c r="G169" i="12"/>
  <c r="E169" i="12"/>
  <c r="J168" i="12"/>
  <c r="G168" i="12"/>
  <c r="E168" i="12"/>
  <c r="J167" i="12"/>
  <c r="G167" i="12"/>
  <c r="E167" i="12"/>
  <c r="J166" i="12"/>
  <c r="G166" i="12"/>
  <c r="E166" i="12"/>
  <c r="J165" i="12"/>
  <c r="G165" i="12"/>
  <c r="E165" i="12"/>
  <c r="J164" i="12"/>
  <c r="G164" i="12"/>
  <c r="E164" i="12"/>
  <c r="J163" i="12"/>
  <c r="G163" i="12"/>
  <c r="E163" i="12"/>
  <c r="J162" i="12"/>
  <c r="G162" i="12"/>
  <c r="E162" i="12"/>
  <c r="J161" i="12"/>
  <c r="G161" i="12"/>
  <c r="E161" i="12"/>
  <c r="J160" i="12"/>
  <c r="G160" i="12"/>
  <c r="E160" i="12"/>
  <c r="J159" i="12"/>
  <c r="G159" i="12"/>
  <c r="E159" i="12"/>
  <c r="J158" i="12"/>
  <c r="G158" i="12"/>
  <c r="E158" i="12"/>
  <c r="J157" i="12"/>
  <c r="G157" i="12"/>
  <c r="E157" i="12"/>
  <c r="J156" i="12"/>
  <c r="G156" i="12"/>
  <c r="E156" i="12"/>
  <c r="J155" i="12"/>
  <c r="G155" i="12"/>
  <c r="E155" i="12"/>
  <c r="J154" i="12"/>
  <c r="G154" i="12"/>
  <c r="E154" i="12"/>
  <c r="J153" i="12"/>
  <c r="G153" i="12"/>
  <c r="E153" i="12"/>
  <c r="J152" i="12"/>
  <c r="G152" i="12"/>
  <c r="E152" i="12"/>
  <c r="J151" i="12"/>
  <c r="G151" i="12"/>
  <c r="E151" i="12"/>
  <c r="J150" i="12"/>
  <c r="G150" i="12"/>
  <c r="E150" i="12"/>
  <c r="J149" i="12"/>
  <c r="G149" i="12"/>
  <c r="E149" i="12"/>
  <c r="J148" i="12"/>
  <c r="G148" i="12"/>
  <c r="E148" i="12"/>
  <c r="J147" i="12"/>
  <c r="G147" i="12"/>
  <c r="E147" i="12"/>
  <c r="J146" i="12"/>
  <c r="G146" i="12"/>
  <c r="E146" i="12"/>
  <c r="J145" i="12"/>
  <c r="G145" i="12"/>
  <c r="E145" i="12"/>
  <c r="J144" i="12"/>
  <c r="G144" i="12"/>
  <c r="E144" i="12"/>
  <c r="J143" i="12"/>
  <c r="G143" i="12"/>
  <c r="E143" i="12"/>
  <c r="J142" i="12"/>
  <c r="G142" i="12"/>
  <c r="E142" i="12"/>
  <c r="J141" i="12"/>
  <c r="G141" i="12"/>
  <c r="E141" i="12"/>
  <c r="J140" i="12"/>
  <c r="G140" i="12"/>
  <c r="E140" i="12"/>
  <c r="J139" i="12"/>
  <c r="G139" i="12"/>
  <c r="E139" i="12"/>
  <c r="J138" i="12"/>
  <c r="G138" i="12"/>
  <c r="E138" i="12"/>
  <c r="J137" i="12"/>
  <c r="G137" i="12"/>
  <c r="E137" i="12"/>
  <c r="J136" i="12"/>
  <c r="G136" i="12"/>
  <c r="E136" i="12"/>
  <c r="J135" i="12"/>
  <c r="G135" i="12"/>
  <c r="E135" i="12"/>
  <c r="J134" i="12"/>
  <c r="G134" i="12"/>
  <c r="E134" i="12"/>
  <c r="J133" i="12"/>
  <c r="G133" i="12"/>
  <c r="E133" i="12"/>
  <c r="J132" i="12"/>
  <c r="G132" i="12"/>
  <c r="E132" i="12"/>
  <c r="J131" i="12"/>
  <c r="G131" i="12"/>
  <c r="E131" i="12"/>
  <c r="J130" i="12"/>
  <c r="G130" i="12"/>
  <c r="E130" i="12"/>
  <c r="J129" i="12"/>
  <c r="G129" i="12"/>
  <c r="E129" i="12"/>
  <c r="J128" i="12"/>
  <c r="G128" i="12"/>
  <c r="E128" i="12"/>
  <c r="J127" i="12"/>
  <c r="G127" i="12"/>
  <c r="E127" i="12"/>
  <c r="J126" i="12"/>
  <c r="G126" i="12"/>
  <c r="E126" i="12"/>
  <c r="J125" i="12"/>
  <c r="G125" i="12"/>
  <c r="E125" i="12"/>
  <c r="J124" i="12"/>
  <c r="G124" i="12"/>
  <c r="E124" i="12"/>
  <c r="J123" i="12"/>
  <c r="G123" i="12"/>
  <c r="E123" i="12"/>
  <c r="J122" i="12"/>
  <c r="G122" i="12"/>
  <c r="E122" i="12"/>
  <c r="J121" i="12"/>
  <c r="G121" i="12"/>
  <c r="E121" i="12"/>
  <c r="J120" i="12"/>
  <c r="G120" i="12"/>
  <c r="E120" i="12"/>
  <c r="J119" i="12"/>
  <c r="G119" i="12"/>
  <c r="E119" i="12"/>
  <c r="J118" i="12"/>
  <c r="G118" i="12"/>
  <c r="E118" i="12"/>
  <c r="J117" i="12"/>
  <c r="G117" i="12"/>
  <c r="E117" i="12"/>
  <c r="J116" i="12"/>
  <c r="G116" i="12"/>
  <c r="E116" i="12"/>
  <c r="J115" i="12"/>
  <c r="G115" i="12"/>
  <c r="E115" i="12"/>
  <c r="J114" i="12"/>
  <c r="G114" i="12"/>
  <c r="E114" i="12"/>
  <c r="J113" i="12"/>
  <c r="G113" i="12"/>
  <c r="E113" i="12"/>
  <c r="J112" i="12"/>
  <c r="G112" i="12"/>
  <c r="E112" i="12"/>
  <c r="J111" i="12"/>
  <c r="G111" i="12"/>
  <c r="E111" i="12"/>
  <c r="J110" i="12"/>
  <c r="G110" i="12"/>
  <c r="E110" i="12"/>
  <c r="J109" i="12"/>
  <c r="G109" i="12"/>
  <c r="E109" i="12"/>
  <c r="J108" i="12"/>
  <c r="G108" i="12"/>
  <c r="E108" i="12"/>
  <c r="J107" i="12"/>
  <c r="G107" i="12"/>
  <c r="E107" i="12"/>
  <c r="J106" i="12"/>
  <c r="G106" i="12"/>
  <c r="E106" i="12"/>
  <c r="J105" i="12"/>
  <c r="G105" i="12"/>
  <c r="E105" i="12"/>
  <c r="J104" i="12"/>
  <c r="G104" i="12"/>
  <c r="E104" i="12"/>
  <c r="J103" i="12"/>
  <c r="G103" i="12"/>
  <c r="E103" i="12"/>
  <c r="J102" i="12"/>
  <c r="G102" i="12"/>
  <c r="E102" i="12"/>
  <c r="J101" i="12"/>
  <c r="G101" i="12"/>
  <c r="E101" i="12"/>
  <c r="J100" i="12"/>
  <c r="G100" i="12"/>
  <c r="E100" i="12"/>
  <c r="J99" i="12"/>
  <c r="G99" i="12"/>
  <c r="E99" i="12"/>
  <c r="J98" i="12"/>
  <c r="G98" i="12"/>
  <c r="E98" i="12"/>
  <c r="J97" i="12"/>
  <c r="G97" i="12"/>
  <c r="E97" i="12"/>
  <c r="J96" i="12"/>
  <c r="G96" i="12"/>
  <c r="E96" i="12"/>
  <c r="J95" i="12"/>
  <c r="G95" i="12"/>
  <c r="E95" i="12"/>
  <c r="J94" i="12"/>
  <c r="G94" i="12"/>
  <c r="E94" i="12"/>
  <c r="J93" i="12"/>
  <c r="G93" i="12"/>
  <c r="E93" i="12"/>
  <c r="J92" i="12"/>
  <c r="G92" i="12"/>
  <c r="E92" i="12"/>
  <c r="J91" i="12"/>
  <c r="G91" i="12"/>
  <c r="E91" i="12"/>
  <c r="J90" i="12"/>
  <c r="G90" i="12"/>
  <c r="E90" i="12"/>
  <c r="J89" i="12"/>
  <c r="G89" i="12"/>
  <c r="E89" i="12"/>
  <c r="J88" i="12"/>
  <c r="G88" i="12"/>
  <c r="E88" i="12"/>
  <c r="J87" i="12"/>
  <c r="G87" i="12"/>
  <c r="E87" i="12"/>
  <c r="J86" i="12"/>
  <c r="G86" i="12"/>
  <c r="E86" i="12"/>
  <c r="J85" i="12"/>
  <c r="G85" i="12"/>
  <c r="E85" i="12"/>
  <c r="J84" i="12"/>
  <c r="G84" i="12"/>
  <c r="E84" i="12"/>
  <c r="J83" i="12"/>
  <c r="G83" i="12"/>
  <c r="E83" i="12"/>
  <c r="J82" i="12"/>
  <c r="G82" i="12"/>
  <c r="E82" i="12"/>
  <c r="J81" i="12"/>
  <c r="G81" i="12"/>
  <c r="E81" i="12"/>
  <c r="J80" i="12"/>
  <c r="G80" i="12"/>
  <c r="E80" i="12"/>
  <c r="J79" i="12"/>
  <c r="G79" i="12"/>
  <c r="E79" i="12"/>
  <c r="J78" i="12"/>
  <c r="G78" i="12"/>
  <c r="E78" i="12"/>
  <c r="J77" i="12"/>
  <c r="G77" i="12"/>
  <c r="E77" i="12"/>
  <c r="J76" i="12"/>
  <c r="G76" i="12"/>
  <c r="E76" i="12"/>
  <c r="J75" i="12"/>
  <c r="G75" i="12"/>
  <c r="E75" i="12"/>
  <c r="J74" i="12"/>
  <c r="G74" i="12"/>
  <c r="E74" i="12"/>
  <c r="J73" i="12"/>
  <c r="G73" i="12"/>
  <c r="E73" i="12"/>
  <c r="J72" i="12"/>
  <c r="G72" i="12"/>
  <c r="E72" i="12"/>
  <c r="J71" i="12"/>
  <c r="G71" i="12"/>
  <c r="E71" i="12"/>
  <c r="J70" i="12"/>
  <c r="G70" i="12"/>
  <c r="E70" i="12"/>
  <c r="J69" i="12"/>
  <c r="G69" i="12"/>
  <c r="E69" i="12"/>
  <c r="J68" i="12"/>
  <c r="G68" i="12"/>
  <c r="E68" i="12"/>
  <c r="J67" i="12"/>
  <c r="G67" i="12"/>
  <c r="E67" i="12"/>
  <c r="J66" i="12"/>
  <c r="G66" i="12"/>
  <c r="E66" i="12"/>
  <c r="J65" i="12"/>
  <c r="G65" i="12"/>
  <c r="E65" i="12"/>
  <c r="J64" i="12"/>
  <c r="G64" i="12"/>
  <c r="E64" i="12"/>
  <c r="J63" i="12"/>
  <c r="G63" i="12"/>
  <c r="E63" i="12"/>
  <c r="J62" i="12"/>
  <c r="G62" i="12"/>
  <c r="E62" i="12"/>
  <c r="J61" i="12"/>
  <c r="G61" i="12"/>
  <c r="E61" i="12"/>
  <c r="J60" i="12"/>
  <c r="G60" i="12"/>
  <c r="E60" i="12"/>
  <c r="J59" i="12"/>
  <c r="G59" i="12"/>
  <c r="E59" i="12"/>
  <c r="J58" i="12"/>
  <c r="G58" i="12"/>
  <c r="E58" i="12"/>
  <c r="J57" i="12"/>
  <c r="G57" i="12"/>
  <c r="E57" i="12"/>
  <c r="J56" i="12"/>
  <c r="G56" i="12"/>
  <c r="E56" i="12"/>
  <c r="J55" i="12"/>
  <c r="G55" i="12"/>
  <c r="E55" i="12"/>
  <c r="J54" i="12"/>
  <c r="G54" i="12"/>
  <c r="E54" i="12"/>
  <c r="J53" i="12"/>
  <c r="G53" i="12"/>
  <c r="E53" i="12"/>
  <c r="J52" i="12"/>
  <c r="G52" i="12"/>
  <c r="E52" i="12"/>
  <c r="J51" i="12"/>
  <c r="G51" i="12"/>
  <c r="E51" i="12"/>
  <c r="J50" i="12"/>
  <c r="G50" i="12"/>
  <c r="E50" i="12"/>
  <c r="J49" i="12"/>
  <c r="G49" i="12"/>
  <c r="E49" i="12"/>
  <c r="J48" i="12"/>
  <c r="G48" i="12"/>
  <c r="E48" i="12"/>
  <c r="J47" i="12"/>
  <c r="G47" i="12"/>
  <c r="E47" i="12"/>
  <c r="J46" i="12"/>
  <c r="G46" i="12"/>
  <c r="E46" i="12"/>
  <c r="J45" i="12"/>
  <c r="G45" i="12"/>
  <c r="E45" i="12"/>
  <c r="J44" i="12"/>
  <c r="G44" i="12"/>
  <c r="E44" i="12"/>
  <c r="J43" i="12"/>
  <c r="G43" i="12"/>
  <c r="E43" i="12"/>
  <c r="J42" i="12"/>
  <c r="G42" i="12"/>
  <c r="E42" i="12"/>
  <c r="J41" i="12"/>
  <c r="G41" i="12"/>
  <c r="E41" i="12"/>
  <c r="J40" i="12"/>
  <c r="G40" i="12"/>
  <c r="E40" i="12"/>
  <c r="J39" i="12"/>
  <c r="G39" i="12"/>
  <c r="E39" i="12"/>
  <c r="J38" i="12"/>
  <c r="G38" i="12"/>
  <c r="E38" i="12"/>
  <c r="J37" i="12"/>
  <c r="G37" i="12"/>
  <c r="E37" i="12"/>
  <c r="J36" i="12"/>
  <c r="G36" i="12"/>
  <c r="E36" i="12"/>
  <c r="J35" i="12"/>
  <c r="G35" i="12"/>
  <c r="E35" i="12"/>
  <c r="J34" i="12"/>
  <c r="G34" i="12"/>
  <c r="E34" i="12"/>
  <c r="J33" i="12"/>
  <c r="G33" i="12"/>
  <c r="E33" i="12"/>
  <c r="J32" i="12"/>
  <c r="G32" i="12"/>
  <c r="E32" i="12"/>
  <c r="J31" i="12"/>
  <c r="G31" i="12"/>
  <c r="E31" i="12"/>
  <c r="J30" i="12"/>
  <c r="G30" i="12"/>
  <c r="E30" i="12"/>
  <c r="J29" i="12"/>
  <c r="G29" i="12"/>
  <c r="E29" i="12"/>
  <c r="J28" i="12"/>
  <c r="G28" i="12"/>
  <c r="E28" i="12"/>
  <c r="J27" i="12"/>
  <c r="G27" i="12"/>
  <c r="E27" i="12"/>
  <c r="G26" i="12"/>
  <c r="E26" i="12"/>
  <c r="J25" i="12"/>
  <c r="G25" i="12"/>
  <c r="E25" i="12"/>
  <c r="J24" i="12"/>
  <c r="G24" i="12"/>
  <c r="E24" i="12"/>
  <c r="J23" i="12"/>
  <c r="G23" i="12"/>
  <c r="E23" i="12"/>
  <c r="J22" i="12"/>
  <c r="G22" i="12"/>
  <c r="E22" i="12"/>
  <c r="J21" i="12"/>
  <c r="G21" i="12"/>
  <c r="E21" i="12"/>
  <c r="J20" i="12"/>
  <c r="G20" i="12"/>
  <c r="E20" i="12"/>
  <c r="J19" i="12"/>
  <c r="G19" i="12"/>
  <c r="E19" i="12"/>
  <c r="J18" i="12"/>
  <c r="G18" i="12"/>
  <c r="E18" i="12"/>
  <c r="J17" i="12"/>
  <c r="G17" i="12"/>
  <c r="E17" i="12"/>
  <c r="J16" i="12"/>
  <c r="G16" i="12"/>
  <c r="E16" i="12"/>
  <c r="J15" i="12"/>
  <c r="G15" i="12"/>
  <c r="E15" i="12"/>
  <c r="J14" i="12"/>
  <c r="G14" i="12"/>
  <c r="E14" i="12"/>
  <c r="J13" i="12"/>
  <c r="G13" i="12"/>
  <c r="E13" i="12"/>
  <c r="J12" i="12"/>
  <c r="G12" i="12"/>
  <c r="E12" i="12"/>
  <c r="J11" i="12"/>
  <c r="G11" i="12"/>
  <c r="E11" i="12"/>
  <c r="J10" i="12"/>
  <c r="G10" i="12"/>
  <c r="E10" i="12"/>
  <c r="J9" i="12"/>
  <c r="G9" i="12"/>
  <c r="E9" i="12"/>
  <c r="J8" i="12"/>
  <c r="G8" i="12"/>
  <c r="E8" i="12"/>
  <c r="J7" i="12"/>
  <c r="G7" i="12"/>
  <c r="E7" i="12"/>
  <c r="J6" i="12"/>
  <c r="G6" i="12"/>
  <c r="E6" i="12"/>
  <c r="J5" i="12"/>
  <c r="G5" i="12"/>
  <c r="E5" i="12"/>
  <c r="J4" i="12"/>
  <c r="G4" i="12"/>
  <c r="E4" i="12"/>
  <c r="J3" i="12"/>
  <c r="G3" i="12"/>
  <c r="E3" i="12"/>
  <c r="E801" i="8"/>
  <c r="E800" i="8"/>
  <c r="E799" i="8"/>
  <c r="E798" i="8"/>
  <c r="E797" i="8"/>
  <c r="E796" i="8"/>
  <c r="E795" i="8"/>
  <c r="E794" i="8"/>
  <c r="E793" i="8"/>
  <c r="E792" i="8"/>
  <c r="E791" i="8"/>
  <c r="E790" i="8"/>
  <c r="E789" i="8"/>
  <c r="E788" i="8"/>
  <c r="E787" i="8"/>
  <c r="E786" i="8"/>
  <c r="E785" i="8"/>
  <c r="E784" i="8"/>
  <c r="E783" i="8"/>
  <c r="E782" i="8"/>
  <c r="E781" i="8"/>
  <c r="E780" i="8"/>
  <c r="E779" i="8"/>
  <c r="E778" i="8"/>
  <c r="E777" i="8"/>
  <c r="E776" i="8"/>
  <c r="E775" i="8"/>
  <c r="E774" i="8"/>
  <c r="E773" i="8"/>
  <c r="E772" i="8"/>
  <c r="E771" i="8"/>
  <c r="E770" i="8"/>
  <c r="E769" i="8"/>
  <c r="E768" i="8"/>
  <c r="E767" i="8"/>
  <c r="E766" i="8"/>
  <c r="E765" i="8"/>
  <c r="E764" i="8"/>
  <c r="E763" i="8"/>
  <c r="E762" i="8"/>
  <c r="E761" i="8"/>
  <c r="E760" i="8"/>
  <c r="E759" i="8"/>
  <c r="E758" i="8"/>
  <c r="E757" i="8"/>
  <c r="E756" i="8"/>
  <c r="E755" i="8"/>
  <c r="E754" i="8"/>
  <c r="E753" i="8"/>
  <c r="E752" i="8"/>
  <c r="E751" i="8"/>
  <c r="E750" i="8"/>
  <c r="E749" i="8"/>
  <c r="E748" i="8"/>
  <c r="E747" i="8"/>
  <c r="E746" i="8"/>
  <c r="E745" i="8"/>
  <c r="E744" i="8"/>
  <c r="E743" i="8"/>
  <c r="E742" i="8"/>
  <c r="E741" i="8"/>
  <c r="E740" i="8"/>
  <c r="E739" i="8"/>
  <c r="E738" i="8"/>
  <c r="E737" i="8"/>
  <c r="E736" i="8"/>
  <c r="E735" i="8"/>
  <c r="E734" i="8"/>
  <c r="E732" i="8"/>
  <c r="E731" i="8"/>
  <c r="E730" i="8"/>
  <c r="E729" i="8"/>
  <c r="E728" i="8"/>
  <c r="E727" i="8"/>
  <c r="E726" i="8"/>
  <c r="E725" i="8"/>
  <c r="E724" i="8"/>
  <c r="E723" i="8"/>
  <c r="E722" i="8"/>
  <c r="E721" i="8"/>
  <c r="E720" i="8"/>
  <c r="E719" i="8"/>
  <c r="E718" i="8"/>
  <c r="E717" i="8"/>
  <c r="E716" i="8"/>
  <c r="E715" i="8"/>
  <c r="E714" i="8"/>
  <c r="E713" i="8"/>
  <c r="E712" i="8"/>
  <c r="E711" i="8"/>
  <c r="E710" i="8"/>
  <c r="E709" i="8"/>
  <c r="E708" i="8"/>
  <c r="E707" i="8"/>
  <c r="E706" i="8"/>
  <c r="E705" i="8"/>
  <c r="E704" i="8"/>
  <c r="E703" i="8"/>
  <c r="E702" i="8"/>
  <c r="E701" i="8"/>
  <c r="E700" i="8"/>
  <c r="E699" i="8"/>
  <c r="E698" i="8"/>
  <c r="E697" i="8"/>
  <c r="E696" i="8"/>
  <c r="E695" i="8"/>
  <c r="E694" i="8"/>
  <c r="E693" i="8"/>
  <c r="E692" i="8"/>
  <c r="E691" i="8"/>
  <c r="E690" i="8"/>
  <c r="E689" i="8"/>
  <c r="E688" i="8"/>
  <c r="E687" i="8"/>
  <c r="E686" i="8"/>
  <c r="E685" i="8"/>
  <c r="E684" i="8"/>
  <c r="E683" i="8"/>
  <c r="E682" i="8"/>
  <c r="E681" i="8"/>
  <c r="E680" i="8"/>
  <c r="E679" i="8"/>
  <c r="E678" i="8"/>
  <c r="E677" i="8"/>
  <c r="E676" i="8"/>
  <c r="E675" i="8"/>
  <c r="E674" i="8"/>
  <c r="E673" i="8"/>
  <c r="E672" i="8"/>
  <c r="E671" i="8"/>
  <c r="E670" i="8"/>
  <c r="E669" i="8"/>
  <c r="E668" i="8"/>
  <c r="E667" i="8"/>
  <c r="E666" i="8"/>
  <c r="E665" i="8"/>
  <c r="E664" i="8"/>
  <c r="E663" i="8"/>
  <c r="E662" i="8"/>
  <c r="E661" i="8"/>
  <c r="E660" i="8"/>
  <c r="E659" i="8"/>
  <c r="E658" i="8"/>
  <c r="E657" i="8"/>
  <c r="E656" i="8"/>
  <c r="E655" i="8"/>
  <c r="E654" i="8"/>
  <c r="E653" i="8"/>
  <c r="E652" i="8"/>
  <c r="E651" i="8"/>
  <c r="E650" i="8"/>
  <c r="E649" i="8"/>
  <c r="E648" i="8"/>
  <c r="E647" i="8"/>
  <c r="E646" i="8"/>
  <c r="E645" i="8"/>
  <c r="E644" i="8"/>
  <c r="E643" i="8"/>
  <c r="E642" i="8"/>
  <c r="E641" i="8"/>
  <c r="E640" i="8"/>
  <c r="E639" i="8"/>
  <c r="E638" i="8"/>
  <c r="E637" i="8"/>
  <c r="E636" i="8"/>
  <c r="E635" i="8"/>
  <c r="E634" i="8"/>
  <c r="E633" i="8"/>
  <c r="E632" i="8"/>
  <c r="E631" i="8"/>
  <c r="E630" i="8"/>
  <c r="E629" i="8"/>
  <c r="E628" i="8"/>
  <c r="E627" i="8"/>
  <c r="E626" i="8"/>
  <c r="E625" i="8"/>
  <c r="E624" i="8"/>
  <c r="E623" i="8"/>
  <c r="E622" i="8"/>
  <c r="E621" i="8"/>
  <c r="E620" i="8"/>
  <c r="E619" i="8"/>
  <c r="E618" i="8"/>
  <c r="E617" i="8"/>
  <c r="E616" i="8"/>
  <c r="E615" i="8"/>
  <c r="E614" i="8"/>
  <c r="E613" i="8"/>
  <c r="E612" i="8"/>
  <c r="E611" i="8"/>
  <c r="E610" i="8"/>
  <c r="E609" i="8"/>
  <c r="E608" i="8"/>
  <c r="E607" i="8"/>
  <c r="E606" i="8"/>
  <c r="E605" i="8"/>
  <c r="E604" i="8"/>
  <c r="E603" i="8"/>
  <c r="E602" i="8"/>
  <c r="E601" i="8"/>
  <c r="E600" i="8"/>
  <c r="E599" i="8"/>
  <c r="E598" i="8"/>
  <c r="E597" i="8"/>
  <c r="E596" i="8"/>
  <c r="E595" i="8"/>
  <c r="E594" i="8"/>
  <c r="E593" i="8"/>
  <c r="E592" i="8"/>
  <c r="E591" i="8"/>
  <c r="E590" i="8"/>
  <c r="E589" i="8"/>
  <c r="E588" i="8"/>
  <c r="E587" i="8"/>
  <c r="E586" i="8"/>
  <c r="E585" i="8"/>
  <c r="E584" i="8"/>
  <c r="E583" i="8"/>
  <c r="E582" i="8"/>
  <c r="E581" i="8"/>
  <c r="E580" i="8"/>
  <c r="E579" i="8"/>
  <c r="E578" i="8"/>
  <c r="E577" i="8"/>
  <c r="E576" i="8"/>
  <c r="E575" i="8"/>
  <c r="E574" i="8"/>
  <c r="E573" i="8"/>
  <c r="E572" i="8"/>
  <c r="E571" i="8"/>
  <c r="E570" i="8"/>
  <c r="E569" i="8"/>
  <c r="E568" i="8"/>
  <c r="E567" i="8"/>
  <c r="E566" i="8"/>
  <c r="E565" i="8"/>
  <c r="E564" i="8"/>
  <c r="E563" i="8"/>
  <c r="E562" i="8"/>
  <c r="E561" i="8"/>
  <c r="E560" i="8"/>
  <c r="E559" i="8"/>
  <c r="E558" i="8"/>
  <c r="E557" i="8"/>
  <c r="E556" i="8"/>
  <c r="E555" i="8"/>
  <c r="E554" i="8"/>
  <c r="E553" i="8"/>
  <c r="E552" i="8"/>
  <c r="E551" i="8"/>
  <c r="E550" i="8"/>
  <c r="E549" i="8"/>
  <c r="E548" i="8"/>
  <c r="E547" i="8"/>
  <c r="E546" i="8"/>
  <c r="E545" i="8"/>
  <c r="E544" i="8"/>
  <c r="E543" i="8"/>
  <c r="E542" i="8"/>
  <c r="E541" i="8"/>
  <c r="E540" i="8"/>
  <c r="E539" i="8"/>
  <c r="E538" i="8"/>
  <c r="E537" i="8"/>
  <c r="E536" i="8"/>
  <c r="E535" i="8"/>
  <c r="E534" i="8"/>
  <c r="E533" i="8"/>
  <c r="E532" i="8"/>
  <c r="E531" i="8"/>
  <c r="E530" i="8"/>
  <c r="E529" i="8"/>
  <c r="E528" i="8"/>
  <c r="E527" i="8"/>
  <c r="E526" i="8"/>
  <c r="E525" i="8"/>
  <c r="E524" i="8"/>
  <c r="E523" i="8"/>
  <c r="E522" i="8"/>
  <c r="E521" i="8"/>
  <c r="E520" i="8"/>
  <c r="E519" i="8"/>
  <c r="E518" i="8"/>
  <c r="E517" i="8"/>
  <c r="E516" i="8"/>
  <c r="E515" i="8"/>
  <c r="E514" i="8"/>
  <c r="E513" i="8"/>
  <c r="E512" i="8"/>
  <c r="E511" i="8"/>
  <c r="E510" i="8"/>
  <c r="E509" i="8"/>
  <c r="E508" i="8"/>
  <c r="E507" i="8"/>
  <c r="E506" i="8"/>
  <c r="E505" i="8"/>
  <c r="E504" i="8"/>
  <c r="E503" i="8"/>
  <c r="E502" i="8"/>
  <c r="E501" i="8"/>
  <c r="E500" i="8"/>
  <c r="E499" i="8"/>
  <c r="E498" i="8"/>
  <c r="E497" i="8"/>
  <c r="E496" i="8"/>
  <c r="E495" i="8"/>
  <c r="E494" i="8"/>
  <c r="E493" i="8"/>
  <c r="E492" i="8"/>
  <c r="E491" i="8"/>
  <c r="E490" i="8"/>
  <c r="E489" i="8"/>
  <c r="E488" i="8"/>
  <c r="E487" i="8"/>
  <c r="E486" i="8"/>
  <c r="E485" i="8"/>
  <c r="E484" i="8"/>
  <c r="E483" i="8"/>
  <c r="E482" i="8"/>
  <c r="E481" i="8"/>
  <c r="E480" i="8"/>
  <c r="E479" i="8"/>
  <c r="E478" i="8"/>
  <c r="E477" i="8"/>
  <c r="E476" i="8"/>
  <c r="E475" i="8"/>
  <c r="E474" i="8"/>
  <c r="E473" i="8"/>
  <c r="E472" i="8"/>
  <c r="E471" i="8"/>
  <c r="E470" i="8"/>
  <c r="E469" i="8"/>
  <c r="E468" i="8"/>
  <c r="E467" i="8"/>
  <c r="E466" i="8"/>
  <c r="E465" i="8"/>
  <c r="E464" i="8"/>
  <c r="E463" i="8"/>
  <c r="E462" i="8"/>
  <c r="E461" i="8"/>
  <c r="E460" i="8"/>
  <c r="E459" i="8"/>
  <c r="E458" i="8"/>
  <c r="E457" i="8"/>
  <c r="E456" i="8"/>
  <c r="E455" i="8"/>
  <c r="E454" i="8"/>
  <c r="E453" i="8"/>
  <c r="E452" i="8"/>
  <c r="E451" i="8"/>
  <c r="E450" i="8"/>
  <c r="E449" i="8"/>
  <c r="E448" i="8"/>
  <c r="E447" i="8"/>
  <c r="E446" i="8"/>
  <c r="E445" i="8"/>
  <c r="E444" i="8"/>
  <c r="E443" i="8"/>
  <c r="E442" i="8"/>
  <c r="E441" i="8"/>
  <c r="E440" i="8"/>
  <c r="E439" i="8"/>
  <c r="E438" i="8"/>
  <c r="E437" i="8"/>
  <c r="E436" i="8"/>
  <c r="E435" i="8"/>
  <c r="E434" i="8"/>
  <c r="E433" i="8"/>
  <c r="E432" i="8"/>
  <c r="E431" i="8"/>
  <c r="E430" i="8"/>
  <c r="E429" i="8"/>
  <c r="E428" i="8"/>
  <c r="E427" i="8"/>
  <c r="E426" i="8"/>
  <c r="E425" i="8"/>
  <c r="E424" i="8"/>
  <c r="E423" i="8"/>
  <c r="E422" i="8"/>
  <c r="E421" i="8"/>
  <c r="E420" i="8"/>
  <c r="E419" i="8"/>
  <c r="E418" i="8"/>
  <c r="E417" i="8"/>
  <c r="E416" i="8"/>
  <c r="E415" i="8"/>
  <c r="E414" i="8"/>
  <c r="E413" i="8"/>
  <c r="E412" i="8"/>
  <c r="E411" i="8"/>
  <c r="E410" i="8"/>
  <c r="E409" i="8"/>
  <c r="E408" i="8"/>
  <c r="E407" i="8"/>
  <c r="E406" i="8"/>
  <c r="E405" i="8"/>
  <c r="E404" i="8"/>
  <c r="E403" i="8"/>
  <c r="E402" i="8"/>
  <c r="E401" i="8"/>
  <c r="E400" i="8"/>
  <c r="E399" i="8"/>
  <c r="E398" i="8"/>
  <c r="E397" i="8"/>
  <c r="E396" i="8"/>
  <c r="E395" i="8"/>
  <c r="E394" i="8"/>
  <c r="E393" i="8"/>
  <c r="E392" i="8"/>
  <c r="E391" i="8"/>
  <c r="E390" i="8"/>
  <c r="E389" i="8"/>
  <c r="E388" i="8"/>
  <c r="E387" i="8"/>
  <c r="E386" i="8"/>
  <c r="E385" i="8"/>
  <c r="E384" i="8"/>
  <c r="E383" i="8"/>
  <c r="E382" i="8"/>
  <c r="E381" i="8"/>
  <c r="E380" i="8"/>
  <c r="E379" i="8"/>
  <c r="E378" i="8"/>
  <c r="E377" i="8"/>
  <c r="E376" i="8"/>
  <c r="E375" i="8"/>
  <c r="E374" i="8"/>
  <c r="E373" i="8"/>
  <c r="E372" i="8"/>
  <c r="E371" i="8"/>
  <c r="E370" i="8"/>
  <c r="E369" i="8"/>
  <c r="E368" i="8"/>
  <c r="E367" i="8"/>
  <c r="E366" i="8"/>
  <c r="E365" i="8"/>
  <c r="E364" i="8"/>
  <c r="E363" i="8"/>
  <c r="E362" i="8"/>
  <c r="E361" i="8"/>
  <c r="E360" i="8"/>
  <c r="E359" i="8"/>
  <c r="E358" i="8"/>
  <c r="E357" i="8"/>
  <c r="E356" i="8"/>
  <c r="E355" i="8"/>
  <c r="E354" i="8"/>
  <c r="E353" i="8"/>
  <c r="E352" i="8"/>
  <c r="E351" i="8"/>
  <c r="E350" i="8"/>
  <c r="E349" i="8"/>
  <c r="E348" i="8"/>
  <c r="E347" i="8"/>
  <c r="E346" i="8"/>
  <c r="E345" i="8"/>
  <c r="E344" i="8"/>
  <c r="E343" i="8"/>
  <c r="E342" i="8"/>
  <c r="E341" i="8"/>
  <c r="E340" i="8"/>
  <c r="E339" i="8"/>
  <c r="E338" i="8"/>
  <c r="E337" i="8"/>
  <c r="E336" i="8"/>
  <c r="E335" i="8"/>
  <c r="E334" i="8"/>
  <c r="E333" i="8"/>
  <c r="E332" i="8"/>
  <c r="E331" i="8"/>
  <c r="E330" i="8"/>
  <c r="E329" i="8"/>
  <c r="E328" i="8"/>
  <c r="E327" i="8"/>
  <c r="E326" i="8"/>
  <c r="E325" i="8"/>
  <c r="E324" i="8"/>
  <c r="E323" i="8"/>
  <c r="E322" i="8"/>
  <c r="E321" i="8"/>
  <c r="E320" i="8"/>
  <c r="E319" i="8"/>
  <c r="E318" i="8"/>
  <c r="E317" i="8"/>
  <c r="E316" i="8"/>
  <c r="E315" i="8"/>
  <c r="E314" i="8"/>
  <c r="E313" i="8"/>
  <c r="E312" i="8"/>
  <c r="E311" i="8"/>
  <c r="E310" i="8"/>
  <c r="E309" i="8"/>
  <c r="E308" i="8"/>
  <c r="E307" i="8"/>
  <c r="E306" i="8"/>
  <c r="E305" i="8"/>
  <c r="E304" i="8"/>
  <c r="E303" i="8"/>
  <c r="E302" i="8"/>
  <c r="E301" i="8"/>
  <c r="E300" i="8"/>
  <c r="E299" i="8"/>
  <c r="E298" i="8"/>
  <c r="E297" i="8"/>
  <c r="E296" i="8"/>
  <c r="E295" i="8"/>
  <c r="E294" i="8"/>
  <c r="E293" i="8"/>
  <c r="E292" i="8"/>
  <c r="E291" i="8"/>
  <c r="E290" i="8"/>
  <c r="E289" i="8"/>
  <c r="E288" i="8"/>
  <c r="E287" i="8"/>
  <c r="E286" i="8"/>
  <c r="E285" i="8"/>
  <c r="E284" i="8"/>
  <c r="E283" i="8"/>
  <c r="E282" i="8"/>
  <c r="E281" i="8"/>
  <c r="E280" i="8"/>
  <c r="E279" i="8"/>
  <c r="E278" i="8"/>
  <c r="E277" i="8"/>
  <c r="E276" i="8"/>
  <c r="E275" i="8"/>
  <c r="E274" i="8"/>
  <c r="E273" i="8"/>
  <c r="E272" i="8"/>
  <c r="E271" i="8"/>
  <c r="E270" i="8"/>
  <c r="E269" i="8"/>
  <c r="E268" i="8"/>
  <c r="E267" i="8"/>
  <c r="E266" i="8"/>
  <c r="E265" i="8"/>
  <c r="E264" i="8"/>
  <c r="E263" i="8"/>
  <c r="E262" i="8"/>
  <c r="E261" i="8"/>
  <c r="E260" i="8"/>
  <c r="E259" i="8"/>
  <c r="E258" i="8"/>
  <c r="E257" i="8"/>
  <c r="E256" i="8"/>
  <c r="E255" i="8"/>
  <c r="E254" i="8"/>
  <c r="E253" i="8"/>
  <c r="E252" i="8"/>
  <c r="E251" i="8"/>
  <c r="E250" i="8"/>
  <c r="E249" i="8"/>
  <c r="E248" i="8"/>
  <c r="E247" i="8"/>
  <c r="E246" i="8"/>
  <c r="E245" i="8"/>
  <c r="E244" i="8"/>
  <c r="E243" i="8"/>
  <c r="E242" i="8"/>
  <c r="E241" i="8"/>
  <c r="E240" i="8"/>
  <c r="E239" i="8"/>
  <c r="E238" i="8"/>
  <c r="E237" i="8"/>
  <c r="E236" i="8"/>
  <c r="E235" i="8"/>
  <c r="E234" i="8"/>
  <c r="E233" i="8"/>
  <c r="E232" i="8"/>
  <c r="E231" i="8"/>
  <c r="E230" i="8"/>
  <c r="E229" i="8"/>
  <c r="E228" i="8"/>
  <c r="E227" i="8"/>
  <c r="E226" i="8"/>
  <c r="E225" i="8"/>
  <c r="E224" i="8"/>
  <c r="E223" i="8"/>
  <c r="E222" i="8"/>
  <c r="E221" i="8"/>
  <c r="E220" i="8"/>
  <c r="E219" i="8"/>
  <c r="E218" i="8"/>
  <c r="E217" i="8"/>
  <c r="E216" i="8"/>
  <c r="E215" i="8"/>
  <c r="E214" i="8"/>
  <c r="E213" i="8"/>
  <c r="E212" i="8"/>
  <c r="E211" i="8"/>
  <c r="E210" i="8"/>
  <c r="E209" i="8"/>
  <c r="E208" i="8"/>
  <c r="E207" i="8"/>
  <c r="E206" i="8"/>
  <c r="E205" i="8"/>
  <c r="E204" i="8"/>
  <c r="E203" i="8"/>
  <c r="E202" i="8"/>
  <c r="E201" i="8"/>
  <c r="E200" i="8"/>
  <c r="E199" i="8"/>
  <c r="E198" i="8"/>
  <c r="E197" i="8"/>
  <c r="E196" i="8"/>
  <c r="E195" i="8"/>
  <c r="E194" i="8"/>
  <c r="E193" i="8"/>
  <c r="E192" i="8"/>
  <c r="E191" i="8"/>
  <c r="E190" i="8"/>
  <c r="E189" i="8"/>
  <c r="E188" i="8"/>
  <c r="E187" i="8"/>
  <c r="E186" i="8"/>
  <c r="E185" i="8"/>
  <c r="E184" i="8"/>
  <c r="E183" i="8"/>
  <c r="E182" i="8"/>
  <c r="E181" i="8"/>
  <c r="E180" i="8"/>
  <c r="E179" i="8"/>
  <c r="E178" i="8"/>
  <c r="E177" i="8"/>
  <c r="E176" i="8"/>
  <c r="E175" i="8"/>
  <c r="E174" i="8"/>
  <c r="E173" i="8"/>
  <c r="E172" i="8"/>
  <c r="E171" i="8"/>
  <c r="E170" i="8"/>
  <c r="E169" i="8"/>
  <c r="E168" i="8"/>
  <c r="E167" i="8"/>
  <c r="E166" i="8"/>
  <c r="E165" i="8"/>
  <c r="E164" i="8"/>
  <c r="E163" i="8"/>
  <c r="E162" i="8"/>
  <c r="E161" i="8"/>
  <c r="E160" i="8"/>
  <c r="E159" i="8"/>
  <c r="E158" i="8"/>
  <c r="E157" i="8"/>
  <c r="E156" i="8"/>
  <c r="E155" i="8"/>
  <c r="E154" i="8"/>
  <c r="E153" i="8"/>
  <c r="E152" i="8"/>
  <c r="E151" i="8"/>
  <c r="E150" i="8"/>
  <c r="E149" i="8"/>
  <c r="E148" i="8"/>
  <c r="E147" i="8"/>
  <c r="E146" i="8"/>
  <c r="E145" i="8"/>
  <c r="E144" i="8"/>
  <c r="E143" i="8"/>
  <c r="E142" i="8"/>
  <c r="E141" i="8"/>
  <c r="E140" i="8"/>
  <c r="E139" i="8"/>
  <c r="E138" i="8"/>
  <c r="E137" i="8"/>
  <c r="E136" i="8"/>
  <c r="E135" i="8"/>
  <c r="E134" i="8"/>
  <c r="E133" i="8"/>
  <c r="E132" i="8"/>
  <c r="E131" i="8"/>
  <c r="E130" i="8"/>
  <c r="E129" i="8"/>
  <c r="E128" i="8"/>
  <c r="E127" i="8"/>
  <c r="E126" i="8"/>
  <c r="E125" i="8"/>
  <c r="E124" i="8"/>
  <c r="E123" i="8"/>
  <c r="E122" i="8"/>
  <c r="E121" i="8"/>
  <c r="E120" i="8"/>
  <c r="E119" i="8"/>
  <c r="E118" i="8"/>
  <c r="E117" i="8"/>
  <c r="E116" i="8"/>
  <c r="E115" i="8"/>
  <c r="E114" i="8"/>
  <c r="E113" i="8"/>
  <c r="E112" i="8"/>
  <c r="E111" i="8"/>
  <c r="E110" i="8"/>
  <c r="E109" i="8"/>
  <c r="E108" i="8"/>
  <c r="E107" i="8"/>
  <c r="E106" i="8"/>
  <c r="E105" i="8"/>
  <c r="E104" i="8"/>
  <c r="E103" i="8"/>
  <c r="E102" i="8"/>
  <c r="E101" i="8"/>
  <c r="E100" i="8"/>
  <c r="E99" i="8"/>
  <c r="E98" i="8"/>
  <c r="E97" i="8"/>
  <c r="E96" i="8"/>
  <c r="E95" i="8"/>
  <c r="E94" i="8"/>
  <c r="E93" i="8"/>
  <c r="E92" i="8"/>
  <c r="E91" i="8"/>
  <c r="E90" i="8"/>
  <c r="E89" i="8"/>
  <c r="E88" i="8"/>
  <c r="E87" i="8"/>
  <c r="E86" i="8"/>
  <c r="E85" i="8"/>
  <c r="E84" i="8"/>
  <c r="E83" i="8"/>
  <c r="E82" i="8"/>
  <c r="E81" i="8"/>
  <c r="E80" i="8"/>
  <c r="E79" i="8"/>
  <c r="E78" i="8"/>
  <c r="E77" i="8"/>
  <c r="E76"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E47" i="8"/>
  <c r="E46" i="8"/>
  <c r="E45" i="8"/>
  <c r="E44" i="8"/>
  <c r="E43" i="8"/>
  <c r="E42" i="8"/>
  <c r="E41" i="8"/>
  <c r="E40" i="8"/>
  <c r="E39" i="8"/>
  <c r="E38" i="8"/>
  <c r="E37" i="8"/>
  <c r="E36" i="8"/>
  <c r="E35" i="8"/>
  <c r="E34" i="8"/>
  <c r="E33" i="8"/>
  <c r="E32" i="8"/>
  <c r="E31" i="8"/>
  <c r="E30" i="8"/>
  <c r="E29" i="8"/>
  <c r="E28" i="8"/>
  <c r="E27" i="8"/>
  <c r="E26" i="8"/>
  <c r="E25" i="8"/>
  <c r="E24" i="8"/>
  <c r="E23" i="8"/>
  <c r="E22" i="8"/>
  <c r="E21" i="8"/>
  <c r="E20" i="8"/>
  <c r="E19" i="8"/>
  <c r="E18" i="8"/>
  <c r="E17" i="8"/>
  <c r="E16" i="8"/>
  <c r="E15" i="8"/>
  <c r="E14" i="8"/>
  <c r="E12" i="8"/>
  <c r="E11" i="8"/>
  <c r="E10" i="8"/>
  <c r="E9" i="8"/>
  <c r="E8" i="8"/>
  <c r="E7" i="8"/>
  <c r="E6" i="8"/>
  <c r="E5" i="8"/>
  <c r="E4" i="8"/>
  <c r="E3" i="8"/>
  <c r="E2" i="8"/>
  <c r="Q637" i="6"/>
  <c r="F637" i="6"/>
  <c r="Q636" i="6"/>
  <c r="D636" i="6"/>
  <c r="F636" i="6" s="1"/>
  <c r="Q635" i="6"/>
  <c r="D635" i="6"/>
  <c r="F635" i="6" s="1"/>
  <c r="Q634" i="6"/>
  <c r="D634" i="6"/>
  <c r="F634" i="6" s="1"/>
  <c r="Q633" i="6"/>
  <c r="D633" i="6"/>
  <c r="F633" i="6" s="1"/>
  <c r="Q632" i="6"/>
  <c r="D632" i="6"/>
  <c r="F632" i="6" s="1"/>
  <c r="Q631" i="6"/>
  <c r="D631" i="6"/>
  <c r="F631" i="6" s="1"/>
  <c r="Q630" i="6"/>
  <c r="D630" i="6"/>
  <c r="F630" i="6" s="1"/>
  <c r="Q629" i="6"/>
  <c r="D629" i="6"/>
  <c r="F629" i="6" s="1"/>
  <c r="Q628" i="6"/>
  <c r="D628" i="6"/>
  <c r="F628" i="6" s="1"/>
  <c r="Q627" i="6"/>
  <c r="D627" i="6"/>
  <c r="F627" i="6" s="1"/>
  <c r="Q626" i="6"/>
  <c r="D626" i="6"/>
  <c r="F626" i="6" s="1"/>
  <c r="Q625" i="6"/>
  <c r="D625" i="6"/>
  <c r="F625" i="6" s="1"/>
  <c r="Q624" i="6"/>
  <c r="D624" i="6"/>
  <c r="F624" i="6" s="1"/>
  <c r="Q623" i="6"/>
  <c r="T634" i="6" s="1"/>
  <c r="D623" i="6"/>
  <c r="F623" i="6" s="1"/>
  <c r="Q622" i="6"/>
  <c r="D622" i="6"/>
  <c r="F622" i="6" s="1"/>
  <c r="Q621" i="6"/>
  <c r="D621" i="6"/>
  <c r="F621" i="6" s="1"/>
  <c r="Q620" i="6"/>
  <c r="D620" i="6"/>
  <c r="F620" i="6" s="1"/>
  <c r="Q619" i="6"/>
  <c r="F619" i="6"/>
  <c r="D619" i="6"/>
  <c r="Q618" i="6"/>
  <c r="D618" i="6"/>
  <c r="F618" i="6" s="1"/>
  <c r="Q617" i="6"/>
  <c r="D617" i="6"/>
  <c r="F617" i="6" s="1"/>
  <c r="Q616" i="6"/>
  <c r="D616" i="6"/>
  <c r="F616" i="6" s="1"/>
  <c r="Q615" i="6"/>
  <c r="D615" i="6"/>
  <c r="F615" i="6" s="1"/>
  <c r="Q614" i="6"/>
  <c r="D614" i="6"/>
  <c r="F614" i="6" s="1"/>
  <c r="Q613" i="6"/>
  <c r="D613" i="6"/>
  <c r="F613" i="6" s="1"/>
  <c r="Q612" i="6"/>
  <c r="D612" i="6"/>
  <c r="F612" i="6" s="1"/>
  <c r="Q611" i="6"/>
  <c r="T622" i="6" s="1"/>
  <c r="D611" i="6"/>
  <c r="F611" i="6" s="1"/>
  <c r="Q610" i="6"/>
  <c r="D610" i="6"/>
  <c r="F610" i="6" s="1"/>
  <c r="Q609" i="6"/>
  <c r="D609" i="6"/>
  <c r="F609" i="6" s="1"/>
  <c r="Q608" i="6"/>
  <c r="D608" i="6"/>
  <c r="F608" i="6" s="1"/>
  <c r="Q607" i="6"/>
  <c r="D607" i="6"/>
  <c r="F607" i="6" s="1"/>
  <c r="Q606" i="6"/>
  <c r="D606" i="6"/>
  <c r="F606" i="6" s="1"/>
  <c r="Q605" i="6"/>
  <c r="D605" i="6"/>
  <c r="F605" i="6" s="1"/>
  <c r="Q604" i="6"/>
  <c r="D604" i="6"/>
  <c r="F604" i="6" s="1"/>
  <c r="Q603" i="6"/>
  <c r="D603" i="6"/>
  <c r="F603" i="6" s="1"/>
  <c r="Q602" i="6"/>
  <c r="D602" i="6"/>
  <c r="F602" i="6" s="1"/>
  <c r="Q601" i="6"/>
  <c r="D601" i="6"/>
  <c r="F601" i="6" s="1"/>
  <c r="Q600" i="6"/>
  <c r="D600" i="6"/>
  <c r="F600" i="6" s="1"/>
  <c r="Q599" i="6"/>
  <c r="T610" i="6" s="1"/>
  <c r="D599" i="6"/>
  <c r="F599" i="6" s="1"/>
  <c r="Q598" i="6"/>
  <c r="D598" i="6"/>
  <c r="F598" i="6" s="1"/>
  <c r="Q597" i="6"/>
  <c r="D597" i="6"/>
  <c r="F597" i="6" s="1"/>
  <c r="Q596" i="6"/>
  <c r="D596" i="6"/>
  <c r="F596" i="6" s="1"/>
  <c r="Q595" i="6"/>
  <c r="D595" i="6"/>
  <c r="F595" i="6" s="1"/>
  <c r="Q594" i="6"/>
  <c r="D594" i="6"/>
  <c r="F594" i="6" s="1"/>
  <c r="Q593" i="6"/>
  <c r="D593" i="6"/>
  <c r="F593" i="6" s="1"/>
  <c r="Q592" i="6"/>
  <c r="F592" i="6"/>
  <c r="D592" i="6"/>
  <c r="Q591" i="6"/>
  <c r="D591" i="6"/>
  <c r="F591" i="6" s="1"/>
  <c r="Q590" i="6"/>
  <c r="D590" i="6"/>
  <c r="F590" i="6" s="1"/>
  <c r="Q589" i="6"/>
  <c r="D589" i="6"/>
  <c r="F589" i="6" s="1"/>
  <c r="Q588" i="6"/>
  <c r="D588" i="6"/>
  <c r="F588" i="6" s="1"/>
  <c r="Q587" i="6"/>
  <c r="D587" i="6"/>
  <c r="F587" i="6" s="1"/>
  <c r="Q586" i="6"/>
  <c r="D586" i="6"/>
  <c r="F586" i="6" s="1"/>
  <c r="Q585" i="6"/>
  <c r="D585" i="6"/>
  <c r="F585" i="6" s="1"/>
  <c r="Q584" i="6"/>
  <c r="D584" i="6"/>
  <c r="F584" i="6" s="1"/>
  <c r="Q583" i="6"/>
  <c r="D583" i="6"/>
  <c r="F583" i="6" s="1"/>
  <c r="Q582" i="6"/>
  <c r="D582" i="6"/>
  <c r="F582" i="6" s="1"/>
  <c r="Q581" i="6"/>
  <c r="D581" i="6"/>
  <c r="F581" i="6" s="1"/>
  <c r="Q580" i="6"/>
  <c r="D580" i="6"/>
  <c r="F580" i="6" s="1"/>
  <c r="Q579" i="6"/>
  <c r="D579" i="6"/>
  <c r="F579" i="6" s="1"/>
  <c r="Q578" i="6"/>
  <c r="D578" i="6"/>
  <c r="F578" i="6" s="1"/>
  <c r="Q577" i="6"/>
  <c r="D577" i="6"/>
  <c r="F577" i="6" s="1"/>
  <c r="Q576" i="6"/>
  <c r="D576" i="6"/>
  <c r="F576" i="6" s="1"/>
  <c r="Q575" i="6"/>
  <c r="D575" i="6"/>
  <c r="F575" i="6" s="1"/>
  <c r="Q574" i="6"/>
  <c r="D574" i="6"/>
  <c r="F574" i="6" s="1"/>
  <c r="Q573" i="6"/>
  <c r="D573" i="6"/>
  <c r="F573" i="6" s="1"/>
  <c r="Q572" i="6"/>
  <c r="D572" i="6"/>
  <c r="F572" i="6" s="1"/>
  <c r="Q571" i="6"/>
  <c r="D571" i="6"/>
  <c r="F571" i="6" s="1"/>
  <c r="Q570" i="6"/>
  <c r="D570" i="6"/>
  <c r="F570" i="6" s="1"/>
  <c r="Q569" i="6"/>
  <c r="D569" i="6"/>
  <c r="F569" i="6" s="1"/>
  <c r="Q568" i="6"/>
  <c r="D568" i="6"/>
  <c r="F568" i="6" s="1"/>
  <c r="Q567" i="6"/>
  <c r="D567" i="6"/>
  <c r="F567" i="6" s="1"/>
  <c r="Q566" i="6"/>
  <c r="D566" i="6"/>
  <c r="F566" i="6" s="1"/>
  <c r="Q565" i="6"/>
  <c r="D565" i="6"/>
  <c r="F565" i="6" s="1"/>
  <c r="Q564" i="6"/>
  <c r="D564" i="6"/>
  <c r="F564" i="6" s="1"/>
  <c r="Q563" i="6"/>
  <c r="D563" i="6"/>
  <c r="F563" i="6" s="1"/>
  <c r="Q562" i="6"/>
  <c r="D562" i="6"/>
  <c r="F562" i="6" s="1"/>
  <c r="Q561" i="6"/>
  <c r="D561" i="6"/>
  <c r="F561" i="6" s="1"/>
  <c r="Q560" i="6"/>
  <c r="D560" i="6"/>
  <c r="F560" i="6" s="1"/>
  <c r="Q559" i="6"/>
  <c r="D559" i="6"/>
  <c r="F559" i="6" s="1"/>
  <c r="Q558" i="6"/>
  <c r="D558" i="6"/>
  <c r="F558" i="6" s="1"/>
  <c r="Q557" i="6"/>
  <c r="D557" i="6"/>
  <c r="F557" i="6" s="1"/>
  <c r="Q556" i="6"/>
  <c r="D556" i="6"/>
  <c r="F556" i="6" s="1"/>
  <c r="Q555" i="6"/>
  <c r="D555" i="6"/>
  <c r="F555" i="6" s="1"/>
  <c r="Q554" i="6"/>
  <c r="D554" i="6"/>
  <c r="F554" i="6" s="1"/>
  <c r="Q553" i="6"/>
  <c r="D553" i="6"/>
  <c r="F553" i="6" s="1"/>
  <c r="Q552" i="6"/>
  <c r="D552" i="6"/>
  <c r="F552" i="6" s="1"/>
  <c r="Q551" i="6"/>
  <c r="D551" i="6"/>
  <c r="F551" i="6" s="1"/>
  <c r="Q550" i="6"/>
  <c r="D550" i="6"/>
  <c r="F550" i="6" s="1"/>
  <c r="Q549" i="6"/>
  <c r="D549" i="6"/>
  <c r="F549" i="6" s="1"/>
  <c r="Q548" i="6"/>
  <c r="D548" i="6"/>
  <c r="F548" i="6" s="1"/>
  <c r="Q547" i="6"/>
  <c r="D547" i="6"/>
  <c r="F547" i="6" s="1"/>
  <c r="Q546" i="6"/>
  <c r="D546" i="6"/>
  <c r="F546" i="6" s="1"/>
  <c r="Q545" i="6"/>
  <c r="D545" i="6"/>
  <c r="F545" i="6" s="1"/>
  <c r="Q544" i="6"/>
  <c r="D544" i="6"/>
  <c r="F544" i="6" s="1"/>
  <c r="Q543" i="6"/>
  <c r="D543" i="6"/>
  <c r="F543" i="6" s="1"/>
  <c r="Q542" i="6"/>
  <c r="D542" i="6"/>
  <c r="F542" i="6" s="1"/>
  <c r="Q541" i="6"/>
  <c r="D541" i="6"/>
  <c r="F541" i="6" s="1"/>
  <c r="Q540" i="6"/>
  <c r="D540" i="6"/>
  <c r="F540" i="6" s="1"/>
  <c r="Q539" i="6"/>
  <c r="T550" i="6" s="1"/>
  <c r="D539" i="6"/>
  <c r="F539" i="6" s="1"/>
  <c r="Q538" i="6"/>
  <c r="D538" i="6"/>
  <c r="F538" i="6" s="1"/>
  <c r="Q537" i="6"/>
  <c r="D537" i="6"/>
  <c r="F537" i="6" s="1"/>
  <c r="Q536" i="6"/>
  <c r="D536" i="6"/>
  <c r="F536" i="6" s="1"/>
  <c r="Q535" i="6"/>
  <c r="D535" i="6"/>
  <c r="F535" i="6" s="1"/>
  <c r="Q534" i="6"/>
  <c r="D534" i="6"/>
  <c r="F534" i="6" s="1"/>
  <c r="Q533" i="6"/>
  <c r="D533" i="6"/>
  <c r="F533" i="6" s="1"/>
  <c r="Q532" i="6"/>
  <c r="D532" i="6"/>
  <c r="F532" i="6" s="1"/>
  <c r="Q531" i="6"/>
  <c r="D531" i="6"/>
  <c r="F531" i="6" s="1"/>
  <c r="Q530" i="6"/>
  <c r="D530" i="6"/>
  <c r="F530" i="6" s="1"/>
  <c r="Q529" i="6"/>
  <c r="D529" i="6"/>
  <c r="F529" i="6" s="1"/>
  <c r="Q528" i="6"/>
  <c r="D528" i="6"/>
  <c r="F528" i="6" s="1"/>
  <c r="Q527" i="6"/>
  <c r="T538" i="6" s="1"/>
  <c r="D527" i="6"/>
  <c r="F527" i="6" s="1"/>
  <c r="Q526" i="6"/>
  <c r="D526" i="6"/>
  <c r="F526" i="6" s="1"/>
  <c r="Q525" i="6"/>
  <c r="D525" i="6"/>
  <c r="F525" i="6" s="1"/>
  <c r="Q524" i="6"/>
  <c r="D524" i="6"/>
  <c r="F524" i="6" s="1"/>
  <c r="Q523" i="6"/>
  <c r="D523" i="6"/>
  <c r="F523" i="6" s="1"/>
  <c r="Q522" i="6"/>
  <c r="D522" i="6"/>
  <c r="F522" i="6" s="1"/>
  <c r="Q521" i="6"/>
  <c r="D521" i="6"/>
  <c r="F521" i="6" s="1"/>
  <c r="Q520" i="6"/>
  <c r="D520" i="6"/>
  <c r="F520" i="6" s="1"/>
  <c r="Q519" i="6"/>
  <c r="D519" i="6"/>
  <c r="F519" i="6" s="1"/>
  <c r="Q518" i="6"/>
  <c r="D518" i="6"/>
  <c r="F518" i="6" s="1"/>
  <c r="Q517" i="6"/>
  <c r="D517" i="6"/>
  <c r="F517" i="6" s="1"/>
  <c r="Q516" i="6"/>
  <c r="D516" i="6"/>
  <c r="F516" i="6" s="1"/>
  <c r="Q515" i="6"/>
  <c r="T526" i="6" s="1"/>
  <c r="F515" i="6"/>
  <c r="D515" i="6"/>
  <c r="Q514" i="6"/>
  <c r="D514" i="6"/>
  <c r="F514" i="6" s="1"/>
  <c r="Q513" i="6"/>
  <c r="D513" i="6"/>
  <c r="F513" i="6" s="1"/>
  <c r="Q512" i="6"/>
  <c r="D512" i="6"/>
  <c r="F512" i="6" s="1"/>
  <c r="Q511" i="6"/>
  <c r="D511" i="6"/>
  <c r="F511" i="6" s="1"/>
  <c r="Q510" i="6"/>
  <c r="D510" i="6"/>
  <c r="F510" i="6" s="1"/>
  <c r="Q509" i="6"/>
  <c r="D509" i="6"/>
  <c r="F509" i="6" s="1"/>
  <c r="Q508" i="6"/>
  <c r="D508" i="6"/>
  <c r="F508" i="6" s="1"/>
  <c r="Q507" i="6"/>
  <c r="D507" i="6"/>
  <c r="F507" i="6" s="1"/>
  <c r="Q506" i="6"/>
  <c r="D506" i="6"/>
  <c r="F506" i="6" s="1"/>
  <c r="Q505" i="6"/>
  <c r="D505" i="6"/>
  <c r="F505" i="6" s="1"/>
  <c r="Q504" i="6"/>
  <c r="D504" i="6"/>
  <c r="F504" i="6" s="1"/>
  <c r="Q503" i="6"/>
  <c r="D503" i="6"/>
  <c r="F503" i="6" s="1"/>
  <c r="Q502" i="6"/>
  <c r="D502" i="6"/>
  <c r="F502" i="6" s="1"/>
  <c r="Q501" i="6"/>
  <c r="D501" i="6"/>
  <c r="F501" i="6" s="1"/>
  <c r="Q500" i="6"/>
  <c r="D500" i="6"/>
  <c r="F500" i="6" s="1"/>
  <c r="Q499" i="6"/>
  <c r="F499" i="6"/>
  <c r="D499" i="6"/>
  <c r="Q498" i="6"/>
  <c r="D498" i="6"/>
  <c r="F498" i="6" s="1"/>
  <c r="Q497" i="6"/>
  <c r="D497" i="6"/>
  <c r="F497" i="6" s="1"/>
  <c r="Q496" i="6"/>
  <c r="D496" i="6"/>
  <c r="F496" i="6" s="1"/>
  <c r="Q495" i="6"/>
  <c r="D495" i="6"/>
  <c r="F495" i="6" s="1"/>
  <c r="Q494" i="6"/>
  <c r="D494" i="6"/>
  <c r="F494" i="6" s="1"/>
  <c r="Q493" i="6"/>
  <c r="D493" i="6"/>
  <c r="F493" i="6" s="1"/>
  <c r="Q492" i="6"/>
  <c r="D492" i="6"/>
  <c r="F492" i="6" s="1"/>
  <c r="Q491" i="6"/>
  <c r="T502" i="6" s="1"/>
  <c r="D491" i="6"/>
  <c r="F491" i="6" s="1"/>
  <c r="Q490" i="6"/>
  <c r="D490" i="6"/>
  <c r="F490" i="6" s="1"/>
  <c r="Q489" i="6"/>
  <c r="D489" i="6"/>
  <c r="F489" i="6" s="1"/>
  <c r="Q488" i="6"/>
  <c r="D488" i="6"/>
  <c r="F488" i="6" s="1"/>
  <c r="Q487" i="6"/>
  <c r="D487" i="6"/>
  <c r="F487" i="6" s="1"/>
  <c r="Q486" i="6"/>
  <c r="D486" i="6"/>
  <c r="F486" i="6" s="1"/>
  <c r="Q485" i="6"/>
  <c r="D485" i="6"/>
  <c r="F485" i="6" s="1"/>
  <c r="Q484" i="6"/>
  <c r="D484" i="6"/>
  <c r="F484" i="6" s="1"/>
  <c r="Q483" i="6"/>
  <c r="D483" i="6"/>
  <c r="F483" i="6" s="1"/>
  <c r="Q482" i="6"/>
  <c r="D482" i="6"/>
  <c r="F482" i="6" s="1"/>
  <c r="Q481" i="6"/>
  <c r="D481" i="6"/>
  <c r="F481" i="6" s="1"/>
  <c r="Q480" i="6"/>
  <c r="D480" i="6"/>
  <c r="F480" i="6" s="1"/>
  <c r="Q479" i="6"/>
  <c r="T490" i="6" s="1"/>
  <c r="D479" i="6"/>
  <c r="F479" i="6" s="1"/>
  <c r="Q478" i="6"/>
  <c r="D478" i="6"/>
  <c r="F478" i="6" s="1"/>
  <c r="Q477" i="6"/>
  <c r="D477" i="6"/>
  <c r="F477" i="6" s="1"/>
  <c r="Q476" i="6"/>
  <c r="D476" i="6"/>
  <c r="F476" i="6" s="1"/>
  <c r="Q475" i="6"/>
  <c r="D475" i="6"/>
  <c r="F475" i="6" s="1"/>
  <c r="Q474" i="6"/>
  <c r="D474" i="6"/>
  <c r="F474" i="6" s="1"/>
  <c r="Q473" i="6"/>
  <c r="D473" i="6"/>
  <c r="F473" i="6" s="1"/>
  <c r="Q472" i="6"/>
  <c r="D472" i="6"/>
  <c r="F472" i="6" s="1"/>
  <c r="Q471" i="6"/>
  <c r="D471" i="6"/>
  <c r="F471" i="6" s="1"/>
  <c r="Q470" i="6"/>
  <c r="D470" i="6"/>
  <c r="F470" i="6" s="1"/>
  <c r="Q469" i="6"/>
  <c r="D469" i="6"/>
  <c r="F469" i="6" s="1"/>
  <c r="Q468" i="6"/>
  <c r="D468" i="6"/>
  <c r="F468" i="6" s="1"/>
  <c r="Q467" i="6"/>
  <c r="T478" i="6" s="1"/>
  <c r="D467" i="6"/>
  <c r="F467" i="6" s="1"/>
  <c r="Q466" i="6"/>
  <c r="D466" i="6"/>
  <c r="F466" i="6" s="1"/>
  <c r="Q465" i="6"/>
  <c r="D465" i="6"/>
  <c r="F465" i="6" s="1"/>
  <c r="Q464" i="6"/>
  <c r="D464" i="6"/>
  <c r="F464" i="6" s="1"/>
  <c r="Q463" i="6"/>
  <c r="D463" i="6"/>
  <c r="F463" i="6" s="1"/>
  <c r="Q462" i="6"/>
  <c r="D462" i="6"/>
  <c r="F462" i="6" s="1"/>
  <c r="Q461" i="6"/>
  <c r="D461" i="6"/>
  <c r="F461" i="6" s="1"/>
  <c r="Q460" i="6"/>
  <c r="D460" i="6"/>
  <c r="F460" i="6" s="1"/>
  <c r="Q459" i="6"/>
  <c r="D459" i="6"/>
  <c r="F459" i="6" s="1"/>
  <c r="Q458" i="6"/>
  <c r="D458" i="6"/>
  <c r="F458" i="6" s="1"/>
  <c r="Q457" i="6"/>
  <c r="D457" i="6"/>
  <c r="F457" i="6" s="1"/>
  <c r="Q456" i="6"/>
  <c r="D456" i="6"/>
  <c r="F456" i="6" s="1"/>
  <c r="Q455" i="6"/>
  <c r="T466" i="6" s="1"/>
  <c r="D455" i="6"/>
  <c r="F455" i="6" s="1"/>
  <c r="Q454" i="6"/>
  <c r="D454" i="6"/>
  <c r="F454" i="6" s="1"/>
  <c r="Q453" i="6"/>
  <c r="D453" i="6"/>
  <c r="F453" i="6" s="1"/>
  <c r="Q452" i="6"/>
  <c r="D452" i="6"/>
  <c r="F452" i="6" s="1"/>
  <c r="Q451" i="6"/>
  <c r="D451" i="6"/>
  <c r="F451" i="6" s="1"/>
  <c r="Q450" i="6"/>
  <c r="D450" i="6"/>
  <c r="F450" i="6" s="1"/>
  <c r="Q449" i="6"/>
  <c r="D449" i="6"/>
  <c r="F449" i="6" s="1"/>
  <c r="Q448" i="6"/>
  <c r="D448" i="6"/>
  <c r="F448" i="6" s="1"/>
  <c r="Q447" i="6"/>
  <c r="D447" i="6"/>
  <c r="F447" i="6" s="1"/>
  <c r="Q446" i="6"/>
  <c r="D446" i="6"/>
  <c r="F446" i="6" s="1"/>
  <c r="Q445" i="6"/>
  <c r="D445" i="6"/>
  <c r="F445" i="6" s="1"/>
  <c r="Q444" i="6"/>
  <c r="D444" i="6"/>
  <c r="F444" i="6" s="1"/>
  <c r="Q443" i="6"/>
  <c r="T454" i="6" s="1"/>
  <c r="D443" i="6"/>
  <c r="F443" i="6" s="1"/>
  <c r="Q442" i="6"/>
  <c r="D442" i="6"/>
  <c r="F442" i="6" s="1"/>
  <c r="Q441" i="6"/>
  <c r="D441" i="6"/>
  <c r="F441" i="6" s="1"/>
  <c r="Q440" i="6"/>
  <c r="F440" i="6"/>
  <c r="D440" i="6"/>
  <c r="Q439" i="6"/>
  <c r="D439" i="6"/>
  <c r="F439" i="6" s="1"/>
  <c r="Q438" i="6"/>
  <c r="D438" i="6"/>
  <c r="F438" i="6" s="1"/>
  <c r="Q437" i="6"/>
  <c r="D437" i="6"/>
  <c r="F437" i="6" s="1"/>
  <c r="Q436" i="6"/>
  <c r="D436" i="6"/>
  <c r="F436" i="6" s="1"/>
  <c r="Q435" i="6"/>
  <c r="D435" i="6"/>
  <c r="F435" i="6" s="1"/>
  <c r="Q434" i="6"/>
  <c r="D434" i="6"/>
  <c r="F434" i="6" s="1"/>
  <c r="Q433" i="6"/>
  <c r="D433" i="6"/>
  <c r="F433" i="6" s="1"/>
  <c r="Q432" i="6"/>
  <c r="D432" i="6"/>
  <c r="F432" i="6" s="1"/>
  <c r="Q431" i="6"/>
  <c r="D431" i="6"/>
  <c r="F431" i="6" s="1"/>
  <c r="Q430" i="6"/>
  <c r="D430" i="6"/>
  <c r="F430" i="6" s="1"/>
  <c r="Q429" i="6"/>
  <c r="D429" i="6"/>
  <c r="F429" i="6" s="1"/>
  <c r="Q428" i="6"/>
  <c r="D428" i="6"/>
  <c r="F428" i="6" s="1"/>
  <c r="Q427" i="6"/>
  <c r="D427" i="6"/>
  <c r="F427" i="6" s="1"/>
  <c r="Q426" i="6"/>
  <c r="D426" i="6"/>
  <c r="F426" i="6" s="1"/>
  <c r="Q425" i="6"/>
  <c r="F425" i="6"/>
  <c r="D425" i="6"/>
  <c r="Q424" i="6"/>
  <c r="D424" i="6"/>
  <c r="F424" i="6" s="1"/>
  <c r="Q423" i="6"/>
  <c r="D423" i="6"/>
  <c r="F423" i="6" s="1"/>
  <c r="Q422" i="6"/>
  <c r="D422" i="6"/>
  <c r="F422" i="6" s="1"/>
  <c r="Q421" i="6"/>
  <c r="D421" i="6"/>
  <c r="F421" i="6" s="1"/>
  <c r="Q420" i="6"/>
  <c r="D420" i="6"/>
  <c r="F420" i="6" s="1"/>
  <c r="Q419" i="6"/>
  <c r="D419" i="6"/>
  <c r="F419" i="6" s="1"/>
  <c r="Q418" i="6"/>
  <c r="D418" i="6"/>
  <c r="F418" i="6" s="1"/>
  <c r="Q417" i="6"/>
  <c r="D417" i="6"/>
  <c r="F417" i="6" s="1"/>
  <c r="Q416" i="6"/>
  <c r="D416" i="6"/>
  <c r="F416" i="6" s="1"/>
  <c r="Q415" i="6"/>
  <c r="D415" i="6"/>
  <c r="F415" i="6" s="1"/>
  <c r="Q414" i="6"/>
  <c r="D414" i="6"/>
  <c r="F414" i="6" s="1"/>
  <c r="Q413" i="6"/>
  <c r="D413" i="6"/>
  <c r="F413" i="6" s="1"/>
  <c r="Q412" i="6"/>
  <c r="D412" i="6"/>
  <c r="F412" i="6" s="1"/>
  <c r="Q411" i="6"/>
  <c r="D411" i="6"/>
  <c r="F411" i="6" s="1"/>
  <c r="Q410" i="6"/>
  <c r="D410" i="6"/>
  <c r="F410" i="6" s="1"/>
  <c r="Q409" i="6"/>
  <c r="D409" i="6"/>
  <c r="F409" i="6" s="1"/>
  <c r="Q408" i="6"/>
  <c r="D408" i="6"/>
  <c r="F408" i="6" s="1"/>
  <c r="Q407" i="6"/>
  <c r="D407" i="6"/>
  <c r="F407" i="6" s="1"/>
  <c r="Q406" i="6"/>
  <c r="D406" i="6"/>
  <c r="F406" i="6" s="1"/>
  <c r="Q405" i="6"/>
  <c r="F405" i="6"/>
  <c r="D405" i="6"/>
  <c r="Q404" i="6"/>
  <c r="D404" i="6"/>
  <c r="F404" i="6" s="1"/>
  <c r="Q403" i="6"/>
  <c r="D403" i="6"/>
  <c r="F403" i="6" s="1"/>
  <c r="Q402" i="6"/>
  <c r="D402" i="6"/>
  <c r="F402" i="6" s="1"/>
  <c r="Q401" i="6"/>
  <c r="D401" i="6"/>
  <c r="F401" i="6" s="1"/>
  <c r="Q400" i="6"/>
  <c r="D400" i="6"/>
  <c r="F400" i="6" s="1"/>
  <c r="Q399" i="6"/>
  <c r="D399" i="6"/>
  <c r="F399" i="6" s="1"/>
  <c r="Q398" i="6"/>
  <c r="D398" i="6"/>
  <c r="F398" i="6" s="1"/>
  <c r="Q397" i="6"/>
  <c r="D397" i="6"/>
  <c r="F397" i="6" s="1"/>
  <c r="Q396" i="6"/>
  <c r="D396" i="6"/>
  <c r="F396" i="6" s="1"/>
  <c r="Q395" i="6"/>
  <c r="D395" i="6"/>
  <c r="F395" i="6" s="1"/>
  <c r="Q394" i="6"/>
  <c r="D394" i="6"/>
  <c r="F394" i="6" s="1"/>
  <c r="Q393" i="6"/>
  <c r="D393" i="6"/>
  <c r="F393" i="6" s="1"/>
  <c r="Q392" i="6"/>
  <c r="D392" i="6"/>
  <c r="F392" i="6" s="1"/>
  <c r="Q391" i="6"/>
  <c r="D391" i="6"/>
  <c r="F391" i="6" s="1"/>
  <c r="Q390" i="6"/>
  <c r="D390" i="6"/>
  <c r="F390" i="6" s="1"/>
  <c r="Q389" i="6"/>
  <c r="F389" i="6"/>
  <c r="D389" i="6"/>
  <c r="Q388" i="6"/>
  <c r="D388" i="6"/>
  <c r="F388" i="6" s="1"/>
  <c r="Q387" i="6"/>
  <c r="D387" i="6"/>
  <c r="F387" i="6" s="1"/>
  <c r="Q386" i="6"/>
  <c r="D386" i="6"/>
  <c r="F386" i="6" s="1"/>
  <c r="Q385" i="6"/>
  <c r="D385" i="6"/>
  <c r="F385" i="6" s="1"/>
  <c r="Q384" i="6"/>
  <c r="D384" i="6"/>
  <c r="F384" i="6" s="1"/>
  <c r="Q383" i="6"/>
  <c r="T394" i="6" s="1"/>
  <c r="D383" i="6"/>
  <c r="F383" i="6" s="1"/>
  <c r="Q382" i="6"/>
  <c r="D382" i="6"/>
  <c r="F382" i="6" s="1"/>
  <c r="Q381" i="6"/>
  <c r="D381" i="6"/>
  <c r="F381" i="6" s="1"/>
  <c r="Q380" i="6"/>
  <c r="D380" i="6"/>
  <c r="F380" i="6" s="1"/>
  <c r="Q379" i="6"/>
  <c r="D379" i="6"/>
  <c r="F379" i="6" s="1"/>
  <c r="Q378" i="6"/>
  <c r="D378" i="6"/>
  <c r="F378" i="6" s="1"/>
  <c r="Q377" i="6"/>
  <c r="D377" i="6"/>
  <c r="F377" i="6" s="1"/>
  <c r="Q376" i="6"/>
  <c r="D376" i="6"/>
  <c r="F376" i="6" s="1"/>
  <c r="Q375" i="6"/>
  <c r="D375" i="6"/>
  <c r="F375" i="6" s="1"/>
  <c r="Q374" i="6"/>
  <c r="D374" i="6"/>
  <c r="F374" i="6" s="1"/>
  <c r="Q373" i="6"/>
  <c r="D373" i="6"/>
  <c r="F373" i="6" s="1"/>
  <c r="Q372" i="6"/>
  <c r="D372" i="6"/>
  <c r="F372" i="6" s="1"/>
  <c r="Q371" i="6"/>
  <c r="T382" i="6" s="1"/>
  <c r="D371" i="6"/>
  <c r="F371" i="6" s="1"/>
  <c r="Q370" i="6"/>
  <c r="D370" i="6"/>
  <c r="F370" i="6" s="1"/>
  <c r="Q369" i="6"/>
  <c r="D369" i="6"/>
  <c r="F369" i="6" s="1"/>
  <c r="Q368" i="6"/>
  <c r="D368" i="6"/>
  <c r="F368" i="6" s="1"/>
  <c r="Q367" i="6"/>
  <c r="D367" i="6"/>
  <c r="F367" i="6" s="1"/>
  <c r="Q366" i="6"/>
  <c r="D366" i="6"/>
  <c r="F366" i="6" s="1"/>
  <c r="Q365" i="6"/>
  <c r="D365" i="6"/>
  <c r="F365" i="6" s="1"/>
  <c r="Q364" i="6"/>
  <c r="D364" i="6"/>
  <c r="F364" i="6" s="1"/>
  <c r="Q363" i="6"/>
  <c r="D363" i="6"/>
  <c r="F363" i="6" s="1"/>
  <c r="Q362" i="6"/>
  <c r="D362" i="6"/>
  <c r="F362" i="6" s="1"/>
  <c r="Q361" i="6"/>
  <c r="D361" i="6"/>
  <c r="F361" i="6" s="1"/>
  <c r="Q360" i="6"/>
  <c r="D360" i="6"/>
  <c r="F360" i="6" s="1"/>
  <c r="Q359" i="6"/>
  <c r="T370" i="6" s="1"/>
  <c r="D359" i="6"/>
  <c r="F359" i="6" s="1"/>
  <c r="Q358" i="6"/>
  <c r="D358" i="6"/>
  <c r="F358" i="6" s="1"/>
  <c r="Q357" i="6"/>
  <c r="D357" i="6"/>
  <c r="F357" i="6" s="1"/>
  <c r="Q356" i="6"/>
  <c r="D356" i="6"/>
  <c r="F356" i="6" s="1"/>
  <c r="Q355" i="6"/>
  <c r="D355" i="6"/>
  <c r="F355" i="6" s="1"/>
  <c r="Q354" i="6"/>
  <c r="D354" i="6"/>
  <c r="F354" i="6" s="1"/>
  <c r="Q353" i="6"/>
  <c r="D353" i="6"/>
  <c r="F353" i="6" s="1"/>
  <c r="Q352" i="6"/>
  <c r="D352" i="6"/>
  <c r="F352" i="6" s="1"/>
  <c r="Q351" i="6"/>
  <c r="D351" i="6"/>
  <c r="F351" i="6" s="1"/>
  <c r="Q350" i="6"/>
  <c r="D350" i="6"/>
  <c r="F350" i="6" s="1"/>
  <c r="Q349" i="6"/>
  <c r="D349" i="6"/>
  <c r="F349" i="6" s="1"/>
  <c r="Q348" i="6"/>
  <c r="D348" i="6"/>
  <c r="F348" i="6" s="1"/>
  <c r="Q347" i="6"/>
  <c r="T358" i="6" s="1"/>
  <c r="D347" i="6"/>
  <c r="F347" i="6" s="1"/>
  <c r="Q346" i="6"/>
  <c r="D346" i="6"/>
  <c r="F346" i="6" s="1"/>
  <c r="Q345" i="6"/>
  <c r="D345" i="6"/>
  <c r="F345" i="6" s="1"/>
  <c r="Q344" i="6"/>
  <c r="D344" i="6"/>
  <c r="F344" i="6" s="1"/>
  <c r="Q343" i="6"/>
  <c r="D343" i="6"/>
  <c r="F343" i="6" s="1"/>
  <c r="Q342" i="6"/>
  <c r="D342" i="6"/>
  <c r="F342" i="6" s="1"/>
  <c r="Q341" i="6"/>
  <c r="D341" i="6"/>
  <c r="F341" i="6" s="1"/>
  <c r="Q340" i="6"/>
  <c r="D340" i="6"/>
  <c r="F340" i="6" s="1"/>
  <c r="Q339" i="6"/>
  <c r="D339" i="6"/>
  <c r="F339" i="6" s="1"/>
  <c r="Q338" i="6"/>
  <c r="D338" i="6"/>
  <c r="F338" i="6" s="1"/>
  <c r="Q337" i="6"/>
  <c r="D337" i="6"/>
  <c r="F337" i="6" s="1"/>
  <c r="Q336" i="6"/>
  <c r="D336" i="6"/>
  <c r="F336" i="6" s="1"/>
  <c r="Q335" i="6"/>
  <c r="D335" i="6"/>
  <c r="F335" i="6" s="1"/>
  <c r="Q334" i="6"/>
  <c r="D334" i="6"/>
  <c r="F334" i="6" s="1"/>
  <c r="Q333" i="6"/>
  <c r="D333" i="6"/>
  <c r="F333" i="6" s="1"/>
  <c r="Q332" i="6"/>
  <c r="D332" i="6"/>
  <c r="F332" i="6" s="1"/>
  <c r="Q331" i="6"/>
  <c r="D331" i="6"/>
  <c r="F331" i="6" s="1"/>
  <c r="Q330" i="6"/>
  <c r="D330" i="6"/>
  <c r="F330" i="6" s="1"/>
  <c r="Q329" i="6"/>
  <c r="D329" i="6"/>
  <c r="F329" i="6" s="1"/>
  <c r="Q328" i="6"/>
  <c r="D328" i="6"/>
  <c r="F328" i="6" s="1"/>
  <c r="Q327" i="6"/>
  <c r="D327" i="6"/>
  <c r="F327" i="6" s="1"/>
  <c r="Q326" i="6"/>
  <c r="D326" i="6"/>
  <c r="F326" i="6" s="1"/>
  <c r="Q325" i="6"/>
  <c r="D325" i="6"/>
  <c r="F325" i="6" s="1"/>
  <c r="Q324" i="6"/>
  <c r="D324" i="6"/>
  <c r="F324" i="6" s="1"/>
  <c r="Q323" i="6"/>
  <c r="T334" i="6" s="1"/>
  <c r="D323" i="6"/>
  <c r="F323" i="6" s="1"/>
  <c r="Q322" i="6"/>
  <c r="D322" i="6"/>
  <c r="F322" i="6" s="1"/>
  <c r="Q321" i="6"/>
  <c r="D321" i="6"/>
  <c r="F321" i="6" s="1"/>
  <c r="Q320" i="6"/>
  <c r="D320" i="6"/>
  <c r="F320" i="6" s="1"/>
  <c r="Q319" i="6"/>
  <c r="D319" i="6"/>
  <c r="F319" i="6" s="1"/>
  <c r="Q318" i="6"/>
  <c r="D318" i="6"/>
  <c r="F318" i="6" s="1"/>
  <c r="Q317" i="6"/>
  <c r="D317" i="6"/>
  <c r="F317" i="6" s="1"/>
  <c r="Q316" i="6"/>
  <c r="D316" i="6"/>
  <c r="F316" i="6" s="1"/>
  <c r="Q315" i="6"/>
  <c r="D315" i="6"/>
  <c r="F315" i="6" s="1"/>
  <c r="Q314" i="6"/>
  <c r="D314" i="6"/>
  <c r="F314" i="6" s="1"/>
  <c r="Q313" i="6"/>
  <c r="D313" i="6"/>
  <c r="F313" i="6" s="1"/>
  <c r="Q312" i="6"/>
  <c r="D312" i="6"/>
  <c r="F312" i="6" s="1"/>
  <c r="Q311" i="6"/>
  <c r="T322" i="6" s="1"/>
  <c r="D311" i="6"/>
  <c r="F311" i="6" s="1"/>
  <c r="Q310" i="6"/>
  <c r="D310" i="6"/>
  <c r="F310" i="6" s="1"/>
  <c r="Q309" i="6"/>
  <c r="D309" i="6"/>
  <c r="F309" i="6" s="1"/>
  <c r="Q308" i="6"/>
  <c r="D308" i="6"/>
  <c r="F308" i="6" s="1"/>
  <c r="Q307" i="6"/>
  <c r="D307" i="6"/>
  <c r="F307" i="6" s="1"/>
  <c r="Q306" i="6"/>
  <c r="D306" i="6"/>
  <c r="F306" i="6" s="1"/>
  <c r="Q305" i="6"/>
  <c r="D305" i="6"/>
  <c r="F305" i="6" s="1"/>
  <c r="Q304" i="6"/>
  <c r="F304" i="6"/>
  <c r="D304" i="6"/>
  <c r="Q303" i="6"/>
  <c r="D303" i="6"/>
  <c r="F303" i="6" s="1"/>
  <c r="Q302" i="6"/>
  <c r="D302" i="6"/>
  <c r="F302" i="6" s="1"/>
  <c r="Q301" i="6"/>
  <c r="F301" i="6"/>
  <c r="D301" i="6"/>
  <c r="Q300" i="6"/>
  <c r="D300" i="6"/>
  <c r="F300" i="6" s="1"/>
  <c r="Q299" i="6"/>
  <c r="D299" i="6"/>
  <c r="F299" i="6" s="1"/>
  <c r="Q298" i="6"/>
  <c r="D298" i="6"/>
  <c r="F298" i="6" s="1"/>
  <c r="Q297" i="6"/>
  <c r="D297" i="6"/>
  <c r="F297" i="6" s="1"/>
  <c r="Q296" i="6"/>
  <c r="D296" i="6"/>
  <c r="F296" i="6" s="1"/>
  <c r="Q295" i="6"/>
  <c r="D295" i="6"/>
  <c r="F295" i="6" s="1"/>
  <c r="Q294" i="6"/>
  <c r="D294" i="6"/>
  <c r="F294" i="6" s="1"/>
  <c r="Q293" i="6"/>
  <c r="D293" i="6"/>
  <c r="F293" i="6" s="1"/>
  <c r="Q292" i="6"/>
  <c r="D292" i="6"/>
  <c r="F292" i="6" s="1"/>
  <c r="Q291" i="6"/>
  <c r="D291" i="6"/>
  <c r="F291" i="6" s="1"/>
  <c r="Q290" i="6"/>
  <c r="D290" i="6"/>
  <c r="F290" i="6" s="1"/>
  <c r="Q289" i="6"/>
  <c r="F289" i="6"/>
  <c r="D289" i="6"/>
  <c r="Q288" i="6"/>
  <c r="D288" i="6"/>
  <c r="F288" i="6" s="1"/>
  <c r="Q287" i="6"/>
  <c r="D287" i="6"/>
  <c r="F287" i="6" s="1"/>
  <c r="Q286" i="6"/>
  <c r="F286" i="6"/>
  <c r="D286" i="6"/>
  <c r="Q285" i="6"/>
  <c r="D285" i="6"/>
  <c r="F285" i="6" s="1"/>
  <c r="Q284" i="6"/>
  <c r="F284" i="6"/>
  <c r="D284" i="6"/>
  <c r="Q283" i="6"/>
  <c r="F283" i="6"/>
  <c r="D283" i="6"/>
  <c r="Q282" i="6"/>
  <c r="F282" i="6"/>
  <c r="D282" i="6"/>
  <c r="Q281" i="6"/>
  <c r="D281" i="6"/>
  <c r="F281" i="6" s="1"/>
  <c r="Q280" i="6"/>
  <c r="D280" i="6"/>
  <c r="F280" i="6" s="1"/>
  <c r="Q279" i="6"/>
  <c r="D279" i="6"/>
  <c r="F279" i="6" s="1"/>
  <c r="Q278" i="6"/>
  <c r="D278" i="6"/>
  <c r="F278" i="6" s="1"/>
  <c r="Q277" i="6"/>
  <c r="D277" i="6"/>
  <c r="F277" i="6" s="1"/>
  <c r="Q276" i="6"/>
  <c r="D276" i="6"/>
  <c r="F276" i="6" s="1"/>
  <c r="Q275" i="6"/>
  <c r="T286" i="6" s="1"/>
  <c r="D275" i="6"/>
  <c r="F275" i="6" s="1"/>
  <c r="Q274" i="6"/>
  <c r="D274" i="6"/>
  <c r="F274" i="6" s="1"/>
  <c r="Q273" i="6"/>
  <c r="D273" i="6"/>
  <c r="F273" i="6" s="1"/>
  <c r="Q272" i="6"/>
  <c r="F272" i="6"/>
  <c r="D272" i="6"/>
  <c r="Q271" i="6"/>
  <c r="F271" i="6"/>
  <c r="D271" i="6"/>
  <c r="Q270" i="6"/>
  <c r="F270" i="6"/>
  <c r="D270" i="6"/>
  <c r="Q269" i="6"/>
  <c r="F269" i="6"/>
  <c r="D269" i="6"/>
  <c r="Q268" i="6"/>
  <c r="D268" i="6"/>
  <c r="F268" i="6" s="1"/>
  <c r="Q267" i="6"/>
  <c r="D267" i="6"/>
  <c r="F267" i="6" s="1"/>
  <c r="Q266" i="6"/>
  <c r="D266" i="6"/>
  <c r="F266" i="6" s="1"/>
  <c r="Q265" i="6"/>
  <c r="D265" i="6"/>
  <c r="F265" i="6" s="1"/>
  <c r="Q264" i="6"/>
  <c r="D264" i="6"/>
  <c r="F264" i="6" s="1"/>
  <c r="Q263" i="6"/>
  <c r="D263" i="6"/>
  <c r="F263" i="6" s="1"/>
  <c r="Q262" i="6"/>
  <c r="D262" i="6"/>
  <c r="F262" i="6" s="1"/>
  <c r="Q261" i="6"/>
  <c r="D261" i="6"/>
  <c r="F261" i="6" s="1"/>
  <c r="Q260" i="6"/>
  <c r="D260" i="6"/>
  <c r="F260" i="6" s="1"/>
  <c r="Q259" i="6"/>
  <c r="D259" i="6"/>
  <c r="F259" i="6" s="1"/>
  <c r="Q258" i="6"/>
  <c r="D258" i="6"/>
  <c r="F258" i="6" s="1"/>
  <c r="Q257" i="6"/>
  <c r="F257" i="6"/>
  <c r="D257" i="6"/>
  <c r="Q256" i="6"/>
  <c r="D256" i="6"/>
  <c r="F256" i="6" s="1"/>
  <c r="Q255" i="6"/>
  <c r="D255" i="6"/>
  <c r="F255" i="6" s="1"/>
  <c r="Q254" i="6"/>
  <c r="F254" i="6"/>
  <c r="D254" i="6"/>
  <c r="Q253" i="6"/>
  <c r="D253" i="6"/>
  <c r="F253" i="6" s="1"/>
  <c r="Q252" i="6"/>
  <c r="D252" i="6"/>
  <c r="F252" i="6" s="1"/>
  <c r="Q251" i="6"/>
  <c r="T262" i="6" s="1"/>
  <c r="D251" i="6"/>
  <c r="F251" i="6" s="1"/>
  <c r="Q250" i="6"/>
  <c r="D250" i="6"/>
  <c r="F250" i="6" s="1"/>
  <c r="Q249" i="6"/>
  <c r="D249" i="6"/>
  <c r="F249" i="6" s="1"/>
  <c r="Q248" i="6"/>
  <c r="D248" i="6"/>
  <c r="F248" i="6" s="1"/>
  <c r="Q247" i="6"/>
  <c r="D247" i="6"/>
  <c r="F247" i="6" s="1"/>
  <c r="Q246" i="6"/>
  <c r="D246" i="6"/>
  <c r="F246" i="6" s="1"/>
  <c r="Q245" i="6"/>
  <c r="D245" i="6"/>
  <c r="F245" i="6" s="1"/>
  <c r="Q244" i="6"/>
  <c r="D244" i="6"/>
  <c r="F244" i="6" s="1"/>
  <c r="Q243" i="6"/>
  <c r="D243" i="6"/>
  <c r="F243" i="6" s="1"/>
  <c r="Q242" i="6"/>
  <c r="D242" i="6"/>
  <c r="F242" i="6" s="1"/>
  <c r="Q241" i="6"/>
  <c r="D241" i="6"/>
  <c r="F241" i="6" s="1"/>
  <c r="Q240" i="6"/>
  <c r="D240" i="6"/>
  <c r="F240" i="6" s="1"/>
  <c r="Q239" i="6"/>
  <c r="T250" i="6" s="1"/>
  <c r="D239" i="6"/>
  <c r="F239" i="6" s="1"/>
  <c r="Q238" i="6"/>
  <c r="D238" i="6"/>
  <c r="F238" i="6" s="1"/>
  <c r="Q237" i="6"/>
  <c r="D237" i="6"/>
  <c r="F237" i="6" s="1"/>
  <c r="Q236" i="6"/>
  <c r="D236" i="6"/>
  <c r="F236" i="6" s="1"/>
  <c r="Q235" i="6"/>
  <c r="D235" i="6"/>
  <c r="F235" i="6" s="1"/>
  <c r="Q234" i="6"/>
  <c r="D234" i="6"/>
  <c r="F234" i="6" s="1"/>
  <c r="Q233" i="6"/>
  <c r="D233" i="6"/>
  <c r="F233" i="6" s="1"/>
  <c r="Q232" i="6"/>
  <c r="D232" i="6"/>
  <c r="F232" i="6" s="1"/>
  <c r="Q231" i="6"/>
  <c r="D231" i="6"/>
  <c r="F231" i="6" s="1"/>
  <c r="Q230" i="6"/>
  <c r="D230" i="6"/>
  <c r="F230" i="6" s="1"/>
  <c r="Q229" i="6"/>
  <c r="D229" i="6"/>
  <c r="F229" i="6" s="1"/>
  <c r="Q228" i="6"/>
  <c r="D228" i="6"/>
  <c r="F228" i="6" s="1"/>
  <c r="Q227" i="6"/>
  <c r="T238" i="6" s="1"/>
  <c r="D227" i="6"/>
  <c r="F227" i="6" s="1"/>
  <c r="Q226" i="6"/>
  <c r="D226" i="6"/>
  <c r="F226" i="6" s="1"/>
  <c r="Q225" i="6"/>
  <c r="D225" i="6"/>
  <c r="F225" i="6" s="1"/>
  <c r="Q224" i="6"/>
  <c r="D224" i="6"/>
  <c r="F224" i="6" s="1"/>
  <c r="Q223" i="6"/>
  <c r="D223" i="6"/>
  <c r="F223" i="6" s="1"/>
  <c r="Q222" i="6"/>
  <c r="D222" i="6"/>
  <c r="F222" i="6" s="1"/>
  <c r="Q221" i="6"/>
  <c r="D221" i="6"/>
  <c r="F221" i="6" s="1"/>
  <c r="Q220" i="6"/>
  <c r="D220" i="6"/>
  <c r="F220" i="6" s="1"/>
  <c r="Q219" i="6"/>
  <c r="D219" i="6"/>
  <c r="F219" i="6" s="1"/>
  <c r="Q218" i="6"/>
  <c r="D218" i="6"/>
  <c r="F218" i="6" s="1"/>
  <c r="Q217" i="6"/>
  <c r="D217" i="6"/>
  <c r="F217" i="6" s="1"/>
  <c r="Q216" i="6"/>
  <c r="D216" i="6"/>
  <c r="F216" i="6" s="1"/>
  <c r="Q215" i="6"/>
  <c r="T226" i="6" s="1"/>
  <c r="D215" i="6"/>
  <c r="F215" i="6" s="1"/>
  <c r="Q214" i="6"/>
  <c r="D214" i="6"/>
  <c r="F214" i="6" s="1"/>
  <c r="Q213" i="6"/>
  <c r="F213" i="6"/>
  <c r="D213" i="6"/>
  <c r="Q212" i="6"/>
  <c r="D212" i="6"/>
  <c r="F212" i="6" s="1"/>
  <c r="Q211" i="6"/>
  <c r="D211" i="6"/>
  <c r="F211" i="6" s="1"/>
  <c r="Q210" i="6"/>
  <c r="D210" i="6"/>
  <c r="F210" i="6" s="1"/>
  <c r="Q209" i="6"/>
  <c r="D209" i="6"/>
  <c r="F209" i="6" s="1"/>
  <c r="Q208" i="6"/>
  <c r="D208" i="6"/>
  <c r="F208" i="6" s="1"/>
  <c r="Q207" i="6"/>
  <c r="D207" i="6"/>
  <c r="F207" i="6" s="1"/>
  <c r="Q206" i="6"/>
  <c r="D206" i="6"/>
  <c r="F206" i="6" s="1"/>
  <c r="Q205" i="6"/>
  <c r="D205" i="6"/>
  <c r="F205" i="6" s="1"/>
  <c r="Q204" i="6"/>
  <c r="D204" i="6"/>
  <c r="F204" i="6" s="1"/>
  <c r="Q203" i="6"/>
  <c r="F203" i="6"/>
  <c r="D203" i="6"/>
  <c r="Q202" i="6"/>
  <c r="F202" i="6"/>
  <c r="D202" i="6"/>
  <c r="Q201" i="6"/>
  <c r="F201" i="6"/>
  <c r="D201" i="6"/>
  <c r="Q200" i="6"/>
  <c r="D200" i="6"/>
  <c r="F200" i="6" s="1"/>
  <c r="Q199" i="6"/>
  <c r="D199" i="6"/>
  <c r="F199" i="6" s="1"/>
  <c r="Q198" i="6"/>
  <c r="D198" i="6"/>
  <c r="F198" i="6" s="1"/>
  <c r="Q197" i="6"/>
  <c r="F197" i="6"/>
  <c r="D197" i="6"/>
  <c r="Q196" i="6"/>
  <c r="D196" i="6"/>
  <c r="F196" i="6" s="1"/>
  <c r="Q195" i="6"/>
  <c r="D195" i="6"/>
  <c r="F195" i="6" s="1"/>
  <c r="Q194" i="6"/>
  <c r="D194" i="6"/>
  <c r="F194" i="6" s="1"/>
  <c r="Q193" i="6"/>
  <c r="D193" i="6"/>
  <c r="F193" i="6" s="1"/>
  <c r="Q192" i="6"/>
  <c r="D192" i="6"/>
  <c r="F192" i="6" s="1"/>
  <c r="Q191" i="6"/>
  <c r="T202" i="6" s="1"/>
  <c r="D191" i="6"/>
  <c r="F191" i="6" s="1"/>
  <c r="Q190" i="6"/>
  <c r="D190" i="6"/>
  <c r="F190" i="6" s="1"/>
  <c r="Q189" i="6"/>
  <c r="D189" i="6"/>
  <c r="F189" i="6" s="1"/>
  <c r="Q188" i="6"/>
  <c r="F188" i="6"/>
  <c r="D188" i="6"/>
  <c r="Q187" i="6"/>
  <c r="F187" i="6"/>
  <c r="D187" i="6"/>
  <c r="Q186" i="6"/>
  <c r="F186" i="6"/>
  <c r="D186" i="6"/>
  <c r="Q185" i="6"/>
  <c r="D185" i="6"/>
  <c r="F185" i="6" s="1"/>
  <c r="Q184" i="6"/>
  <c r="D184" i="6"/>
  <c r="F184" i="6" s="1"/>
  <c r="Q183" i="6"/>
  <c r="D183" i="6"/>
  <c r="F183" i="6" s="1"/>
  <c r="Q182" i="6"/>
  <c r="D182" i="6"/>
  <c r="F182" i="6" s="1"/>
  <c r="Q181" i="6"/>
  <c r="D181" i="6"/>
  <c r="F181" i="6" s="1"/>
  <c r="Q180" i="6"/>
  <c r="F180" i="6"/>
  <c r="D180" i="6"/>
  <c r="Q179" i="6"/>
  <c r="F179" i="6"/>
  <c r="D179" i="6"/>
  <c r="Q178" i="6"/>
  <c r="F178" i="6"/>
  <c r="D178" i="6"/>
  <c r="Q177" i="6"/>
  <c r="D177" i="6"/>
  <c r="F177" i="6" s="1"/>
  <c r="Q176" i="6"/>
  <c r="D176" i="6"/>
  <c r="F176" i="6" s="1"/>
  <c r="Q175" i="6"/>
  <c r="F175" i="6"/>
  <c r="D175" i="6"/>
  <c r="Q174" i="6"/>
  <c r="D174" i="6"/>
  <c r="F174" i="6" s="1"/>
  <c r="Q173" i="6"/>
  <c r="D173" i="6"/>
  <c r="F173" i="6" s="1"/>
  <c r="Q172" i="6"/>
  <c r="F172" i="6"/>
  <c r="D172" i="6"/>
  <c r="Q171" i="6"/>
  <c r="F171" i="6"/>
  <c r="D171" i="6"/>
  <c r="Q170" i="6"/>
  <c r="F170" i="6"/>
  <c r="D170" i="6"/>
  <c r="Q169" i="6"/>
  <c r="D169" i="6"/>
  <c r="F169" i="6" s="1"/>
  <c r="Q168" i="6"/>
  <c r="D168" i="6"/>
  <c r="F168" i="6" s="1"/>
  <c r="Q167" i="6"/>
  <c r="T178" i="6" s="1"/>
  <c r="D167" i="6"/>
  <c r="F167" i="6" s="1"/>
  <c r="Q166" i="6"/>
  <c r="D166" i="6"/>
  <c r="F166" i="6" s="1"/>
  <c r="Q165" i="6"/>
  <c r="D165" i="6"/>
  <c r="F165" i="6" s="1"/>
  <c r="Q164" i="6"/>
  <c r="D164" i="6"/>
  <c r="F164" i="6" s="1"/>
  <c r="Q163" i="6"/>
  <c r="F163" i="6"/>
  <c r="D163" i="6"/>
  <c r="Q162" i="6"/>
  <c r="D162" i="6"/>
  <c r="F162" i="6" s="1"/>
  <c r="Q161" i="6"/>
  <c r="D161" i="6"/>
  <c r="F161" i="6" s="1"/>
  <c r="Q160" i="6"/>
  <c r="F160" i="6"/>
  <c r="D160" i="6"/>
  <c r="Q159" i="6"/>
  <c r="D159" i="6"/>
  <c r="F159" i="6" s="1"/>
  <c r="Q158" i="6"/>
  <c r="D158" i="6"/>
  <c r="F158" i="6" s="1"/>
  <c r="Q157" i="6"/>
  <c r="D157" i="6"/>
  <c r="F157" i="6" s="1"/>
  <c r="Q156" i="6"/>
  <c r="D156" i="6"/>
  <c r="F156" i="6" s="1"/>
  <c r="Q155" i="6"/>
  <c r="D155" i="6"/>
  <c r="F155" i="6" s="1"/>
  <c r="Q154" i="6"/>
  <c r="D154" i="6"/>
  <c r="F154" i="6" s="1"/>
  <c r="Q153" i="6"/>
  <c r="D153" i="6"/>
  <c r="F153" i="6" s="1"/>
  <c r="Q152" i="6"/>
  <c r="F152" i="6"/>
  <c r="D152" i="6"/>
  <c r="Q151" i="6"/>
  <c r="D151" i="6"/>
  <c r="F151" i="6" s="1"/>
  <c r="Q150" i="6"/>
  <c r="D150" i="6"/>
  <c r="F150" i="6" s="1"/>
  <c r="Q149" i="6"/>
  <c r="D149" i="6"/>
  <c r="F149" i="6" s="1"/>
  <c r="Q148" i="6"/>
  <c r="D148" i="6"/>
  <c r="F148" i="6" s="1"/>
  <c r="Q147" i="6"/>
  <c r="D147" i="6"/>
  <c r="F147" i="6" s="1"/>
  <c r="Q146" i="6"/>
  <c r="D146" i="6"/>
  <c r="F146" i="6" s="1"/>
  <c r="Q145" i="6"/>
  <c r="D145" i="6"/>
  <c r="F145" i="6" s="1"/>
  <c r="Q144" i="6"/>
  <c r="D144" i="6"/>
  <c r="F144" i="6" s="1"/>
  <c r="Q143" i="6"/>
  <c r="D143" i="6"/>
  <c r="F143" i="6" s="1"/>
  <c r="Q142" i="6"/>
  <c r="F142" i="6"/>
  <c r="D142" i="6"/>
  <c r="Q141" i="6"/>
  <c r="F141" i="6"/>
  <c r="D141" i="6"/>
  <c r="Q140" i="6"/>
  <c r="D140" i="6"/>
  <c r="F140" i="6" s="1"/>
  <c r="Q139" i="6"/>
  <c r="D139" i="6"/>
  <c r="F139" i="6" s="1"/>
  <c r="Q138" i="6"/>
  <c r="F138" i="6"/>
  <c r="D138" i="6"/>
  <c r="Q137" i="6"/>
  <c r="D137" i="6"/>
  <c r="F137" i="6" s="1"/>
  <c r="Q136" i="6"/>
  <c r="D136" i="6"/>
  <c r="F136" i="6" s="1"/>
  <c r="Q135" i="6"/>
  <c r="D135" i="6"/>
  <c r="F135" i="6" s="1"/>
  <c r="Q134" i="6"/>
  <c r="D134" i="6"/>
  <c r="F134" i="6" s="1"/>
  <c r="Q133" i="6"/>
  <c r="F133" i="6"/>
  <c r="D133" i="6"/>
  <c r="Q132" i="6"/>
  <c r="D132" i="6"/>
  <c r="F132" i="6" s="1"/>
  <c r="Q131" i="6"/>
  <c r="D131" i="6"/>
  <c r="F131" i="6" s="1"/>
  <c r="Q130" i="6"/>
  <c r="F130" i="6"/>
  <c r="D130" i="6"/>
  <c r="Q129" i="6"/>
  <c r="D129" i="6"/>
  <c r="F129" i="6" s="1"/>
  <c r="Q128" i="6"/>
  <c r="D128" i="6"/>
  <c r="F128" i="6" s="1"/>
  <c r="Q127" i="6"/>
  <c r="D127" i="6"/>
  <c r="F127" i="6" s="1"/>
  <c r="Q126" i="6"/>
  <c r="F126" i="6"/>
  <c r="D126" i="6"/>
  <c r="Q125" i="6"/>
  <c r="F125" i="6"/>
  <c r="D125" i="6"/>
  <c r="Q124" i="6"/>
  <c r="F124" i="6"/>
  <c r="D124" i="6"/>
  <c r="Q123" i="6"/>
  <c r="D123" i="6"/>
  <c r="F123" i="6" s="1"/>
  <c r="Q122" i="6"/>
  <c r="F122" i="6"/>
  <c r="D122" i="6"/>
  <c r="Q121" i="6"/>
  <c r="D121" i="6"/>
  <c r="F121" i="6" s="1"/>
  <c r="Q120" i="6"/>
  <c r="D120" i="6"/>
  <c r="F120" i="6" s="1"/>
  <c r="Q119" i="6"/>
  <c r="T130" i="6" s="1"/>
  <c r="D119" i="6"/>
  <c r="F119" i="6" s="1"/>
  <c r="Q118" i="6"/>
  <c r="D118" i="6"/>
  <c r="F118" i="6" s="1"/>
  <c r="Q117" i="6"/>
  <c r="D117" i="6"/>
  <c r="F117" i="6" s="1"/>
  <c r="Q116" i="6"/>
  <c r="D116" i="6"/>
  <c r="F116" i="6" s="1"/>
  <c r="Q115" i="6"/>
  <c r="D115" i="6"/>
  <c r="F115" i="6" s="1"/>
  <c r="Q114" i="6"/>
  <c r="D114" i="6"/>
  <c r="F114" i="6" s="1"/>
  <c r="Q113" i="6"/>
  <c r="D113" i="6"/>
  <c r="F113" i="6" s="1"/>
  <c r="Q112" i="6"/>
  <c r="D112" i="6"/>
  <c r="F112" i="6" s="1"/>
  <c r="Q111" i="6"/>
  <c r="D111" i="6"/>
  <c r="F111" i="6" s="1"/>
  <c r="Q110" i="6"/>
  <c r="D110" i="6"/>
  <c r="F110" i="6" s="1"/>
  <c r="Q109" i="6"/>
  <c r="D109" i="6"/>
  <c r="F109" i="6" s="1"/>
  <c r="Q108" i="6"/>
  <c r="F108" i="6"/>
  <c r="D108" i="6"/>
  <c r="Q107" i="6"/>
  <c r="D107" i="6"/>
  <c r="F107" i="6" s="1"/>
  <c r="Q106" i="6"/>
  <c r="F106" i="6"/>
  <c r="D106" i="6"/>
  <c r="Q105" i="6"/>
  <c r="D105" i="6"/>
  <c r="F105" i="6" s="1"/>
  <c r="Q104" i="6"/>
  <c r="D104" i="6"/>
  <c r="F104" i="6" s="1"/>
  <c r="Q103" i="6"/>
  <c r="D103" i="6"/>
  <c r="F103" i="6" s="1"/>
  <c r="Q102" i="6"/>
  <c r="D102" i="6"/>
  <c r="F102" i="6" s="1"/>
  <c r="Q101" i="6"/>
  <c r="D101" i="6"/>
  <c r="F101" i="6" s="1"/>
  <c r="Q100" i="6"/>
  <c r="D100" i="6"/>
  <c r="F100" i="6" s="1"/>
  <c r="Q99" i="6"/>
  <c r="F99" i="6"/>
  <c r="D99" i="6"/>
  <c r="Q98" i="6"/>
  <c r="F98" i="6"/>
  <c r="D98" i="6"/>
  <c r="Q97" i="6"/>
  <c r="F97" i="6"/>
  <c r="D97" i="6"/>
  <c r="Q96" i="6"/>
  <c r="D96" i="6"/>
  <c r="F96" i="6" s="1"/>
  <c r="Q95" i="6"/>
  <c r="D95" i="6"/>
  <c r="F95" i="6" s="1"/>
  <c r="Q94" i="6"/>
  <c r="D94" i="6"/>
  <c r="F94" i="6" s="1"/>
  <c r="Q93" i="6"/>
  <c r="D93" i="6"/>
  <c r="F93" i="6" s="1"/>
  <c r="Q92" i="6"/>
  <c r="D92" i="6"/>
  <c r="F92" i="6" s="1"/>
  <c r="Q91" i="6"/>
  <c r="D91" i="6"/>
  <c r="F91" i="6" s="1"/>
  <c r="Q90" i="6"/>
  <c r="D90" i="6"/>
  <c r="F90" i="6" s="1"/>
  <c r="Q89" i="6"/>
  <c r="D89" i="6"/>
  <c r="F89" i="6" s="1"/>
  <c r="Q88" i="6"/>
  <c r="D88" i="6"/>
  <c r="F88" i="6" s="1"/>
  <c r="Q87" i="6"/>
  <c r="D87" i="6"/>
  <c r="F87" i="6" s="1"/>
  <c r="Q86" i="6"/>
  <c r="D86" i="6"/>
  <c r="F86" i="6" s="1"/>
  <c r="Q85" i="6"/>
  <c r="D85" i="6"/>
  <c r="F85" i="6" s="1"/>
  <c r="Q84" i="6"/>
  <c r="D84" i="6"/>
  <c r="F84" i="6" s="1"/>
  <c r="Q83" i="6"/>
  <c r="D83" i="6"/>
  <c r="F83" i="6" s="1"/>
  <c r="Q82" i="6"/>
  <c r="D82" i="6"/>
  <c r="F82" i="6" s="1"/>
  <c r="Q81" i="6"/>
  <c r="D81" i="6"/>
  <c r="F81" i="6" s="1"/>
  <c r="Q80" i="6"/>
  <c r="D80" i="6"/>
  <c r="F80" i="6" s="1"/>
  <c r="Q79" i="6"/>
  <c r="D79" i="6"/>
  <c r="F79" i="6" s="1"/>
  <c r="Q78" i="6"/>
  <c r="D78" i="6"/>
  <c r="F78" i="6" s="1"/>
  <c r="Q77" i="6"/>
  <c r="D77" i="6"/>
  <c r="F77" i="6" s="1"/>
  <c r="Q76" i="6"/>
  <c r="F76" i="6"/>
  <c r="D76" i="6"/>
  <c r="Q75" i="6"/>
  <c r="D75" i="6"/>
  <c r="F75" i="6" s="1"/>
  <c r="Q74" i="6"/>
  <c r="D74" i="6"/>
  <c r="F74" i="6" s="1"/>
  <c r="Q73" i="6"/>
  <c r="D73" i="6"/>
  <c r="F73" i="6" s="1"/>
  <c r="Q72" i="6"/>
  <c r="D72" i="6"/>
  <c r="F72" i="6" s="1"/>
  <c r="Q71" i="6"/>
  <c r="D71" i="6"/>
  <c r="F71" i="6" s="1"/>
  <c r="Q70" i="6"/>
  <c r="D70" i="6"/>
  <c r="F70" i="6" s="1"/>
  <c r="Q69" i="6"/>
  <c r="D69" i="6"/>
  <c r="F69" i="6" s="1"/>
  <c r="Q68" i="6"/>
  <c r="D68" i="6"/>
  <c r="F68" i="6" s="1"/>
  <c r="Q67" i="6"/>
  <c r="D67" i="6"/>
  <c r="F67" i="6" s="1"/>
  <c r="Q66" i="6"/>
  <c r="D66" i="6"/>
  <c r="F66" i="6" s="1"/>
  <c r="Q65" i="6"/>
  <c r="D65" i="6"/>
  <c r="F65" i="6" s="1"/>
  <c r="Q64" i="6"/>
  <c r="D64" i="6"/>
  <c r="F64" i="6" s="1"/>
  <c r="Q63" i="6"/>
  <c r="D63" i="6"/>
  <c r="F63" i="6" s="1"/>
  <c r="Q62" i="6"/>
  <c r="D62" i="6"/>
  <c r="F62" i="6" s="1"/>
  <c r="Q61" i="6"/>
  <c r="D61" i="6"/>
  <c r="F61" i="6" s="1"/>
  <c r="D60" i="6"/>
  <c r="F60" i="6" s="1"/>
  <c r="D59" i="6"/>
  <c r="F59" i="6" s="1"/>
  <c r="D58" i="6"/>
  <c r="F58" i="6" s="1"/>
  <c r="D57" i="6"/>
  <c r="F57" i="6" s="1"/>
  <c r="D56" i="6"/>
  <c r="F56" i="6" s="1"/>
  <c r="D55" i="6"/>
  <c r="F55" i="6" s="1"/>
  <c r="F54" i="6"/>
  <c r="D54" i="6"/>
  <c r="D53" i="6"/>
  <c r="F53" i="6" s="1"/>
  <c r="D52" i="6"/>
  <c r="F52" i="6" s="1"/>
  <c r="D51" i="6"/>
  <c r="F51" i="6" s="1"/>
  <c r="D50" i="6"/>
  <c r="F50" i="6" s="1"/>
  <c r="D49" i="6"/>
  <c r="F49" i="6" s="1"/>
  <c r="D48" i="6"/>
  <c r="F48" i="6" s="1"/>
  <c r="D47" i="6"/>
  <c r="F47" i="6" s="1"/>
  <c r="D46" i="6"/>
  <c r="F46" i="6" s="1"/>
  <c r="D45" i="6"/>
  <c r="F45" i="6" s="1"/>
  <c r="D44" i="6"/>
  <c r="F44" i="6" s="1"/>
  <c r="D43" i="6"/>
  <c r="F43" i="6" s="1"/>
  <c r="D42" i="6"/>
  <c r="F42" i="6" s="1"/>
  <c r="D41" i="6"/>
  <c r="F41" i="6" s="1"/>
  <c r="D40" i="6"/>
  <c r="F40" i="6" s="1"/>
  <c r="D39" i="6"/>
  <c r="F39" i="6" s="1"/>
  <c r="D38" i="6"/>
  <c r="F38" i="6" s="1"/>
  <c r="D37" i="6"/>
  <c r="F37" i="6" s="1"/>
  <c r="D36" i="6"/>
  <c r="F36" i="6" s="1"/>
  <c r="D35" i="6"/>
  <c r="F35" i="6" s="1"/>
  <c r="D34" i="6"/>
  <c r="F34" i="6" s="1"/>
  <c r="D33" i="6"/>
  <c r="F33" i="6" s="1"/>
  <c r="D32" i="6"/>
  <c r="F32" i="6" s="1"/>
  <c r="D31" i="6"/>
  <c r="F31" i="6" s="1"/>
  <c r="D30" i="6"/>
  <c r="F30" i="6" s="1"/>
  <c r="D29" i="6"/>
  <c r="F29" i="6" s="1"/>
  <c r="D28" i="6"/>
  <c r="F28" i="6" s="1"/>
  <c r="D27" i="6"/>
  <c r="F27" i="6" s="1"/>
  <c r="D26" i="6"/>
  <c r="F26" i="6" s="1"/>
  <c r="D25" i="6"/>
  <c r="F25" i="6" s="1"/>
  <c r="D24" i="6"/>
  <c r="F24" i="6" s="1"/>
  <c r="D23" i="6"/>
  <c r="F23" i="6" s="1"/>
  <c r="D22" i="6"/>
  <c r="F22" i="6" s="1"/>
  <c r="D21" i="6"/>
  <c r="F21" i="6" s="1"/>
  <c r="D20" i="6"/>
  <c r="F20" i="6" s="1"/>
  <c r="D19" i="6"/>
  <c r="F19" i="6" s="1"/>
  <c r="D18" i="6"/>
  <c r="F18" i="6" s="1"/>
  <c r="D17" i="6"/>
  <c r="F17" i="6" s="1"/>
  <c r="D16" i="6"/>
  <c r="F16" i="6" s="1"/>
  <c r="D15" i="6"/>
  <c r="F15" i="6" s="1"/>
  <c r="D14" i="6"/>
  <c r="F14" i="6" s="1"/>
  <c r="C13" i="6"/>
  <c r="D12" i="6" s="1"/>
  <c r="F12" i="6" s="1"/>
  <c r="D9" i="6"/>
  <c r="F9" i="6" s="1"/>
  <c r="D5" i="6"/>
  <c r="F5" i="6" s="1"/>
  <c r="F2" i="6"/>
  <c r="D2" i="6"/>
  <c r="V62" i="93" l="1"/>
  <c r="EO62" i="93" s="1"/>
  <c r="AD63" i="93"/>
  <c r="E55" i="71"/>
  <c r="B56" i="56"/>
  <c r="E56" i="71" s="1"/>
  <c r="E56" i="110"/>
  <c r="FM65" i="96"/>
  <c r="EG66" i="96" s="1"/>
  <c r="BV65" i="96"/>
  <c r="C54" i="109"/>
  <c r="C55" i="56"/>
  <c r="C55" i="109" s="1"/>
  <c r="F55" i="110"/>
  <c r="H17" i="40"/>
  <c r="I61" i="82"/>
  <c r="C59" i="102"/>
  <c r="L60" i="82"/>
  <c r="C59" i="104" s="1"/>
  <c r="S48" i="82"/>
  <c r="C47" i="107"/>
  <c r="B47" i="71"/>
  <c r="B47" i="108"/>
  <c r="B48" i="105"/>
  <c r="G49" i="81"/>
  <c r="B59" i="102"/>
  <c r="L60" i="81"/>
  <c r="I61" i="81"/>
  <c r="B58" i="104"/>
  <c r="X59" i="81"/>
  <c r="W59" i="81"/>
  <c r="D49" i="42"/>
  <c r="D49" i="71" s="1"/>
  <c r="T50" i="83"/>
  <c r="D51" i="83"/>
  <c r="G51" i="83" s="1"/>
  <c r="S51" i="83" s="1"/>
  <c r="FQ66" i="96"/>
  <c r="C62" i="58" s="1"/>
  <c r="BS66" i="96"/>
  <c r="ED66" i="96" s="1"/>
  <c r="FV60" i="96"/>
  <c r="C56" i="62"/>
  <c r="B57" i="62"/>
  <c r="CK65" i="97"/>
  <c r="CC64" i="97"/>
  <c r="FS64" i="97" s="1"/>
  <c r="R62" i="97"/>
  <c r="Z62" i="97" s="1"/>
  <c r="BZ62" i="97" s="1"/>
  <c r="FK62" i="97"/>
  <c r="EK63" i="97" s="1"/>
  <c r="BR61" i="97"/>
  <c r="EC61" i="97" s="1"/>
  <c r="FP61" i="97"/>
  <c r="FV61" i="97" s="1"/>
  <c r="AD62" i="97"/>
  <c r="V61" i="97"/>
  <c r="EO61" i="97" s="1"/>
  <c r="W61" i="97"/>
  <c r="EP61" i="97" s="1"/>
  <c r="AE62" i="97"/>
  <c r="CL64" i="97"/>
  <c r="CD63" i="97"/>
  <c r="FT63" i="97" s="1"/>
  <c r="AA65" i="97"/>
  <c r="S64" i="97"/>
  <c r="EL64" i="97" s="1"/>
  <c r="CM64" i="97"/>
  <c r="CE63" i="97"/>
  <c r="FU63" i="97" s="1"/>
  <c r="FR65" i="97"/>
  <c r="BT65" i="97"/>
  <c r="EE65" i="97" s="1"/>
  <c r="AC63" i="97"/>
  <c r="U62" i="97"/>
  <c r="EN62" i="97" s="1"/>
  <c r="FL66" i="97"/>
  <c r="T66" i="97"/>
  <c r="AB66" i="97" s="1"/>
  <c r="CB66" i="97" s="1"/>
  <c r="AE62" i="96"/>
  <c r="W61" i="96"/>
  <c r="EP61" i="96" s="1"/>
  <c r="CL64" i="96"/>
  <c r="CD63" i="96"/>
  <c r="FT63" i="96" s="1"/>
  <c r="C59" i="64" s="1"/>
  <c r="AD62" i="96"/>
  <c r="V61" i="96"/>
  <c r="EO61" i="96" s="1"/>
  <c r="CK65" i="96"/>
  <c r="BU65" i="96" s="1"/>
  <c r="EF65" i="96" s="1"/>
  <c r="FS64" i="96"/>
  <c r="C60" i="59" s="1"/>
  <c r="FR66" i="96"/>
  <c r="C62" i="63" s="1"/>
  <c r="BT66" i="96"/>
  <c r="EE66" i="96" s="1"/>
  <c r="U62" i="96"/>
  <c r="EN62" i="96" s="1"/>
  <c r="AC63" i="96"/>
  <c r="AA65" i="96"/>
  <c r="S64" i="96"/>
  <c r="EL64" i="96" s="1"/>
  <c r="R62" i="96"/>
  <c r="Z62" i="96" s="1"/>
  <c r="BZ62" i="96" s="1"/>
  <c r="FK62" i="96"/>
  <c r="EK63" i="96" s="1"/>
  <c r="CM64" i="96"/>
  <c r="BW64" i="96" s="1"/>
  <c r="EH64" i="96" s="1"/>
  <c r="FU63" i="96"/>
  <c r="C59" i="60" s="1"/>
  <c r="BR61" i="96"/>
  <c r="EC61" i="96" s="1"/>
  <c r="FP61" i="96"/>
  <c r="EL66" i="93"/>
  <c r="R63" i="93"/>
  <c r="Z63" i="93" s="1"/>
  <c r="BZ63" i="93" s="1"/>
  <c r="FK63" i="93"/>
  <c r="EK64" i="93" s="1"/>
  <c r="FP62" i="93"/>
  <c r="BR62" i="93"/>
  <c r="EC62" i="93" s="1"/>
  <c r="T66" i="93"/>
  <c r="AB66" i="93" s="1"/>
  <c r="CB66" i="93" s="1"/>
  <c r="FL66" i="93"/>
  <c r="BT65" i="93"/>
  <c r="EE65" i="93" s="1"/>
  <c r="FR65" i="93"/>
  <c r="B61" i="63" s="1"/>
  <c r="EW7" i="28"/>
  <c r="FB7" i="28"/>
  <c r="EZ7" i="28"/>
  <c r="FA7" i="28"/>
  <c r="EY7" i="28"/>
  <c r="EX7" i="28"/>
  <c r="EW19" i="28"/>
  <c r="EX19" i="28"/>
  <c r="EY19" i="28"/>
  <c r="GD19" i="28" s="1"/>
  <c r="FA19" i="28"/>
  <c r="FB19" i="28"/>
  <c r="EZ19" i="28"/>
  <c r="EC11" i="28"/>
  <c r="EC8" i="28"/>
  <c r="EC12" i="28"/>
  <c r="EC16" i="28"/>
  <c r="EC9" i="28"/>
  <c r="EC13" i="28"/>
  <c r="EC17" i="28"/>
  <c r="EC15" i="28"/>
  <c r="EC6" i="28"/>
  <c r="EC10" i="28"/>
  <c r="EC14" i="28"/>
  <c r="EC18" i="28"/>
  <c r="DJ7" i="28"/>
  <c r="AF6" i="19"/>
  <c r="AF24" i="19"/>
  <c r="AH25" i="19" s="1"/>
  <c r="AF5" i="19"/>
  <c r="AH5" i="19" s="1"/>
  <c r="AF7" i="19"/>
  <c r="AG7" i="19" s="1"/>
  <c r="AF12" i="19"/>
  <c r="AG12" i="19" s="1"/>
  <c r="AF20" i="19"/>
  <c r="AF33" i="19"/>
  <c r="AG33" i="19" s="1"/>
  <c r="AF10" i="19"/>
  <c r="AG10" i="19" s="1"/>
  <c r="AF41" i="19"/>
  <c r="AG41" i="19" s="1"/>
  <c r="AF16" i="19"/>
  <c r="AG16" i="19" s="1"/>
  <c r="AF8" i="19"/>
  <c r="AG8" i="19" s="1"/>
  <c r="AF13" i="19"/>
  <c r="AF15" i="19"/>
  <c r="AF18" i="19"/>
  <c r="AF31" i="19"/>
  <c r="AG31" i="19" s="1"/>
  <c r="AF39" i="19"/>
  <c r="AH39" i="19" s="1"/>
  <c r="AF23" i="19"/>
  <c r="AF28" i="19"/>
  <c r="AG28" i="19" s="1"/>
  <c r="AF36" i="19"/>
  <c r="AG36" i="19" s="1"/>
  <c r="AF17" i="19"/>
  <c r="AG17" i="19" s="1"/>
  <c r="AF30" i="19"/>
  <c r="AF9" i="19"/>
  <c r="AF14" i="19"/>
  <c r="AG14" i="19" s="1"/>
  <c r="AF22" i="19"/>
  <c r="AG22" i="19" s="1"/>
  <c r="AF27" i="19"/>
  <c r="AH27" i="19" s="1"/>
  <c r="AF35" i="19"/>
  <c r="AH35" i="19" s="1"/>
  <c r="AF11" i="19"/>
  <c r="AG11" i="19" s="1"/>
  <c r="AF19" i="19"/>
  <c r="AH20" i="19" s="1"/>
  <c r="AF32" i="19"/>
  <c r="AF40" i="19"/>
  <c r="AG40" i="19" s="1"/>
  <c r="AF29" i="19"/>
  <c r="AG29" i="19" s="1"/>
  <c r="AF37" i="19"/>
  <c r="AG37" i="19" s="1"/>
  <c r="T274" i="6"/>
  <c r="T346" i="6"/>
  <c r="D13" i="6"/>
  <c r="F13" i="6" s="1"/>
  <c r="T406" i="6"/>
  <c r="T514" i="6"/>
  <c r="D6" i="6"/>
  <c r="F6" i="6" s="1"/>
  <c r="D10" i="6"/>
  <c r="F10" i="6" s="1"/>
  <c r="T118" i="6"/>
  <c r="T142" i="6"/>
  <c r="T418" i="6"/>
  <c r="T190" i="6"/>
  <c r="T430" i="6"/>
  <c r="T562" i="6"/>
  <c r="T574" i="6"/>
  <c r="T586" i="6"/>
  <c r="D3" i="6"/>
  <c r="F3" i="6" s="1"/>
  <c r="D7" i="6"/>
  <c r="F7" i="6" s="1"/>
  <c r="D11" i="6"/>
  <c r="F11" i="6" s="1"/>
  <c r="T94" i="6"/>
  <c r="T166" i="6"/>
  <c r="T298" i="6"/>
  <c r="T310" i="6"/>
  <c r="T442" i="6"/>
  <c r="T598" i="6"/>
  <c r="T106" i="6"/>
  <c r="D4" i="6"/>
  <c r="F4" i="6" s="1"/>
  <c r="D8" i="6"/>
  <c r="F8" i="6" s="1"/>
  <c r="T154" i="6"/>
  <c r="T214" i="6"/>
  <c r="AG25" i="19"/>
  <c r="AG38" i="19"/>
  <c r="AH43" i="19"/>
  <c r="AG43" i="19"/>
  <c r="AG6" i="19"/>
  <c r="AH21" i="19"/>
  <c r="AG21" i="19"/>
  <c r="AH26" i="19"/>
  <c r="AG26" i="19"/>
  <c r="AG34" i="19"/>
  <c r="AG42" i="19"/>
  <c r="AG20" i="19"/>
  <c r="L61" i="83"/>
  <c r="D60" i="104" s="1"/>
  <c r="I62" i="83"/>
  <c r="P60" i="83"/>
  <c r="W59" i="83"/>
  <c r="X59" i="83"/>
  <c r="P59" i="82"/>
  <c r="W58" i="82"/>
  <c r="X58" i="82"/>
  <c r="L61" i="82"/>
  <c r="C60" i="104" s="1"/>
  <c r="N63" i="81"/>
  <c r="Z8" i="19"/>
  <c r="Z40" i="19"/>
  <c r="Z15" i="19"/>
  <c r="Z23" i="19"/>
  <c r="Z31" i="19"/>
  <c r="Z39" i="19"/>
  <c r="Z43" i="19"/>
  <c r="Z14" i="19"/>
  <c r="Z22" i="19"/>
  <c r="Z30" i="19"/>
  <c r="Z38" i="19"/>
  <c r="Z18" i="19"/>
  <c r="Z34" i="19"/>
  <c r="Z20" i="19"/>
  <c r="Z17" i="19"/>
  <c r="Z33" i="19"/>
  <c r="Z41" i="19"/>
  <c r="Z5" i="19"/>
  <c r="Z6" i="19"/>
  <c r="Z7" i="19"/>
  <c r="Z24" i="19"/>
  <c r="Z27" i="19"/>
  <c r="Z37" i="19"/>
  <c r="Z11" i="19"/>
  <c r="Z36" i="19"/>
  <c r="Z21" i="19"/>
  <c r="Z9" i="19"/>
  <c r="Z10" i="19"/>
  <c r="Z25" i="19"/>
  <c r="Z26" i="19"/>
  <c r="Z42" i="19"/>
  <c r="Z16" i="19"/>
  <c r="Z19" i="19"/>
  <c r="Z32" i="19"/>
  <c r="Z35" i="19"/>
  <c r="Z13" i="19"/>
  <c r="Z29" i="19"/>
  <c r="Z12" i="19"/>
  <c r="Z28" i="19"/>
  <c r="G574" i="6"/>
  <c r="H61" i="6" s="1"/>
  <c r="H60" i="6"/>
  <c r="H444" i="6"/>
  <c r="H499" i="6"/>
  <c r="H458" i="6"/>
  <c r="H581" i="6"/>
  <c r="H195" i="6"/>
  <c r="H252" i="6"/>
  <c r="H285" i="6"/>
  <c r="H492" i="6"/>
  <c r="H515" i="6"/>
  <c r="H612" i="6"/>
  <c r="H615" i="6"/>
  <c r="H92" i="6"/>
  <c r="H146" i="6"/>
  <c r="H154" i="6"/>
  <c r="H312" i="6"/>
  <c r="H315" i="6"/>
  <c r="H375" i="6"/>
  <c r="H435" i="6"/>
  <c r="H449" i="6"/>
  <c r="H583" i="6"/>
  <c r="H230" i="6"/>
  <c r="H530" i="6"/>
  <c r="H151" i="6"/>
  <c r="H165" i="6"/>
  <c r="H309" i="6"/>
  <c r="H335" i="6"/>
  <c r="H358" i="6"/>
  <c r="H454" i="6"/>
  <c r="H457" i="6"/>
  <c r="H571" i="6"/>
  <c r="H617" i="6"/>
  <c r="H125" i="6"/>
  <c r="H556" i="6"/>
  <c r="H77" i="6"/>
  <c r="H134" i="6"/>
  <c r="H156" i="6"/>
  <c r="H185" i="6"/>
  <c r="H239" i="6"/>
  <c r="H248" i="6"/>
  <c r="H284" i="6"/>
  <c r="H332" i="6"/>
  <c r="H377" i="6"/>
  <c r="H391" i="6"/>
  <c r="H451" i="6"/>
  <c r="H468" i="6"/>
  <c r="H517" i="6"/>
  <c r="H525" i="6"/>
  <c r="H562" i="6"/>
  <c r="H585" i="6"/>
  <c r="H622" i="6"/>
  <c r="H150" i="6"/>
  <c r="H294" i="6"/>
  <c r="H453" i="6"/>
  <c r="H579" i="6"/>
  <c r="H105" i="6"/>
  <c r="H128" i="6"/>
  <c r="H167" i="6"/>
  <c r="H182" i="6"/>
  <c r="H236" i="6"/>
  <c r="H242" i="6"/>
  <c r="H259" i="6"/>
  <c r="H326" i="6"/>
  <c r="H396" i="6"/>
  <c r="H399" i="6"/>
  <c r="H419" i="6"/>
  <c r="H431" i="6"/>
  <c r="H445" i="6"/>
  <c r="H465" i="6"/>
  <c r="H505" i="6"/>
  <c r="H522" i="6"/>
  <c r="H582" i="6"/>
  <c r="H635" i="6"/>
  <c r="H637" i="6"/>
  <c r="I649" i="6" s="1"/>
  <c r="J649" i="6" s="1"/>
  <c r="H626" i="6"/>
  <c r="H632" i="6"/>
  <c r="H631" i="6"/>
  <c r="V14" i="38"/>
  <c r="AL6" i="37"/>
  <c r="AL12" i="37" s="1"/>
  <c r="DJ20" i="28"/>
  <c r="AJ9" i="38"/>
  <c r="Y6" i="38"/>
  <c r="DN20" i="28"/>
  <c r="DN9" i="28"/>
  <c r="DJ11" i="28"/>
  <c r="ED19" i="28"/>
  <c r="DL8" i="28"/>
  <c r="DL18" i="28"/>
  <c r="CP21" i="28"/>
  <c r="DM8" i="28"/>
  <c r="DN8" i="28"/>
  <c r="DO8" i="28"/>
  <c r="DJ13" i="28"/>
  <c r="DJ15" i="28"/>
  <c r="CL21" i="28"/>
  <c r="DL7" i="28"/>
  <c r="DJ12" i="28"/>
  <c r="DL13" i="28"/>
  <c r="DM13" i="28"/>
  <c r="DM15" i="28"/>
  <c r="DK10" i="28"/>
  <c r="DJ9" i="28"/>
  <c r="DL14" i="28"/>
  <c r="DN13" i="28"/>
  <c r="DM9" i="28"/>
  <c r="DL12" i="28"/>
  <c r="DM12" i="28"/>
  <c r="DL15" i="28"/>
  <c r="DO11" i="28"/>
  <c r="DO12" i="28"/>
  <c r="DN15" i="28"/>
  <c r="CO21" i="28"/>
  <c r="CN21" i="28"/>
  <c r="DO7" i="28"/>
  <c r="DO9" i="28"/>
  <c r="DM10" i="28"/>
  <c r="DK14" i="28"/>
  <c r="DK8" i="28"/>
  <c r="DK12" i="28"/>
  <c r="DK9" i="28"/>
  <c r="DK11" i="28"/>
  <c r="DL9" i="28"/>
  <c r="DL11" i="28"/>
  <c r="DM7" i="28"/>
  <c r="DJ10" i="28"/>
  <c r="DL10" i="28"/>
  <c r="DN7" i="28"/>
  <c r="DK7" i="28"/>
  <c r="DJ8" i="28"/>
  <c r="DO10" i="28"/>
  <c r="DO13" i="28"/>
  <c r="DL16" i="28"/>
  <c r="DL17" i="28"/>
  <c r="DN10" i="28"/>
  <c r="DM11" i="28"/>
  <c r="DJ14" i="28"/>
  <c r="DM14" i="28"/>
  <c r="DK13" i="28"/>
  <c r="DN11" i="28"/>
  <c r="DJ16" i="28"/>
  <c r="DN12" i="28"/>
  <c r="DO15" i="28"/>
  <c r="DK16" i="28"/>
  <c r="DK19" i="28"/>
  <c r="DK20" i="28"/>
  <c r="DM16" i="28"/>
  <c r="DO14" i="28"/>
  <c r="DN14" i="28"/>
  <c r="DK17" i="28"/>
  <c r="DO16" i="28"/>
  <c r="DK15" i="28"/>
  <c r="DK18" i="28"/>
  <c r="DN16" i="28"/>
  <c r="DM17" i="28"/>
  <c r="DM18" i="28"/>
  <c r="DN18" i="28"/>
  <c r="DO18" i="28"/>
  <c r="DO19" i="28"/>
  <c r="DJ17" i="28"/>
  <c r="DN17" i="28"/>
  <c r="DO17" i="28"/>
  <c r="DO20" i="28"/>
  <c r="DM19" i="28"/>
  <c r="DJ18" i="28"/>
  <c r="DJ19" i="28"/>
  <c r="DL20" i="28"/>
  <c r="CQ21" i="28"/>
  <c r="DM20" i="28"/>
  <c r="DL19" i="28"/>
  <c r="CM21" i="28"/>
  <c r="DN19" i="28"/>
  <c r="V63" i="93" l="1"/>
  <c r="EO63" i="93" s="1"/>
  <c r="AD64" i="93"/>
  <c r="B56" i="109"/>
  <c r="B57" i="56"/>
  <c r="B57" i="109" s="1"/>
  <c r="E57" i="110"/>
  <c r="FM66" i="96"/>
  <c r="BV66" i="96"/>
  <c r="F55" i="71"/>
  <c r="C56" i="56"/>
  <c r="C56" i="109" s="1"/>
  <c r="F56" i="110"/>
  <c r="B49" i="82"/>
  <c r="D49" i="82"/>
  <c r="C48" i="106" s="1"/>
  <c r="T48" i="82"/>
  <c r="C47" i="42"/>
  <c r="I62" i="82"/>
  <c r="C60" i="102"/>
  <c r="S49" i="81"/>
  <c r="B48" i="107"/>
  <c r="B60" i="102"/>
  <c r="L61" i="81"/>
  <c r="I62" i="81"/>
  <c r="B59" i="104"/>
  <c r="X60" i="81"/>
  <c r="W60" i="81"/>
  <c r="D49" i="108"/>
  <c r="FV61" i="96"/>
  <c r="C57" i="62"/>
  <c r="FV62" i="93"/>
  <c r="B58" i="56" s="1"/>
  <c r="B58" i="62"/>
  <c r="CL65" i="97"/>
  <c r="CD64" i="97"/>
  <c r="FT64" i="97" s="1"/>
  <c r="CK66" i="97"/>
  <c r="CC66" i="97" s="1"/>
  <c r="FS66" i="97" s="1"/>
  <c r="CC65" i="97"/>
  <c r="FS65" i="97" s="1"/>
  <c r="AD63" i="97"/>
  <c r="V62" i="97"/>
  <c r="EO62" i="97" s="1"/>
  <c r="AA66" i="97"/>
  <c r="S66" i="97" s="1"/>
  <c r="EL66" i="97" s="1"/>
  <c r="S65" i="97"/>
  <c r="EL65" i="97" s="1"/>
  <c r="BT66" i="97"/>
  <c r="EE66" i="97" s="1"/>
  <c r="FR66" i="97"/>
  <c r="W62" i="97"/>
  <c r="EP62" i="97" s="1"/>
  <c r="AE63" i="97"/>
  <c r="CM65" i="97"/>
  <c r="CE64" i="97"/>
  <c r="FU64" i="97" s="1"/>
  <c r="AC64" i="97"/>
  <c r="U63" i="97"/>
  <c r="EN63" i="97" s="1"/>
  <c r="R63" i="97"/>
  <c r="Z63" i="97" s="1"/>
  <c r="BZ63" i="97" s="1"/>
  <c r="FK63" i="97"/>
  <c r="EK64" i="97" s="1"/>
  <c r="BR62" i="97"/>
  <c r="EC62" i="97" s="1"/>
  <c r="FP62" i="97"/>
  <c r="FV62" i="97" s="1"/>
  <c r="AA66" i="96"/>
  <c r="S66" i="96" s="1"/>
  <c r="EL66" i="96" s="1"/>
  <c r="S65" i="96"/>
  <c r="EL65" i="96" s="1"/>
  <c r="AD63" i="96"/>
  <c r="V62" i="96"/>
  <c r="EO62" i="96" s="1"/>
  <c r="AC64" i="96"/>
  <c r="U63" i="96"/>
  <c r="EN63" i="96" s="1"/>
  <c r="CM65" i="96"/>
  <c r="BW65" i="96" s="1"/>
  <c r="EH65" i="96" s="1"/>
  <c r="FU64" i="96"/>
  <c r="C60" i="60" s="1"/>
  <c r="R63" i="96"/>
  <c r="Z63" i="96" s="1"/>
  <c r="BZ63" i="96" s="1"/>
  <c r="FK63" i="96"/>
  <c r="EK64" i="96" s="1"/>
  <c r="CL65" i="96"/>
  <c r="CD64" i="96"/>
  <c r="FT64" i="96" s="1"/>
  <c r="C60" i="64" s="1"/>
  <c r="BR62" i="96"/>
  <c r="EC62" i="96" s="1"/>
  <c r="FP62" i="96"/>
  <c r="CK66" i="96"/>
  <c r="FS65" i="96"/>
  <c r="C61" i="59" s="1"/>
  <c r="AE63" i="96"/>
  <c r="W62" i="96"/>
  <c r="EP62" i="96" s="1"/>
  <c r="FR66" i="93"/>
  <c r="B62" i="63" s="1"/>
  <c r="BT66" i="93"/>
  <c r="EE66" i="93" s="1"/>
  <c r="R64" i="93"/>
  <c r="Z64" i="93" s="1"/>
  <c r="BZ64" i="93" s="1"/>
  <c r="FK64" i="93"/>
  <c r="EK65" i="93" s="1"/>
  <c r="FP63" i="93"/>
  <c r="BR63" i="93"/>
  <c r="EC63" i="93" s="1"/>
  <c r="GC19" i="28"/>
  <c r="FB18" i="28"/>
  <c r="EZ18" i="28"/>
  <c r="EX18" i="28"/>
  <c r="EW18" i="28"/>
  <c r="GC18" i="28" s="1"/>
  <c r="FA18" i="28"/>
  <c r="EY18" i="28"/>
  <c r="GD18" i="28" s="1"/>
  <c r="EX16" i="28"/>
  <c r="FB16" i="28"/>
  <c r="EY16" i="28"/>
  <c r="GD16" i="28" s="1"/>
  <c r="EZ16" i="28"/>
  <c r="FA16" i="28"/>
  <c r="EW16" i="28"/>
  <c r="GC16" i="28" s="1"/>
  <c r="FB14" i="28"/>
  <c r="EX14" i="28"/>
  <c r="EZ14" i="28"/>
  <c r="EW14" i="28"/>
  <c r="GC14" i="28" s="1"/>
  <c r="FA14" i="28"/>
  <c r="EY14" i="28"/>
  <c r="GD14" i="28" s="1"/>
  <c r="EX12" i="28"/>
  <c r="FB12" i="28"/>
  <c r="EW12" i="28"/>
  <c r="EY12" i="28"/>
  <c r="FA12" i="28"/>
  <c r="EZ12" i="28"/>
  <c r="FB10" i="28"/>
  <c r="EW10" i="28"/>
  <c r="EY10" i="28"/>
  <c r="FA10" i="28"/>
  <c r="EX10" i="28"/>
  <c r="EZ10" i="28"/>
  <c r="EX8" i="28"/>
  <c r="FB8" i="28"/>
  <c r="FA8" i="28"/>
  <c r="EW8" i="28"/>
  <c r="EZ8" i="28"/>
  <c r="EY8" i="28"/>
  <c r="FB6" i="28"/>
  <c r="EW6" i="28"/>
  <c r="EX6" i="28"/>
  <c r="EZ6" i="28"/>
  <c r="EY6" i="28"/>
  <c r="FA6" i="28"/>
  <c r="FA11" i="28"/>
  <c r="EW11" i="28"/>
  <c r="EX11" i="28"/>
  <c r="EZ11" i="28"/>
  <c r="EY11" i="28"/>
  <c r="FB11" i="28"/>
  <c r="FF19" i="28"/>
  <c r="FE19" i="28"/>
  <c r="FI19" i="28"/>
  <c r="FJ19" i="28"/>
  <c r="FG19" i="28"/>
  <c r="FH19" i="28"/>
  <c r="EZ15" i="28"/>
  <c r="FA15" i="28"/>
  <c r="EW15" i="28"/>
  <c r="GC15" i="28" s="1"/>
  <c r="FB15" i="28"/>
  <c r="EX15" i="28"/>
  <c r="EY15" i="28"/>
  <c r="GD15" i="28" s="1"/>
  <c r="EZ17" i="28"/>
  <c r="FA17" i="28"/>
  <c r="FB17" i="28"/>
  <c r="EY17" i="28"/>
  <c r="GD17" i="28" s="1"/>
  <c r="EX17" i="28"/>
  <c r="EW17" i="28"/>
  <c r="EZ13" i="28"/>
  <c r="EY13" i="28"/>
  <c r="GD13" i="28" s="1"/>
  <c r="EW13" i="28"/>
  <c r="FA13" i="28"/>
  <c r="FB13" i="28"/>
  <c r="EX13" i="28"/>
  <c r="EZ9" i="28"/>
  <c r="FB9" i="28"/>
  <c r="EW9" i="28"/>
  <c r="EY9" i="28"/>
  <c r="FA9" i="28"/>
  <c r="EX9" i="28"/>
  <c r="B52" i="83"/>
  <c r="D52" i="83"/>
  <c r="D50" i="42"/>
  <c r="D50" i="71" s="1"/>
  <c r="AG39" i="19"/>
  <c r="AG5" i="19"/>
  <c r="AH7" i="19"/>
  <c r="AG24" i="19"/>
  <c r="AH24" i="19"/>
  <c r="AH6" i="19"/>
  <c r="AG19" i="19"/>
  <c r="AH19" i="19"/>
  <c r="AH8" i="19"/>
  <c r="T51" i="83"/>
  <c r="AG23" i="19"/>
  <c r="AH34" i="19"/>
  <c r="AH10" i="19"/>
  <c r="AH18" i="19"/>
  <c r="AG18" i="19"/>
  <c r="AG35" i="19"/>
  <c r="AH16" i="19"/>
  <c r="AH12" i="19"/>
  <c r="AG9" i="19"/>
  <c r="AH38" i="19"/>
  <c r="AH32" i="19"/>
  <c r="AH30" i="19"/>
  <c r="AH40" i="19"/>
  <c r="AH22" i="19"/>
  <c r="AH11" i="19"/>
  <c r="AH37" i="19"/>
  <c r="AH9" i="19"/>
  <c r="AH29" i="19"/>
  <c r="AG15" i="19"/>
  <c r="AH41" i="19"/>
  <c r="AH36" i="19"/>
  <c r="AH17" i="19"/>
  <c r="AH28" i="19"/>
  <c r="AH42" i="19"/>
  <c r="AH23" i="19"/>
  <c r="AH14" i="19"/>
  <c r="AH13" i="19"/>
  <c r="AG13" i="19"/>
  <c r="AG27" i="19"/>
  <c r="AH15" i="19"/>
  <c r="AH31" i="19"/>
  <c r="AH33" i="19"/>
  <c r="AG32" i="19"/>
  <c r="AG30" i="19"/>
  <c r="H216" i="6"/>
  <c r="H210" i="6"/>
  <c r="H380" i="6"/>
  <c r="H126" i="6"/>
  <c r="H432" i="6"/>
  <c r="H140" i="6"/>
  <c r="H478" i="6"/>
  <c r="H398" i="6"/>
  <c r="H513" i="6"/>
  <c r="H634" i="6"/>
  <c r="H488" i="6"/>
  <c r="H297" i="6"/>
  <c r="H88" i="6"/>
  <c r="H539" i="6"/>
  <c r="H292" i="6"/>
  <c r="H117" i="6"/>
  <c r="H534" i="6"/>
  <c r="H273" i="6"/>
  <c r="H560" i="6"/>
  <c r="H298" i="6"/>
  <c r="H606" i="6"/>
  <c r="H143" i="6"/>
  <c r="H302" i="6"/>
  <c r="H114" i="6"/>
  <c r="H486" i="6"/>
  <c r="H217" i="6"/>
  <c r="H481" i="6"/>
  <c r="H214" i="6"/>
  <c r="H555" i="6"/>
  <c r="H340" i="6"/>
  <c r="H439" i="6"/>
  <c r="P61" i="83"/>
  <c r="X60" i="83"/>
  <c r="W60" i="83"/>
  <c r="L62" i="83"/>
  <c r="D61" i="104" s="1"/>
  <c r="I63" i="83"/>
  <c r="L63" i="83" s="1"/>
  <c r="D62" i="104" s="1"/>
  <c r="L62" i="82"/>
  <c r="C61" i="104" s="1"/>
  <c r="P60" i="82"/>
  <c r="W59" i="82"/>
  <c r="X59" i="82"/>
  <c r="H629" i="6"/>
  <c r="H593" i="6"/>
  <c r="H462" i="6"/>
  <c r="H366" i="6"/>
  <c r="H219" i="6"/>
  <c r="H85" i="6"/>
  <c r="H602" i="6"/>
  <c r="H491" i="6"/>
  <c r="H323" i="6"/>
  <c r="H208" i="6"/>
  <c r="H108" i="6"/>
  <c r="H591" i="6"/>
  <c r="H423" i="6"/>
  <c r="H265" i="6"/>
  <c r="H103" i="6"/>
  <c r="H523" i="6"/>
  <c r="H406" i="6"/>
  <c r="H282" i="6"/>
  <c r="H121" i="6"/>
  <c r="H589" i="6"/>
  <c r="H415" i="6"/>
  <c r="H132" i="6"/>
  <c r="H310" i="6"/>
  <c r="H244" i="6"/>
  <c r="H627" i="6"/>
  <c r="H587" i="6"/>
  <c r="H448" i="6"/>
  <c r="H352" i="6"/>
  <c r="H213" i="6"/>
  <c r="H82" i="6"/>
  <c r="H596" i="6"/>
  <c r="H483" i="6"/>
  <c r="H306" i="6"/>
  <c r="H191" i="6"/>
  <c r="H80" i="6"/>
  <c r="H580" i="6"/>
  <c r="H417" i="6"/>
  <c r="H257" i="6"/>
  <c r="H610" i="6"/>
  <c r="H509" i="6"/>
  <c r="H403" i="6"/>
  <c r="H228" i="6"/>
  <c r="H98" i="6"/>
  <c r="H563" i="6"/>
  <c r="H378" i="6"/>
  <c r="H72" i="6"/>
  <c r="H218" i="6"/>
  <c r="H184" i="6"/>
  <c r="H225" i="6"/>
  <c r="H550" i="6"/>
  <c r="H503" i="6"/>
  <c r="H386" i="6"/>
  <c r="H220" i="6"/>
  <c r="H95" i="6"/>
  <c r="H35" i="6"/>
  <c r="H362" i="6"/>
  <c r="H616" i="6"/>
  <c r="H152" i="6"/>
  <c r="H79" i="6"/>
  <c r="H630" i="6"/>
  <c r="H508" i="6"/>
  <c r="H428" i="6"/>
  <c r="H289" i="6"/>
  <c r="H162" i="6"/>
  <c r="H416" i="6"/>
  <c r="H554" i="6"/>
  <c r="H437" i="6"/>
  <c r="H254" i="6"/>
  <c r="H142" i="6"/>
  <c r="H527" i="6"/>
  <c r="H528" i="6"/>
  <c r="H350" i="6"/>
  <c r="H174" i="6"/>
  <c r="H275" i="6"/>
  <c r="H466" i="6"/>
  <c r="H367" i="6"/>
  <c r="H200" i="6"/>
  <c r="H83" i="6"/>
  <c r="H546" i="6"/>
  <c r="H271" i="6"/>
  <c r="H600" i="6"/>
  <c r="H613" i="6"/>
  <c r="H46" i="6"/>
  <c r="H55" i="6"/>
  <c r="H598" i="6"/>
  <c r="H116" i="6"/>
  <c r="H628" i="6"/>
  <c r="H559" i="6"/>
  <c r="H456" i="6"/>
  <c r="H411" i="6"/>
  <c r="H311" i="6"/>
  <c r="H227" i="6"/>
  <c r="H139" i="6"/>
  <c r="H68" i="6"/>
  <c r="H170" i="6"/>
  <c r="H577" i="6"/>
  <c r="H497" i="6"/>
  <c r="H414" i="6"/>
  <c r="H300" i="6"/>
  <c r="H222" i="6"/>
  <c r="H148" i="6"/>
  <c r="H100" i="6"/>
  <c r="H196" i="6"/>
  <c r="H557" i="6"/>
  <c r="H440" i="6"/>
  <c r="H344" i="6"/>
  <c r="H234" i="6"/>
  <c r="H137" i="6"/>
  <c r="H357" i="6"/>
  <c r="H512" i="6"/>
  <c r="H443" i="6"/>
  <c r="H383" i="6"/>
  <c r="H290" i="6"/>
  <c r="H206" i="6"/>
  <c r="H129" i="6"/>
  <c r="H89" i="6"/>
  <c r="H597" i="6"/>
  <c r="H549" i="6"/>
  <c r="H484" i="6"/>
  <c r="H370" i="6"/>
  <c r="H255" i="6"/>
  <c r="H135" i="6"/>
  <c r="H516" i="6"/>
  <c r="H575" i="6"/>
  <c r="H455" i="6"/>
  <c r="H395" i="6"/>
  <c r="H296" i="6"/>
  <c r="H212" i="6"/>
  <c r="H138" i="6"/>
  <c r="H393" i="6"/>
  <c r="H604" i="6"/>
  <c r="H504" i="6"/>
  <c r="H436" i="6"/>
  <c r="H299" i="6"/>
  <c r="H221" i="6"/>
  <c r="H164" i="6"/>
  <c r="H113" i="6"/>
  <c r="H76" i="6"/>
  <c r="H379" i="6"/>
  <c r="H42" i="6"/>
  <c r="H33" i="6"/>
  <c r="H58" i="6"/>
  <c r="H558" i="6"/>
  <c r="H441" i="6"/>
  <c r="H381" i="6"/>
  <c r="H280" i="6"/>
  <c r="H198" i="6"/>
  <c r="H127" i="6"/>
  <c r="H363" i="6"/>
  <c r="H595" i="6"/>
  <c r="H496" i="6"/>
  <c r="H413" i="6"/>
  <c r="H291" i="6"/>
  <c r="H215" i="6"/>
  <c r="H155" i="6"/>
  <c r="H110" i="6"/>
  <c r="H73" i="6"/>
  <c r="H308" i="6"/>
  <c r="H38" i="6"/>
  <c r="H29" i="6"/>
  <c r="H31" i="6"/>
  <c r="H268" i="6"/>
  <c r="H183" i="6"/>
  <c r="H112" i="6"/>
  <c r="H69" i="6"/>
  <c r="H586" i="6"/>
  <c r="H540" i="6"/>
  <c r="H475" i="6"/>
  <c r="H356" i="6"/>
  <c r="H240" i="6"/>
  <c r="H124" i="6"/>
  <c r="H272" i="6"/>
  <c r="H538" i="6"/>
  <c r="H433" i="6"/>
  <c r="H373" i="6"/>
  <c r="H266" i="6"/>
  <c r="H181" i="6"/>
  <c r="H104" i="6"/>
  <c r="H349" i="6"/>
  <c r="H584" i="6"/>
  <c r="H490" i="6"/>
  <c r="H407" i="6"/>
  <c r="H283" i="6"/>
  <c r="H207" i="6"/>
  <c r="H147" i="6"/>
  <c r="H107" i="6"/>
  <c r="H70" i="6"/>
  <c r="H286" i="6"/>
  <c r="H53" i="6"/>
  <c r="H25" i="6"/>
  <c r="H24" i="6"/>
  <c r="H442" i="6"/>
  <c r="H382" i="6"/>
  <c r="H281" i="6"/>
  <c r="H205" i="6"/>
  <c r="H97" i="6"/>
  <c r="H567" i="6"/>
  <c r="H614" i="6"/>
  <c r="H545" i="6"/>
  <c r="H474" i="6"/>
  <c r="H369" i="6"/>
  <c r="H270" i="6"/>
  <c r="H202" i="6"/>
  <c r="H123" i="6"/>
  <c r="H71" i="6"/>
  <c r="H608" i="6"/>
  <c r="H520" i="6"/>
  <c r="H409" i="6"/>
  <c r="H295" i="6"/>
  <c r="H211" i="6"/>
  <c r="H66" i="6"/>
  <c r="H620" i="6"/>
  <c r="H495" i="6"/>
  <c r="H420" i="6"/>
  <c r="H353" i="6"/>
  <c r="H260" i="6"/>
  <c r="H168" i="6"/>
  <c r="H109" i="6"/>
  <c r="H519" i="6"/>
  <c r="H578" i="6"/>
  <c r="H526" i="6"/>
  <c r="H452" i="6"/>
  <c r="H307" i="6"/>
  <c r="H223" i="6"/>
  <c r="H118" i="6"/>
  <c r="H224" i="6"/>
  <c r="H521" i="6"/>
  <c r="H427" i="6"/>
  <c r="H365" i="6"/>
  <c r="H258" i="6"/>
  <c r="H178" i="6"/>
  <c r="H87" i="6"/>
  <c r="H278" i="6"/>
  <c r="H561" i="6"/>
  <c r="H482" i="6"/>
  <c r="H390" i="6"/>
  <c r="H269" i="6"/>
  <c r="H204" i="6"/>
  <c r="H141" i="6"/>
  <c r="H99" i="6"/>
  <c r="H607" i="6"/>
  <c r="H256" i="6"/>
  <c r="H49" i="6"/>
  <c r="H48" i="6"/>
  <c r="H20" i="6"/>
  <c r="H636" i="6"/>
  <c r="I647" i="6" s="1"/>
  <c r="J647" i="6" s="1"/>
  <c r="H619" i="6"/>
  <c r="H502" i="6"/>
  <c r="H434" i="6"/>
  <c r="H374" i="6"/>
  <c r="H267" i="6"/>
  <c r="H199" i="6"/>
  <c r="H91" i="6"/>
  <c r="H485" i="6"/>
  <c r="H605" i="6"/>
  <c r="H542" i="6"/>
  <c r="H471" i="6"/>
  <c r="H361" i="6"/>
  <c r="H262" i="6"/>
  <c r="H194" i="6"/>
  <c r="H120" i="6"/>
  <c r="H624" i="6"/>
  <c r="H599" i="6"/>
  <c r="H500" i="6"/>
  <c r="H394" i="6"/>
  <c r="H279" i="6"/>
  <c r="H197" i="6"/>
  <c r="H75" i="6"/>
  <c r="H594" i="6"/>
  <c r="H489" i="6"/>
  <c r="H412" i="6"/>
  <c r="H327" i="6"/>
  <c r="H246" i="6"/>
  <c r="H160" i="6"/>
  <c r="H106" i="6"/>
  <c r="H623" i="6"/>
  <c r="H566" i="6"/>
  <c r="H518" i="6"/>
  <c r="H438" i="6"/>
  <c r="H293" i="6"/>
  <c r="H209" i="6"/>
  <c r="H101" i="6"/>
  <c r="H618" i="6"/>
  <c r="H501" i="6"/>
  <c r="H424" i="6"/>
  <c r="H348" i="6"/>
  <c r="H238" i="6"/>
  <c r="H172" i="6"/>
  <c r="H81" i="6"/>
  <c r="H136" i="6"/>
  <c r="H553" i="6"/>
  <c r="H470" i="6"/>
  <c r="H354" i="6"/>
  <c r="H261" i="6"/>
  <c r="H201" i="6"/>
  <c r="H133" i="6"/>
  <c r="H96" i="6"/>
  <c r="H590" i="6"/>
  <c r="H144" i="6"/>
  <c r="H22" i="6"/>
  <c r="H44" i="6"/>
  <c r="H16" i="6"/>
  <c r="H487" i="6"/>
  <c r="H418" i="6"/>
  <c r="H336" i="6"/>
  <c r="H232" i="6"/>
  <c r="H166" i="6"/>
  <c r="H67" i="6"/>
  <c r="H102" i="6"/>
  <c r="H541" i="6"/>
  <c r="H467" i="6"/>
  <c r="H328" i="6"/>
  <c r="H253" i="6"/>
  <c r="H193" i="6"/>
  <c r="H130" i="6"/>
  <c r="H93" i="6"/>
  <c r="H564" i="6"/>
  <c r="H65" i="6"/>
  <c r="H18" i="6"/>
  <c r="H40" i="6"/>
  <c r="H153" i="6"/>
  <c r="H149" i="6"/>
  <c r="H145" i="6"/>
  <c r="H625" i="6"/>
  <c r="H611" i="6"/>
  <c r="H603" i="6"/>
  <c r="H573" i="6"/>
  <c r="H569" i="6"/>
  <c r="H565" i="6"/>
  <c r="H552" i="6"/>
  <c r="H548" i="6"/>
  <c r="H544" i="6"/>
  <c r="H536" i="6"/>
  <c r="H532" i="6"/>
  <c r="H511" i="6"/>
  <c r="H507" i="6"/>
  <c r="H494" i="6"/>
  <c r="H477" i="6"/>
  <c r="H473" i="6"/>
  <c r="H469" i="6"/>
  <c r="H464" i="6"/>
  <c r="H460" i="6"/>
  <c r="H447" i="6"/>
  <c r="H430" i="6"/>
  <c r="H426" i="6"/>
  <c r="H422" i="6"/>
  <c r="H405" i="6"/>
  <c r="H401" i="6"/>
  <c r="H397" i="6"/>
  <c r="H388" i="6"/>
  <c r="H371" i="6"/>
  <c r="H359" i="6"/>
  <c r="H346" i="6"/>
  <c r="H342" i="6"/>
  <c r="H338" i="6"/>
  <c r="H334" i="6"/>
  <c r="H330" i="6"/>
  <c r="H321" i="6"/>
  <c r="H317" i="6"/>
  <c r="H313" i="6"/>
  <c r="H304" i="6"/>
  <c r="H287" i="6"/>
  <c r="H384" i="6"/>
  <c r="H376" i="6"/>
  <c r="H368" i="6"/>
  <c r="H364" i="6"/>
  <c r="H355" i="6"/>
  <c r="H351" i="6"/>
  <c r="H574" i="6"/>
  <c r="H570" i="6"/>
  <c r="H537" i="6"/>
  <c r="H533" i="6"/>
  <c r="H529" i="6"/>
  <c r="H402" i="6"/>
  <c r="H389" i="6"/>
  <c r="H385" i="6"/>
  <c r="H372" i="6"/>
  <c r="H360" i="6"/>
  <c r="H347" i="6"/>
  <c r="H343" i="6"/>
  <c r="H339" i="6"/>
  <c r="H331" i="6"/>
  <c r="H322" i="6"/>
  <c r="H318" i="6"/>
  <c r="H314" i="6"/>
  <c r="H305" i="6"/>
  <c r="H301" i="6"/>
  <c r="H288" i="6"/>
  <c r="H276" i="6"/>
  <c r="H263" i="6"/>
  <c r="H251" i="6"/>
  <c r="H247" i="6"/>
  <c r="H243" i="6"/>
  <c r="H235" i="6"/>
  <c r="H231" i="6"/>
  <c r="H192" i="6"/>
  <c r="H188" i="6"/>
  <c r="H179" i="6"/>
  <c r="H175" i="6"/>
  <c r="H171" i="6"/>
  <c r="H163" i="6"/>
  <c r="H159" i="6"/>
  <c r="H264" i="6"/>
  <c r="H189" i="6"/>
  <c r="H180" i="6"/>
  <c r="H176" i="6"/>
  <c r="H514" i="6"/>
  <c r="H408" i="6"/>
  <c r="H329" i="6"/>
  <c r="H320" i="6"/>
  <c r="H303" i="6"/>
  <c r="H245" i="6"/>
  <c r="H111" i="6"/>
  <c r="H94" i="6"/>
  <c r="H74" i="6"/>
  <c r="H11" i="6"/>
  <c r="H3" i="6"/>
  <c r="H39" i="6"/>
  <c r="H8" i="6"/>
  <c r="H233" i="6"/>
  <c r="H19" i="6"/>
  <c r="H568" i="6"/>
  <c r="H551" i="6"/>
  <c r="H531" i="6"/>
  <c r="H480" i="6"/>
  <c r="H341" i="6"/>
  <c r="H131" i="6"/>
  <c r="H63" i="6"/>
  <c r="H57" i="6"/>
  <c r="H52" i="6"/>
  <c r="H47" i="6"/>
  <c r="H34" i="6"/>
  <c r="H26" i="6"/>
  <c r="H21" i="6"/>
  <c r="H13" i="6"/>
  <c r="H576" i="6"/>
  <c r="H425" i="6"/>
  <c r="H50" i="6"/>
  <c r="H588" i="6"/>
  <c r="H506" i="6"/>
  <c r="H463" i="6"/>
  <c r="H446" i="6"/>
  <c r="H429" i="6"/>
  <c r="H400" i="6"/>
  <c r="H237" i="6"/>
  <c r="H177" i="6"/>
  <c r="H157" i="6"/>
  <c r="H86" i="6"/>
  <c r="H5" i="6"/>
  <c r="H59" i="6"/>
  <c r="H36" i="6"/>
  <c r="H28" i="6"/>
  <c r="H10" i="6"/>
  <c r="H12" i="6"/>
  <c r="H37" i="6"/>
  <c r="H543" i="6"/>
  <c r="H472" i="6"/>
  <c r="H333" i="6"/>
  <c r="H324" i="6"/>
  <c r="H249" i="6"/>
  <c r="H203" i="6"/>
  <c r="H115" i="6"/>
  <c r="H78" i="6"/>
  <c r="H54" i="6"/>
  <c r="H41" i="6"/>
  <c r="H23" i="6"/>
  <c r="H15" i="6"/>
  <c r="H2" i="6"/>
  <c r="H4" i="6"/>
  <c r="H609" i="6"/>
  <c r="H572" i="6"/>
  <c r="H535" i="6"/>
  <c r="H421" i="6"/>
  <c r="H345" i="6"/>
  <c r="H274" i="6"/>
  <c r="H229" i="6"/>
  <c r="H169" i="6"/>
  <c r="H7" i="6"/>
  <c r="H17" i="6"/>
  <c r="H62" i="6"/>
  <c r="H45" i="6"/>
  <c r="H510" i="6"/>
  <c r="H493" i="6"/>
  <c r="H404" i="6"/>
  <c r="H387" i="6"/>
  <c r="H316" i="6"/>
  <c r="H241" i="6"/>
  <c r="H161" i="6"/>
  <c r="H90" i="6"/>
  <c r="H56" i="6"/>
  <c r="H43" i="6"/>
  <c r="H30" i="6"/>
  <c r="H459" i="6"/>
  <c r="H173" i="6"/>
  <c r="H32" i="6"/>
  <c r="H601" i="6"/>
  <c r="H547" i="6"/>
  <c r="H476" i="6"/>
  <c r="H337" i="6"/>
  <c r="H190" i="6"/>
  <c r="H119" i="6"/>
  <c r="H9" i="6"/>
  <c r="H6" i="6"/>
  <c r="H498" i="6"/>
  <c r="H392" i="6"/>
  <c r="H277" i="6"/>
  <c r="H186" i="6"/>
  <c r="H64" i="6"/>
  <c r="H592" i="6"/>
  <c r="H461" i="6"/>
  <c r="H410" i="6"/>
  <c r="H325" i="6"/>
  <c r="H226" i="6"/>
  <c r="H158" i="6"/>
  <c r="H633" i="6"/>
  <c r="I643" i="6" s="1"/>
  <c r="J643" i="6" s="1"/>
  <c r="H621" i="6"/>
  <c r="H524" i="6"/>
  <c r="H450" i="6"/>
  <c r="H319" i="6"/>
  <c r="H250" i="6"/>
  <c r="H187" i="6"/>
  <c r="H122" i="6"/>
  <c r="H84" i="6"/>
  <c r="H479" i="6"/>
  <c r="H14" i="6"/>
  <c r="H51" i="6"/>
  <c r="H27" i="6"/>
  <c r="AM6" i="37"/>
  <c r="AM12" i="37" s="1"/>
  <c r="Z6" i="38"/>
  <c r="AK9" i="38"/>
  <c r="ED18" i="28"/>
  <c r="DV20" i="28"/>
  <c r="DW20" i="28"/>
  <c r="ED17" i="28"/>
  <c r="DR20" i="28"/>
  <c r="V64" i="93" l="1"/>
  <c r="EO64" i="93" s="1"/>
  <c r="AD65" i="93"/>
  <c r="E57" i="71"/>
  <c r="F56" i="71"/>
  <c r="C57" i="56"/>
  <c r="F57" i="71" s="1"/>
  <c r="F57" i="110"/>
  <c r="I63" i="82"/>
  <c r="C61" i="102"/>
  <c r="C47" i="71"/>
  <c r="C47" i="108"/>
  <c r="C48" i="105"/>
  <c r="G49" i="82"/>
  <c r="D50" i="81"/>
  <c r="B49" i="106" s="1"/>
  <c r="B50" i="81"/>
  <c r="T49" i="81"/>
  <c r="B48" i="42"/>
  <c r="B61" i="102"/>
  <c r="L62" i="81"/>
  <c r="I63" i="81"/>
  <c r="B60" i="104"/>
  <c r="W61" i="81"/>
  <c r="X61" i="81"/>
  <c r="B58" i="109"/>
  <c r="E58" i="71"/>
  <c r="E58" i="110" s="1"/>
  <c r="D50" i="108"/>
  <c r="FS66" i="96"/>
  <c r="C62" i="59" s="1"/>
  <c r="BU66" i="96"/>
  <c r="EF66" i="96" s="1"/>
  <c r="FV62" i="96"/>
  <c r="C58" i="56" s="1"/>
  <c r="C58" i="62"/>
  <c r="FV63" i="93"/>
  <c r="B59" i="56" s="1"/>
  <c r="B59" i="62"/>
  <c r="AC65" i="97"/>
  <c r="U64" i="97"/>
  <c r="EN64" i="97" s="1"/>
  <c r="CL66" i="97"/>
  <c r="CD66" i="97" s="1"/>
  <c r="FT66" i="97" s="1"/>
  <c r="CD65" i="97"/>
  <c r="FT65" i="97" s="1"/>
  <c r="CM66" i="97"/>
  <c r="CE66" i="97" s="1"/>
  <c r="FU66" i="97" s="1"/>
  <c r="CE65" i="97"/>
  <c r="FU65" i="97" s="1"/>
  <c r="AD64" i="97"/>
  <c r="V63" i="97"/>
  <c r="EO63" i="97" s="1"/>
  <c r="R64" i="97"/>
  <c r="Z64" i="97" s="1"/>
  <c r="BZ64" i="97" s="1"/>
  <c r="FK64" i="97"/>
  <c r="EK65" i="97" s="1"/>
  <c r="W63" i="97"/>
  <c r="EP63" i="97" s="1"/>
  <c r="AE64" i="97"/>
  <c r="BR63" i="97"/>
  <c r="EC63" i="97" s="1"/>
  <c r="FP63" i="97"/>
  <c r="FV63" i="97" s="1"/>
  <c r="CM66" i="96"/>
  <c r="FU65" i="96"/>
  <c r="C61" i="60" s="1"/>
  <c r="U64" i="96"/>
  <c r="EN64" i="96" s="1"/>
  <c r="AC65" i="96"/>
  <c r="CL66" i="96"/>
  <c r="CD66" i="96" s="1"/>
  <c r="FT66" i="96" s="1"/>
  <c r="C62" i="64" s="1"/>
  <c r="CD65" i="96"/>
  <c r="FT65" i="96" s="1"/>
  <c r="C61" i="64" s="1"/>
  <c r="AD64" i="96"/>
  <c r="V63" i="96"/>
  <c r="EO63" i="96" s="1"/>
  <c r="AE64" i="96"/>
  <c r="W63" i="96"/>
  <c r="EP63" i="96" s="1"/>
  <c r="R64" i="96"/>
  <c r="Z64" i="96" s="1"/>
  <c r="BZ64" i="96" s="1"/>
  <c r="FK64" i="96"/>
  <c r="EK65" i="96" s="1"/>
  <c r="BR63" i="96"/>
  <c r="EC63" i="96" s="1"/>
  <c r="FP63" i="96"/>
  <c r="R65" i="93"/>
  <c r="Z65" i="93" s="1"/>
  <c r="BZ65" i="93" s="1"/>
  <c r="FK65" i="93"/>
  <c r="EK66" i="93" s="1"/>
  <c r="BR64" i="93"/>
  <c r="EC64" i="93" s="1"/>
  <c r="FP64" i="93"/>
  <c r="GC13" i="28"/>
  <c r="GC17" i="28"/>
  <c r="FI17" i="28"/>
  <c r="FJ17" i="28"/>
  <c r="FG17" i="28"/>
  <c r="FF17" i="28"/>
  <c r="FH17" i="28"/>
  <c r="FE17" i="28"/>
  <c r="FF18" i="28"/>
  <c r="FJ18" i="28"/>
  <c r="FG18" i="28"/>
  <c r="FH18" i="28"/>
  <c r="FI18" i="28"/>
  <c r="FE18" i="28"/>
  <c r="G52" i="83"/>
  <c r="S52" i="83" s="1"/>
  <c r="J94" i="6"/>
  <c r="P62" i="83"/>
  <c r="W61" i="83"/>
  <c r="X61" i="83"/>
  <c r="P61" i="82"/>
  <c r="X60" i="82"/>
  <c r="W60" i="82"/>
  <c r="I638" i="6"/>
  <c r="J638" i="6" s="1"/>
  <c r="I641" i="6"/>
  <c r="J641" i="6" s="1"/>
  <c r="I633" i="6"/>
  <c r="J633" i="6" s="1"/>
  <c r="I637" i="6"/>
  <c r="J637" i="6" s="1"/>
  <c r="I635" i="6"/>
  <c r="J635" i="6" s="1"/>
  <c r="I645" i="6"/>
  <c r="J645" i="6" s="1"/>
  <c r="I636" i="6"/>
  <c r="J636" i="6" s="1"/>
  <c r="I634" i="6"/>
  <c r="J634" i="6" s="1"/>
  <c r="I642" i="6"/>
  <c r="J642" i="6" s="1"/>
  <c r="I644" i="6"/>
  <c r="J644" i="6" s="1"/>
  <c r="I648" i="6"/>
  <c r="J648" i="6" s="1"/>
  <c r="I646" i="6"/>
  <c r="J646" i="6" s="1"/>
  <c r="I640" i="6"/>
  <c r="J640" i="6" s="1"/>
  <c r="I639" i="6"/>
  <c r="J639" i="6" s="1"/>
  <c r="I534" i="6"/>
  <c r="J534" i="6" s="1"/>
  <c r="I469" i="6"/>
  <c r="J469" i="6" s="1"/>
  <c r="I215" i="6"/>
  <c r="J215" i="6" s="1"/>
  <c r="I578" i="6"/>
  <c r="J578" i="6" s="1"/>
  <c r="I203" i="6"/>
  <c r="J203" i="6" s="1"/>
  <c r="I592" i="6"/>
  <c r="J592" i="6" s="1"/>
  <c r="I374" i="6"/>
  <c r="J374" i="6" s="1"/>
  <c r="I103" i="6"/>
  <c r="J103" i="6" s="1"/>
  <c r="I503" i="6"/>
  <c r="J503" i="6" s="1"/>
  <c r="I133" i="6"/>
  <c r="J133" i="6" s="1"/>
  <c r="I170" i="6"/>
  <c r="J170" i="6" s="1"/>
  <c r="I289" i="6"/>
  <c r="J289" i="6" s="1"/>
  <c r="I488" i="6"/>
  <c r="J488" i="6" s="1"/>
  <c r="I58" i="6"/>
  <c r="I357" i="6"/>
  <c r="J357" i="6" s="1"/>
  <c r="I35" i="6"/>
  <c r="J35" i="6" s="1"/>
  <c r="I345" i="6"/>
  <c r="J345" i="6" s="1"/>
  <c r="I71" i="6"/>
  <c r="J71" i="6" s="1"/>
  <c r="I456" i="6"/>
  <c r="J456" i="6" s="1"/>
  <c r="I332" i="6"/>
  <c r="J332" i="6" s="1"/>
  <c r="I247" i="6"/>
  <c r="J247" i="6" s="1"/>
  <c r="I372" i="6"/>
  <c r="J372" i="6" s="1"/>
  <c r="I582" i="6"/>
  <c r="J582" i="6" s="1"/>
  <c r="I411" i="6"/>
  <c r="J411" i="6" s="1"/>
  <c r="I489" i="6"/>
  <c r="J489" i="6" s="1"/>
  <c r="I222" i="6"/>
  <c r="I210" i="6"/>
  <c r="J210" i="6" s="1"/>
  <c r="I390" i="6"/>
  <c r="J390" i="6" s="1"/>
  <c r="I140" i="6"/>
  <c r="J140" i="6" s="1"/>
  <c r="I321" i="6"/>
  <c r="J321" i="6" s="1"/>
  <c r="I377" i="6"/>
  <c r="J377" i="6" s="1"/>
  <c r="I92" i="6"/>
  <c r="J92" i="6" s="1"/>
  <c r="I128" i="6"/>
  <c r="J128" i="6" s="1"/>
  <c r="I179" i="6"/>
  <c r="I389" i="6"/>
  <c r="J389" i="6" s="1"/>
  <c r="I197" i="6"/>
  <c r="I231" i="6"/>
  <c r="J231" i="6" s="1"/>
  <c r="I612" i="6"/>
  <c r="J612" i="6" s="1"/>
  <c r="I110" i="6"/>
  <c r="J110" i="6" s="1"/>
  <c r="I277" i="6"/>
  <c r="J277" i="6" s="1"/>
  <c r="I606" i="6"/>
  <c r="J606" i="6" s="1"/>
  <c r="I94" i="6"/>
  <c r="K94" i="6" s="1"/>
  <c r="I117" i="6"/>
  <c r="J117" i="6" s="1"/>
  <c r="I89" i="6"/>
  <c r="J89" i="6" s="1"/>
  <c r="I168" i="6"/>
  <c r="J168" i="6" s="1"/>
  <c r="I562" i="6"/>
  <c r="J562" i="6" s="1"/>
  <c r="I212" i="6"/>
  <c r="J212" i="6" s="1"/>
  <c r="I610" i="6"/>
  <c r="J610" i="6" s="1"/>
  <c r="I385" i="6"/>
  <c r="J385" i="6" s="1"/>
  <c r="I551" i="6"/>
  <c r="J551" i="6" s="1"/>
  <c r="I129" i="6"/>
  <c r="J129" i="6" s="1"/>
  <c r="I137" i="6"/>
  <c r="J137" i="6" s="1"/>
  <c r="I126" i="6"/>
  <c r="J126" i="6" s="1"/>
  <c r="I229" i="6"/>
  <c r="I299" i="6"/>
  <c r="J299" i="6" s="1"/>
  <c r="I161" i="6"/>
  <c r="J161" i="6" s="1"/>
  <c r="I281" i="6"/>
  <c r="J281" i="6" s="1"/>
  <c r="I36" i="6"/>
  <c r="I295" i="6"/>
  <c r="J295" i="6" s="1"/>
  <c r="I294" i="6"/>
  <c r="J294" i="6" s="1"/>
  <c r="I125" i="6"/>
  <c r="J125" i="6" s="1"/>
  <c r="I468" i="6"/>
  <c r="J468" i="6" s="1"/>
  <c r="I199" i="6"/>
  <c r="J199" i="6" s="1"/>
  <c r="I238" i="6"/>
  <c r="I404" i="6"/>
  <c r="J404" i="6" s="1"/>
  <c r="I403" i="6"/>
  <c r="J403" i="6" s="1"/>
  <c r="I559" i="6"/>
  <c r="J559" i="6" s="1"/>
  <c r="I558" i="6"/>
  <c r="J558" i="6" s="1"/>
  <c r="I102" i="6"/>
  <c r="J102" i="6" s="1"/>
  <c r="I57" i="6"/>
  <c r="J57" i="6" s="1"/>
  <c r="I433" i="6"/>
  <c r="J433" i="6" s="1"/>
  <c r="I53" i="6"/>
  <c r="J53" i="6" s="1"/>
  <c r="I484" i="6"/>
  <c r="J484" i="6" s="1"/>
  <c r="I17" i="6"/>
  <c r="J17" i="6" s="1"/>
  <c r="I474" i="6"/>
  <c r="J474" i="6" s="1"/>
  <c r="I475" i="6"/>
  <c r="I38" i="6"/>
  <c r="J38" i="6" s="1"/>
  <c r="I492" i="6"/>
  <c r="J492" i="6" s="1"/>
  <c r="I15" i="6"/>
  <c r="J15" i="6" s="1"/>
  <c r="I341" i="6"/>
  <c r="J341" i="6" s="1"/>
  <c r="I175" i="6"/>
  <c r="J175" i="6" s="1"/>
  <c r="I255" i="6"/>
  <c r="J255" i="6" s="1"/>
  <c r="I254" i="6"/>
  <c r="J254" i="6" s="1"/>
  <c r="I326" i="6"/>
  <c r="J326" i="6" s="1"/>
  <c r="I384" i="6"/>
  <c r="J384" i="6" s="1"/>
  <c r="I586" i="6"/>
  <c r="I316" i="6"/>
  <c r="J316" i="6" s="1"/>
  <c r="I358" i="6"/>
  <c r="J358" i="6" s="1"/>
  <c r="I438" i="6"/>
  <c r="J438" i="6" s="1"/>
  <c r="I506" i="6"/>
  <c r="J506" i="6" s="1"/>
  <c r="I577" i="6"/>
  <c r="J577" i="6" s="1"/>
  <c r="I164" i="6"/>
  <c r="K164" i="6" s="1"/>
  <c r="I165" i="6"/>
  <c r="J165" i="6" s="1"/>
  <c r="I77" i="6"/>
  <c r="J77" i="6" s="1"/>
  <c r="I553" i="6"/>
  <c r="J553" i="6" s="1"/>
  <c r="I34" i="6"/>
  <c r="J34" i="6" s="1"/>
  <c r="I482" i="6"/>
  <c r="J482" i="6" s="1"/>
  <c r="I513" i="6"/>
  <c r="J513" i="6" s="1"/>
  <c r="I87" i="6"/>
  <c r="J87" i="6" s="1"/>
  <c r="I206" i="6"/>
  <c r="J206" i="6" s="1"/>
  <c r="I211" i="6"/>
  <c r="J211" i="6" s="1"/>
  <c r="I60" i="6"/>
  <c r="J60" i="6" s="1"/>
  <c r="I402" i="6"/>
  <c r="J402" i="6" s="1"/>
  <c r="I439" i="6"/>
  <c r="J439" i="6" s="1"/>
  <c r="I590" i="6"/>
  <c r="J590" i="6" s="1"/>
  <c r="I632" i="6"/>
  <c r="J632" i="6" s="1"/>
  <c r="I135" i="6"/>
  <c r="J135" i="6" s="1"/>
  <c r="I109" i="6"/>
  <c r="J109" i="6" s="1"/>
  <c r="I37" i="6"/>
  <c r="J37" i="6" s="1"/>
  <c r="I418" i="6"/>
  <c r="J418" i="6" s="1"/>
  <c r="I419" i="6"/>
  <c r="J419" i="6" s="1"/>
  <c r="I445" i="6"/>
  <c r="J445" i="6" s="1"/>
  <c r="I444" i="6"/>
  <c r="J444" i="6" s="1"/>
  <c r="I443" i="6"/>
  <c r="J443" i="6" s="1"/>
  <c r="I598" i="6"/>
  <c r="K598" i="6" s="1"/>
  <c r="I597" i="6"/>
  <c r="J597" i="6" s="1"/>
  <c r="I227" i="6"/>
  <c r="J227" i="6" s="1"/>
  <c r="I225" i="6"/>
  <c r="J225" i="6" s="1"/>
  <c r="I226" i="6"/>
  <c r="J226" i="6" s="1"/>
  <c r="I292" i="6"/>
  <c r="J292" i="6" s="1"/>
  <c r="I171" i="6"/>
  <c r="J171" i="6" s="1"/>
  <c r="I176" i="6"/>
  <c r="J176" i="6" s="1"/>
  <c r="I224" i="6"/>
  <c r="J224" i="6" s="1"/>
  <c r="I382" i="6"/>
  <c r="J382" i="6" s="1"/>
  <c r="I395" i="6"/>
  <c r="I566" i="6"/>
  <c r="J566" i="6" s="1"/>
  <c r="I569" i="6"/>
  <c r="J569" i="6" s="1"/>
  <c r="I568" i="6"/>
  <c r="J568" i="6" s="1"/>
  <c r="I589" i="6"/>
  <c r="J589" i="6" s="1"/>
  <c r="I571" i="6"/>
  <c r="J571" i="6" s="1"/>
  <c r="I228" i="6"/>
  <c r="J228" i="6" s="1"/>
  <c r="I353" i="6"/>
  <c r="J353" i="6" s="1"/>
  <c r="I352" i="6"/>
  <c r="J352" i="6" s="1"/>
  <c r="I354" i="6"/>
  <c r="J354" i="6" s="1"/>
  <c r="I56" i="6"/>
  <c r="J56" i="6" s="1"/>
  <c r="I579" i="6"/>
  <c r="J579" i="6" s="1"/>
  <c r="I267" i="6"/>
  <c r="J267" i="6" s="1"/>
  <c r="I266" i="6"/>
  <c r="J266" i="6" s="1"/>
  <c r="I302" i="6"/>
  <c r="J302" i="6" s="1"/>
  <c r="I301" i="6"/>
  <c r="J301" i="6" s="1"/>
  <c r="I451" i="6"/>
  <c r="J451" i="6" s="1"/>
  <c r="I452" i="6"/>
  <c r="J452" i="6" s="1"/>
  <c r="I449" i="6"/>
  <c r="J449" i="6" s="1"/>
  <c r="I39" i="6"/>
  <c r="J39" i="6" s="1"/>
  <c r="I262" i="6"/>
  <c r="I337" i="6"/>
  <c r="J337" i="6" s="1"/>
  <c r="I510" i="6"/>
  <c r="J510" i="6" s="1"/>
  <c r="I613" i="6"/>
  <c r="J613" i="6" s="1"/>
  <c r="I173" i="6"/>
  <c r="J173" i="6" s="1"/>
  <c r="I74" i="6"/>
  <c r="J74" i="6" s="1"/>
  <c r="I547" i="6"/>
  <c r="J547" i="6" s="1"/>
  <c r="I546" i="6"/>
  <c r="J546" i="6" s="1"/>
  <c r="I66" i="6"/>
  <c r="J66" i="6" s="1"/>
  <c r="I555" i="6"/>
  <c r="J555" i="6" s="1"/>
  <c r="I98" i="6"/>
  <c r="J98" i="6" s="1"/>
  <c r="I518" i="6"/>
  <c r="J518" i="6" s="1"/>
  <c r="I46" i="6"/>
  <c r="J46" i="6" s="1"/>
  <c r="I542" i="6"/>
  <c r="J542" i="6" s="1"/>
  <c r="I543" i="6"/>
  <c r="J543" i="6" s="1"/>
  <c r="I20" i="6"/>
  <c r="J20" i="6" s="1"/>
  <c r="I23" i="6"/>
  <c r="J23" i="6" s="1"/>
  <c r="I420" i="6"/>
  <c r="J420" i="6" s="1"/>
  <c r="I183" i="6"/>
  <c r="J183" i="6" s="1"/>
  <c r="I259" i="6"/>
  <c r="J259" i="6" s="1"/>
  <c r="I330" i="6"/>
  <c r="J330" i="6" s="1"/>
  <c r="I397" i="6"/>
  <c r="J397" i="6" s="1"/>
  <c r="I362" i="6"/>
  <c r="J362" i="6" s="1"/>
  <c r="I363" i="6"/>
  <c r="J363" i="6" s="1"/>
  <c r="I325" i="6"/>
  <c r="J325" i="6" s="1"/>
  <c r="I324" i="6"/>
  <c r="J324" i="6" s="1"/>
  <c r="I370" i="6"/>
  <c r="K370" i="6" s="1"/>
  <c r="I371" i="6"/>
  <c r="J371" i="6" s="1"/>
  <c r="I442" i="6"/>
  <c r="J442" i="6" s="1"/>
  <c r="I519" i="6"/>
  <c r="J519" i="6" s="1"/>
  <c r="I581" i="6"/>
  <c r="J581" i="6" s="1"/>
  <c r="I563" i="6"/>
  <c r="J563" i="6" s="1"/>
  <c r="I576" i="6"/>
  <c r="J576" i="6" s="1"/>
  <c r="I575" i="6"/>
  <c r="J575" i="6" s="1"/>
  <c r="I156" i="6"/>
  <c r="J156" i="6" s="1"/>
  <c r="I565" i="6"/>
  <c r="J565" i="6" s="1"/>
  <c r="I628" i="6"/>
  <c r="J628" i="6" s="1"/>
  <c r="I630" i="6"/>
  <c r="J630" i="6" s="1"/>
  <c r="I629" i="6"/>
  <c r="J629" i="6" s="1"/>
  <c r="I627" i="6"/>
  <c r="J627" i="6" s="1"/>
  <c r="I118" i="6"/>
  <c r="J118" i="6" s="1"/>
  <c r="J197" i="6"/>
  <c r="I209" i="6"/>
  <c r="J209" i="6" s="1"/>
  <c r="I274" i="6"/>
  <c r="K274" i="6" s="1"/>
  <c r="I279" i="6"/>
  <c r="J279" i="6" s="1"/>
  <c r="I61" i="6"/>
  <c r="I494" i="6"/>
  <c r="J494" i="6" s="1"/>
  <c r="I493" i="6"/>
  <c r="J493" i="6" s="1"/>
  <c r="I533" i="6"/>
  <c r="J533" i="6" s="1"/>
  <c r="I531" i="6"/>
  <c r="J531" i="6" s="1"/>
  <c r="I78" i="6"/>
  <c r="J78" i="6" s="1"/>
  <c r="I214" i="6"/>
  <c r="J214" i="6" s="1"/>
  <c r="I217" i="6"/>
  <c r="J217" i="6" s="1"/>
  <c r="I65" i="6"/>
  <c r="J65" i="6" s="1"/>
  <c r="I502" i="6"/>
  <c r="J502" i="6" s="1"/>
  <c r="I550" i="6"/>
  <c r="K550" i="6" s="1"/>
  <c r="I81" i="6"/>
  <c r="J81" i="6" s="1"/>
  <c r="I43" i="6"/>
  <c r="J43" i="6" s="1"/>
  <c r="I303" i="6"/>
  <c r="J303" i="6" s="1"/>
  <c r="I393" i="6"/>
  <c r="J393" i="6" s="1"/>
  <c r="I392" i="6"/>
  <c r="J392" i="6" s="1"/>
  <c r="I237" i="6"/>
  <c r="J237" i="6" s="1"/>
  <c r="I230" i="6"/>
  <c r="J230" i="6" s="1"/>
  <c r="I232" i="6"/>
  <c r="J232" i="6" s="1"/>
  <c r="I233" i="6"/>
  <c r="J233" i="6" s="1"/>
  <c r="I308" i="6"/>
  <c r="J308" i="6" s="1"/>
  <c r="I496" i="6"/>
  <c r="J496" i="6" s="1"/>
  <c r="I495" i="6"/>
  <c r="J495" i="6" s="1"/>
  <c r="I455" i="6"/>
  <c r="J455" i="6" s="1"/>
  <c r="I207" i="6"/>
  <c r="J207" i="6" s="1"/>
  <c r="I208" i="6"/>
  <c r="J208" i="6" s="1"/>
  <c r="I182" i="6"/>
  <c r="J182" i="6" s="1"/>
  <c r="I344" i="6"/>
  <c r="I535" i="6"/>
  <c r="J535" i="6" s="1"/>
  <c r="I163" i="6"/>
  <c r="J163" i="6" s="1"/>
  <c r="I174" i="6"/>
  <c r="J174" i="6" s="1"/>
  <c r="I33" i="6"/>
  <c r="J33" i="6" s="1"/>
  <c r="I434" i="6"/>
  <c r="J434" i="6" s="1"/>
  <c r="I564" i="6"/>
  <c r="J564" i="6" s="1"/>
  <c r="I499" i="6"/>
  <c r="J499" i="6" s="1"/>
  <c r="I498" i="6"/>
  <c r="J498" i="6" s="1"/>
  <c r="I132" i="6"/>
  <c r="J132" i="6" s="1"/>
  <c r="I538" i="6"/>
  <c r="I537" i="6"/>
  <c r="J537" i="6" s="1"/>
  <c r="I166" i="6"/>
  <c r="J166" i="6" s="1"/>
  <c r="I150" i="6"/>
  <c r="J150" i="6" s="1"/>
  <c r="I509" i="6"/>
  <c r="J509" i="6" s="1"/>
  <c r="I63" i="6"/>
  <c r="J63" i="6" s="1"/>
  <c r="I331" i="6"/>
  <c r="J331" i="6" s="1"/>
  <c r="I422" i="6"/>
  <c r="J422" i="6" s="1"/>
  <c r="I18" i="6"/>
  <c r="J18" i="6" s="1"/>
  <c r="I44" i="6"/>
  <c r="J44" i="6" s="1"/>
  <c r="I253" i="6"/>
  <c r="J253" i="6" s="1"/>
  <c r="I29" i="6"/>
  <c r="J29" i="6" s="1"/>
  <c r="I583" i="6"/>
  <c r="J583" i="6" s="1"/>
  <c r="I584" i="6"/>
  <c r="J584" i="6" s="1"/>
  <c r="I49" i="6"/>
  <c r="J49" i="6" s="1"/>
  <c r="I169" i="6"/>
  <c r="J169" i="6" s="1"/>
  <c r="I600" i="6"/>
  <c r="J600" i="6" s="1"/>
  <c r="I59" i="6"/>
  <c r="J59" i="6" s="1"/>
  <c r="I86" i="6"/>
  <c r="J86" i="6" s="1"/>
  <c r="I526" i="6"/>
  <c r="J526" i="6" s="1"/>
  <c r="I187" i="6"/>
  <c r="J187" i="6" s="1"/>
  <c r="I263" i="6"/>
  <c r="J263" i="6" s="1"/>
  <c r="I334" i="6"/>
  <c r="I401" i="6"/>
  <c r="J401" i="6" s="1"/>
  <c r="I367" i="6"/>
  <c r="J367" i="6" s="1"/>
  <c r="I329" i="6"/>
  <c r="J329" i="6" s="1"/>
  <c r="I383" i="6"/>
  <c r="J383" i="6" s="1"/>
  <c r="I459" i="6"/>
  <c r="J459" i="6" s="1"/>
  <c r="I523" i="6"/>
  <c r="J523" i="6" s="1"/>
  <c r="I585" i="6"/>
  <c r="J585" i="6" s="1"/>
  <c r="I105" i="6"/>
  <c r="J105" i="6" s="1"/>
  <c r="I104" i="6"/>
  <c r="J104" i="6" s="1"/>
  <c r="I79" i="6"/>
  <c r="J79" i="6" s="1"/>
  <c r="I602" i="6"/>
  <c r="J602" i="6" s="1"/>
  <c r="I148" i="6"/>
  <c r="J148" i="6" s="1"/>
  <c r="I113" i="6"/>
  <c r="J113" i="6" s="1"/>
  <c r="I172" i="6"/>
  <c r="J172" i="6" s="1"/>
  <c r="I291" i="6"/>
  <c r="J291" i="6" s="1"/>
  <c r="I373" i="6"/>
  <c r="J373" i="6" s="1"/>
  <c r="I386" i="6"/>
  <c r="J386" i="6" s="1"/>
  <c r="I268" i="6"/>
  <c r="J268" i="6" s="1"/>
  <c r="I573" i="6"/>
  <c r="J573" i="6" s="1"/>
  <c r="I572" i="6"/>
  <c r="J572" i="6" s="1"/>
  <c r="I236" i="6"/>
  <c r="J236" i="6" s="1"/>
  <c r="I121" i="6"/>
  <c r="J121" i="6" s="1"/>
  <c r="I223" i="6"/>
  <c r="J223" i="6" s="1"/>
  <c r="I282" i="6"/>
  <c r="J282" i="6" s="1"/>
  <c r="I293" i="6"/>
  <c r="J293" i="6" s="1"/>
  <c r="I297" i="6"/>
  <c r="J297" i="6" s="1"/>
  <c r="I298" i="6"/>
  <c r="J298" i="6" s="1"/>
  <c r="I296" i="6"/>
  <c r="J296" i="6" s="1"/>
  <c r="I596" i="6"/>
  <c r="J596" i="6" s="1"/>
  <c r="I595" i="6"/>
  <c r="J595" i="6" s="1"/>
  <c r="I594" i="6"/>
  <c r="J594" i="6" s="1"/>
  <c r="I593" i="6"/>
  <c r="J593" i="6" s="1"/>
  <c r="I284" i="6"/>
  <c r="J284" i="6" s="1"/>
  <c r="I283" i="6"/>
  <c r="J283" i="6" s="1"/>
  <c r="I124" i="6"/>
  <c r="J124" i="6" s="1"/>
  <c r="I41" i="6"/>
  <c r="J41" i="6" s="1"/>
  <c r="I425" i="6"/>
  <c r="J425" i="6" s="1"/>
  <c r="I453" i="6"/>
  <c r="J453" i="6" s="1"/>
  <c r="I69" i="6"/>
  <c r="J69" i="6" s="1"/>
  <c r="J58" i="6"/>
  <c r="I70" i="6"/>
  <c r="J70" i="6" s="1"/>
  <c r="I310" i="6"/>
  <c r="J310" i="6" s="1"/>
  <c r="I309" i="6"/>
  <c r="J309" i="6" s="1"/>
  <c r="I311" i="6"/>
  <c r="J311" i="6" s="1"/>
  <c r="I407" i="6"/>
  <c r="J407" i="6" s="1"/>
  <c r="J395" i="6"/>
  <c r="I561" i="6"/>
  <c r="J561" i="6" s="1"/>
  <c r="I524" i="6"/>
  <c r="J524" i="6" s="1"/>
  <c r="I112" i="6"/>
  <c r="J112" i="6" s="1"/>
  <c r="I80" i="6"/>
  <c r="I567" i="6"/>
  <c r="J567" i="6" s="1"/>
  <c r="I520" i="6"/>
  <c r="J520" i="6" s="1"/>
  <c r="I522" i="6"/>
  <c r="J522" i="6" s="1"/>
  <c r="I521" i="6"/>
  <c r="J521" i="6" s="1"/>
  <c r="I167" i="6"/>
  <c r="J167" i="6" s="1"/>
  <c r="I30" i="6"/>
  <c r="J30" i="6" s="1"/>
  <c r="I479" i="6"/>
  <c r="J479" i="6" s="1"/>
  <c r="I478" i="6"/>
  <c r="J478" i="6" s="1"/>
  <c r="I477" i="6"/>
  <c r="J477" i="6" s="1"/>
  <c r="I366" i="6"/>
  <c r="J366" i="6" s="1"/>
  <c r="I32" i="6"/>
  <c r="J32" i="6" s="1"/>
  <c r="I507" i="6"/>
  <c r="J507" i="6" s="1"/>
  <c r="I552" i="6"/>
  <c r="J552" i="6" s="1"/>
  <c r="I603" i="6"/>
  <c r="J603" i="6" s="1"/>
  <c r="I26" i="6"/>
  <c r="J26" i="6" s="1"/>
  <c r="I462" i="6"/>
  <c r="J462" i="6" s="1"/>
  <c r="I473" i="6"/>
  <c r="J473" i="6" s="1"/>
  <c r="I21" i="6"/>
  <c r="J21" i="6" s="1"/>
  <c r="I185" i="6"/>
  <c r="J185" i="6" s="1"/>
  <c r="I328" i="6"/>
  <c r="I19" i="6"/>
  <c r="J19" i="6" s="1"/>
  <c r="I621" i="6"/>
  <c r="J621" i="6" s="1"/>
  <c r="I127" i="6"/>
  <c r="J127" i="6" s="1"/>
  <c r="I189" i="6"/>
  <c r="J189" i="6" s="1"/>
  <c r="I62" i="6"/>
  <c r="J62" i="6" s="1"/>
  <c r="I64" i="6"/>
  <c r="J64" i="6" s="1"/>
  <c r="I580" i="6"/>
  <c r="J580" i="6" s="1"/>
  <c r="I106" i="6"/>
  <c r="J106" i="6" s="1"/>
  <c r="I188" i="6"/>
  <c r="J188" i="6" s="1"/>
  <c r="J179" i="6"/>
  <c r="I191" i="6"/>
  <c r="J191" i="6" s="1"/>
  <c r="I275" i="6"/>
  <c r="J275" i="6" s="1"/>
  <c r="I343" i="6"/>
  <c r="J343" i="6" s="1"/>
  <c r="I414" i="6"/>
  <c r="J414" i="6" s="1"/>
  <c r="I376" i="6"/>
  <c r="J376" i="6" s="1"/>
  <c r="I333" i="6"/>
  <c r="J333" i="6" s="1"/>
  <c r="I400" i="6"/>
  <c r="J400" i="6" s="1"/>
  <c r="I472" i="6"/>
  <c r="J472" i="6" s="1"/>
  <c r="I544" i="6"/>
  <c r="J544" i="6" s="1"/>
  <c r="I615" i="6"/>
  <c r="J615" i="6" s="1"/>
  <c r="I142" i="6"/>
  <c r="K142" i="6" s="1"/>
  <c r="I178" i="6"/>
  <c r="J178" i="6" s="1"/>
  <c r="I177" i="6"/>
  <c r="J177" i="6" s="1"/>
  <c r="I327" i="6"/>
  <c r="I108" i="6"/>
  <c r="J108" i="6" s="1"/>
  <c r="I93" i="6"/>
  <c r="J93" i="6" s="1"/>
  <c r="I221" i="6"/>
  <c r="J221" i="6" s="1"/>
  <c r="I258" i="6"/>
  <c r="J258" i="6" s="1"/>
  <c r="I406" i="6"/>
  <c r="J406" i="6" s="1"/>
  <c r="I483" i="6"/>
  <c r="J483" i="6" s="1"/>
  <c r="I446" i="6"/>
  <c r="J446" i="6" s="1"/>
  <c r="I618" i="6"/>
  <c r="J618" i="6" s="1"/>
  <c r="I619" i="6"/>
  <c r="J619" i="6" s="1"/>
  <c r="I290" i="6"/>
  <c r="J290" i="6" s="1"/>
  <c r="I130" i="6"/>
  <c r="I180" i="6"/>
  <c r="J180" i="6" s="1"/>
  <c r="I306" i="6"/>
  <c r="J306" i="6" s="1"/>
  <c r="I307" i="6"/>
  <c r="J307" i="6" s="1"/>
  <c r="I381" i="6"/>
  <c r="J381" i="6" s="1"/>
  <c r="I394" i="6"/>
  <c r="J394" i="6" s="1"/>
  <c r="I82" i="6"/>
  <c r="J82" i="6" s="1"/>
  <c r="I361" i="6"/>
  <c r="J361" i="6" s="1"/>
  <c r="I136" i="6"/>
  <c r="J136" i="6" s="1"/>
  <c r="I195" i="6"/>
  <c r="J195" i="6" s="1"/>
  <c r="I194" i="6"/>
  <c r="J194" i="6" s="1"/>
  <c r="I50" i="6"/>
  <c r="J50" i="6" s="1"/>
  <c r="I508" i="6"/>
  <c r="J508" i="6" s="1"/>
  <c r="I570" i="6"/>
  <c r="J570" i="6" s="1"/>
  <c r="I45" i="6"/>
  <c r="J45" i="6" s="1"/>
  <c r="I448" i="6"/>
  <c r="J448" i="6" s="1"/>
  <c r="I447" i="6"/>
  <c r="J447" i="6" s="1"/>
  <c r="I466" i="6"/>
  <c r="J466" i="6" s="1"/>
  <c r="I467" i="6"/>
  <c r="J467" i="6" s="1"/>
  <c r="I609" i="6"/>
  <c r="J609" i="6" s="1"/>
  <c r="I369" i="6"/>
  <c r="J369" i="6" s="1"/>
  <c r="I160" i="6"/>
  <c r="J160" i="6" s="1"/>
  <c r="I151" i="6"/>
  <c r="J151" i="6" s="1"/>
  <c r="I605" i="6"/>
  <c r="J605" i="6" s="1"/>
  <c r="I91" i="6"/>
  <c r="J91" i="6" s="1"/>
  <c r="I120" i="6"/>
  <c r="J120" i="6" s="1"/>
  <c r="I51" i="6"/>
  <c r="J51" i="6" s="1"/>
  <c r="I317" i="6"/>
  <c r="J317" i="6" s="1"/>
  <c r="I435" i="6"/>
  <c r="J435" i="6" s="1"/>
  <c r="I436" i="6"/>
  <c r="J436" i="6" s="1"/>
  <c r="I73" i="6"/>
  <c r="J73" i="6" s="1"/>
  <c r="I536" i="6"/>
  <c r="J536" i="6" s="1"/>
  <c r="I604" i="6"/>
  <c r="J604" i="6" s="1"/>
  <c r="I131" i="6"/>
  <c r="J131" i="6" s="1"/>
  <c r="I471" i="6"/>
  <c r="J471" i="6" s="1"/>
  <c r="I399" i="6"/>
  <c r="J399" i="6" s="1"/>
  <c r="I398" i="6"/>
  <c r="J398" i="6" s="1"/>
  <c r="I16" i="6"/>
  <c r="J16" i="6" s="1"/>
  <c r="I22" i="6"/>
  <c r="J22" i="6" s="1"/>
  <c r="I249" i="6"/>
  <c r="J249" i="6" s="1"/>
  <c r="I437" i="6"/>
  <c r="J437" i="6" s="1"/>
  <c r="I31" i="6"/>
  <c r="J31" i="6" s="1"/>
  <c r="I123" i="6"/>
  <c r="J123" i="6" s="1"/>
  <c r="I192" i="6"/>
  <c r="J192" i="6" s="1"/>
  <c r="I200" i="6"/>
  <c r="J200" i="6" s="1"/>
  <c r="I288" i="6"/>
  <c r="I287" i="6"/>
  <c r="J287" i="6" s="1"/>
  <c r="I351" i="6"/>
  <c r="J351" i="6" s="1"/>
  <c r="I541" i="6"/>
  <c r="J541" i="6" s="1"/>
  <c r="I539" i="6"/>
  <c r="J539" i="6" s="1"/>
  <c r="I540" i="6"/>
  <c r="J540" i="6" s="1"/>
  <c r="I380" i="6"/>
  <c r="J380" i="6" s="1"/>
  <c r="I379" i="6"/>
  <c r="J379" i="6" s="1"/>
  <c r="I378" i="6"/>
  <c r="J378" i="6" s="1"/>
  <c r="I342" i="6"/>
  <c r="J342" i="6" s="1"/>
  <c r="I408" i="6"/>
  <c r="J408" i="6" s="1"/>
  <c r="I409" i="6"/>
  <c r="J409" i="6" s="1"/>
  <c r="I476" i="6"/>
  <c r="J476" i="6" s="1"/>
  <c r="I548" i="6"/>
  <c r="J548" i="6" s="1"/>
  <c r="I623" i="6"/>
  <c r="J623" i="6" s="1"/>
  <c r="I622" i="6"/>
  <c r="J622" i="6" s="1"/>
  <c r="I608" i="6"/>
  <c r="J608" i="6" s="1"/>
  <c r="I205" i="6"/>
  <c r="J205" i="6" s="1"/>
  <c r="I244" i="6"/>
  <c r="J244" i="6" s="1"/>
  <c r="I186" i="6"/>
  <c r="I145" i="6"/>
  <c r="J145" i="6" s="1"/>
  <c r="I181" i="6"/>
  <c r="J181" i="6" s="1"/>
  <c r="I184" i="6"/>
  <c r="J184" i="6" s="1"/>
  <c r="I305" i="6"/>
  <c r="J305" i="6" s="1"/>
  <c r="I304" i="6"/>
  <c r="J304" i="6" s="1"/>
  <c r="I339" i="6"/>
  <c r="J339" i="6" s="1"/>
  <c r="J327" i="6"/>
  <c r="I338" i="6"/>
  <c r="J338" i="6" s="1"/>
  <c r="I511" i="6"/>
  <c r="J511" i="6" s="1"/>
  <c r="I512" i="6"/>
  <c r="J512" i="6" s="1"/>
  <c r="I554" i="6"/>
  <c r="J554" i="6" s="1"/>
  <c r="I514" i="6"/>
  <c r="K514" i="6" s="1"/>
  <c r="I107" i="6"/>
  <c r="J107" i="6" s="1"/>
  <c r="I111" i="6"/>
  <c r="J111" i="6" s="1"/>
  <c r="I99" i="6"/>
  <c r="J99" i="6" s="1"/>
  <c r="I235" i="6"/>
  <c r="J235" i="6" s="1"/>
  <c r="I272" i="6"/>
  <c r="J272" i="6" s="1"/>
  <c r="I271" i="6"/>
  <c r="J271" i="6" s="1"/>
  <c r="I421" i="6"/>
  <c r="J421" i="6" s="1"/>
  <c r="I486" i="6"/>
  <c r="J486" i="6" s="1"/>
  <c r="I454" i="6"/>
  <c r="J454" i="6" s="1"/>
  <c r="I114" i="6"/>
  <c r="J114" i="6" s="1"/>
  <c r="I119" i="6"/>
  <c r="J119" i="6" s="1"/>
  <c r="I116" i="6"/>
  <c r="J116" i="6" s="1"/>
  <c r="I251" i="6"/>
  <c r="J251" i="6" s="1"/>
  <c r="I252" i="6"/>
  <c r="J252" i="6" s="1"/>
  <c r="I280" i="6"/>
  <c r="J280" i="6" s="1"/>
  <c r="I320" i="6"/>
  <c r="J320" i="6" s="1"/>
  <c r="I607" i="6"/>
  <c r="J607" i="6" s="1"/>
  <c r="I144" i="6"/>
  <c r="J144" i="6" s="1"/>
  <c r="I54" i="6"/>
  <c r="J54" i="6" s="1"/>
  <c r="I516" i="6"/>
  <c r="J516" i="6" s="1"/>
  <c r="I515" i="6"/>
  <c r="J515" i="6" s="1"/>
  <c r="I587" i="6"/>
  <c r="J587" i="6" s="1"/>
  <c r="I101" i="6"/>
  <c r="J101" i="6" s="1"/>
  <c r="I149" i="6"/>
  <c r="J149" i="6" s="1"/>
  <c r="J222" i="6"/>
  <c r="I234" i="6"/>
  <c r="J234" i="6" s="1"/>
  <c r="I239" i="6"/>
  <c r="J239" i="6" s="1"/>
  <c r="I155" i="6"/>
  <c r="J155" i="6" s="1"/>
  <c r="I72" i="6"/>
  <c r="J72" i="6" s="1"/>
  <c r="I574" i="6"/>
  <c r="J574" i="6" s="1"/>
  <c r="I220" i="6"/>
  <c r="J220" i="6" s="1"/>
  <c r="I248" i="6"/>
  <c r="J248" i="6" s="1"/>
  <c r="I614" i="6"/>
  <c r="J614" i="6" s="1"/>
  <c r="I134" i="6"/>
  <c r="J134" i="6" s="1"/>
  <c r="I67" i="6"/>
  <c r="J67" i="6" s="1"/>
  <c r="I68" i="6"/>
  <c r="J68" i="6" s="1"/>
  <c r="I458" i="6"/>
  <c r="J458" i="6" s="1"/>
  <c r="I457" i="6"/>
  <c r="J457" i="6" s="1"/>
  <c r="I42" i="6"/>
  <c r="J42" i="6" s="1"/>
  <c r="I416" i="6"/>
  <c r="J416" i="6" s="1"/>
  <c r="I415" i="6"/>
  <c r="J415" i="6" s="1"/>
  <c r="I241" i="6"/>
  <c r="J241" i="6" s="1"/>
  <c r="I240" i="6"/>
  <c r="J240" i="6" s="1"/>
  <c r="J229" i="6"/>
  <c r="I261" i="6"/>
  <c r="J261" i="6" s="1"/>
  <c r="I260" i="6"/>
  <c r="J260" i="6" s="1"/>
  <c r="I40" i="6"/>
  <c r="J40" i="6" s="1"/>
  <c r="I410" i="6"/>
  <c r="J410" i="6" s="1"/>
  <c r="I412" i="6"/>
  <c r="J412" i="6" s="1"/>
  <c r="I588" i="6"/>
  <c r="J588" i="6" s="1"/>
  <c r="I75" i="6"/>
  <c r="J75" i="6" s="1"/>
  <c r="I245" i="6"/>
  <c r="J245" i="6" s="1"/>
  <c r="I257" i="6"/>
  <c r="J257" i="6" s="1"/>
  <c r="I201" i="6"/>
  <c r="J201" i="6" s="1"/>
  <c r="I300" i="6"/>
  <c r="J300" i="6" s="1"/>
  <c r="J288" i="6"/>
  <c r="I355" i="6"/>
  <c r="J355" i="6" s="1"/>
  <c r="I545" i="6"/>
  <c r="J545" i="6" s="1"/>
  <c r="I387" i="6"/>
  <c r="J387" i="6" s="1"/>
  <c r="I388" i="6"/>
  <c r="J388" i="6" s="1"/>
  <c r="I346" i="6"/>
  <c r="K346" i="6" s="1"/>
  <c r="I413" i="6"/>
  <c r="J413" i="6" s="1"/>
  <c r="I480" i="6"/>
  <c r="J480" i="6" s="1"/>
  <c r="I481" i="6"/>
  <c r="J481" i="6" s="1"/>
  <c r="I556" i="6"/>
  <c r="J556" i="6" s="1"/>
  <c r="I97" i="6"/>
  <c r="J97" i="6" s="1"/>
  <c r="I265" i="6"/>
  <c r="J265" i="6" s="1"/>
  <c r="I264" i="6"/>
  <c r="J264" i="6" s="1"/>
  <c r="I347" i="6"/>
  <c r="J347" i="6" s="1"/>
  <c r="I213" i="6"/>
  <c r="J213" i="6" s="1"/>
  <c r="I250" i="6"/>
  <c r="J250" i="6" s="1"/>
  <c r="I450" i="6"/>
  <c r="J450" i="6" s="1"/>
  <c r="I424" i="6"/>
  <c r="J424" i="6" s="1"/>
  <c r="I611" i="6"/>
  <c r="J611" i="6" s="1"/>
  <c r="I617" i="6"/>
  <c r="J617" i="6" s="1"/>
  <c r="I631" i="6"/>
  <c r="J631" i="6" s="1"/>
  <c r="I153" i="6"/>
  <c r="J153" i="6" s="1"/>
  <c r="I190" i="6"/>
  <c r="J190" i="6" s="1"/>
  <c r="I318" i="6"/>
  <c r="J318" i="6" s="1"/>
  <c r="I319" i="6"/>
  <c r="J319" i="6" s="1"/>
  <c r="I365" i="6"/>
  <c r="J365" i="6" s="1"/>
  <c r="I364" i="6"/>
  <c r="J364" i="6" s="1"/>
  <c r="I532" i="6"/>
  <c r="J532" i="6" s="1"/>
  <c r="I557" i="6"/>
  <c r="J557" i="6" s="1"/>
  <c r="I517" i="6"/>
  <c r="J517" i="6" s="1"/>
  <c r="I158" i="6"/>
  <c r="J158" i="6" s="1"/>
  <c r="I159" i="6"/>
  <c r="J159" i="6" s="1"/>
  <c r="I193" i="6"/>
  <c r="J193" i="6" s="1"/>
  <c r="I368" i="6"/>
  <c r="J368" i="6" s="1"/>
  <c r="I115" i="6"/>
  <c r="J115" i="6" s="1"/>
  <c r="I83" i="6"/>
  <c r="J83" i="6" s="1"/>
  <c r="I84" i="6"/>
  <c r="J84" i="6" s="1"/>
  <c r="I85" i="6"/>
  <c r="J85" i="6" s="1"/>
  <c r="I375" i="6"/>
  <c r="J375" i="6" s="1"/>
  <c r="I601" i="6"/>
  <c r="J601" i="6" s="1"/>
  <c r="I391" i="6"/>
  <c r="J391" i="6" s="1"/>
  <c r="I616" i="6"/>
  <c r="J616" i="6" s="1"/>
  <c r="I527" i="6"/>
  <c r="J527" i="6" s="1"/>
  <c r="I528" i="6"/>
  <c r="J528" i="6" s="1"/>
  <c r="I141" i="6"/>
  <c r="J141" i="6" s="1"/>
  <c r="I246" i="6"/>
  <c r="J246" i="6" s="1"/>
  <c r="I312" i="6"/>
  <c r="J312" i="6" s="1"/>
  <c r="I323" i="6"/>
  <c r="J323" i="6" s="1"/>
  <c r="I152" i="6"/>
  <c r="J152" i="6" s="1"/>
  <c r="I162" i="6"/>
  <c r="J162" i="6" s="1"/>
  <c r="I154" i="6"/>
  <c r="J154" i="6" s="1"/>
  <c r="I465" i="6"/>
  <c r="J465" i="6" s="1"/>
  <c r="I90" i="6"/>
  <c r="J90" i="6" s="1"/>
  <c r="I591" i="6"/>
  <c r="J591" i="6" s="1"/>
  <c r="I256" i="6"/>
  <c r="J256" i="6" s="1"/>
  <c r="I490" i="6"/>
  <c r="K490" i="6" s="1"/>
  <c r="I491" i="6"/>
  <c r="J491" i="6" s="1"/>
  <c r="I76" i="6"/>
  <c r="J76" i="6" s="1"/>
  <c r="I202" i="6"/>
  <c r="J202" i="6" s="1"/>
  <c r="I14" i="6"/>
  <c r="J14" i="6" s="1"/>
  <c r="I204" i="6"/>
  <c r="J204" i="6" s="1"/>
  <c r="I96" i="6"/>
  <c r="J96" i="6" s="1"/>
  <c r="I198" i="6"/>
  <c r="J198" i="6" s="1"/>
  <c r="J186" i="6"/>
  <c r="I196" i="6"/>
  <c r="J196" i="6" s="1"/>
  <c r="I349" i="6"/>
  <c r="J349" i="6" s="1"/>
  <c r="I55" i="6"/>
  <c r="J55" i="6" s="1"/>
  <c r="I505" i="6"/>
  <c r="J505" i="6" s="1"/>
  <c r="I504" i="6"/>
  <c r="J504" i="6" s="1"/>
  <c r="I286" i="6"/>
  <c r="I285" i="6"/>
  <c r="J285" i="6" s="1"/>
  <c r="I27" i="6"/>
  <c r="J27" i="6" s="1"/>
  <c r="I335" i="6"/>
  <c r="J335" i="6" s="1"/>
  <c r="I336" i="6"/>
  <c r="J336" i="6" s="1"/>
  <c r="I48" i="6"/>
  <c r="J48" i="6" s="1"/>
  <c r="I47" i="6"/>
  <c r="J47" i="6" s="1"/>
  <c r="J36" i="6"/>
  <c r="I441" i="6"/>
  <c r="J441" i="6" s="1"/>
  <c r="I24" i="6"/>
  <c r="J24" i="6" s="1"/>
  <c r="I25" i="6"/>
  <c r="J25" i="6" s="1"/>
  <c r="I143" i="6"/>
  <c r="J143" i="6" s="1"/>
  <c r="I314" i="6"/>
  <c r="J314" i="6" s="1"/>
  <c r="I315" i="6"/>
  <c r="J315" i="6" s="1"/>
  <c r="I276" i="6"/>
  <c r="J276" i="6" s="1"/>
  <c r="I242" i="6"/>
  <c r="J242" i="6" s="1"/>
  <c r="I243" i="6"/>
  <c r="J243" i="6" s="1"/>
  <c r="I313" i="6"/>
  <c r="J313" i="6" s="1"/>
  <c r="I348" i="6"/>
  <c r="J348" i="6" s="1"/>
  <c r="I359" i="6"/>
  <c r="J359" i="6" s="1"/>
  <c r="I549" i="6"/>
  <c r="J549" i="6" s="1"/>
  <c r="I396" i="6"/>
  <c r="J396" i="6" s="1"/>
  <c r="I350" i="6"/>
  <c r="J350" i="6" s="1"/>
  <c r="I417" i="6"/>
  <c r="J417" i="6" s="1"/>
  <c r="I485" i="6"/>
  <c r="J485" i="6" s="1"/>
  <c r="I560" i="6"/>
  <c r="J560" i="6" s="1"/>
  <c r="I157" i="6"/>
  <c r="J157" i="6" s="1"/>
  <c r="I52" i="6"/>
  <c r="J52" i="6" s="1"/>
  <c r="J328" i="6"/>
  <c r="I340" i="6"/>
  <c r="J340" i="6" s="1"/>
  <c r="I430" i="6"/>
  <c r="J430" i="6" s="1"/>
  <c r="I429" i="6"/>
  <c r="J429" i="6" s="1"/>
  <c r="I428" i="6"/>
  <c r="J428" i="6" s="1"/>
  <c r="I427" i="6"/>
  <c r="J427" i="6" s="1"/>
  <c r="I28" i="6"/>
  <c r="J28" i="6" s="1"/>
  <c r="I273" i="6"/>
  <c r="J273" i="6" s="1"/>
  <c r="I360" i="6"/>
  <c r="J360" i="6" s="1"/>
  <c r="I525" i="6"/>
  <c r="J525" i="6" s="1"/>
  <c r="I529" i="6"/>
  <c r="J529" i="6" s="1"/>
  <c r="I530" i="6"/>
  <c r="J530" i="6" s="1"/>
  <c r="I500" i="6"/>
  <c r="J500" i="6" s="1"/>
  <c r="I501" i="6"/>
  <c r="J501" i="6" s="1"/>
  <c r="I497" i="6"/>
  <c r="J497" i="6" s="1"/>
  <c r="I216" i="6"/>
  <c r="J216" i="6" s="1"/>
  <c r="I270" i="6"/>
  <c r="J270" i="6" s="1"/>
  <c r="I269" i="6"/>
  <c r="J269" i="6" s="1"/>
  <c r="I463" i="6"/>
  <c r="J463" i="6" s="1"/>
  <c r="I464" i="6"/>
  <c r="J464" i="6" s="1"/>
  <c r="I431" i="6"/>
  <c r="J431" i="6" s="1"/>
  <c r="I432" i="6"/>
  <c r="J432" i="6" s="1"/>
  <c r="I620" i="6"/>
  <c r="J620" i="6" s="1"/>
  <c r="I624" i="6"/>
  <c r="J624" i="6" s="1"/>
  <c r="I626" i="6"/>
  <c r="J626" i="6" s="1"/>
  <c r="I625" i="6"/>
  <c r="J625" i="6" s="1"/>
  <c r="I219" i="6"/>
  <c r="J219" i="6" s="1"/>
  <c r="I278" i="6"/>
  <c r="J278" i="6" s="1"/>
  <c r="J475" i="6"/>
  <c r="I487" i="6"/>
  <c r="J487" i="6" s="1"/>
  <c r="I122" i="6"/>
  <c r="J122" i="6" s="1"/>
  <c r="I139" i="6"/>
  <c r="J139" i="6" s="1"/>
  <c r="I138" i="6"/>
  <c r="J138" i="6" s="1"/>
  <c r="I95" i="6"/>
  <c r="J95" i="6" s="1"/>
  <c r="I88" i="6"/>
  <c r="J88" i="6" s="1"/>
  <c r="I405" i="6"/>
  <c r="J405" i="6" s="1"/>
  <c r="I147" i="6"/>
  <c r="J147" i="6" s="1"/>
  <c r="I146" i="6"/>
  <c r="J146" i="6" s="1"/>
  <c r="I218" i="6"/>
  <c r="J218" i="6" s="1"/>
  <c r="J344" i="6"/>
  <c r="I356" i="6"/>
  <c r="J356" i="6" s="1"/>
  <c r="I426" i="6"/>
  <c r="J426" i="6" s="1"/>
  <c r="I423" i="6"/>
  <c r="J423" i="6" s="1"/>
  <c r="I460" i="6"/>
  <c r="J460" i="6" s="1"/>
  <c r="I100" i="6"/>
  <c r="J100" i="6" s="1"/>
  <c r="I440" i="6"/>
  <c r="J440" i="6" s="1"/>
  <c r="I322" i="6"/>
  <c r="J322" i="6" s="1"/>
  <c r="I470" i="6"/>
  <c r="J470" i="6" s="1"/>
  <c r="I461" i="6"/>
  <c r="J461" i="6" s="1"/>
  <c r="I599" i="6"/>
  <c r="J599" i="6" s="1"/>
  <c r="AN6" i="37"/>
  <c r="AN12" i="37" s="1"/>
  <c r="AL9" i="38"/>
  <c r="AA6" i="38"/>
  <c r="DU19" i="28"/>
  <c r="DV19" i="28"/>
  <c r="DS19" i="28"/>
  <c r="DT20" i="28"/>
  <c r="DS20" i="28"/>
  <c r="DU20" i="28"/>
  <c r="DW19" i="28"/>
  <c r="ED16" i="28"/>
  <c r="AD66" i="93" l="1"/>
  <c r="V66" i="93" s="1"/>
  <c r="EO66" i="93" s="1"/>
  <c r="V65" i="93"/>
  <c r="EO65" i="93" s="1"/>
  <c r="C57" i="109"/>
  <c r="F58" i="71"/>
  <c r="F58" i="110" s="1"/>
  <c r="C58" i="109"/>
  <c r="S49" i="82"/>
  <c r="C48" i="107"/>
  <c r="C62" i="102"/>
  <c r="L63" i="82"/>
  <c r="C62" i="104" s="1"/>
  <c r="B48" i="71"/>
  <c r="B48" i="108"/>
  <c r="B49" i="105"/>
  <c r="G50" i="81"/>
  <c r="L63" i="81"/>
  <c r="B62" i="102"/>
  <c r="B61" i="104"/>
  <c r="X62" i="81"/>
  <c r="W62" i="81"/>
  <c r="E59" i="71"/>
  <c r="E59" i="110" s="1"/>
  <c r="B59" i="109"/>
  <c r="FU66" i="96"/>
  <c r="C62" i="60" s="1"/>
  <c r="BW66" i="96"/>
  <c r="EH66" i="96" s="1"/>
  <c r="FV63" i="96"/>
  <c r="C59" i="56" s="1"/>
  <c r="C59" i="62"/>
  <c r="FV64" i="93"/>
  <c r="B60" i="56" s="1"/>
  <c r="B60" i="62"/>
  <c r="BR64" i="97"/>
  <c r="EC64" i="97" s="1"/>
  <c r="FP64" i="97"/>
  <c r="FV64" i="97" s="1"/>
  <c r="AC66" i="97"/>
  <c r="U66" i="97" s="1"/>
  <c r="EN66" i="97" s="1"/>
  <c r="U65" i="97"/>
  <c r="EN65" i="97" s="1"/>
  <c r="AD65" i="97"/>
  <c r="V64" i="97"/>
  <c r="EO64" i="97" s="1"/>
  <c r="AE65" i="97"/>
  <c r="W64" i="97"/>
  <c r="EP64" i="97" s="1"/>
  <c r="R65" i="97"/>
  <c r="Z65" i="97" s="1"/>
  <c r="BZ65" i="97" s="1"/>
  <c r="FK65" i="97"/>
  <c r="EK66" i="97" s="1"/>
  <c r="AD65" i="96"/>
  <c r="V64" i="96"/>
  <c r="EO64" i="96" s="1"/>
  <c r="R65" i="96"/>
  <c r="Z65" i="96" s="1"/>
  <c r="BZ65" i="96" s="1"/>
  <c r="FK65" i="96"/>
  <c r="EK66" i="96" s="1"/>
  <c r="AC66" i="96"/>
  <c r="U66" i="96" s="1"/>
  <c r="EN66" i="96" s="1"/>
  <c r="U65" i="96"/>
  <c r="EN65" i="96" s="1"/>
  <c r="BR64" i="96"/>
  <c r="EC64" i="96" s="1"/>
  <c r="FP64" i="96"/>
  <c r="AE65" i="96"/>
  <c r="W64" i="96"/>
  <c r="EP64" i="96" s="1"/>
  <c r="BR65" i="93"/>
  <c r="EC65" i="93" s="1"/>
  <c r="FP65" i="93"/>
  <c r="R66" i="93"/>
  <c r="Z66" i="93" s="1"/>
  <c r="BZ66" i="93" s="1"/>
  <c r="FK66" i="93"/>
  <c r="FG16" i="28"/>
  <c r="FH16" i="28"/>
  <c r="FI16" i="28"/>
  <c r="FE16" i="28"/>
  <c r="FJ16" i="28"/>
  <c r="FF16" i="28"/>
  <c r="B53" i="83"/>
  <c r="D53" i="83"/>
  <c r="T52" i="83"/>
  <c r="D51" i="42"/>
  <c r="D51" i="71" s="1"/>
  <c r="J370" i="6"/>
  <c r="J164" i="6"/>
  <c r="J346" i="6"/>
  <c r="J550" i="6"/>
  <c r="J274" i="6"/>
  <c r="J142" i="6"/>
  <c r="J598" i="6"/>
  <c r="J514" i="6"/>
  <c r="J490" i="6"/>
  <c r="P63" i="83"/>
  <c r="X62" i="83"/>
  <c r="W62" i="83"/>
  <c r="P62" i="82"/>
  <c r="W61" i="82"/>
  <c r="X61" i="82"/>
  <c r="K371" i="6"/>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1" i="6"/>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165" i="6"/>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5" i="6"/>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7" i="6"/>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61" i="6"/>
  <c r="K62" i="6" s="1"/>
  <c r="J61" i="6"/>
  <c r="K143" i="6"/>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J286" i="6"/>
  <c r="J262" i="6"/>
  <c r="J238" i="6"/>
  <c r="J80" i="6"/>
  <c r="J130" i="6"/>
  <c r="J538" i="6"/>
  <c r="J586" i="6"/>
  <c r="J334" i="6"/>
  <c r="AO6" i="37"/>
  <c r="AO12" i="37" s="1"/>
  <c r="AB6" i="38"/>
  <c r="AM9" i="38"/>
  <c r="DW18" i="28"/>
  <c r="DV17" i="28"/>
  <c r="DV15" i="28"/>
  <c r="DV16" i="28"/>
  <c r="DV18" i="28"/>
  <c r="DS18" i="28"/>
  <c r="ED15" i="28"/>
  <c r="DU18" i="28"/>
  <c r="DT19" i="28"/>
  <c r="DR19" i="28"/>
  <c r="DR18" i="28"/>
  <c r="F59" i="71" l="1"/>
  <c r="F59" i="110" s="1"/>
  <c r="C59" i="109"/>
  <c r="B50" i="82"/>
  <c r="D50" i="82"/>
  <c r="C49" i="106" s="1"/>
  <c r="T49" i="82"/>
  <c r="C48" i="42"/>
  <c r="S50" i="81"/>
  <c r="B49" i="107"/>
  <c r="B62" i="104"/>
  <c r="X63" i="81"/>
  <c r="W63" i="81"/>
  <c r="B60" i="109"/>
  <c r="E60" i="71"/>
  <c r="E60" i="110" s="1"/>
  <c r="D51" i="108"/>
  <c r="FV64" i="96"/>
  <c r="C60" i="56" s="1"/>
  <c r="C60" i="62"/>
  <c r="FV65" i="93"/>
  <c r="B61" i="56" s="1"/>
  <c r="B61" i="62"/>
  <c r="W65" i="97"/>
  <c r="EP65" i="97" s="1"/>
  <c r="AE66" i="97"/>
  <c r="W66" i="97" s="1"/>
  <c r="EP66" i="97" s="1"/>
  <c r="AD66" i="97"/>
  <c r="V66" i="97" s="1"/>
  <c r="EO66" i="97" s="1"/>
  <c r="V65" i="97"/>
  <c r="EO65" i="97" s="1"/>
  <c r="BR65" i="97"/>
  <c r="EC65" i="97" s="1"/>
  <c r="FP65" i="97"/>
  <c r="FV65" i="97" s="1"/>
  <c r="R66" i="97"/>
  <c r="Z66" i="97" s="1"/>
  <c r="BZ66" i="97" s="1"/>
  <c r="FK66" i="97"/>
  <c r="R66" i="96"/>
  <c r="Z66" i="96" s="1"/>
  <c r="BZ66" i="96" s="1"/>
  <c r="FK66" i="96"/>
  <c r="BR65" i="96"/>
  <c r="EC65" i="96" s="1"/>
  <c r="FP65" i="96"/>
  <c r="AE66" i="96"/>
  <c r="W66" i="96" s="1"/>
  <c r="EP66" i="96" s="1"/>
  <c r="W65" i="96"/>
  <c r="EP65" i="96" s="1"/>
  <c r="AD66" i="96"/>
  <c r="V66" i="96" s="1"/>
  <c r="EO66" i="96" s="1"/>
  <c r="V65" i="96"/>
  <c r="EO65" i="96" s="1"/>
  <c r="BR66" i="93"/>
  <c r="EC66" i="93" s="1"/>
  <c r="FP66" i="93"/>
  <c r="FE15" i="28"/>
  <c r="FF15" i="28"/>
  <c r="FG15" i="28"/>
  <c r="FJ15" i="28"/>
  <c r="FI15" i="28"/>
  <c r="FH15" i="28"/>
  <c r="G53" i="83"/>
  <c r="S53" i="83" s="1"/>
  <c r="X63" i="83"/>
  <c r="W63" i="83"/>
  <c r="P63" i="82"/>
  <c r="X62" i="82"/>
  <c r="W62" i="82"/>
  <c r="K515" i="6"/>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63" i="6"/>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5" i="6"/>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599" i="6"/>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551" i="6"/>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AP6" i="37"/>
  <c r="AP12" i="37" s="1"/>
  <c r="AN9" i="38"/>
  <c r="AC6" i="38"/>
  <c r="DU17" i="28"/>
  <c r="DV14" i="28"/>
  <c r="DT17" i="28"/>
  <c r="DT18" i="28"/>
  <c r="ED14" i="28"/>
  <c r="DS17" i="28"/>
  <c r="DW17" i="28"/>
  <c r="F60" i="71" l="1"/>
  <c r="F60" i="110" s="1"/>
  <c r="C60" i="109"/>
  <c r="C48" i="71"/>
  <c r="C48" i="108"/>
  <c r="C49" i="105"/>
  <c r="G50" i="82"/>
  <c r="B49" i="42"/>
  <c r="B51" i="81"/>
  <c r="D51" i="81"/>
  <c r="B50" i="106" s="1"/>
  <c r="T50" i="81"/>
  <c r="B61" i="109"/>
  <c r="E61" i="71"/>
  <c r="E61" i="110" s="1"/>
  <c r="FV65" i="96"/>
  <c r="C61" i="56" s="1"/>
  <c r="C61" i="62"/>
  <c r="FV66" i="93"/>
  <c r="B62" i="56" s="1"/>
  <c r="B62" i="62"/>
  <c r="BR66" i="97"/>
  <c r="EC66" i="97" s="1"/>
  <c r="FP66" i="97"/>
  <c r="FV66" i="97" s="1"/>
  <c r="BR66" i="96"/>
  <c r="EC66" i="96" s="1"/>
  <c r="FP66" i="96"/>
  <c r="FH14" i="28"/>
  <c r="FI14" i="28"/>
  <c r="FJ14" i="28"/>
  <c r="FE14" i="28"/>
  <c r="FF14" i="28"/>
  <c r="FG14" i="28"/>
  <c r="B54" i="83"/>
  <c r="D54" i="83"/>
  <c r="T53" i="83"/>
  <c r="D52" i="42"/>
  <c r="D52" i="71" s="1"/>
  <c r="X63" i="82"/>
  <c r="W63" i="82"/>
  <c r="AD6" i="38"/>
  <c r="AO9" i="38"/>
  <c r="DV13" i="28"/>
  <c r="ED13" i="28"/>
  <c r="DU16" i="28"/>
  <c r="DS16" i="28"/>
  <c r="DT16" i="28"/>
  <c r="DW16" i="28"/>
  <c r="DR16" i="28"/>
  <c r="DV12" i="28"/>
  <c r="DR17" i="28"/>
  <c r="F61" i="71" l="1"/>
  <c r="F61" i="110" s="1"/>
  <c r="C61" i="109"/>
  <c r="S50" i="82"/>
  <c r="C49" i="107"/>
  <c r="B50" i="105"/>
  <c r="G51" i="81"/>
  <c r="B49" i="108"/>
  <c r="B49" i="71"/>
  <c r="E62" i="71"/>
  <c r="E62" i="110" s="1"/>
  <c r="B62" i="109"/>
  <c r="D52" i="108"/>
  <c r="FV66" i="96"/>
  <c r="C62" i="56" s="1"/>
  <c r="C62" i="62"/>
  <c r="FJ13" i="28"/>
  <c r="FI13" i="28"/>
  <c r="FF13" i="28"/>
  <c r="FH13" i="28"/>
  <c r="FE13" i="28"/>
  <c r="FG13" i="28"/>
  <c r="G54" i="83"/>
  <c r="S54" i="83" s="1"/>
  <c r="AP9" i="38"/>
  <c r="AE6" i="38"/>
  <c r="DU15" i="28"/>
  <c r="DW15" i="28"/>
  <c r="ED12" i="28"/>
  <c r="DV11" i="28"/>
  <c r="DS15" i="28"/>
  <c r="F62" i="71" l="1"/>
  <c r="F62" i="110" s="1"/>
  <c r="C62" i="109"/>
  <c r="D51" i="82"/>
  <c r="C50" i="106" s="1"/>
  <c r="T50" i="82"/>
  <c r="C49" i="42"/>
  <c r="B51" i="82"/>
  <c r="S51" i="81"/>
  <c r="B50" i="107"/>
  <c r="FG12" i="28"/>
  <c r="FH12" i="28"/>
  <c r="FF12" i="28"/>
  <c r="FI12" i="28"/>
  <c r="FE12" i="28"/>
  <c r="FJ12" i="28"/>
  <c r="B55" i="83"/>
  <c r="D55" i="83"/>
  <c r="D53" i="42"/>
  <c r="D53" i="71" s="1"/>
  <c r="T54" i="83"/>
  <c r="AF6" i="38"/>
  <c r="DW14" i="28"/>
  <c r="DV10" i="28"/>
  <c r="ED11" i="28"/>
  <c r="DT15" i="28"/>
  <c r="DU14" i="28"/>
  <c r="DR15" i="28"/>
  <c r="C50" i="105" l="1"/>
  <c r="G51" i="82"/>
  <c r="C49" i="108"/>
  <c r="C49" i="71"/>
  <c r="D52" i="81"/>
  <c r="B51" i="106" s="1"/>
  <c r="B50" i="42"/>
  <c r="T51" i="81"/>
  <c r="B52" i="81"/>
  <c r="D53" i="108"/>
  <c r="FE11" i="28"/>
  <c r="FF11" i="28"/>
  <c r="FJ11" i="28"/>
  <c r="FG11" i="28"/>
  <c r="FH11" i="28"/>
  <c r="FI11" i="28"/>
  <c r="G55" i="83"/>
  <c r="S55" i="83" s="1"/>
  <c r="AG6" i="38"/>
  <c r="DW13" i="28"/>
  <c r="DU13" i="28"/>
  <c r="DS13" i="28"/>
  <c r="DV9" i="28"/>
  <c r="DS14" i="28"/>
  <c r="DT13" i="28"/>
  <c r="DR14" i="28"/>
  <c r="ED10" i="28"/>
  <c r="DT14" i="28"/>
  <c r="S51" i="82" l="1"/>
  <c r="C50" i="107"/>
  <c r="B50" i="108"/>
  <c r="B50" i="71"/>
  <c r="B51" i="105"/>
  <c r="G52" i="81"/>
  <c r="FF10" i="28"/>
  <c r="FJ10" i="28"/>
  <c r="FI10" i="28"/>
  <c r="FE10" i="28"/>
  <c r="FH10" i="28"/>
  <c r="FG10" i="28"/>
  <c r="B56" i="83"/>
  <c r="D56" i="83"/>
  <c r="T55" i="83"/>
  <c r="D54" i="42"/>
  <c r="D54" i="71" s="1"/>
  <c r="AH6" i="38"/>
  <c r="DU12" i="28"/>
  <c r="DW12" i="28"/>
  <c r="DV8" i="28"/>
  <c r="DS12" i="28"/>
  <c r="ED9" i="28"/>
  <c r="DT12" i="28"/>
  <c r="DR13" i="28"/>
  <c r="DR12" i="28"/>
  <c r="D52" i="82" l="1"/>
  <c r="C51" i="106" s="1"/>
  <c r="B52" i="82"/>
  <c r="T51" i="82"/>
  <c r="C50" i="42"/>
  <c r="B51" i="107"/>
  <c r="S52" i="81"/>
  <c r="D53" i="81" s="1"/>
  <c r="D54" i="108"/>
  <c r="FI9" i="28"/>
  <c r="FJ9" i="28"/>
  <c r="FH9" i="28"/>
  <c r="FF9" i="28"/>
  <c r="FE9" i="28"/>
  <c r="FG9" i="28"/>
  <c r="G56" i="83"/>
  <c r="S56" i="83" s="1"/>
  <c r="AI6" i="38"/>
  <c r="DU11" i="28"/>
  <c r="DS11" i="28"/>
  <c r="DF7" i="28"/>
  <c r="DV7" i="28" s="1"/>
  <c r="ED8" i="28"/>
  <c r="DR11" i="28"/>
  <c r="DW11" i="28"/>
  <c r="DT11" i="28"/>
  <c r="C50" i="108" l="1"/>
  <c r="C50" i="71"/>
  <c r="G52" i="82"/>
  <c r="C51" i="105"/>
  <c r="B53" i="81"/>
  <c r="T52" i="81"/>
  <c r="B51" i="42"/>
  <c r="FG8" i="28"/>
  <c r="FH8" i="28"/>
  <c r="FJ8" i="28"/>
  <c r="FF8" i="28"/>
  <c r="FI8" i="28"/>
  <c r="FE8" i="28"/>
  <c r="B57" i="83"/>
  <c r="D57" i="83"/>
  <c r="T56" i="83"/>
  <c r="D55" i="42"/>
  <c r="D55" i="71" s="1"/>
  <c r="AJ6" i="38"/>
  <c r="DW10" i="28"/>
  <c r="ED6" i="28"/>
  <c r="ED7" i="28"/>
  <c r="DU10" i="28"/>
  <c r="DS10" i="28"/>
  <c r="S52" i="82" l="1"/>
  <c r="C51" i="107"/>
  <c r="B52" i="106"/>
  <c r="I10" i="40"/>
  <c r="B52" i="105"/>
  <c r="I6" i="40"/>
  <c r="G53" i="81"/>
  <c r="B51" i="71"/>
  <c r="B51" i="108"/>
  <c r="D55" i="108"/>
  <c r="G57" i="83"/>
  <c r="S57" i="83" s="1"/>
  <c r="T57" i="83" s="1"/>
  <c r="FE7" i="28"/>
  <c r="FF7" i="28"/>
  <c r="FH7" i="28"/>
  <c r="FI7" i="28"/>
  <c r="FJ7" i="28"/>
  <c r="FG7" i="28"/>
  <c r="FI6" i="28"/>
  <c r="FE6" i="28"/>
  <c r="FH6" i="28"/>
  <c r="FJ6" i="28"/>
  <c r="FF6" i="28"/>
  <c r="FG6" i="28"/>
  <c r="AK6" i="38"/>
  <c r="DW9" i="28"/>
  <c r="DT10" i="28"/>
  <c r="DR10" i="28"/>
  <c r="DU9" i="28"/>
  <c r="I16" i="40" l="1"/>
  <c r="B53" i="82"/>
  <c r="C51" i="42"/>
  <c r="D53" i="82"/>
  <c r="T52" i="82"/>
  <c r="S53" i="81"/>
  <c r="B52" i="107"/>
  <c r="B58" i="83"/>
  <c r="D58" i="83"/>
  <c r="D56" i="42"/>
  <c r="D56" i="71" s="1"/>
  <c r="AL6" i="38"/>
  <c r="DW8" i="28"/>
  <c r="DE7" i="28"/>
  <c r="DU7" i="28" s="1"/>
  <c r="DG7" i="28"/>
  <c r="DW7" i="28" s="1"/>
  <c r="DU8" i="28"/>
  <c r="DS9" i="28"/>
  <c r="DT9" i="28"/>
  <c r="DR9" i="28"/>
  <c r="I11" i="40" l="1"/>
  <c r="C52" i="106"/>
  <c r="C51" i="108"/>
  <c r="C51" i="71"/>
  <c r="C52" i="105"/>
  <c r="I7" i="40"/>
  <c r="I17" i="40" s="1"/>
  <c r="G53" i="82"/>
  <c r="B52" i="42"/>
  <c r="B54" i="81"/>
  <c r="T53" i="81"/>
  <c r="D54" i="81"/>
  <c r="B53" i="106" s="1"/>
  <c r="D56" i="108"/>
  <c r="G58" i="83"/>
  <c r="S58" i="83" s="1"/>
  <c r="B59" i="83" s="1"/>
  <c r="AM6" i="38"/>
  <c r="DR8" i="28"/>
  <c r="DB7" i="28"/>
  <c r="DR7" i="28" s="1"/>
  <c r="DC7" i="28"/>
  <c r="DS7" i="28" s="1"/>
  <c r="DD7" i="28"/>
  <c r="DT7" i="28" s="1"/>
  <c r="DT8" i="28"/>
  <c r="DS8" i="28"/>
  <c r="S53" i="82" l="1"/>
  <c r="C52" i="107"/>
  <c r="B53" i="105"/>
  <c r="G54" i="81"/>
  <c r="B52" i="71"/>
  <c r="B52" i="108"/>
  <c r="D59" i="83"/>
  <c r="G59" i="83" s="1"/>
  <c r="S59" i="83" s="1"/>
  <c r="D60" i="83" s="1"/>
  <c r="T58" i="83"/>
  <c r="D57" i="42"/>
  <c r="D57" i="71" s="1"/>
  <c r="AN6" i="38"/>
  <c r="D57" i="108" l="1"/>
  <c r="T53" i="82"/>
  <c r="D54" i="82"/>
  <c r="C53" i="106" s="1"/>
  <c r="C52" i="42"/>
  <c r="B54" i="82"/>
  <c r="S54" i="81"/>
  <c r="B53" i="107"/>
  <c r="D58" i="42"/>
  <c r="D58" i="71" s="1"/>
  <c r="D58" i="110" s="1"/>
  <c r="T59" i="83"/>
  <c r="B60" i="83"/>
  <c r="G60" i="83" s="1"/>
  <c r="S60" i="83" s="1"/>
  <c r="D61" i="83" s="1"/>
  <c r="AO6" i="38"/>
  <c r="C52" i="71" l="1"/>
  <c r="C52" i="108"/>
  <c r="G54" i="82"/>
  <c r="C53" i="105"/>
  <c r="B53" i="42"/>
  <c r="D55" i="81"/>
  <c r="B54" i="106" s="1"/>
  <c r="T54" i="81"/>
  <c r="B55" i="81"/>
  <c r="D58" i="108"/>
  <c r="T60" i="83"/>
  <c r="D59" i="42"/>
  <c r="D59" i="71" s="1"/>
  <c r="D59" i="110" s="1"/>
  <c r="B61" i="83"/>
  <c r="G61" i="83" s="1"/>
  <c r="S61" i="83" s="1"/>
  <c r="D62" i="83" s="1"/>
  <c r="AP6" i="38"/>
  <c r="S54" i="82" l="1"/>
  <c r="C53" i="107"/>
  <c r="B54" i="105"/>
  <c r="G55" i="81"/>
  <c r="B53" i="108"/>
  <c r="B53" i="71"/>
  <c r="D59" i="108"/>
  <c r="B62" i="83"/>
  <c r="G62" i="83" s="1"/>
  <c r="S62" i="83" s="1"/>
  <c r="D60" i="42"/>
  <c r="D60" i="71" s="1"/>
  <c r="D60" i="110" s="1"/>
  <c r="T61" i="83"/>
  <c r="C53" i="42" l="1"/>
  <c r="T54" i="82"/>
  <c r="B55" i="82"/>
  <c r="D55" i="82"/>
  <c r="C54" i="106" s="1"/>
  <c r="S55" i="81"/>
  <c r="B54" i="107"/>
  <c r="D60" i="108"/>
  <c r="B63" i="83"/>
  <c r="D63" i="83"/>
  <c r="D61" i="42"/>
  <c r="D61" i="71" s="1"/>
  <c r="D61" i="110" s="1"/>
  <c r="T62" i="83"/>
  <c r="C54" i="105" l="1"/>
  <c r="G55" i="82"/>
  <c r="C53" i="108"/>
  <c r="C53" i="71"/>
  <c r="T55" i="81"/>
  <c r="B54" i="42"/>
  <c r="D56" i="81"/>
  <c r="B55" i="106" s="1"/>
  <c r="B56" i="81"/>
  <c r="D61" i="108"/>
  <c r="G63" i="83"/>
  <c r="S63" i="83" s="1"/>
  <c r="D62" i="42" s="1"/>
  <c r="D62" i="71" s="1"/>
  <c r="D62" i="110" s="1"/>
  <c r="S55" i="82" l="1"/>
  <c r="C54" i="107"/>
  <c r="B54" i="71"/>
  <c r="B54" i="108"/>
  <c r="B55" i="105"/>
  <c r="G56" i="81"/>
  <c r="D62" i="108"/>
  <c r="T63" i="83"/>
  <c r="T55" i="82" l="1"/>
  <c r="C54" i="42"/>
  <c r="B56" i="82"/>
  <c r="D56" i="82"/>
  <c r="C55" i="106" s="1"/>
  <c r="S56" i="81"/>
  <c r="B55" i="107"/>
  <c r="C55" i="105" l="1"/>
  <c r="G56" i="82"/>
  <c r="C54" i="71"/>
  <c r="C54" i="108"/>
  <c r="T56" i="81"/>
  <c r="B55" i="42"/>
  <c r="B57" i="81"/>
  <c r="D57" i="81"/>
  <c r="B56" i="106" s="1"/>
  <c r="S56" i="82" l="1"/>
  <c r="C55" i="107"/>
  <c r="B56" i="105"/>
  <c r="G57" i="81"/>
  <c r="B55" i="108"/>
  <c r="B55" i="71"/>
  <c r="AJ15" i="37"/>
  <c r="Z15" i="37"/>
  <c r="AI15" i="37"/>
  <c r="AG15" i="37"/>
  <c r="AM15" i="37"/>
  <c r="AD15" i="37"/>
  <c r="AP15" i="37"/>
  <c r="AL15" i="37"/>
  <c r="AK15" i="37"/>
  <c r="AB15" i="37"/>
  <c r="AF15" i="37"/>
  <c r="AN15" i="37"/>
  <c r="AE15" i="37"/>
  <c r="AC15" i="37"/>
  <c r="AA15" i="37"/>
  <c r="AO15" i="37"/>
  <c r="AH15" i="37"/>
  <c r="Y15" i="37"/>
  <c r="W14" i="38"/>
  <c r="X14" i="38"/>
  <c r="Y14" i="38" s="1"/>
  <c r="Z14" i="38" s="1"/>
  <c r="D57" i="82" l="1"/>
  <c r="C56" i="106" s="1"/>
  <c r="C55" i="42"/>
  <c r="B57" i="82"/>
  <c r="T56" i="82"/>
  <c r="S57" i="81"/>
  <c r="B56" i="107"/>
  <c r="AA14" i="38"/>
  <c r="Z12" i="38"/>
  <c r="Z15" i="38" s="1"/>
  <c r="Y12" i="38"/>
  <c r="Y15" i="38" s="1"/>
  <c r="G57" i="82" l="1"/>
  <c r="C56" i="105"/>
  <c r="C55" i="71"/>
  <c r="C55" i="108"/>
  <c r="D58" i="81"/>
  <c r="T57" i="81"/>
  <c r="B58" i="81"/>
  <c r="B56" i="42"/>
  <c r="AB14" i="38"/>
  <c r="AA12" i="38"/>
  <c r="AA15" i="38" s="1"/>
  <c r="S57" i="82" l="1"/>
  <c r="C56" i="107"/>
  <c r="B57" i="105"/>
  <c r="G58" i="81"/>
  <c r="J6" i="40"/>
  <c r="B56" i="71"/>
  <c r="B56" i="108"/>
  <c r="J10" i="40"/>
  <c r="B57" i="106"/>
  <c r="AC14" i="38"/>
  <c r="AB12" i="38"/>
  <c r="AB15" i="38" s="1"/>
  <c r="C56" i="42" l="1"/>
  <c r="B58" i="82"/>
  <c r="T57" i="82"/>
  <c r="J16" i="40"/>
  <c r="S58" i="81"/>
  <c r="B57" i="107"/>
  <c r="AC12" i="38"/>
  <c r="AC15" i="38" s="1"/>
  <c r="AD14" i="38"/>
  <c r="C57" i="106" l="1"/>
  <c r="F57" i="106" s="1"/>
  <c r="J11" i="40"/>
  <c r="C56" i="71"/>
  <c r="C56" i="108"/>
  <c r="C57" i="105"/>
  <c r="F57" i="105" s="1"/>
  <c r="J7" i="40"/>
  <c r="J17" i="40" s="1"/>
  <c r="G58" i="82"/>
  <c r="B57" i="42"/>
  <c r="T58" i="81"/>
  <c r="B59" i="81"/>
  <c r="D59" i="81"/>
  <c r="B58" i="106" s="1"/>
  <c r="AD12" i="38"/>
  <c r="AD15" i="38" s="1"/>
  <c r="AE14" i="38"/>
  <c r="S58" i="82" l="1"/>
  <c r="C57" i="107"/>
  <c r="F57" i="107" s="1"/>
  <c r="B58" i="105"/>
  <c r="G59" i="81"/>
  <c r="B57" i="71"/>
  <c r="B57" i="108"/>
  <c r="AF14" i="38"/>
  <c r="AE12" i="38"/>
  <c r="AE15" i="38" s="1"/>
  <c r="D59" i="82" l="1"/>
  <c r="C58" i="106" s="1"/>
  <c r="B59" i="82"/>
  <c r="C57" i="42"/>
  <c r="T58" i="82"/>
  <c r="B58" i="107"/>
  <c r="S59" i="81"/>
  <c r="AG14" i="38"/>
  <c r="AF12" i="38"/>
  <c r="AF15" i="38" s="1"/>
  <c r="C57" i="108" l="1"/>
  <c r="C57" i="71"/>
  <c r="C58" i="105"/>
  <c r="G59" i="82"/>
  <c r="B60" i="81"/>
  <c r="D60" i="81"/>
  <c r="B59" i="106" s="1"/>
  <c r="B58" i="42"/>
  <c r="T59" i="81"/>
  <c r="AH14" i="38"/>
  <c r="AG12" i="38"/>
  <c r="AG15" i="38" s="1"/>
  <c r="S59" i="82" l="1"/>
  <c r="C58" i="107"/>
  <c r="B58" i="71"/>
  <c r="B58" i="108"/>
  <c r="B59" i="105"/>
  <c r="G60" i="81"/>
  <c r="AI14" i="38"/>
  <c r="AH12" i="38"/>
  <c r="AH15" i="38" s="1"/>
  <c r="B60" i="82" l="1"/>
  <c r="D60" i="82"/>
  <c r="C59" i="106" s="1"/>
  <c r="C58" i="42"/>
  <c r="T59" i="82"/>
  <c r="B59" i="107"/>
  <c r="S60" i="81"/>
  <c r="AI12" i="38"/>
  <c r="AI15" i="38" s="1"/>
  <c r="AJ14" i="38"/>
  <c r="C59" i="105" l="1"/>
  <c r="G60" i="82"/>
  <c r="C58" i="71"/>
  <c r="C58" i="110" s="1"/>
  <c r="C58" i="108"/>
  <c r="B59" i="42"/>
  <c r="D61" i="81"/>
  <c r="B60" i="106" s="1"/>
  <c r="B61" i="81"/>
  <c r="T60" i="81"/>
  <c r="AJ12" i="38"/>
  <c r="AJ15" i="38" s="1"/>
  <c r="AK14" i="38"/>
  <c r="S60" i="82" l="1"/>
  <c r="C59" i="107"/>
  <c r="B60" i="105"/>
  <c r="G61" i="81"/>
  <c r="B59" i="71"/>
  <c r="B59" i="108"/>
  <c r="AK12" i="38"/>
  <c r="AK15" i="38" s="1"/>
  <c r="AL14" i="38"/>
  <c r="B61" i="82" l="1"/>
  <c r="T60" i="82"/>
  <c r="C59" i="42"/>
  <c r="D61" i="82"/>
  <c r="C60" i="106" s="1"/>
  <c r="S61" i="81"/>
  <c r="B60" i="107"/>
  <c r="AM14" i="38"/>
  <c r="AL12" i="38"/>
  <c r="AL15" i="38" s="1"/>
  <c r="C59" i="108" l="1"/>
  <c r="C59" i="71"/>
  <c r="C59" i="110" s="1"/>
  <c r="C60" i="105"/>
  <c r="G61" i="82"/>
  <c r="B60" i="42"/>
  <c r="D62" i="81"/>
  <c r="B61" i="106" s="1"/>
  <c r="T61" i="81"/>
  <c r="B62" i="81"/>
  <c r="AN14" i="38"/>
  <c r="AM12" i="38"/>
  <c r="AM15" i="38" s="1"/>
  <c r="S61" i="82" l="1"/>
  <c r="C60" i="107"/>
  <c r="B61" i="105"/>
  <c r="G62" i="81"/>
  <c r="B60" i="71"/>
  <c r="B60" i="108"/>
  <c r="AN12" i="38"/>
  <c r="AN15" i="38" s="1"/>
  <c r="AO14" i="38"/>
  <c r="D62" i="82" l="1"/>
  <c r="C61" i="106" s="1"/>
  <c r="C60" i="42"/>
  <c r="B62" i="82"/>
  <c r="T61" i="82"/>
  <c r="B61" i="107"/>
  <c r="S62" i="81"/>
  <c r="AO12" i="38"/>
  <c r="AO15" i="38" s="1"/>
  <c r="AP14" i="38"/>
  <c r="AP12" i="38" s="1"/>
  <c r="AP15" i="38" s="1"/>
  <c r="W15" i="37"/>
  <c r="W15" i="38" s="1"/>
  <c r="X12" i="38"/>
  <c r="X15" i="37"/>
  <c r="X15" i="38" s="1"/>
  <c r="W12" i="38"/>
  <c r="C61" i="105" l="1"/>
  <c r="G62" i="82"/>
  <c r="C60" i="71"/>
  <c r="C60" i="110" s="1"/>
  <c r="C60" i="108"/>
  <c r="T62" i="81"/>
  <c r="D63" i="81"/>
  <c r="B62" i="106" s="1"/>
  <c r="B63" i="81"/>
  <c r="B61" i="42"/>
  <c r="S62" i="82" l="1"/>
  <c r="C61" i="107"/>
  <c r="B62" i="105"/>
  <c r="G63" i="81"/>
  <c r="B61" i="108"/>
  <c r="B61" i="71"/>
  <c r="T62" i="82" l="1"/>
  <c r="C61" i="42"/>
  <c r="B63" i="82"/>
  <c r="D63" i="82"/>
  <c r="C62" i="106" s="1"/>
  <c r="S63" i="81"/>
  <c r="B62" i="107"/>
  <c r="C62" i="105" l="1"/>
  <c r="G63" i="82"/>
  <c r="C61" i="108"/>
  <c r="C61" i="71"/>
  <c r="C61" i="110" s="1"/>
  <c r="T63" i="81"/>
  <c r="B62" i="42"/>
  <c r="S63" i="82" l="1"/>
  <c r="C62" i="107"/>
  <c r="B62" i="108"/>
  <c r="B62" i="71"/>
  <c r="C62" i="42" l="1"/>
  <c r="T63" i="82"/>
  <c r="C62" i="71" l="1"/>
  <c r="C62" i="110" s="1"/>
  <c r="C62" i="10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 authorId="0" shapeId="0" xr:uid="{E24A4E01-56B0-4140-9246-9CDFDEF58340}">
      <text>
        <r>
          <rPr>
            <b/>
            <sz val="9"/>
            <color indexed="81"/>
            <rFont val="MS P ゴシック"/>
            <family val="3"/>
            <charset val="128"/>
          </rPr>
          <t>参考系列</t>
        </r>
      </text>
    </comment>
  </commentList>
</comments>
</file>

<file path=xl/sharedStrings.xml><?xml version="1.0" encoding="utf-8"?>
<sst xmlns="http://schemas.openxmlformats.org/spreadsheetml/2006/main" count="4920" uniqueCount="717">
  <si>
    <t>産出</t>
    <rPh sb="0" eb="2">
      <t>サンシュツ</t>
    </rPh>
    <phoneticPr fontId="1"/>
  </si>
  <si>
    <t>資本投入</t>
    <rPh sb="0" eb="2">
      <t>シホン</t>
    </rPh>
    <rPh sb="2" eb="4">
      <t>トウニュウ</t>
    </rPh>
    <phoneticPr fontId="1"/>
  </si>
  <si>
    <t>実質金利ギャップ＋固定資本減耗率</t>
    <rPh sb="0" eb="2">
      <t>ジッシツ</t>
    </rPh>
    <rPh sb="2" eb="4">
      <t>キンリ</t>
    </rPh>
    <rPh sb="9" eb="11">
      <t>コテイ</t>
    </rPh>
    <rPh sb="11" eb="13">
      <t>シホン</t>
    </rPh>
    <rPh sb="13" eb="15">
      <t>ゲンモウ</t>
    </rPh>
    <rPh sb="15" eb="16">
      <t>リツ</t>
    </rPh>
    <phoneticPr fontId="1"/>
  </si>
  <si>
    <t>労働投入</t>
    <rPh sb="0" eb="2">
      <t>ロウドウ</t>
    </rPh>
    <rPh sb="2" eb="4">
      <t>トウニュウ</t>
    </rPh>
    <phoneticPr fontId="1"/>
  </si>
  <si>
    <t>資本分配率（労働分配率）</t>
    <rPh sb="0" eb="5">
      <t>シホンブンパイリツ</t>
    </rPh>
    <rPh sb="6" eb="11">
      <t>ロウドウブンパイリツ</t>
    </rPh>
    <phoneticPr fontId="1"/>
  </si>
  <si>
    <t>TFP（全要素生産性）</t>
    <rPh sb="4" eb="10">
      <t>ゼンヨウソセイサンセイ</t>
    </rPh>
    <phoneticPr fontId="1"/>
  </si>
  <si>
    <t>需給ギャップと潜在成長率</t>
    <rPh sb="0" eb="2">
      <t>ジュキュウ</t>
    </rPh>
    <rPh sb="7" eb="12">
      <t>センザイセイチョウリツ</t>
    </rPh>
    <phoneticPr fontId="1"/>
  </si>
  <si>
    <t>年</t>
    <rPh sb="0" eb="1">
      <t>ネン</t>
    </rPh>
    <phoneticPr fontId="1"/>
  </si>
  <si>
    <t>現実建設投資額
（実質、億円）</t>
    <rPh sb="0" eb="2">
      <t>ゲンジツ</t>
    </rPh>
    <rPh sb="2" eb="7">
      <t>ケンセツトウシガク</t>
    </rPh>
    <rPh sb="9" eb="11">
      <t>ジッシツ</t>
    </rPh>
    <rPh sb="12" eb="14">
      <t>オクエン</t>
    </rPh>
    <phoneticPr fontId="1"/>
  </si>
  <si>
    <t>期初
現実有形固定資産
（実質、10億円）</t>
    <rPh sb="0" eb="2">
      <t>キショ</t>
    </rPh>
    <rPh sb="3" eb="5">
      <t>ゲンジツ</t>
    </rPh>
    <rPh sb="5" eb="7">
      <t>ユウケイ</t>
    </rPh>
    <rPh sb="7" eb="11">
      <t>コテイシサン</t>
    </rPh>
    <rPh sb="13" eb="15">
      <t>ジッシツ</t>
    </rPh>
    <rPh sb="18" eb="19">
      <t>オク</t>
    </rPh>
    <rPh sb="19" eb="20">
      <t>エン</t>
    </rPh>
    <phoneticPr fontId="1"/>
  </si>
  <si>
    <t>期初
現実無形固定資産
（実質、10億円）</t>
    <rPh sb="0" eb="2">
      <t>キショ</t>
    </rPh>
    <rPh sb="3" eb="5">
      <t>ゲンジツ</t>
    </rPh>
    <rPh sb="5" eb="7">
      <t>ムケイ</t>
    </rPh>
    <rPh sb="7" eb="11">
      <t>コテイシサン</t>
    </rPh>
    <phoneticPr fontId="1"/>
  </si>
  <si>
    <t>現実資本稼働率</t>
    <rPh sb="0" eb="2">
      <t>ゲンジツ</t>
    </rPh>
    <rPh sb="2" eb="7">
      <t>シホンカドウリツ</t>
    </rPh>
    <phoneticPr fontId="1"/>
  </si>
  <si>
    <t>現実資本投入量
（10億円）</t>
    <rPh sb="0" eb="2">
      <t>ゲンジツ</t>
    </rPh>
    <rPh sb="2" eb="7">
      <t>シホントウニュウリョウ</t>
    </rPh>
    <phoneticPr fontId="1"/>
  </si>
  <si>
    <t>期初
潜在有形固定資産
（10億円）</t>
    <rPh sb="3" eb="5">
      <t>センザイ</t>
    </rPh>
    <rPh sb="5" eb="7">
      <t>ユウケイ</t>
    </rPh>
    <rPh sb="7" eb="11">
      <t>コテイシサン</t>
    </rPh>
    <phoneticPr fontId="1"/>
  </si>
  <si>
    <t>★有形固定資産減耗率</t>
    <rPh sb="1" eb="7">
      <t>ユウケイコテイシサン</t>
    </rPh>
    <rPh sb="7" eb="10">
      <t>ゲンモウリツ</t>
    </rPh>
    <phoneticPr fontId="1"/>
  </si>
  <si>
    <t>★有形固定資産投資
対建設投資額比</t>
    <rPh sb="1" eb="7">
      <t>ユウケイコテイシサン</t>
    </rPh>
    <rPh sb="7" eb="9">
      <t>トウシ</t>
    </rPh>
    <rPh sb="10" eb="11">
      <t>タイ</t>
    </rPh>
    <rPh sb="11" eb="17">
      <t>ケンセツトウシガクヒ</t>
    </rPh>
    <phoneticPr fontId="1"/>
  </si>
  <si>
    <t>期初
潜在無形固定資産
（10億円）</t>
    <rPh sb="5" eb="7">
      <t>ムケイ</t>
    </rPh>
    <rPh sb="7" eb="11">
      <t>コテイシサン</t>
    </rPh>
    <phoneticPr fontId="1"/>
  </si>
  <si>
    <t>★無形固定資産減耗率</t>
    <rPh sb="1" eb="3">
      <t>ムケイ</t>
    </rPh>
    <rPh sb="3" eb="5">
      <t>コテイ</t>
    </rPh>
    <rPh sb="5" eb="7">
      <t>シサン</t>
    </rPh>
    <rPh sb="7" eb="10">
      <t>ゲンモウリツ</t>
    </rPh>
    <phoneticPr fontId="1"/>
  </si>
  <si>
    <t>★無形固定資産投資
対建設投資額比</t>
    <rPh sb="1" eb="3">
      <t>ムケイ</t>
    </rPh>
    <rPh sb="3" eb="5">
      <t>コテイ</t>
    </rPh>
    <rPh sb="5" eb="7">
      <t>シサン</t>
    </rPh>
    <rPh sb="7" eb="9">
      <t>トウシ</t>
    </rPh>
    <rPh sb="10" eb="11">
      <t>タイ</t>
    </rPh>
    <rPh sb="11" eb="17">
      <t>ケンセツトウシガクヒ</t>
    </rPh>
    <phoneticPr fontId="1"/>
  </si>
  <si>
    <t>潜在資本稼働率</t>
    <rPh sb="0" eb="2">
      <t>センザイ</t>
    </rPh>
    <rPh sb="2" eb="7">
      <t>シホンカドウリツ</t>
    </rPh>
    <phoneticPr fontId="1"/>
  </si>
  <si>
    <t>潜在資本投入量
（10億円）</t>
    <rPh sb="0" eb="2">
      <t>センザイ</t>
    </rPh>
    <rPh sb="2" eb="7">
      <t>シホントウニュウリョウ</t>
    </rPh>
    <phoneticPr fontId="1"/>
  </si>
  <si>
    <t>名目長期金利</t>
    <rPh sb="0" eb="2">
      <t>メイモク</t>
    </rPh>
    <rPh sb="2" eb="4">
      <t>チョウキ</t>
    </rPh>
    <rPh sb="4" eb="6">
      <t>キンリ</t>
    </rPh>
    <phoneticPr fontId="1"/>
  </si>
  <si>
    <t>消費者物価上昇率</t>
    <rPh sb="0" eb="3">
      <t>ショウヒシャ</t>
    </rPh>
    <rPh sb="3" eb="5">
      <t>ブッカ</t>
    </rPh>
    <rPh sb="5" eb="8">
      <t>ジョウショウリツ</t>
    </rPh>
    <phoneticPr fontId="1"/>
  </si>
  <si>
    <t>長期期待インフレ率
(CPI）</t>
    <rPh sb="0" eb="2">
      <t>チョウキ</t>
    </rPh>
    <rPh sb="2" eb="4">
      <t>キタイ</t>
    </rPh>
    <rPh sb="8" eb="9">
      <t>リツ</t>
    </rPh>
    <phoneticPr fontId="1"/>
  </si>
  <si>
    <t>潜在成長率</t>
    <rPh sb="0" eb="2">
      <t>センザイ</t>
    </rPh>
    <rPh sb="2" eb="5">
      <t>セイチョウリツ</t>
    </rPh>
    <phoneticPr fontId="1"/>
  </si>
  <si>
    <t>実質金利ギャップ</t>
    <rPh sb="0" eb="2">
      <t>ジッシツ</t>
    </rPh>
    <rPh sb="2" eb="4">
      <t>キンリ</t>
    </rPh>
    <phoneticPr fontId="1"/>
  </si>
  <si>
    <t>実質金利ギャップ
－有形固定資産減耗率</t>
    <rPh sb="0" eb="2">
      <t>ジッシツ</t>
    </rPh>
    <rPh sb="2" eb="4">
      <t>キンリ</t>
    </rPh>
    <phoneticPr fontId="1"/>
  </si>
  <si>
    <t>実質金利ギャップ
－無形固定資産減耗率</t>
    <rPh sb="0" eb="2">
      <t>ジッシツ</t>
    </rPh>
    <rPh sb="2" eb="4">
      <t>キンリ</t>
    </rPh>
    <rPh sb="10" eb="12">
      <t>ムケイ</t>
    </rPh>
    <phoneticPr fontId="1"/>
  </si>
  <si>
    <t>現実平均労働時間
（時間／人）</t>
    <rPh sb="0" eb="2">
      <t>ゲンジツ</t>
    </rPh>
    <rPh sb="2" eb="4">
      <t>ヘイキン</t>
    </rPh>
    <rPh sb="4" eb="6">
      <t>ロウドウ</t>
    </rPh>
    <rPh sb="6" eb="8">
      <t>ジカン</t>
    </rPh>
    <rPh sb="10" eb="12">
      <t>ジカン</t>
    </rPh>
    <rPh sb="13" eb="14">
      <t>ニン</t>
    </rPh>
    <phoneticPr fontId="1"/>
  </si>
  <si>
    <t>現実就業者数
（万人）</t>
    <rPh sb="0" eb="2">
      <t>ゲンジツ</t>
    </rPh>
    <rPh sb="2" eb="6">
      <t>シュウギョウシャスウ</t>
    </rPh>
    <rPh sb="8" eb="9">
      <t>マン</t>
    </rPh>
    <rPh sb="9" eb="10">
      <t>ニン</t>
    </rPh>
    <phoneticPr fontId="1"/>
  </si>
  <si>
    <t>現実労働投入量
（万時間）</t>
    <rPh sb="0" eb="2">
      <t>ゲンジツ</t>
    </rPh>
    <rPh sb="2" eb="7">
      <t>ロウドウトウニュウリョウ</t>
    </rPh>
    <rPh sb="9" eb="10">
      <t>マン</t>
    </rPh>
    <phoneticPr fontId="1"/>
  </si>
  <si>
    <t>潜在平均労働時間
（時間／人）</t>
    <rPh sb="0" eb="2">
      <t>センザイ</t>
    </rPh>
    <rPh sb="2" eb="4">
      <t>ヘイキン</t>
    </rPh>
    <rPh sb="4" eb="6">
      <t>ロウドウ</t>
    </rPh>
    <rPh sb="6" eb="8">
      <t>ジカン</t>
    </rPh>
    <phoneticPr fontId="1"/>
  </si>
  <si>
    <t>★就業者数（全産業）
（万人）</t>
    <rPh sb="1" eb="5">
      <t>シュウギョウシャスウ</t>
    </rPh>
    <rPh sb="6" eb="9">
      <t>ゼンサンギョウ</t>
    </rPh>
    <phoneticPr fontId="1"/>
  </si>
  <si>
    <t>潜在就業者数
（万人）</t>
    <rPh sb="0" eb="2">
      <t>センザイ</t>
    </rPh>
    <rPh sb="2" eb="6">
      <t>シュウギョウシャスウ</t>
    </rPh>
    <phoneticPr fontId="1"/>
  </si>
  <si>
    <t>潜在労働投入量
（万時間）</t>
    <rPh sb="0" eb="2">
      <t>センザイ</t>
    </rPh>
    <rPh sb="2" eb="7">
      <t>ロウドウトウニュウリョウ</t>
    </rPh>
    <phoneticPr fontId="1"/>
  </si>
  <si>
    <t>国内要素所得
（10億円）</t>
    <phoneticPr fontId="1"/>
  </si>
  <si>
    <t>雇用者報酬
（10億円）</t>
    <phoneticPr fontId="1"/>
  </si>
  <si>
    <t>現実資本分配率</t>
    <rPh sb="0" eb="2">
      <t>ゲンジツ</t>
    </rPh>
    <rPh sb="2" eb="7">
      <t>シホンブンパイリツ</t>
    </rPh>
    <phoneticPr fontId="1"/>
  </si>
  <si>
    <t>潜在資本分配率</t>
    <rPh sb="0" eb="2">
      <t>センザイ</t>
    </rPh>
    <rPh sb="2" eb="7">
      <t>シホンブンパイリツ</t>
    </rPh>
    <phoneticPr fontId="1"/>
  </si>
  <si>
    <t>残差実績</t>
    <rPh sb="0" eb="2">
      <t>ザンサ</t>
    </rPh>
    <rPh sb="2" eb="4">
      <t>ジッセキ</t>
    </rPh>
    <phoneticPr fontId="1"/>
  </si>
  <si>
    <t>TFP</t>
    <phoneticPr fontId="1"/>
  </si>
  <si>
    <t>TFP成長率</t>
    <rPh sb="3" eb="6">
      <t>セイチョウリツ</t>
    </rPh>
    <phoneticPr fontId="1"/>
  </si>
  <si>
    <t>実際の需要水準</t>
    <rPh sb="0" eb="2">
      <t>ジッサイ</t>
    </rPh>
    <rPh sb="3" eb="7">
      <t>ジュヨウスイジュン</t>
    </rPh>
    <phoneticPr fontId="1"/>
  </si>
  <si>
    <t>潜在的な供給水準</t>
    <rPh sb="0" eb="3">
      <t>センザイテキ</t>
    </rPh>
    <rPh sb="4" eb="8">
      <t>キョウキュウスイジュン</t>
    </rPh>
    <phoneticPr fontId="1"/>
  </si>
  <si>
    <t>需給ギャップ</t>
    <rPh sb="0" eb="2">
      <t>ジュキュウ</t>
    </rPh>
    <phoneticPr fontId="1"/>
  </si>
  <si>
    <t>潜在成長率</t>
    <rPh sb="0" eb="5">
      <t>センザイセイチョウリツ</t>
    </rPh>
    <phoneticPr fontId="1"/>
  </si>
  <si>
    <t>法人実効税率</t>
    <rPh sb="0" eb="6">
      <t>ホウジンジッコウゼイリツ</t>
    </rPh>
    <phoneticPr fontId="1"/>
  </si>
  <si>
    <t>最適資本ストック
（有形固定資産）</t>
    <rPh sb="0" eb="2">
      <t>サイテキ</t>
    </rPh>
    <rPh sb="2" eb="4">
      <t>シホン</t>
    </rPh>
    <rPh sb="10" eb="16">
      <t>ユウケイコテイシサン</t>
    </rPh>
    <phoneticPr fontId="1"/>
  </si>
  <si>
    <t>最適資本ストック
（無形固定資産）</t>
    <rPh sb="0" eb="2">
      <t>サイテキ</t>
    </rPh>
    <rPh sb="2" eb="4">
      <t>シホン</t>
    </rPh>
    <rPh sb="10" eb="12">
      <t>ムケイ</t>
    </rPh>
    <rPh sb="12" eb="14">
      <t>コテイ</t>
    </rPh>
    <rPh sb="14" eb="16">
      <t>シサン</t>
    </rPh>
    <phoneticPr fontId="1"/>
  </si>
  <si>
    <t>1980年</t>
    <rPh sb="4" eb="5">
      <t>ネン</t>
    </rPh>
    <phoneticPr fontId="1"/>
  </si>
  <si>
    <t>1981年</t>
    <rPh sb="4" eb="5">
      <t>ネン</t>
    </rPh>
    <phoneticPr fontId="1"/>
  </si>
  <si>
    <t>1982年</t>
    <rPh sb="4" eb="5">
      <t>ネン</t>
    </rPh>
    <phoneticPr fontId="1"/>
  </si>
  <si>
    <t>1983年</t>
    <rPh sb="4" eb="5">
      <t>ネン</t>
    </rPh>
    <phoneticPr fontId="1"/>
  </si>
  <si>
    <t>1984年</t>
    <rPh sb="4" eb="5">
      <t>ネン</t>
    </rPh>
    <phoneticPr fontId="1"/>
  </si>
  <si>
    <t>1985年</t>
    <rPh sb="4" eb="5">
      <t>ネン</t>
    </rPh>
    <phoneticPr fontId="1"/>
  </si>
  <si>
    <t>1986年</t>
    <rPh sb="4" eb="5">
      <t>ネン</t>
    </rPh>
    <phoneticPr fontId="1"/>
  </si>
  <si>
    <t>1987年</t>
    <rPh sb="4" eb="5">
      <t>ネン</t>
    </rPh>
    <phoneticPr fontId="1"/>
  </si>
  <si>
    <t>1988年</t>
    <rPh sb="4" eb="5">
      <t>ネン</t>
    </rPh>
    <phoneticPr fontId="1"/>
  </si>
  <si>
    <t>1989年</t>
    <rPh sb="4" eb="5">
      <t>ネン</t>
    </rPh>
    <phoneticPr fontId="1"/>
  </si>
  <si>
    <t>1990年</t>
    <rPh sb="4" eb="5">
      <t>ネン</t>
    </rPh>
    <phoneticPr fontId="1"/>
  </si>
  <si>
    <t>1991年</t>
    <rPh sb="4" eb="5">
      <t>ネン</t>
    </rPh>
    <phoneticPr fontId="1"/>
  </si>
  <si>
    <t>1992年</t>
    <rPh sb="4" eb="5">
      <t>ネン</t>
    </rPh>
    <phoneticPr fontId="1"/>
  </si>
  <si>
    <t>1993年</t>
    <rPh sb="4" eb="5">
      <t>ネン</t>
    </rPh>
    <phoneticPr fontId="1"/>
  </si>
  <si>
    <t>1994年</t>
    <rPh sb="4" eb="5">
      <t>ネン</t>
    </rPh>
    <phoneticPr fontId="1"/>
  </si>
  <si>
    <t>1995年</t>
    <rPh sb="4" eb="5">
      <t>ネン</t>
    </rPh>
    <phoneticPr fontId="1"/>
  </si>
  <si>
    <t>1996年</t>
    <rPh sb="4" eb="5">
      <t>ネン</t>
    </rPh>
    <phoneticPr fontId="1"/>
  </si>
  <si>
    <t>1997年</t>
    <rPh sb="4" eb="5">
      <t>ネン</t>
    </rPh>
    <phoneticPr fontId="1"/>
  </si>
  <si>
    <t>1998年</t>
    <rPh sb="4" eb="5">
      <t>ネン</t>
    </rPh>
    <phoneticPr fontId="1"/>
  </si>
  <si>
    <t>1999年</t>
    <rPh sb="4" eb="5">
      <t>ネン</t>
    </rPh>
    <phoneticPr fontId="1"/>
  </si>
  <si>
    <t>2000年</t>
    <rPh sb="4" eb="5">
      <t>ネン</t>
    </rPh>
    <phoneticPr fontId="1"/>
  </si>
  <si>
    <t>2001年</t>
    <rPh sb="4" eb="5">
      <t>ネン</t>
    </rPh>
    <phoneticPr fontId="1"/>
  </si>
  <si>
    <t>2002年</t>
    <rPh sb="4" eb="5">
      <t>ネン</t>
    </rPh>
    <phoneticPr fontId="1"/>
  </si>
  <si>
    <t>2003年</t>
    <rPh sb="4" eb="5">
      <t>ネン</t>
    </rPh>
    <phoneticPr fontId="1"/>
  </si>
  <si>
    <t>2004年</t>
    <rPh sb="4" eb="5">
      <t>ネン</t>
    </rPh>
    <phoneticPr fontId="1"/>
  </si>
  <si>
    <t>2005年</t>
    <rPh sb="4" eb="5">
      <t>ネン</t>
    </rPh>
    <phoneticPr fontId="1"/>
  </si>
  <si>
    <t>2006年</t>
    <rPh sb="4" eb="5">
      <t>ネン</t>
    </rPh>
    <phoneticPr fontId="1"/>
  </si>
  <si>
    <t>2007年</t>
    <rPh sb="4" eb="5">
      <t>ネン</t>
    </rPh>
    <phoneticPr fontId="1"/>
  </si>
  <si>
    <t>2008年</t>
    <rPh sb="4" eb="5">
      <t>ネン</t>
    </rPh>
    <phoneticPr fontId="1"/>
  </si>
  <si>
    <t>2009年</t>
    <rPh sb="4" eb="5">
      <t>ネン</t>
    </rPh>
    <phoneticPr fontId="1"/>
  </si>
  <si>
    <t>2010年</t>
    <rPh sb="4" eb="5">
      <t>ネン</t>
    </rPh>
    <phoneticPr fontId="1"/>
  </si>
  <si>
    <t>2011年</t>
    <rPh sb="4" eb="5">
      <t>ネン</t>
    </rPh>
    <phoneticPr fontId="1"/>
  </si>
  <si>
    <t>2012年</t>
    <rPh sb="4" eb="5">
      <t>ネン</t>
    </rPh>
    <phoneticPr fontId="1"/>
  </si>
  <si>
    <t>2013年</t>
    <rPh sb="4" eb="5">
      <t>ネン</t>
    </rPh>
    <phoneticPr fontId="1"/>
  </si>
  <si>
    <t>2014年</t>
    <rPh sb="4" eb="5">
      <t>ネン</t>
    </rPh>
    <phoneticPr fontId="1"/>
  </si>
  <si>
    <t>2015年</t>
    <rPh sb="4" eb="5">
      <t>ネン</t>
    </rPh>
    <phoneticPr fontId="1"/>
  </si>
  <si>
    <t>2016年</t>
    <rPh sb="4" eb="5">
      <t>ネン</t>
    </rPh>
    <phoneticPr fontId="1"/>
  </si>
  <si>
    <t>2017年</t>
    <rPh sb="4" eb="5">
      <t>ネン</t>
    </rPh>
    <phoneticPr fontId="1"/>
  </si>
  <si>
    <t>2018年</t>
    <rPh sb="4" eb="5">
      <t>ネン</t>
    </rPh>
    <phoneticPr fontId="1"/>
  </si>
  <si>
    <t>2019年</t>
    <rPh sb="4" eb="5">
      <t>ネン</t>
    </rPh>
    <phoneticPr fontId="1"/>
  </si>
  <si>
    <t>2020年</t>
    <rPh sb="4" eb="5">
      <t>ネン</t>
    </rPh>
    <phoneticPr fontId="1"/>
  </si>
  <si>
    <t>2021年</t>
    <rPh sb="4" eb="5">
      <t>ネン</t>
    </rPh>
    <phoneticPr fontId="1"/>
  </si>
  <si>
    <t>2022年</t>
    <rPh sb="4" eb="5">
      <t>ネン</t>
    </rPh>
    <phoneticPr fontId="1"/>
  </si>
  <si>
    <t>2023年</t>
    <rPh sb="4" eb="5">
      <t>ネン</t>
    </rPh>
    <phoneticPr fontId="1"/>
  </si>
  <si>
    <t>2024年</t>
    <rPh sb="4" eb="5">
      <t>ネン</t>
    </rPh>
    <phoneticPr fontId="1"/>
  </si>
  <si>
    <t>2025年</t>
    <rPh sb="4" eb="5">
      <t>ネン</t>
    </rPh>
    <phoneticPr fontId="1"/>
  </si>
  <si>
    <t>2026年</t>
    <rPh sb="4" eb="5">
      <t>ネン</t>
    </rPh>
    <phoneticPr fontId="1"/>
  </si>
  <si>
    <t>2027年</t>
    <rPh sb="4" eb="5">
      <t>ネン</t>
    </rPh>
    <phoneticPr fontId="1"/>
  </si>
  <si>
    <t>2028年</t>
    <rPh sb="4" eb="5">
      <t>ネン</t>
    </rPh>
    <phoneticPr fontId="1"/>
  </si>
  <si>
    <t>2029年</t>
    <rPh sb="4" eb="5">
      <t>ネン</t>
    </rPh>
    <phoneticPr fontId="1"/>
  </si>
  <si>
    <t>2030年</t>
    <rPh sb="4" eb="5">
      <t>ネン</t>
    </rPh>
    <phoneticPr fontId="1"/>
  </si>
  <si>
    <t>2031年</t>
    <rPh sb="4" eb="5">
      <t>ネン</t>
    </rPh>
    <phoneticPr fontId="1"/>
  </si>
  <si>
    <t>2032年</t>
    <rPh sb="4" eb="5">
      <t>ネン</t>
    </rPh>
    <phoneticPr fontId="1"/>
  </si>
  <si>
    <t>2033年</t>
    <rPh sb="4" eb="5">
      <t>ネン</t>
    </rPh>
    <phoneticPr fontId="1"/>
  </si>
  <si>
    <t>2034年</t>
    <rPh sb="4" eb="5">
      <t>ネン</t>
    </rPh>
    <phoneticPr fontId="1"/>
  </si>
  <si>
    <t>2035年</t>
    <rPh sb="4" eb="5">
      <t>ネン</t>
    </rPh>
    <phoneticPr fontId="1"/>
  </si>
  <si>
    <t>2036年</t>
    <rPh sb="4" eb="5">
      <t>ネン</t>
    </rPh>
    <phoneticPr fontId="1"/>
  </si>
  <si>
    <t>2037年</t>
    <rPh sb="4" eb="5">
      <t>ネン</t>
    </rPh>
    <phoneticPr fontId="1"/>
  </si>
  <si>
    <t>2038年</t>
    <rPh sb="4" eb="5">
      <t>ネン</t>
    </rPh>
    <phoneticPr fontId="1"/>
  </si>
  <si>
    <t>2039年</t>
    <rPh sb="4" eb="5">
      <t>ネン</t>
    </rPh>
    <phoneticPr fontId="1"/>
  </si>
  <si>
    <t>2040年</t>
    <rPh sb="4" eb="5">
      <t>ネン</t>
    </rPh>
    <phoneticPr fontId="1"/>
  </si>
  <si>
    <t>推計方法</t>
    <rPh sb="0" eb="4">
      <t>スイケイホウホウ</t>
    </rPh>
    <phoneticPr fontId="1"/>
  </si>
  <si>
    <t>ソローモデル
（資本遷移式）</t>
    <rPh sb="8" eb="10">
      <t>シホン</t>
    </rPh>
    <rPh sb="10" eb="12">
      <t>センイ</t>
    </rPh>
    <rPh sb="12" eb="13">
      <t>シキ</t>
    </rPh>
    <phoneticPr fontId="1"/>
  </si>
  <si>
    <t>トレンドありのため
自動ARIMA予測</t>
    <rPh sb="10" eb="12">
      <t>ジドウ</t>
    </rPh>
    <rPh sb="17" eb="19">
      <t>ヨソク</t>
    </rPh>
    <phoneticPr fontId="1"/>
  </si>
  <si>
    <t>1980-2019年平均</t>
    <rPh sb="9" eb="10">
      <t>ネン</t>
    </rPh>
    <rPh sb="10" eb="12">
      <t>ヘイキン</t>
    </rPh>
    <phoneticPr fontId="1"/>
  </si>
  <si>
    <t>横置き</t>
    <rPh sb="0" eb="2">
      <t>ヨコオ</t>
    </rPh>
    <phoneticPr fontId="1"/>
  </si>
  <si>
    <t>内閣府試算より
2030年以降横置き</t>
    <phoneticPr fontId="1"/>
  </si>
  <si>
    <t>実現値は財務省国債金利情報より
予測値は内閣府試算の年度値を前年度1/4、当年度3/4として加重平均したものを使用</t>
    <rPh sb="0" eb="2">
      <t>ジツゲン</t>
    </rPh>
    <rPh sb="2" eb="3">
      <t>チ</t>
    </rPh>
    <rPh sb="16" eb="19">
      <t>ヨソクチ</t>
    </rPh>
    <rPh sb="20" eb="23">
      <t>ナイカクフ</t>
    </rPh>
    <rPh sb="23" eb="25">
      <t>シサン</t>
    </rPh>
    <rPh sb="26" eb="28">
      <t>ネンド</t>
    </rPh>
    <rPh sb="28" eb="29">
      <t>チ</t>
    </rPh>
    <rPh sb="30" eb="33">
      <t>ゼンネンド</t>
    </rPh>
    <rPh sb="37" eb="40">
      <t>トウネンド</t>
    </rPh>
    <rPh sb="46" eb="48">
      <t>カジュウ</t>
    </rPh>
    <rPh sb="48" eb="50">
      <t>ヘイキン</t>
    </rPh>
    <rPh sb="55" eb="57">
      <t>シヨウ</t>
    </rPh>
    <phoneticPr fontId="1"/>
  </si>
  <si>
    <t>年度値を前年度1/4、
当年度3/4として
加重平均</t>
    <rPh sb="0" eb="2">
      <t>ネンド</t>
    </rPh>
    <rPh sb="2" eb="3">
      <t>チ</t>
    </rPh>
    <rPh sb="4" eb="7">
      <t>ゼンネンド</t>
    </rPh>
    <rPh sb="12" eb="15">
      <t>トウネンド</t>
    </rPh>
    <rPh sb="22" eb="24">
      <t>カジュウ</t>
    </rPh>
    <rPh sb="24" eb="26">
      <t>ヘイキン</t>
    </rPh>
    <phoneticPr fontId="1"/>
  </si>
  <si>
    <t>実現値はConsensus Economicsと
2012年以降はESPフォーキャストより</t>
    <rPh sb="0" eb="2">
      <t>ジツゲン</t>
    </rPh>
    <rPh sb="2" eb="3">
      <t>チ</t>
    </rPh>
    <rPh sb="29" eb="30">
      <t>ネン</t>
    </rPh>
    <rPh sb="30" eb="32">
      <t>イコウ</t>
    </rPh>
    <phoneticPr fontId="1"/>
  </si>
  <si>
    <t>内閣府試算より
2030年以降横置き</t>
    <rPh sb="0" eb="3">
      <t>ナイカクフ</t>
    </rPh>
    <rPh sb="3" eb="5">
      <t>シサン</t>
    </rPh>
    <rPh sb="12" eb="13">
      <t>ネン</t>
    </rPh>
    <rPh sb="13" eb="15">
      <t>イコウ</t>
    </rPh>
    <rPh sb="15" eb="17">
      <t>ヨコオ</t>
    </rPh>
    <phoneticPr fontId="1"/>
  </si>
  <si>
    <t>直近の潜在平均労働時間（製造業）</t>
    <rPh sb="0" eb="2">
      <t>チョッキン</t>
    </rPh>
    <rPh sb="3" eb="5">
      <t>センザイ</t>
    </rPh>
    <rPh sb="5" eb="11">
      <t>ヘイキンロウドウジカン</t>
    </rPh>
    <rPh sb="12" eb="15">
      <t>セイゾウギョウ</t>
    </rPh>
    <phoneticPr fontId="1"/>
  </si>
  <si>
    <t>雇用政策研究会資料より
線形補完</t>
    <rPh sb="0" eb="4">
      <t>コヨウセイサク</t>
    </rPh>
    <rPh sb="4" eb="7">
      <t>ケンキュウカイ</t>
    </rPh>
    <rPh sb="7" eb="9">
      <t>シリョウ</t>
    </rPh>
    <rPh sb="12" eb="16">
      <t>センケイホカン</t>
    </rPh>
    <phoneticPr fontId="1"/>
  </si>
  <si>
    <t>直近の
建設就業率を維持
＋外国人4万人</t>
    <rPh sb="0" eb="2">
      <t>チョッキン</t>
    </rPh>
    <rPh sb="4" eb="6">
      <t>ケンセツ</t>
    </rPh>
    <rPh sb="6" eb="8">
      <t>シュウギョウ</t>
    </rPh>
    <rPh sb="8" eb="9">
      <t>リツ</t>
    </rPh>
    <rPh sb="10" eb="12">
      <t>イジ</t>
    </rPh>
    <rPh sb="14" eb="16">
      <t>ガイコク</t>
    </rPh>
    <rPh sb="16" eb="17">
      <t>ジン</t>
    </rPh>
    <rPh sb="18" eb="19">
      <t>マン</t>
    </rPh>
    <rPh sb="19" eb="20">
      <t>ニン</t>
    </rPh>
    <phoneticPr fontId="1"/>
  </si>
  <si>
    <t>1982-1987年平均</t>
    <rPh sb="9" eb="10">
      <t>ネン</t>
    </rPh>
    <rPh sb="10" eb="12">
      <t>ヘイキン</t>
    </rPh>
    <phoneticPr fontId="1"/>
  </si>
  <si>
    <t>ラムゼイモデル
割引因子は0.99と仮定</t>
    <rPh sb="8" eb="10">
      <t>ワリビキ</t>
    </rPh>
    <rPh sb="10" eb="12">
      <t>インシ</t>
    </rPh>
    <rPh sb="18" eb="20">
      <t>カテイ</t>
    </rPh>
    <phoneticPr fontId="1"/>
  </si>
  <si>
    <t>新古典派投資理論を参考に、名目設備投資比率の対数を定数項と実質金利ギャップ＋資本減耗率の対数で単回帰した関数を採用する。（長期的に実質・名目ともに同じトレンドで成長すると仮定している。）なお、実質金利ギャップには、内閣府の中長期試算と整合的にするため、簡便的に名目長期金利ｰ消費者物価上昇率（先10年平均）ｰ潜在成長率を使用する。</t>
    <rPh sb="0" eb="4">
      <t>シンコテンハ</t>
    </rPh>
    <rPh sb="4" eb="6">
      <t>トウシ</t>
    </rPh>
    <rPh sb="6" eb="8">
      <t>リロン</t>
    </rPh>
    <rPh sb="9" eb="11">
      <t>サンコウ</t>
    </rPh>
    <rPh sb="13" eb="15">
      <t>メイモク</t>
    </rPh>
    <rPh sb="15" eb="17">
      <t>セツビ</t>
    </rPh>
    <rPh sb="17" eb="19">
      <t>トウシ</t>
    </rPh>
    <rPh sb="19" eb="21">
      <t>ヒリツ</t>
    </rPh>
    <rPh sb="22" eb="24">
      <t>タイスウ</t>
    </rPh>
    <rPh sb="25" eb="27">
      <t>テイスウ</t>
    </rPh>
    <rPh sb="27" eb="28">
      <t>コウ</t>
    </rPh>
    <rPh sb="29" eb="31">
      <t>ジッシツ</t>
    </rPh>
    <rPh sb="31" eb="33">
      <t>キンリ</t>
    </rPh>
    <rPh sb="38" eb="40">
      <t>シホン</t>
    </rPh>
    <rPh sb="40" eb="42">
      <t>ゲンモウ</t>
    </rPh>
    <rPh sb="42" eb="43">
      <t>リツ</t>
    </rPh>
    <rPh sb="44" eb="46">
      <t>タイスウ</t>
    </rPh>
    <rPh sb="52" eb="54">
      <t>カンスウ</t>
    </rPh>
    <rPh sb="55" eb="57">
      <t>サイヨウ</t>
    </rPh>
    <rPh sb="61" eb="64">
      <t>チョウキテキ</t>
    </rPh>
    <rPh sb="65" eb="67">
      <t>ジッシツ</t>
    </rPh>
    <rPh sb="68" eb="70">
      <t>メイモク</t>
    </rPh>
    <rPh sb="73" eb="74">
      <t>オナ</t>
    </rPh>
    <rPh sb="80" eb="82">
      <t>セイチョウ</t>
    </rPh>
    <rPh sb="85" eb="87">
      <t>カテイ</t>
    </rPh>
    <rPh sb="96" eb="98">
      <t>ジッシツ</t>
    </rPh>
    <rPh sb="98" eb="100">
      <t>キンリ</t>
    </rPh>
    <rPh sb="107" eb="110">
      <t>ナイカクフ</t>
    </rPh>
    <rPh sb="111" eb="114">
      <t>チュウチョウキ</t>
    </rPh>
    <rPh sb="114" eb="116">
      <t>シサン</t>
    </rPh>
    <rPh sb="117" eb="120">
      <t>セイゴウテキ</t>
    </rPh>
    <rPh sb="126" eb="128">
      <t>カンベン</t>
    </rPh>
    <rPh sb="128" eb="129">
      <t>テキ</t>
    </rPh>
    <rPh sb="130" eb="132">
      <t>メイモク</t>
    </rPh>
    <rPh sb="132" eb="134">
      <t>チョウキ</t>
    </rPh>
    <rPh sb="134" eb="136">
      <t>キンリ</t>
    </rPh>
    <rPh sb="137" eb="140">
      <t>ショウヒシャ</t>
    </rPh>
    <rPh sb="140" eb="142">
      <t>ブッカ</t>
    </rPh>
    <rPh sb="142" eb="145">
      <t>ジョウショウリツ</t>
    </rPh>
    <rPh sb="146" eb="147">
      <t>サキ</t>
    </rPh>
    <rPh sb="149" eb="150">
      <t>ネン</t>
    </rPh>
    <rPh sb="150" eb="152">
      <t>ヘイキン</t>
    </rPh>
    <rPh sb="154" eb="156">
      <t>センザイ</t>
    </rPh>
    <rPh sb="156" eb="159">
      <t>セイチョウリツ</t>
    </rPh>
    <rPh sb="160" eb="162">
      <t>シヨウ</t>
    </rPh>
    <phoneticPr fontId="1"/>
  </si>
  <si>
    <t>新古典派投資理論を参考に、名目設備投資比率の対数を実質金利ギャップ＋資本減耗率の対数で単回帰した関数を採用する。（長期的に実質・名目ともに同じトレンドで成長すると仮定している。）なお、実質金利ギャップには、内閣府の中長期試算と整合的にするため、簡便的に名目長期金利ｰGDPデフレーター（先10年平均）ｰ潜在成長率を使用する。</t>
    <rPh sb="0" eb="4">
      <t>シンコテンハ</t>
    </rPh>
    <rPh sb="4" eb="6">
      <t>トウシ</t>
    </rPh>
    <rPh sb="6" eb="8">
      <t>リロン</t>
    </rPh>
    <rPh sb="9" eb="11">
      <t>サンコウ</t>
    </rPh>
    <rPh sb="13" eb="15">
      <t>メイモク</t>
    </rPh>
    <rPh sb="15" eb="17">
      <t>セツビ</t>
    </rPh>
    <rPh sb="17" eb="19">
      <t>トウシ</t>
    </rPh>
    <rPh sb="19" eb="21">
      <t>ヒリツ</t>
    </rPh>
    <rPh sb="22" eb="24">
      <t>タイスウ</t>
    </rPh>
    <rPh sb="25" eb="27">
      <t>ジッシツ</t>
    </rPh>
    <rPh sb="27" eb="29">
      <t>キンリ</t>
    </rPh>
    <rPh sb="34" eb="36">
      <t>シホン</t>
    </rPh>
    <rPh sb="36" eb="38">
      <t>ゲンモウ</t>
    </rPh>
    <rPh sb="38" eb="39">
      <t>リツ</t>
    </rPh>
    <rPh sb="40" eb="42">
      <t>タイスウ</t>
    </rPh>
    <rPh sb="48" eb="50">
      <t>カンスウ</t>
    </rPh>
    <rPh sb="51" eb="53">
      <t>サイヨウ</t>
    </rPh>
    <rPh sb="57" eb="60">
      <t>チョウキテキ</t>
    </rPh>
    <rPh sb="61" eb="63">
      <t>ジッシツ</t>
    </rPh>
    <rPh sb="64" eb="66">
      <t>メイモク</t>
    </rPh>
    <rPh sb="69" eb="70">
      <t>オナ</t>
    </rPh>
    <rPh sb="76" eb="78">
      <t>セイチョウ</t>
    </rPh>
    <rPh sb="81" eb="83">
      <t>カテイ</t>
    </rPh>
    <rPh sb="92" eb="94">
      <t>ジッシツ</t>
    </rPh>
    <rPh sb="94" eb="96">
      <t>キンリ</t>
    </rPh>
    <rPh sb="103" eb="106">
      <t>ナイカクフ</t>
    </rPh>
    <rPh sb="107" eb="110">
      <t>チュウチョウキ</t>
    </rPh>
    <rPh sb="110" eb="112">
      <t>シサン</t>
    </rPh>
    <rPh sb="113" eb="116">
      <t>セイゴウテキ</t>
    </rPh>
    <rPh sb="122" eb="124">
      <t>カンベン</t>
    </rPh>
    <rPh sb="124" eb="125">
      <t>テキ</t>
    </rPh>
    <rPh sb="126" eb="128">
      <t>メイモク</t>
    </rPh>
    <rPh sb="128" eb="130">
      <t>チョウキ</t>
    </rPh>
    <rPh sb="130" eb="132">
      <t>キンリ</t>
    </rPh>
    <rPh sb="143" eb="144">
      <t>サキ</t>
    </rPh>
    <rPh sb="146" eb="147">
      <t>ネン</t>
    </rPh>
    <rPh sb="147" eb="149">
      <t>ヘイキン</t>
    </rPh>
    <rPh sb="151" eb="153">
      <t>センザイ</t>
    </rPh>
    <rPh sb="153" eb="156">
      <t>セイチョウリツ</t>
    </rPh>
    <rPh sb="157" eb="159">
      <t>シヨウ</t>
    </rPh>
    <phoneticPr fontId="1"/>
  </si>
  <si>
    <t>成長実現ケース</t>
    <rPh sb="0" eb="2">
      <t>セイチョウ</t>
    </rPh>
    <rPh sb="2" eb="4">
      <t>ジツゲン</t>
    </rPh>
    <phoneticPr fontId="1"/>
  </si>
  <si>
    <t>【マクロ経済の姿】</t>
    <rPh sb="4" eb="6">
      <t>ケイザイ</t>
    </rPh>
    <rPh sb="7" eb="8">
      <t>スガタ</t>
    </rPh>
    <phoneticPr fontId="1"/>
  </si>
  <si>
    <t>（％程度）、[対GDP比、％程度]、兆円程度</t>
    <rPh sb="2" eb="4">
      <t>テイド</t>
    </rPh>
    <rPh sb="7" eb="8">
      <t>タイ</t>
    </rPh>
    <rPh sb="11" eb="12">
      <t>ヒ</t>
    </rPh>
    <rPh sb="14" eb="16">
      <t>テイド</t>
    </rPh>
    <rPh sb="18" eb="20">
      <t>チョウエン</t>
    </rPh>
    <rPh sb="20" eb="22">
      <t>テイド</t>
    </rPh>
    <phoneticPr fontId="1"/>
  </si>
  <si>
    <t>年　　　度</t>
    <rPh sb="0" eb="1">
      <t>トシ</t>
    </rPh>
    <rPh sb="4" eb="5">
      <t>ド</t>
    </rPh>
    <phoneticPr fontId="1"/>
  </si>
  <si>
    <t>実質GDP成長率</t>
    <rPh sb="0" eb="2">
      <t>ジッシツ</t>
    </rPh>
    <rPh sb="5" eb="8">
      <t>セイチョウリツ</t>
    </rPh>
    <phoneticPr fontId="1"/>
  </si>
  <si>
    <t>実質GDP</t>
    <rPh sb="0" eb="2">
      <t>ジッシツ</t>
    </rPh>
    <phoneticPr fontId="1"/>
  </si>
  <si>
    <t>実質GNI成長率</t>
    <rPh sb="0" eb="2">
      <t>ジッシツ</t>
    </rPh>
    <rPh sb="5" eb="8">
      <t>セイチョウリツ</t>
    </rPh>
    <phoneticPr fontId="1"/>
  </si>
  <si>
    <t>名目GDP成長率</t>
    <rPh sb="0" eb="2">
      <t>メイモク</t>
    </rPh>
    <rPh sb="5" eb="8">
      <t>セイチョウリツ</t>
    </rPh>
    <phoneticPr fontId="1"/>
  </si>
  <si>
    <t>名目GDP</t>
    <rPh sb="0" eb="2">
      <t>メイモク</t>
    </rPh>
    <phoneticPr fontId="1"/>
  </si>
  <si>
    <t>１人当たり名目GNI成長率</t>
    <rPh sb="1" eb="2">
      <t>ニン</t>
    </rPh>
    <rPh sb="2" eb="3">
      <t>ア</t>
    </rPh>
    <rPh sb="5" eb="7">
      <t>メイモク</t>
    </rPh>
    <rPh sb="10" eb="12">
      <t>セイチョウ</t>
    </rPh>
    <rPh sb="12" eb="13">
      <t>リツ</t>
    </rPh>
    <phoneticPr fontId="1"/>
  </si>
  <si>
    <r>
      <t>１人当たり名目GNI　</t>
    </r>
    <r>
      <rPr>
        <sz val="9"/>
        <color theme="1"/>
        <rFont val="ＭＳ Ｐゴシック"/>
        <family val="3"/>
        <charset val="128"/>
      </rPr>
      <t>（※万円）</t>
    </r>
    <rPh sb="1" eb="2">
      <t>ニン</t>
    </rPh>
    <rPh sb="2" eb="3">
      <t>ア</t>
    </rPh>
    <rPh sb="5" eb="7">
      <t>メイモク</t>
    </rPh>
    <rPh sb="13" eb="15">
      <t>マンエン</t>
    </rPh>
    <phoneticPr fontId="1"/>
  </si>
  <si>
    <t>GDPギャップ</t>
    <phoneticPr fontId="1"/>
  </si>
  <si>
    <t>潜在実質GDP</t>
    <rPh sb="0" eb="2">
      <t>センザイ</t>
    </rPh>
    <rPh sb="2" eb="4">
      <t>ジッシツ</t>
    </rPh>
    <phoneticPr fontId="1"/>
  </si>
  <si>
    <t>潜在名目GDP</t>
    <rPh sb="0" eb="2">
      <t>センザイ</t>
    </rPh>
    <rPh sb="2" eb="4">
      <t>メイモク</t>
    </rPh>
    <phoneticPr fontId="1"/>
  </si>
  <si>
    <t>物価上昇率</t>
    <rPh sb="0" eb="2">
      <t>ブッカ</t>
    </rPh>
    <rPh sb="2" eb="4">
      <t>ジョウショウ</t>
    </rPh>
    <rPh sb="4" eb="5">
      <t>リツ</t>
    </rPh>
    <phoneticPr fontId="1"/>
  </si>
  <si>
    <t>消費者物価</t>
    <rPh sb="0" eb="3">
      <t>ショウヒシャ</t>
    </rPh>
    <rPh sb="3" eb="5">
      <t>ブッカ</t>
    </rPh>
    <phoneticPr fontId="1"/>
  </si>
  <si>
    <t>国内企業物価</t>
    <rPh sb="0" eb="2">
      <t>コクナイ</t>
    </rPh>
    <rPh sb="2" eb="4">
      <t>キギョウ</t>
    </rPh>
    <rPh sb="4" eb="6">
      <t>ブッカ</t>
    </rPh>
    <phoneticPr fontId="1"/>
  </si>
  <si>
    <t>ＧＤＰデフレーター</t>
    <phoneticPr fontId="1"/>
  </si>
  <si>
    <t>完全失業率</t>
    <rPh sb="0" eb="2">
      <t>カンゼン</t>
    </rPh>
    <rPh sb="2" eb="4">
      <t>シツギョウ</t>
    </rPh>
    <rPh sb="4" eb="5">
      <t>リツ</t>
    </rPh>
    <phoneticPr fontId="1"/>
  </si>
  <si>
    <t>部門別収支</t>
    <rPh sb="0" eb="2">
      <t>ブモン</t>
    </rPh>
    <rPh sb="2" eb="3">
      <t>ベツ</t>
    </rPh>
    <rPh sb="3" eb="5">
      <t>シュウシ</t>
    </rPh>
    <phoneticPr fontId="1"/>
  </si>
  <si>
    <t>一般政府</t>
    <rPh sb="0" eb="2">
      <t>イッパン</t>
    </rPh>
    <rPh sb="2" eb="4">
      <t>セイフ</t>
    </rPh>
    <phoneticPr fontId="1"/>
  </si>
  <si>
    <t>民間</t>
    <rPh sb="0" eb="2">
      <t>ミンカン</t>
    </rPh>
    <phoneticPr fontId="1"/>
  </si>
  <si>
    <t>海外</t>
    <rPh sb="0" eb="2">
      <t>カイガイ</t>
    </rPh>
    <phoneticPr fontId="1"/>
  </si>
  <si>
    <t>ベースラインケース</t>
    <phoneticPr fontId="1"/>
  </si>
  <si>
    <t>年度</t>
    <rPh sb="0" eb="1">
      <t>トシ</t>
    </rPh>
    <rPh sb="1" eb="2">
      <t>ド</t>
    </rPh>
    <phoneticPr fontId="1"/>
  </si>
  <si>
    <t>実質GDP（成長実現ケース）</t>
    <rPh sb="0" eb="2">
      <t>ジッシツ</t>
    </rPh>
    <rPh sb="6" eb="8">
      <t>セイチョウ</t>
    </rPh>
    <rPh sb="8" eb="10">
      <t>ジツゲン</t>
    </rPh>
    <phoneticPr fontId="1"/>
  </si>
  <si>
    <t>潜在GDP（成長実現ケース）</t>
    <rPh sb="0" eb="2">
      <t>センザイ</t>
    </rPh>
    <phoneticPr fontId="1"/>
  </si>
  <si>
    <t>実質GDP（ベースラインケース）</t>
    <rPh sb="0" eb="2">
      <t>ジッシツ</t>
    </rPh>
    <phoneticPr fontId="1"/>
  </si>
  <si>
    <t>潜在GDP（ベースラインケース）</t>
    <rPh sb="0" eb="2">
      <t>センザイ</t>
    </rPh>
    <phoneticPr fontId="1"/>
  </si>
  <si>
    <t>現実GDP</t>
    <rPh sb="0" eb="2">
      <t>ゲンジツ</t>
    </rPh>
    <phoneticPr fontId="1"/>
  </si>
  <si>
    <t>潜在GDP</t>
    <rPh sb="0" eb="2">
      <t>センザイ</t>
    </rPh>
    <phoneticPr fontId="1"/>
  </si>
  <si>
    <t>CPI上昇率（成長実現ケース）</t>
    <rPh sb="3" eb="5">
      <t>ジョウショウ</t>
    </rPh>
    <rPh sb="5" eb="6">
      <t>リツ</t>
    </rPh>
    <rPh sb="7" eb="9">
      <t>セイチョウ</t>
    </rPh>
    <rPh sb="9" eb="11">
      <t>ジツゲン</t>
    </rPh>
    <phoneticPr fontId="1"/>
  </si>
  <si>
    <t>CPI上昇率（ベースラインケース）</t>
    <rPh sb="3" eb="5">
      <t>ジョウショウ</t>
    </rPh>
    <rPh sb="5" eb="6">
      <t>リツ</t>
    </rPh>
    <phoneticPr fontId="1"/>
  </si>
  <si>
    <t>現実CPI上昇率</t>
    <rPh sb="0" eb="2">
      <t>ゲンジツ</t>
    </rPh>
    <phoneticPr fontId="1"/>
  </si>
  <si>
    <t>建設投資見通し</t>
    <rPh sb="0" eb="2">
      <t>ケンセツ</t>
    </rPh>
    <rPh sb="2" eb="4">
      <t>トウシ</t>
    </rPh>
    <rPh sb="4" eb="6">
      <t>ミトオ</t>
    </rPh>
    <phoneticPr fontId="1"/>
  </si>
  <si>
    <t>建築物リフォーム・リニューアル調査</t>
    <phoneticPr fontId="1"/>
  </si>
  <si>
    <t>建設総合統計</t>
    <rPh sb="0" eb="6">
      <t>ケンセツソウゴウトウケイ</t>
    </rPh>
    <phoneticPr fontId="1"/>
  </si>
  <si>
    <t>住宅</t>
    <rPh sb="0" eb="2">
      <t>ジュウタク</t>
    </rPh>
    <phoneticPr fontId="1"/>
  </si>
  <si>
    <t>非住宅</t>
    <rPh sb="0" eb="1">
      <t>ヒ</t>
    </rPh>
    <rPh sb="1" eb="3">
      <t>ジュウタク</t>
    </rPh>
    <phoneticPr fontId="1"/>
  </si>
  <si>
    <t>建築補修（改装・改修）</t>
    <rPh sb="0" eb="2">
      <t>ケンチク</t>
    </rPh>
    <rPh sb="2" eb="4">
      <t>ホシュウ</t>
    </rPh>
    <rPh sb="5" eb="7">
      <t>カイソウ</t>
    </rPh>
    <rPh sb="8" eb="10">
      <t>カイシュウ</t>
    </rPh>
    <phoneticPr fontId="1"/>
  </si>
  <si>
    <t>土木</t>
    <rPh sb="0" eb="2">
      <t>ドボク</t>
    </rPh>
    <phoneticPr fontId="1"/>
  </si>
  <si>
    <t>政府</t>
    <rPh sb="0" eb="2">
      <t>セイフ</t>
    </rPh>
    <phoneticPr fontId="1"/>
  </si>
  <si>
    <t>公共</t>
    <rPh sb="0" eb="2">
      <t>コウキョウ</t>
    </rPh>
    <phoneticPr fontId="8"/>
  </si>
  <si>
    <t>民間</t>
    <rPh sb="0" eb="2">
      <t>ミンカン</t>
    </rPh>
    <phoneticPr fontId="8"/>
  </si>
  <si>
    <t>民間</t>
  </si>
  <si>
    <t>公共</t>
  </si>
  <si>
    <t>年度</t>
    <rPh sb="0" eb="2">
      <t>ネンド</t>
    </rPh>
    <phoneticPr fontId="1"/>
  </si>
  <si>
    <t>政府住宅</t>
    <rPh sb="0" eb="2">
      <t>セイフ</t>
    </rPh>
    <rPh sb="2" eb="4">
      <t>ジュウタク</t>
    </rPh>
    <phoneticPr fontId="1"/>
  </si>
  <si>
    <t>政府非住宅</t>
    <rPh sb="0" eb="2">
      <t>セイフ</t>
    </rPh>
    <rPh sb="2" eb="3">
      <t>ヒ</t>
    </rPh>
    <rPh sb="3" eb="5">
      <t>ジュウタク</t>
    </rPh>
    <phoneticPr fontId="1"/>
  </si>
  <si>
    <t>民間住宅</t>
    <rPh sb="0" eb="2">
      <t>ミンカン</t>
    </rPh>
    <phoneticPr fontId="1"/>
  </si>
  <si>
    <t>民間非住宅</t>
    <rPh sb="0" eb="2">
      <t>ミンカン</t>
    </rPh>
    <rPh sb="2" eb="3">
      <t>ヒ</t>
    </rPh>
    <rPh sb="3" eb="5">
      <t>ジュウタク</t>
    </rPh>
    <phoneticPr fontId="1"/>
  </si>
  <si>
    <t>住宅（建築補修含む）</t>
    <rPh sb="0" eb="2">
      <t>ジュウタク</t>
    </rPh>
    <rPh sb="3" eb="5">
      <t>ケンチク</t>
    </rPh>
    <rPh sb="5" eb="7">
      <t>ホシュウ</t>
    </rPh>
    <rPh sb="7" eb="8">
      <t>フク</t>
    </rPh>
    <phoneticPr fontId="1"/>
  </si>
  <si>
    <t>非住宅（建築補修含む）</t>
    <rPh sb="0" eb="1">
      <t>ヒ</t>
    </rPh>
    <rPh sb="1" eb="3">
      <t>ジュウタク</t>
    </rPh>
    <rPh sb="4" eb="6">
      <t>ケンチク</t>
    </rPh>
    <rPh sb="6" eb="8">
      <t>ホシュウ</t>
    </rPh>
    <rPh sb="8" eb="9">
      <t>フク</t>
    </rPh>
    <phoneticPr fontId="1"/>
  </si>
  <si>
    <t>住宅</t>
    <rPh sb="0" eb="2">
      <t>ジュウタク</t>
    </rPh>
    <phoneticPr fontId="23"/>
  </si>
  <si>
    <t>非住宅</t>
    <rPh sb="0" eb="1">
      <t>ヒ</t>
    </rPh>
    <rPh sb="1" eb="3">
      <t>ジュウタク</t>
    </rPh>
    <phoneticPr fontId="23"/>
  </si>
  <si>
    <t>計</t>
    <rPh sb="0" eb="1">
      <t>ケイ</t>
    </rPh>
    <phoneticPr fontId="23"/>
  </si>
  <si>
    <t>建築</t>
  </si>
  <si>
    <t>土木</t>
  </si>
  <si>
    <t>2015Q2-2015Q3</t>
    <phoneticPr fontId="1"/>
  </si>
  <si>
    <t>居住用</t>
  </si>
  <si>
    <t>非居住用</t>
  </si>
  <si>
    <t>合計</t>
    <rPh sb="0" eb="2">
      <t>ゴウケイ</t>
    </rPh>
    <phoneticPr fontId="1"/>
  </si>
  <si>
    <t>2015Q4-2016Q1</t>
    <phoneticPr fontId="1"/>
  </si>
  <si>
    <t>百万円</t>
    <rPh sb="0" eb="3">
      <t>ヒャクマンエン</t>
    </rPh>
    <phoneticPr fontId="2"/>
  </si>
  <si>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</si>
  <si>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</si>
  <si>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</si>
  <si>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</si>
  <si>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</si>
  <si>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</si>
  <si>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</si>
  <si>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</si>
  <si>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</si>
  <si>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</si>
  <si>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</si>
  <si>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</si>
  <si>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</si>
  <si>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</si>
  <si>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</si>
  <si>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</si>
  <si>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</si>
  <si>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</si>
  <si>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</si>
  <si>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</si>
  <si>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t>
  </si>
  <si>
    <t>【国民経済計算】2018年度</t>
    <rPh sb="1" eb="7">
      <t>コクミンケイザイケイサン</t>
    </rPh>
    <rPh sb="12" eb="13">
      <t>ネン</t>
    </rPh>
    <rPh sb="13" eb="14">
      <t>ド</t>
    </rPh>
    <phoneticPr fontId="1"/>
  </si>
  <si>
    <t>【国民経済計算】2020年度</t>
    <rPh sb="1" eb="7">
      <t>コクミンケイザイケイサン</t>
    </rPh>
    <rPh sb="12" eb="13">
      <t>ネン</t>
    </rPh>
    <rPh sb="13" eb="14">
      <t>ド</t>
    </rPh>
    <phoneticPr fontId="1"/>
  </si>
  <si>
    <t>（実質値、１０億円、2011年基準）</t>
    <rPh sb="14" eb="15">
      <t>ネン</t>
    </rPh>
    <rPh sb="15" eb="17">
      <t>キジュン</t>
    </rPh>
    <phoneticPr fontId="1"/>
  </si>
  <si>
    <t>（実質値、１０億円、　2015年基準）</t>
    <rPh sb="15" eb="16">
      <t>ネン</t>
    </rPh>
    <rPh sb="16" eb="18">
      <t>キジュン</t>
    </rPh>
    <phoneticPr fontId="1"/>
  </si>
  <si>
    <t>暦年</t>
    <rPh sb="0" eb="2">
      <t>レキネン</t>
    </rPh>
    <phoneticPr fontId="1"/>
  </si>
  <si>
    <t>現実有形固定資産
（暦年末）</t>
    <rPh sb="0" eb="2">
      <t>ゲンジツ</t>
    </rPh>
    <rPh sb="2" eb="4">
      <t>ユウケイ</t>
    </rPh>
    <rPh sb="4" eb="8">
      <t>コテイシサン</t>
    </rPh>
    <rPh sb="10" eb="12">
      <t>レキネン</t>
    </rPh>
    <rPh sb="12" eb="13">
      <t>マツ</t>
    </rPh>
    <phoneticPr fontId="1"/>
  </si>
  <si>
    <t>現実有形固定資産投資
（暦年）</t>
    <rPh sb="0" eb="2">
      <t>ゲンジツ</t>
    </rPh>
    <rPh sb="2" eb="4">
      <t>ユウケイ</t>
    </rPh>
    <rPh sb="4" eb="8">
      <t>コテイシサン</t>
    </rPh>
    <rPh sb="8" eb="10">
      <t>トウシ</t>
    </rPh>
    <rPh sb="12" eb="14">
      <t>レキネン</t>
    </rPh>
    <phoneticPr fontId="1"/>
  </si>
  <si>
    <t>現実有形固定資産
（暦年末）</t>
    <rPh sb="0" eb="2">
      <t>ゲンジツ</t>
    </rPh>
    <rPh sb="2" eb="4">
      <t>ユウケイ</t>
    </rPh>
    <rPh sb="4" eb="8">
      <t>コテイシサン</t>
    </rPh>
    <phoneticPr fontId="1"/>
  </si>
  <si>
    <t>有形固定資産減耗
（調整込）（暦年）</t>
    <rPh sb="4" eb="6">
      <t>シサン</t>
    </rPh>
    <rPh sb="6" eb="8">
      <t>ゲンモウ</t>
    </rPh>
    <phoneticPr fontId="1"/>
  </si>
  <si>
    <t>有形固定資産減耗率
（調整込）（暦年）</t>
    <rPh sb="6" eb="9">
      <t>ゲンモウリツ</t>
    </rPh>
    <rPh sb="11" eb="13">
      <t>チョウセイ</t>
    </rPh>
    <rPh sb="13" eb="14">
      <t>コ</t>
    </rPh>
    <phoneticPr fontId="1"/>
  </si>
  <si>
    <t>潜在有形固定資産
（暦年末）</t>
    <rPh sb="0" eb="2">
      <t>センザイ</t>
    </rPh>
    <rPh sb="2" eb="4">
      <t>ユウケイ</t>
    </rPh>
    <rPh sb="4" eb="8">
      <t>コテイシサン</t>
    </rPh>
    <rPh sb="10" eb="12">
      <t>レキネン</t>
    </rPh>
    <rPh sb="12" eb="13">
      <t>マツ</t>
    </rPh>
    <phoneticPr fontId="1"/>
  </si>
  <si>
    <t>現実無形固定資産
（暦年末）</t>
    <rPh sb="0" eb="2">
      <t>ゲンジツ</t>
    </rPh>
    <rPh sb="4" eb="8">
      <t>コテイシサン</t>
    </rPh>
    <rPh sb="10" eb="12">
      <t>レキネン</t>
    </rPh>
    <rPh sb="12" eb="13">
      <t>マツ</t>
    </rPh>
    <phoneticPr fontId="1"/>
  </si>
  <si>
    <t>現実無形固定資産投資
（暦年）</t>
    <rPh sb="0" eb="2">
      <t>ゲンジツ</t>
    </rPh>
    <rPh sb="4" eb="8">
      <t>コテイシサン</t>
    </rPh>
    <rPh sb="8" eb="10">
      <t>トウシ</t>
    </rPh>
    <rPh sb="12" eb="14">
      <t>レキネン</t>
    </rPh>
    <phoneticPr fontId="1"/>
  </si>
  <si>
    <t>現実無形固定資産
（暦年末）</t>
    <rPh sb="0" eb="2">
      <t>ゲンジツ</t>
    </rPh>
    <rPh sb="4" eb="8">
      <t>コテイシサン</t>
    </rPh>
    <phoneticPr fontId="1"/>
  </si>
  <si>
    <t>無形固定資産減耗
（調整込）（暦年）</t>
    <rPh sb="4" eb="6">
      <t>シサン</t>
    </rPh>
    <rPh sb="6" eb="8">
      <t>ゲンモウ</t>
    </rPh>
    <phoneticPr fontId="1"/>
  </si>
  <si>
    <t>無形固定資産減耗率（調整込）（暦年）</t>
    <rPh sb="6" eb="9">
      <t>ゲンモウリツ</t>
    </rPh>
    <rPh sb="10" eb="12">
      <t>チョウセイ</t>
    </rPh>
    <rPh sb="12" eb="13">
      <t>コ</t>
    </rPh>
    <phoneticPr fontId="1"/>
  </si>
  <si>
    <t>潜在無形固定資産
（暦年末）</t>
    <rPh sb="0" eb="2">
      <t>センザイ</t>
    </rPh>
    <rPh sb="4" eb="8">
      <t>コテイシサン</t>
    </rPh>
    <rPh sb="10" eb="12">
      <t>レキネン</t>
    </rPh>
    <rPh sb="12" eb="13">
      <t>マツ</t>
    </rPh>
    <phoneticPr fontId="1"/>
  </si>
  <si>
    <t>年月</t>
    <rPh sb="0" eb="1">
      <t>ネン</t>
    </rPh>
    <rPh sb="1" eb="2">
      <t>ゲツ</t>
    </rPh>
    <phoneticPr fontId="3"/>
  </si>
  <si>
    <t>【建設総合統計】
（名目値、億円）</t>
    <phoneticPr fontId="1"/>
  </si>
  <si>
    <t>年度計</t>
    <rPh sb="0" eb="2">
      <t>ネンド</t>
    </rPh>
    <rPh sb="2" eb="3">
      <t>ケイ</t>
    </rPh>
    <phoneticPr fontId="1"/>
  </si>
  <si>
    <t>月次比率</t>
    <rPh sb="0" eb="2">
      <t>ゲツジ</t>
    </rPh>
    <rPh sb="2" eb="4">
      <t>ヒリツ</t>
    </rPh>
    <phoneticPr fontId="1"/>
  </si>
  <si>
    <t>【建設投資見通し】
（年度実質値、2015年度基準、億円）</t>
    <rPh sb="21" eb="23">
      <t>ネンド</t>
    </rPh>
    <rPh sb="23" eb="25">
      <t>キジュン</t>
    </rPh>
    <phoneticPr fontId="1"/>
  </si>
  <si>
    <t>月次配分
（実質値、億円）</t>
    <rPh sb="0" eb="2">
      <t>ゲツジ</t>
    </rPh>
    <rPh sb="2" eb="4">
      <t>ハイブン</t>
    </rPh>
    <rPh sb="10" eb="12">
      <t>オクエン</t>
    </rPh>
    <phoneticPr fontId="1"/>
  </si>
  <si>
    <t>基準年
（2015年）＝100</t>
    <phoneticPr fontId="1"/>
  </si>
  <si>
    <t>生産指数（原数値）</t>
    <phoneticPr fontId="1"/>
  </si>
  <si>
    <t>前後12ヶ月
最大値</t>
    <rPh sb="0" eb="2">
      <t>ゼンゴ</t>
    </rPh>
    <rPh sb="5" eb="6">
      <t>ゲツ</t>
    </rPh>
    <rPh sb="7" eb="10">
      <t>サイダイチ</t>
    </rPh>
    <phoneticPr fontId="1"/>
  </si>
  <si>
    <t>ピーク判定</t>
    <rPh sb="3" eb="5">
      <t>ハンテイ</t>
    </rPh>
    <phoneticPr fontId="1"/>
  </si>
  <si>
    <t>活動能力</t>
    <rPh sb="0" eb="2">
      <t>カツドウ</t>
    </rPh>
    <rPh sb="2" eb="4">
      <t>ノウリョク</t>
    </rPh>
    <phoneticPr fontId="1"/>
  </si>
  <si>
    <t>生産指数（季調値）</t>
    <rPh sb="5" eb="6">
      <t>キ</t>
    </rPh>
    <rPh sb="6" eb="7">
      <t>チョウ</t>
    </rPh>
    <rPh sb="7" eb="8">
      <t>チ</t>
    </rPh>
    <phoneticPr fontId="1"/>
  </si>
  <si>
    <t>【毎月勤労統計】
所定外労働時間
（季節調整、指数）</t>
    <rPh sb="1" eb="3">
      <t>マイツキ</t>
    </rPh>
    <rPh sb="3" eb="5">
      <t>キンロウ</t>
    </rPh>
    <rPh sb="5" eb="7">
      <t>トウケイ</t>
    </rPh>
    <rPh sb="9" eb="12">
      <t>ショテイガイ</t>
    </rPh>
    <rPh sb="12" eb="14">
      <t>ロウドウ</t>
    </rPh>
    <rPh sb="14" eb="16">
      <t>ジカン</t>
    </rPh>
    <rPh sb="18" eb="20">
      <t>キセツ</t>
    </rPh>
    <rPh sb="20" eb="22">
      <t>チョウセイ</t>
    </rPh>
    <rPh sb="23" eb="25">
      <t>シスウ</t>
    </rPh>
    <phoneticPr fontId="1"/>
  </si>
  <si>
    <t>推計生産能力</t>
    <rPh sb="0" eb="2">
      <t>スイケイ</t>
    </rPh>
    <rPh sb="2" eb="4">
      <t>セイサン</t>
    </rPh>
    <rPh sb="4" eb="6">
      <t>ノウリョク</t>
    </rPh>
    <phoneticPr fontId="1"/>
  </si>
  <si>
    <t>現実資本稼働率</t>
    <rPh sb="0" eb="2">
      <t>ゲンジツ</t>
    </rPh>
    <rPh sb="2" eb="4">
      <t>シホン</t>
    </rPh>
    <rPh sb="4" eb="7">
      <t>カドウリツ</t>
    </rPh>
    <phoneticPr fontId="1"/>
  </si>
  <si>
    <t>【日銀短観】
設備判断DI</t>
    <rPh sb="1" eb="3">
      <t>ニチギン</t>
    </rPh>
    <rPh sb="3" eb="5">
      <t>タンカン</t>
    </rPh>
    <rPh sb="7" eb="9">
      <t>セツビ</t>
    </rPh>
    <rPh sb="9" eb="11">
      <t>ハンダン</t>
    </rPh>
    <phoneticPr fontId="1"/>
  </si>
  <si>
    <t>潜在資本稼働率
（1990年10月～）</t>
    <rPh sb="0" eb="2">
      <t>センザイ</t>
    </rPh>
    <rPh sb="2" eb="4">
      <t>シホン</t>
    </rPh>
    <rPh sb="4" eb="7">
      <t>カドウリツ</t>
    </rPh>
    <rPh sb="13" eb="14">
      <t>ネン</t>
    </rPh>
    <rPh sb="16" eb="17">
      <t>ガツ</t>
    </rPh>
    <phoneticPr fontId="1"/>
  </si>
  <si>
    <t>現実資本稼働率
（暦年）</t>
    <rPh sb="0" eb="2">
      <t>ゲンジツ</t>
    </rPh>
    <rPh sb="2" eb="4">
      <t>シホン</t>
    </rPh>
    <rPh sb="4" eb="7">
      <t>カドウリツ</t>
    </rPh>
    <rPh sb="9" eb="11">
      <t>レキネン</t>
    </rPh>
    <phoneticPr fontId="1"/>
  </si>
  <si>
    <t>潜在資本稼働率
（暦年）</t>
    <rPh sb="0" eb="2">
      <t>センザイ</t>
    </rPh>
    <rPh sb="2" eb="4">
      <t>シホン</t>
    </rPh>
    <rPh sb="4" eb="7">
      <t>カドウリツ</t>
    </rPh>
    <phoneticPr fontId="1"/>
  </si>
  <si>
    <t>暦年</t>
    <rPh sb="0" eb="2">
      <t>レキネン</t>
    </rPh>
    <phoneticPr fontId="3"/>
  </si>
  <si>
    <t>現実資本稼働率
（暦年）</t>
    <rPh sb="0" eb="2">
      <t>ゲンジツ</t>
    </rPh>
    <rPh sb="2" eb="4">
      <t>シホン</t>
    </rPh>
    <rPh sb="4" eb="7">
      <t>カドウリツ</t>
    </rPh>
    <phoneticPr fontId="1"/>
  </si>
  <si>
    <t>1974年度</t>
    <rPh sb="4" eb="6">
      <t>ネンド</t>
    </rPh>
    <phoneticPr fontId="1"/>
  </si>
  <si>
    <t>1975年度</t>
    <rPh sb="4" eb="6">
      <t>ネンド</t>
    </rPh>
    <phoneticPr fontId="1"/>
  </si>
  <si>
    <t>1976年度</t>
    <rPh sb="4" eb="6">
      <t>ネンド</t>
    </rPh>
    <phoneticPr fontId="1"/>
  </si>
  <si>
    <t>1977年度</t>
    <rPh sb="4" eb="6">
      <t>ネンド</t>
    </rPh>
    <phoneticPr fontId="1"/>
  </si>
  <si>
    <t>1978年度</t>
    <rPh sb="4" eb="6">
      <t>ネンド</t>
    </rPh>
    <phoneticPr fontId="1"/>
  </si>
  <si>
    <t>1979年度</t>
    <rPh sb="4" eb="6">
      <t>ネンド</t>
    </rPh>
    <phoneticPr fontId="1"/>
  </si>
  <si>
    <t>1980年度</t>
    <rPh sb="4" eb="6">
      <t>ネンド</t>
    </rPh>
    <phoneticPr fontId="1"/>
  </si>
  <si>
    <t>1981年度</t>
    <rPh sb="4" eb="6">
      <t>ネンド</t>
    </rPh>
    <phoneticPr fontId="1"/>
  </si>
  <si>
    <t>1982年度</t>
    <rPh sb="4" eb="6">
      <t>ネンド</t>
    </rPh>
    <phoneticPr fontId="1"/>
  </si>
  <si>
    <t>1983年度</t>
    <rPh sb="4" eb="6">
      <t>ネンド</t>
    </rPh>
    <phoneticPr fontId="1"/>
  </si>
  <si>
    <t>1984年度</t>
    <rPh sb="4" eb="6">
      <t>ネンド</t>
    </rPh>
    <phoneticPr fontId="1"/>
  </si>
  <si>
    <t>1985年度</t>
    <rPh sb="4" eb="6">
      <t>ネンド</t>
    </rPh>
    <phoneticPr fontId="1"/>
  </si>
  <si>
    <t>1986年度</t>
    <rPh sb="4" eb="6">
      <t>ネンド</t>
    </rPh>
    <phoneticPr fontId="1"/>
  </si>
  <si>
    <t>1987年度</t>
    <rPh sb="4" eb="6">
      <t>ネンド</t>
    </rPh>
    <phoneticPr fontId="1"/>
  </si>
  <si>
    <t>1988年度</t>
    <rPh sb="4" eb="6">
      <t>ネンド</t>
    </rPh>
    <phoneticPr fontId="1"/>
  </si>
  <si>
    <t>1989年度</t>
    <rPh sb="4" eb="6">
      <t>ネンド</t>
    </rPh>
    <phoneticPr fontId="1"/>
  </si>
  <si>
    <t>1990年度</t>
    <rPh sb="4" eb="6">
      <t>ネンド</t>
    </rPh>
    <phoneticPr fontId="1"/>
  </si>
  <si>
    <t>1991年度</t>
    <rPh sb="4" eb="6">
      <t>ネンド</t>
    </rPh>
    <phoneticPr fontId="1"/>
  </si>
  <si>
    <t>1992年度</t>
    <rPh sb="4" eb="6">
      <t>ネンド</t>
    </rPh>
    <phoneticPr fontId="1"/>
  </si>
  <si>
    <t>1993年度</t>
    <rPh sb="4" eb="6">
      <t>ネンド</t>
    </rPh>
    <phoneticPr fontId="1"/>
  </si>
  <si>
    <t>1994年度</t>
    <rPh sb="4" eb="6">
      <t>ネンド</t>
    </rPh>
    <phoneticPr fontId="1"/>
  </si>
  <si>
    <t>1995年度</t>
    <rPh sb="4" eb="6">
      <t>ネンド</t>
    </rPh>
    <phoneticPr fontId="1"/>
  </si>
  <si>
    <t>1996年度</t>
    <rPh sb="4" eb="6">
      <t>ネンド</t>
    </rPh>
    <phoneticPr fontId="1"/>
  </si>
  <si>
    <t>1997年度</t>
    <rPh sb="4" eb="6">
      <t>ネンド</t>
    </rPh>
    <phoneticPr fontId="1"/>
  </si>
  <si>
    <t>1998年度</t>
    <rPh sb="4" eb="6">
      <t>ネンド</t>
    </rPh>
    <phoneticPr fontId="1"/>
  </si>
  <si>
    <t>1999年度</t>
    <rPh sb="4" eb="6">
      <t>ネンド</t>
    </rPh>
    <phoneticPr fontId="1"/>
  </si>
  <si>
    <t>2000年度</t>
    <rPh sb="4" eb="6">
      <t>ネンド</t>
    </rPh>
    <phoneticPr fontId="1"/>
  </si>
  <si>
    <t>2001年度</t>
    <rPh sb="4" eb="6">
      <t>ネンド</t>
    </rPh>
    <phoneticPr fontId="1"/>
  </si>
  <si>
    <t>2002年度</t>
    <rPh sb="4" eb="6">
      <t>ネンド</t>
    </rPh>
    <phoneticPr fontId="1"/>
  </si>
  <si>
    <t>2003年度</t>
    <rPh sb="4" eb="6">
      <t>ネンド</t>
    </rPh>
    <phoneticPr fontId="1"/>
  </si>
  <si>
    <t>2004年度</t>
    <rPh sb="4" eb="6">
      <t>ネンド</t>
    </rPh>
    <phoneticPr fontId="1"/>
  </si>
  <si>
    <t>2005年度</t>
    <rPh sb="4" eb="6">
      <t>ネンド</t>
    </rPh>
    <phoneticPr fontId="1"/>
  </si>
  <si>
    <t>2006年度</t>
    <rPh sb="4" eb="6">
      <t>ネンド</t>
    </rPh>
    <phoneticPr fontId="1"/>
  </si>
  <si>
    <t>2007年度</t>
    <rPh sb="4" eb="6">
      <t>ネンド</t>
    </rPh>
    <phoneticPr fontId="1"/>
  </si>
  <si>
    <t>2008年度</t>
    <rPh sb="4" eb="6">
      <t>ネンド</t>
    </rPh>
    <phoneticPr fontId="1"/>
  </si>
  <si>
    <t>2009年度</t>
    <rPh sb="4" eb="6">
      <t>ネンド</t>
    </rPh>
    <phoneticPr fontId="1"/>
  </si>
  <si>
    <t>2010年度</t>
    <rPh sb="4" eb="6">
      <t>ネンド</t>
    </rPh>
    <phoneticPr fontId="1"/>
  </si>
  <si>
    <t>2011年度</t>
    <rPh sb="4" eb="6">
      <t>ネンド</t>
    </rPh>
    <phoneticPr fontId="1"/>
  </si>
  <si>
    <t>2012年度</t>
    <rPh sb="4" eb="6">
      <t>ネンド</t>
    </rPh>
    <phoneticPr fontId="1"/>
  </si>
  <si>
    <t>2013年度</t>
    <rPh sb="4" eb="6">
      <t>ネンド</t>
    </rPh>
    <phoneticPr fontId="1"/>
  </si>
  <si>
    <t>2014年度</t>
    <rPh sb="4" eb="6">
      <t>ネンド</t>
    </rPh>
    <phoneticPr fontId="1"/>
  </si>
  <si>
    <t>2015年度</t>
    <rPh sb="4" eb="6">
      <t>ネンド</t>
    </rPh>
    <phoneticPr fontId="1"/>
  </si>
  <si>
    <t>2016年度</t>
    <rPh sb="4" eb="6">
      <t>ネンド</t>
    </rPh>
    <phoneticPr fontId="1"/>
  </si>
  <si>
    <t>2017年度</t>
    <rPh sb="4" eb="6">
      <t>ネンド</t>
    </rPh>
    <phoneticPr fontId="1"/>
  </si>
  <si>
    <t>2018年度</t>
    <rPh sb="4" eb="6">
      <t>ネンド</t>
    </rPh>
    <phoneticPr fontId="1"/>
  </si>
  <si>
    <t>2019年度</t>
    <rPh sb="4" eb="6">
      <t>ネンド</t>
    </rPh>
    <phoneticPr fontId="1"/>
  </si>
  <si>
    <t>2020年度</t>
    <rPh sb="4" eb="6">
      <t>ネンド</t>
    </rPh>
    <phoneticPr fontId="1"/>
  </si>
  <si>
    <t>※ARIMAにて延長推計</t>
    <rPh sb="8" eb="10">
      <t>エンチョウ</t>
    </rPh>
    <rPh sb="10" eb="12">
      <t>スイケイ</t>
    </rPh>
    <phoneticPr fontId="1"/>
  </si>
  <si>
    <t>年月</t>
    <rPh sb="0" eb="2">
      <t>ネンゲツ</t>
    </rPh>
    <phoneticPr fontId="1"/>
  </si>
  <si>
    <t>総実労働時間指数
(季節調整値）</t>
    <rPh sb="6" eb="8">
      <t>シスウ</t>
    </rPh>
    <rPh sb="10" eb="12">
      <t>キセツ</t>
    </rPh>
    <rPh sb="12" eb="15">
      <t>チョウセイチ</t>
    </rPh>
    <phoneticPr fontId="1"/>
  </si>
  <si>
    <t>総実労働時間
(実数）</t>
    <rPh sb="8" eb="10">
      <t>ジッスウ</t>
    </rPh>
    <phoneticPr fontId="1"/>
  </si>
  <si>
    <t>総実労働時間
(2015年、年平均）</t>
    <rPh sb="12" eb="13">
      <t>ネン</t>
    </rPh>
    <rPh sb="14" eb="17">
      <t>ネンヘイキン</t>
    </rPh>
    <phoneticPr fontId="1"/>
  </si>
  <si>
    <t>総実労働時間
(季節調整値）</t>
    <rPh sb="8" eb="10">
      <t>キセツ</t>
    </rPh>
    <rPh sb="10" eb="13">
      <t>チョウセイチ</t>
    </rPh>
    <phoneticPr fontId="1"/>
  </si>
  <si>
    <t>総実労働時間
(季節調整値、暦年）</t>
    <rPh sb="8" eb="10">
      <t>キセツ</t>
    </rPh>
    <rPh sb="10" eb="13">
      <t>チョウセイチ</t>
    </rPh>
    <rPh sb="14" eb="16">
      <t>レキネン</t>
    </rPh>
    <phoneticPr fontId="1"/>
  </si>
  <si>
    <t>暦年</t>
    <phoneticPr fontId="1"/>
  </si>
  <si>
    <t>現実平均労働時間</t>
    <rPh sb="0" eb="2">
      <t>ゲンジツ</t>
    </rPh>
    <rPh sb="2" eb="4">
      <t>ヘイキン</t>
    </rPh>
    <rPh sb="4" eb="6">
      <t>ロウドウ</t>
    </rPh>
    <rPh sb="6" eb="8">
      <t>ジカン</t>
    </rPh>
    <phoneticPr fontId="1"/>
  </si>
  <si>
    <t>潜在平均労働時間</t>
    <rPh sb="0" eb="2">
      <t>センザイ</t>
    </rPh>
    <rPh sb="2" eb="4">
      <t>ヘイキン</t>
    </rPh>
    <rPh sb="4" eb="6">
      <t>ロウドウ</t>
    </rPh>
    <rPh sb="6" eb="8">
      <t>ジカン</t>
    </rPh>
    <phoneticPr fontId="1"/>
  </si>
  <si>
    <t>1955年</t>
    <rPh sb="4" eb="5">
      <t>ネン</t>
    </rPh>
    <phoneticPr fontId="1"/>
  </si>
  <si>
    <t>1956年</t>
    <rPh sb="4" eb="5">
      <t>ネン</t>
    </rPh>
    <phoneticPr fontId="1"/>
  </si>
  <si>
    <t>1957年</t>
    <rPh sb="4" eb="5">
      <t>ネン</t>
    </rPh>
    <phoneticPr fontId="1"/>
  </si>
  <si>
    <t>1958年</t>
    <rPh sb="4" eb="5">
      <t>ネン</t>
    </rPh>
    <phoneticPr fontId="1"/>
  </si>
  <si>
    <t>1959年</t>
    <rPh sb="4" eb="5">
      <t>ネン</t>
    </rPh>
    <phoneticPr fontId="1"/>
  </si>
  <si>
    <t>1960年</t>
    <rPh sb="4" eb="5">
      <t>ネン</t>
    </rPh>
    <phoneticPr fontId="1"/>
  </si>
  <si>
    <t>1961年</t>
    <rPh sb="4" eb="5">
      <t>ネン</t>
    </rPh>
    <phoneticPr fontId="1"/>
  </si>
  <si>
    <t>1962年</t>
    <rPh sb="4" eb="5">
      <t>ネン</t>
    </rPh>
    <phoneticPr fontId="1"/>
  </si>
  <si>
    <t>1963年</t>
    <rPh sb="4" eb="5">
      <t>ネン</t>
    </rPh>
    <phoneticPr fontId="1"/>
  </si>
  <si>
    <t>1964年</t>
    <rPh sb="4" eb="5">
      <t>ネン</t>
    </rPh>
    <phoneticPr fontId="1"/>
  </si>
  <si>
    <t>1965年</t>
    <rPh sb="4" eb="5">
      <t>ネン</t>
    </rPh>
    <phoneticPr fontId="1"/>
  </si>
  <si>
    <t>1966年</t>
    <rPh sb="4" eb="5">
      <t>ネン</t>
    </rPh>
    <phoneticPr fontId="1"/>
  </si>
  <si>
    <t>1967年</t>
    <rPh sb="4" eb="5">
      <t>ネン</t>
    </rPh>
    <phoneticPr fontId="1"/>
  </si>
  <si>
    <t>1968年</t>
    <rPh sb="4" eb="5">
      <t>ネン</t>
    </rPh>
    <phoneticPr fontId="1"/>
  </si>
  <si>
    <t>1969年</t>
    <rPh sb="4" eb="5">
      <t>ネン</t>
    </rPh>
    <phoneticPr fontId="1"/>
  </si>
  <si>
    <t>1970年</t>
    <rPh sb="4" eb="5">
      <t>ネン</t>
    </rPh>
    <phoneticPr fontId="1"/>
  </si>
  <si>
    <t>1971年</t>
    <rPh sb="4" eb="5">
      <t>ネン</t>
    </rPh>
    <phoneticPr fontId="1"/>
  </si>
  <si>
    <t>1972年</t>
    <rPh sb="4" eb="5">
      <t>ネン</t>
    </rPh>
    <phoneticPr fontId="1"/>
  </si>
  <si>
    <t>1973年</t>
    <rPh sb="4" eb="5">
      <t>ネン</t>
    </rPh>
    <phoneticPr fontId="1"/>
  </si>
  <si>
    <t>1974年</t>
    <rPh sb="4" eb="5">
      <t>ネン</t>
    </rPh>
    <phoneticPr fontId="1"/>
  </si>
  <si>
    <t>1975年</t>
    <rPh sb="4" eb="5">
      <t>ネン</t>
    </rPh>
    <phoneticPr fontId="1"/>
  </si>
  <si>
    <t>1976年</t>
    <rPh sb="4" eb="5">
      <t>ネン</t>
    </rPh>
    <phoneticPr fontId="1"/>
  </si>
  <si>
    <t>1977年</t>
    <rPh sb="4" eb="5">
      <t>ネン</t>
    </rPh>
    <phoneticPr fontId="1"/>
  </si>
  <si>
    <t>1978年</t>
    <rPh sb="4" eb="5">
      <t>ネン</t>
    </rPh>
    <phoneticPr fontId="1"/>
  </si>
  <si>
    <t>1979年</t>
    <rPh sb="4" eb="5">
      <t>ネン</t>
    </rPh>
    <phoneticPr fontId="1"/>
  </si>
  <si>
    <t>産業別就業者（建設業）
（万人、原数値）</t>
    <rPh sb="0" eb="2">
      <t>サンギョウ</t>
    </rPh>
    <rPh sb="2" eb="3">
      <t>ベツ</t>
    </rPh>
    <rPh sb="3" eb="6">
      <t>シュウギョウシャ</t>
    </rPh>
    <rPh sb="7" eb="10">
      <t>ケンセツギョウ</t>
    </rPh>
    <rPh sb="13" eb="15">
      <t>マンニン</t>
    </rPh>
    <rPh sb="16" eb="17">
      <t>ゲン</t>
    </rPh>
    <rPh sb="17" eb="19">
      <t>スウチ</t>
    </rPh>
    <phoneticPr fontId="1"/>
  </si>
  <si>
    <t>年度平均</t>
    <rPh sb="0" eb="2">
      <t>ネンド</t>
    </rPh>
    <rPh sb="2" eb="4">
      <t>ヘイキン</t>
    </rPh>
    <phoneticPr fontId="1"/>
  </si>
  <si>
    <t>全産業就業者
（万人、原数値）</t>
    <rPh sb="0" eb="3">
      <t>ゼンサンギョウ</t>
    </rPh>
    <rPh sb="3" eb="6">
      <t>シュウギョウシャ</t>
    </rPh>
    <rPh sb="8" eb="10">
      <t>マンニン</t>
    </rPh>
    <rPh sb="11" eb="12">
      <t>ゲン</t>
    </rPh>
    <rPh sb="12" eb="14">
      <t>スウチ</t>
    </rPh>
    <phoneticPr fontId="1"/>
  </si>
  <si>
    <t>労働力人口
（万人、原数値）</t>
    <rPh sb="0" eb="3">
      <t>ロウドウリョク</t>
    </rPh>
    <rPh sb="3" eb="5">
      <t>ジンコウ</t>
    </rPh>
    <rPh sb="7" eb="9">
      <t>マンニン</t>
    </rPh>
    <rPh sb="10" eb="11">
      <t>ハラ</t>
    </rPh>
    <rPh sb="11" eb="13">
      <t>スウチ</t>
    </rPh>
    <phoneticPr fontId="1"/>
  </si>
  <si>
    <t>15歳以上人口
（万人、原数値）</t>
    <phoneticPr fontId="1"/>
  </si>
  <si>
    <t>労働力率</t>
    <rPh sb="0" eb="3">
      <t>ロウドウリョク</t>
    </rPh>
    <rPh sb="3" eb="4">
      <t>リツ</t>
    </rPh>
    <phoneticPr fontId="1"/>
  </si>
  <si>
    <t>建設就業率</t>
    <rPh sb="0" eb="2">
      <t>ケンセツ</t>
    </rPh>
    <rPh sb="2" eb="5">
      <t>シュウギョウリツ</t>
    </rPh>
    <phoneticPr fontId="1"/>
  </si>
  <si>
    <t>15歳以上人口
年度平均</t>
    <rPh sb="8" eb="10">
      <t>ネンド</t>
    </rPh>
    <rPh sb="10" eb="12">
      <t>ヘイキン</t>
    </rPh>
    <phoneticPr fontId="1"/>
  </si>
  <si>
    <t>潜在15歳以上人口</t>
    <rPh sb="0" eb="2">
      <t>センザイ</t>
    </rPh>
    <rPh sb="4" eb="9">
      <t>サイイジョウジンコウ</t>
    </rPh>
    <phoneticPr fontId="1"/>
  </si>
  <si>
    <t>潜在労働力率</t>
    <rPh sb="2" eb="5">
      <t>ロウドウリョク</t>
    </rPh>
    <rPh sb="5" eb="6">
      <t>リツ</t>
    </rPh>
    <phoneticPr fontId="1"/>
  </si>
  <si>
    <t>潜在建設就業率</t>
    <rPh sb="2" eb="4">
      <t>ケンセツ</t>
    </rPh>
    <rPh sb="4" eb="7">
      <t>シュウギョウリツ</t>
    </rPh>
    <phoneticPr fontId="1"/>
  </si>
  <si>
    <t>潜在労働力人口</t>
    <rPh sb="0" eb="2">
      <t>センザイ</t>
    </rPh>
    <rPh sb="2" eb="5">
      <t>ロウドウリョク</t>
    </rPh>
    <rPh sb="5" eb="7">
      <t>ジンコウ</t>
    </rPh>
    <phoneticPr fontId="1"/>
  </si>
  <si>
    <t>構造失業率</t>
    <rPh sb="0" eb="5">
      <t>コウゾウシツギョウリツ</t>
    </rPh>
    <phoneticPr fontId="1"/>
  </si>
  <si>
    <t>潜在就業者数</t>
    <rPh sb="0" eb="2">
      <t>センザイ</t>
    </rPh>
    <rPh sb="2" eb="6">
      <t>シュウギョウシャスウ</t>
    </rPh>
    <phoneticPr fontId="1"/>
  </si>
  <si>
    <t>現実就業者数</t>
    <rPh sb="0" eb="2">
      <t>ゲンジツ</t>
    </rPh>
    <rPh sb="2" eb="6">
      <t>シュウギョウシャスウ</t>
    </rPh>
    <phoneticPr fontId="1"/>
  </si>
  <si>
    <t xml:space="preserve">      &lt;6241&gt;</t>
  </si>
  <si>
    <t xml:space="preserve">      &lt;6305&gt;</t>
  </si>
  <si>
    <t xml:space="preserve">      &lt;6331&gt;</t>
  </si>
  <si>
    <t xml:space="preserve">      &lt;6314&gt;</t>
  </si>
  <si>
    <t xml:space="preserve">      &lt;6291&gt;</t>
  </si>
  <si>
    <t xml:space="preserve">      &lt;6288&gt;</t>
  </si>
  <si>
    <t>有効求人数
（季節調整値）</t>
    <rPh sb="0" eb="5">
      <t>ユウコウキュウジンスウ</t>
    </rPh>
    <rPh sb="7" eb="11">
      <t>キセツチョウセイ</t>
    </rPh>
    <rPh sb="11" eb="12">
      <t>チ</t>
    </rPh>
    <phoneticPr fontId="1"/>
  </si>
  <si>
    <t>就職件数
（季節調整値）</t>
    <rPh sb="0" eb="4">
      <t>シュウショクケンスウ</t>
    </rPh>
    <rPh sb="6" eb="8">
      <t>キセツ</t>
    </rPh>
    <rPh sb="8" eb="11">
      <t>チョウセイチ</t>
    </rPh>
    <phoneticPr fontId="1"/>
  </si>
  <si>
    <t>非農林業雇用者数
（季節調整値）</t>
    <rPh sb="0" eb="8">
      <t>ヒノウリンギョウコヨウシャスウ</t>
    </rPh>
    <rPh sb="10" eb="12">
      <t>キセツ</t>
    </rPh>
    <rPh sb="12" eb="15">
      <t>チョウセイチ</t>
    </rPh>
    <phoneticPr fontId="1"/>
  </si>
  <si>
    <t>雇用欠員率</t>
    <rPh sb="0" eb="5">
      <t>コヨウケツインリツ</t>
    </rPh>
    <phoneticPr fontId="1"/>
  </si>
  <si>
    <t>完全失業者数
（季節調整値）</t>
    <rPh sb="0" eb="2">
      <t>カンゼン</t>
    </rPh>
    <rPh sb="2" eb="4">
      <t>シツギョウ</t>
    </rPh>
    <rPh sb="4" eb="5">
      <t>シャ</t>
    </rPh>
    <rPh sb="5" eb="6">
      <t>スウ</t>
    </rPh>
    <rPh sb="8" eb="13">
      <t>キセツチョウセイチ</t>
    </rPh>
    <phoneticPr fontId="1"/>
  </si>
  <si>
    <t>雇用失業率</t>
    <rPh sb="0" eb="5">
      <t>コヨウシツギョウリツ</t>
    </rPh>
    <phoneticPr fontId="1"/>
  </si>
  <si>
    <t>離職率
（季節調整値）</t>
    <rPh sb="0" eb="3">
      <t>リショクリツ</t>
    </rPh>
    <rPh sb="5" eb="7">
      <t>キセツ</t>
    </rPh>
    <rPh sb="7" eb="10">
      <t>チョウセイチ</t>
    </rPh>
    <phoneticPr fontId="1"/>
  </si>
  <si>
    <t>構造変化ダミー</t>
    <rPh sb="0" eb="4">
      <t>コウゾウヘンカ</t>
    </rPh>
    <phoneticPr fontId="1"/>
  </si>
  <si>
    <t>粗構造失業率</t>
    <rPh sb="0" eb="1">
      <t>アラ</t>
    </rPh>
    <rPh sb="1" eb="6">
      <t>コウゾウシツギョウリツ</t>
    </rPh>
    <phoneticPr fontId="1"/>
  </si>
  <si>
    <t>粗構造失業率
（暦年平均）</t>
    <rPh sb="0" eb="1">
      <t>アラ</t>
    </rPh>
    <rPh sb="1" eb="6">
      <t>コウゾウシツギョウリツ</t>
    </rPh>
    <rPh sb="8" eb="10">
      <t>レキネン</t>
    </rPh>
    <rPh sb="10" eb="12">
      <t>ヘイキン</t>
    </rPh>
    <phoneticPr fontId="1"/>
  </si>
  <si>
    <t>自動ARIMA予測</t>
    <rPh sb="0" eb="2">
      <t>ジドウ</t>
    </rPh>
    <rPh sb="7" eb="9">
      <t>ヨソク</t>
    </rPh>
    <phoneticPr fontId="1"/>
  </si>
  <si>
    <t>建設投資見通し
（実質、億円）</t>
    <rPh sb="0" eb="2">
      <t>ケンセツ</t>
    </rPh>
    <rPh sb="2" eb="4">
      <t>トウシ</t>
    </rPh>
    <rPh sb="4" eb="6">
      <t>ミトオ</t>
    </rPh>
    <phoneticPr fontId="1"/>
  </si>
  <si>
    <t>付加価値換算額
（実質、億円）</t>
    <rPh sb="0" eb="2">
      <t>フカ</t>
    </rPh>
    <rPh sb="2" eb="4">
      <t>カチ</t>
    </rPh>
    <rPh sb="4" eb="6">
      <t>カンサン</t>
    </rPh>
    <rPh sb="6" eb="7">
      <t>ガク</t>
    </rPh>
    <rPh sb="9" eb="11">
      <t>ジッシツ</t>
    </rPh>
    <rPh sb="12" eb="14">
      <t>オクエン</t>
    </rPh>
    <phoneticPr fontId="1"/>
  </si>
  <si>
    <t>実際の需要水準
（建設投資見通し）</t>
    <rPh sb="0" eb="2">
      <t>ジッサイ</t>
    </rPh>
    <rPh sb="3" eb="7">
      <t>ジュヨウスイジュン</t>
    </rPh>
    <rPh sb="9" eb="11">
      <t>ケンセツ</t>
    </rPh>
    <rPh sb="11" eb="13">
      <t>トウシ</t>
    </rPh>
    <rPh sb="13" eb="15">
      <t>ミトオ</t>
    </rPh>
    <phoneticPr fontId="1"/>
  </si>
  <si>
    <t>潜在的な供給水準
（建設投資見通し）</t>
    <rPh sb="0" eb="3">
      <t>センザイテキ</t>
    </rPh>
    <rPh sb="4" eb="8">
      <t>キョウキュウスイジュン</t>
    </rPh>
    <phoneticPr fontId="1"/>
  </si>
  <si>
    <t>産出額
（名目、10億円）</t>
    <rPh sb="0" eb="3">
      <t>サンシュツガク</t>
    </rPh>
    <rPh sb="5" eb="7">
      <t>メイモク</t>
    </rPh>
    <rPh sb="10" eb="12">
      <t>オクエン</t>
    </rPh>
    <phoneticPr fontId="1"/>
  </si>
  <si>
    <t>中間投入
（名目、10億円）</t>
    <rPh sb="0" eb="2">
      <t>チュウカン</t>
    </rPh>
    <rPh sb="2" eb="4">
      <t>トウニュウ</t>
    </rPh>
    <phoneticPr fontId="1"/>
  </si>
  <si>
    <t>国内総生産
（名目、10億円）</t>
    <rPh sb="0" eb="2">
      <t>コクナイ</t>
    </rPh>
    <rPh sb="2" eb="5">
      <t>ソウセイサン</t>
    </rPh>
    <phoneticPr fontId="1"/>
  </si>
  <si>
    <t>付加価値率</t>
    <rPh sb="0" eb="2">
      <t>フカ</t>
    </rPh>
    <rPh sb="2" eb="4">
      <t>カチ</t>
    </rPh>
    <rPh sb="4" eb="5">
      <t>リツ</t>
    </rPh>
    <phoneticPr fontId="1"/>
  </si>
  <si>
    <t>中間投入</t>
    <rPh sb="0" eb="2">
      <t>チュウカン</t>
    </rPh>
    <rPh sb="2" eb="4">
      <t>トウニュウ</t>
    </rPh>
    <phoneticPr fontId="1"/>
  </si>
  <si>
    <t>産出額（生産者価格表示）
（10億円）</t>
    <rPh sb="16" eb="18">
      <t>オクエン</t>
    </rPh>
    <phoneticPr fontId="1"/>
  </si>
  <si>
    <t>中間投入
（10億円）</t>
    <phoneticPr fontId="1"/>
  </si>
  <si>
    <t>現実中間投入率</t>
    <rPh sb="0" eb="2">
      <t>ゲンジツ</t>
    </rPh>
    <rPh sb="2" eb="7">
      <t>チュウカントウニュウリツ</t>
    </rPh>
    <phoneticPr fontId="1"/>
  </si>
  <si>
    <t>潜在中間投入率</t>
    <rPh sb="0" eb="2">
      <t>センザイ</t>
    </rPh>
    <rPh sb="2" eb="7">
      <t>チュウカントウニュウリツ</t>
    </rPh>
    <phoneticPr fontId="1"/>
  </si>
  <si>
    <t>現実有形固定資産
（実質、10億円）</t>
    <rPh sb="0" eb="2">
      <t>ゲンジツ</t>
    </rPh>
    <rPh sb="2" eb="4">
      <t>ユウケイ</t>
    </rPh>
    <rPh sb="4" eb="8">
      <t>コテイシサン</t>
    </rPh>
    <rPh sb="10" eb="12">
      <t>ジッシツ</t>
    </rPh>
    <rPh sb="15" eb="16">
      <t>オク</t>
    </rPh>
    <rPh sb="16" eb="17">
      <t>エン</t>
    </rPh>
    <phoneticPr fontId="1"/>
  </si>
  <si>
    <t>現実無形固定資産
（実質、10億円）</t>
    <rPh sb="0" eb="2">
      <t>ゲンジツ</t>
    </rPh>
    <rPh sb="2" eb="4">
      <t>ムケイ</t>
    </rPh>
    <rPh sb="4" eb="8">
      <t>コテイシサン</t>
    </rPh>
    <phoneticPr fontId="1"/>
  </si>
  <si>
    <t>潜在有形固定資産
（10億円）</t>
    <rPh sb="0" eb="2">
      <t>センザイ</t>
    </rPh>
    <rPh sb="2" eb="4">
      <t>ユウケイ</t>
    </rPh>
    <rPh sb="4" eb="8">
      <t>コテイシサン</t>
    </rPh>
    <phoneticPr fontId="1"/>
  </si>
  <si>
    <t>潜在無形固定資産
（10億円）</t>
    <rPh sb="2" eb="4">
      <t>ムケイ</t>
    </rPh>
    <rPh sb="4" eb="8">
      <t>コテイシサン</t>
    </rPh>
    <phoneticPr fontId="1"/>
  </si>
  <si>
    <t>★有形固定資産投資対建設投資額比</t>
    <rPh sb="1" eb="7">
      <t>ユウケイコテイシサン</t>
    </rPh>
    <rPh sb="7" eb="9">
      <t>トウシ</t>
    </rPh>
    <rPh sb="9" eb="10">
      <t>タイ</t>
    </rPh>
    <rPh sb="10" eb="16">
      <t>ケンセツトウシガクヒ</t>
    </rPh>
    <phoneticPr fontId="1"/>
  </si>
  <si>
    <t>★無形固定資産投資対建設投資額比</t>
    <rPh sb="1" eb="3">
      <t>ムケイ</t>
    </rPh>
    <rPh sb="3" eb="5">
      <t>コテイ</t>
    </rPh>
    <rPh sb="5" eb="7">
      <t>シサン</t>
    </rPh>
    <rPh sb="7" eb="9">
      <t>トウシ</t>
    </rPh>
    <rPh sb="9" eb="10">
      <t>タイ</t>
    </rPh>
    <rPh sb="10" eb="16">
      <t>ケンセツトウシガクヒ</t>
    </rPh>
    <phoneticPr fontId="1"/>
  </si>
  <si>
    <t>利子率考えた方がいい？</t>
    <rPh sb="0" eb="3">
      <t>リシリツ</t>
    </rPh>
    <rPh sb="3" eb="4">
      <t>カンガ</t>
    </rPh>
    <rPh sb="6" eb="7">
      <t>ホウ</t>
    </rPh>
    <phoneticPr fontId="1"/>
  </si>
  <si>
    <t>有形固定資産減耗率</t>
    <rPh sb="0" eb="6">
      <t>ユウケイコテイシサン</t>
    </rPh>
    <rPh sb="6" eb="9">
      <t>ゲンモウリツ</t>
    </rPh>
    <phoneticPr fontId="1"/>
  </si>
  <si>
    <t>無形固定資産減耗率</t>
    <rPh sb="0" eb="2">
      <t>ムケイ</t>
    </rPh>
    <rPh sb="2" eb="4">
      <t>コテイ</t>
    </rPh>
    <rPh sb="4" eb="6">
      <t>シサン</t>
    </rPh>
    <rPh sb="6" eb="9">
      <t>ゲンモウリツ</t>
    </rPh>
    <phoneticPr fontId="1"/>
  </si>
  <si>
    <t>有形固定資産減耗率（現実）</t>
    <rPh sb="0" eb="6">
      <t>ユウケイコテイシサン</t>
    </rPh>
    <rPh sb="6" eb="9">
      <t>ゲンモウリツ</t>
    </rPh>
    <rPh sb="10" eb="12">
      <t>ゲンジツ</t>
    </rPh>
    <phoneticPr fontId="1"/>
  </si>
  <si>
    <t>無形固定資産減耗率（現実）</t>
    <rPh sb="0" eb="2">
      <t>ムケイ</t>
    </rPh>
    <rPh sb="2" eb="4">
      <t>コテイ</t>
    </rPh>
    <rPh sb="4" eb="6">
      <t>シサン</t>
    </rPh>
    <rPh sb="6" eb="9">
      <t>ゲンモウリツ</t>
    </rPh>
    <phoneticPr fontId="1"/>
  </si>
  <si>
    <t>資本投入</t>
    <phoneticPr fontId="1"/>
  </si>
  <si>
    <t>資本分配</t>
    <rPh sb="0" eb="2">
      <t>シホン</t>
    </rPh>
    <rPh sb="2" eb="4">
      <t>ブンパイ</t>
    </rPh>
    <phoneticPr fontId="1"/>
  </si>
  <si>
    <t>産出量</t>
    <rPh sb="0" eb="3">
      <t>サンシュツリョウ</t>
    </rPh>
    <phoneticPr fontId="1"/>
  </si>
  <si>
    <t>注記</t>
    <rPh sb="0" eb="2">
      <t>チュウキ</t>
    </rPh>
    <phoneticPr fontId="1"/>
  </si>
  <si>
    <t>1980-2020平均</t>
    <rPh sb="9" eb="11">
      <t>ヘイキン</t>
    </rPh>
    <phoneticPr fontId="1"/>
  </si>
  <si>
    <t>1982-1987平均</t>
    <rPh sb="9" eb="11">
      <t>ヘイキン</t>
    </rPh>
    <phoneticPr fontId="1"/>
  </si>
  <si>
    <t>直近同値</t>
    <rPh sb="0" eb="2">
      <t>チョッキン</t>
    </rPh>
    <rPh sb="2" eb="4">
      <t>ドウチ</t>
    </rPh>
    <phoneticPr fontId="1"/>
  </si>
  <si>
    <t>雇用政策研究会資料より線形補完
2020年の建設業と鉱業の就業者比率で案分（99.6%が建設業）
＋外国人4万人</t>
    <rPh sb="0" eb="2">
      <t>コヨウ</t>
    </rPh>
    <rPh sb="2" eb="4">
      <t>セイサク</t>
    </rPh>
    <rPh sb="4" eb="7">
      <t>ケンキュウカイ</t>
    </rPh>
    <rPh sb="7" eb="9">
      <t>シリョウ</t>
    </rPh>
    <rPh sb="11" eb="13">
      <t>センケイ</t>
    </rPh>
    <rPh sb="13" eb="15">
      <t>ホカン</t>
    </rPh>
    <rPh sb="22" eb="25">
      <t>ケンセツギョウ</t>
    </rPh>
    <rPh sb="26" eb="28">
      <t>コウギョウ</t>
    </rPh>
    <rPh sb="29" eb="32">
      <t>シュウギョウシャ</t>
    </rPh>
    <rPh sb="32" eb="34">
      <t>ヒリツ</t>
    </rPh>
    <rPh sb="35" eb="37">
      <t>アンブン</t>
    </rPh>
    <rPh sb="44" eb="47">
      <t>ケンセツギョウ</t>
    </rPh>
    <phoneticPr fontId="1"/>
  </si>
  <si>
    <t>2002年～直近平均</t>
    <rPh sb="4" eb="5">
      <t>ネン</t>
    </rPh>
    <rPh sb="6" eb="8">
      <t>チョッキン</t>
    </rPh>
    <rPh sb="8" eb="10">
      <t>ヘイキン</t>
    </rPh>
    <phoneticPr fontId="1"/>
  </si>
  <si>
    <t>実現値</t>
    <rPh sb="0" eb="2">
      <t>ジツゲン</t>
    </rPh>
    <rPh sb="2" eb="3">
      <t>チ</t>
    </rPh>
    <phoneticPr fontId="1"/>
  </si>
  <si>
    <t>想定値・推計値</t>
    <rPh sb="0" eb="2">
      <t>ソウテイ</t>
    </rPh>
    <rPh sb="2" eb="3">
      <t>チ</t>
    </rPh>
    <rPh sb="4" eb="7">
      <t>スイケイチ</t>
    </rPh>
    <phoneticPr fontId="1"/>
  </si>
  <si>
    <t>TFP上昇率</t>
    <rPh sb="3" eb="6">
      <t>ジョウショウリツ</t>
    </rPh>
    <phoneticPr fontId="1"/>
  </si>
  <si>
    <t>成長実現ケース</t>
    <rPh sb="0" eb="4">
      <t>セイチョウジツゲン</t>
    </rPh>
    <phoneticPr fontId="1"/>
  </si>
  <si>
    <t>資本投入量</t>
    <rPh sb="0" eb="5">
      <t>シホントウニュウリョウ</t>
    </rPh>
    <phoneticPr fontId="1"/>
  </si>
  <si>
    <t>有形固定資産
（10億円、期首）</t>
    <rPh sb="0" eb="2">
      <t>ユウケイ</t>
    </rPh>
    <rPh sb="2" eb="6">
      <t>コテイシサン</t>
    </rPh>
    <rPh sb="13" eb="15">
      <t>キシュ</t>
    </rPh>
    <phoneticPr fontId="1"/>
  </si>
  <si>
    <t>無形固定資産
（10億円、期首）</t>
    <rPh sb="0" eb="2">
      <t>ムケイ</t>
    </rPh>
    <rPh sb="2" eb="6">
      <t>コテイシサン</t>
    </rPh>
    <phoneticPr fontId="1"/>
  </si>
  <si>
    <t>資本稼働率</t>
    <rPh sb="0" eb="5">
      <t>シホンカドウリツ</t>
    </rPh>
    <phoneticPr fontId="1"/>
  </si>
  <si>
    <t>資本投入量
（10億円、期首）</t>
    <rPh sb="0" eb="5">
      <t>シホントウニュウリョウ</t>
    </rPh>
    <rPh sb="12" eb="14">
      <t>キシュ</t>
    </rPh>
    <phoneticPr fontId="1"/>
  </si>
  <si>
    <t>労働投入量</t>
    <rPh sb="0" eb="2">
      <t>ロウドウ</t>
    </rPh>
    <rPh sb="2" eb="4">
      <t>トウニュウ</t>
    </rPh>
    <rPh sb="4" eb="5">
      <t>リョウ</t>
    </rPh>
    <phoneticPr fontId="1"/>
  </si>
  <si>
    <t>平均労働時間
（時間／人）</t>
    <rPh sb="0" eb="2">
      <t>ヘイキン</t>
    </rPh>
    <rPh sb="2" eb="4">
      <t>ロウドウ</t>
    </rPh>
    <rPh sb="4" eb="6">
      <t>ジカン</t>
    </rPh>
    <phoneticPr fontId="1"/>
  </si>
  <si>
    <t>就業者数（建設業）
（万人）</t>
    <rPh sb="0" eb="4">
      <t>シュウギョウシャスウ</t>
    </rPh>
    <rPh sb="5" eb="8">
      <t>ケンセツギョウ</t>
    </rPh>
    <phoneticPr fontId="1"/>
  </si>
  <si>
    <t>ベースラインケース
(建設就業比率維持）</t>
    <rPh sb="11" eb="13">
      <t>ケンセツ</t>
    </rPh>
    <rPh sb="13" eb="15">
      <t>シュウギョウ</t>
    </rPh>
    <rPh sb="15" eb="17">
      <t>ヒリツ</t>
    </rPh>
    <rPh sb="17" eb="19">
      <t>イジ</t>
    </rPh>
    <phoneticPr fontId="1"/>
  </si>
  <si>
    <t>労働投入量
（万時間）</t>
    <rPh sb="0" eb="5">
      <t>ロウドウトウニュウリョウ</t>
    </rPh>
    <phoneticPr fontId="1"/>
  </si>
  <si>
    <t>ベースラインケース
(建設就業比率維持）</t>
    <rPh sb="11" eb="13">
      <t>ケンセツ</t>
    </rPh>
    <rPh sb="13" eb="15">
      <t>シュウギョウ</t>
    </rPh>
    <rPh sb="17" eb="19">
      <t>イジ</t>
    </rPh>
    <phoneticPr fontId="1"/>
  </si>
  <si>
    <t>資本分配率</t>
    <rPh sb="0" eb="5">
      <t>シホンブンパイリツ</t>
    </rPh>
    <phoneticPr fontId="1"/>
  </si>
  <si>
    <t>現実</t>
    <rPh sb="0" eb="2">
      <t>ゲンジツ</t>
    </rPh>
    <phoneticPr fontId="1"/>
  </si>
  <si>
    <t>ベースラインケース（建設就業比率維持）</t>
    <rPh sb="10" eb="12">
      <t>ケンセツ</t>
    </rPh>
    <rPh sb="12" eb="14">
      <t>シュウギョウ</t>
    </rPh>
    <rPh sb="14" eb="15">
      <t>ヒ</t>
    </rPh>
    <rPh sb="15" eb="16">
      <t>リツ</t>
    </rPh>
    <rPh sb="16" eb="18">
      <t>イジ</t>
    </rPh>
    <phoneticPr fontId="1"/>
  </si>
  <si>
    <t>ICTR15</t>
    <phoneticPr fontId="1"/>
  </si>
  <si>
    <t>2021Q2</t>
  </si>
  <si>
    <t>2021Q3</t>
  </si>
  <si>
    <t>2021Q4</t>
  </si>
  <si>
    <t>2022Q1</t>
  </si>
  <si>
    <t>2022Q2</t>
  </si>
  <si>
    <t>2022Q3</t>
  </si>
  <si>
    <t>2022Q4</t>
  </si>
  <si>
    <t>2023Q1</t>
  </si>
  <si>
    <t>★有形固定資産投資対建設投資額比（実現値は名目値、予測値は名目・実績同値）</t>
    <rPh sb="1" eb="7">
      <t>ユウケイコテイシサン</t>
    </rPh>
    <rPh sb="7" eb="9">
      <t>トウシ</t>
    </rPh>
    <rPh sb="9" eb="10">
      <t>タイ</t>
    </rPh>
    <rPh sb="10" eb="16">
      <t>ケンセツトウシガクヒ</t>
    </rPh>
    <rPh sb="17" eb="19">
      <t>ジツゲン</t>
    </rPh>
    <rPh sb="19" eb="20">
      <t>チ</t>
    </rPh>
    <rPh sb="21" eb="23">
      <t>メイモク</t>
    </rPh>
    <rPh sb="23" eb="24">
      <t>チ</t>
    </rPh>
    <rPh sb="25" eb="28">
      <t>ヨソクチ</t>
    </rPh>
    <rPh sb="29" eb="31">
      <t>メイモク</t>
    </rPh>
    <rPh sb="32" eb="34">
      <t>ジッセキ</t>
    </rPh>
    <rPh sb="34" eb="36">
      <t>ドウチ</t>
    </rPh>
    <phoneticPr fontId="1"/>
  </si>
  <si>
    <t>★無形固定資産投資対建設投資額比（実現値は名目値、予測値は名目・実績同値）</t>
    <rPh sb="1" eb="3">
      <t>ムケイ</t>
    </rPh>
    <rPh sb="3" eb="5">
      <t>コテイ</t>
    </rPh>
    <rPh sb="5" eb="7">
      <t>シサン</t>
    </rPh>
    <rPh sb="7" eb="9">
      <t>トウシ</t>
    </rPh>
    <rPh sb="9" eb="10">
      <t>タイ</t>
    </rPh>
    <rPh sb="10" eb="16">
      <t>ケンセツトウシガクヒ</t>
    </rPh>
    <phoneticPr fontId="1"/>
  </si>
  <si>
    <t>2002年～直近までの平均</t>
    <rPh sb="4" eb="5">
      <t>ネン</t>
    </rPh>
    <rPh sb="6" eb="8">
      <t>チョッキン</t>
    </rPh>
    <rPh sb="11" eb="13">
      <t>ヘイキン</t>
    </rPh>
    <phoneticPr fontId="1"/>
  </si>
  <si>
    <t>新古典派投資理論を参考に、名目設備投資比率の対数を定数項と実質金利ギャップ＋資本減耗率の対数で単回帰した関数を採用する。（長期的に実質・名目ともに同じトレンドで成長すると仮定している。）なお、実質金利ギャップには、内閣府の中長期試算の公表値を使用し、整合的にするために、名目長期金利ｰGDPデフレーター（先10年平均）ｰ潜在成長率を使用する。</t>
    <rPh sb="0" eb="4">
      <t>シンコテンハ</t>
    </rPh>
    <rPh sb="4" eb="6">
      <t>トウシ</t>
    </rPh>
    <rPh sb="6" eb="8">
      <t>リロン</t>
    </rPh>
    <rPh sb="9" eb="11">
      <t>サンコウ</t>
    </rPh>
    <rPh sb="13" eb="15">
      <t>メイモク</t>
    </rPh>
    <rPh sb="15" eb="17">
      <t>セツビ</t>
    </rPh>
    <rPh sb="17" eb="19">
      <t>トウシ</t>
    </rPh>
    <rPh sb="19" eb="21">
      <t>ヒリツ</t>
    </rPh>
    <rPh sb="22" eb="24">
      <t>タイスウ</t>
    </rPh>
    <rPh sb="25" eb="27">
      <t>テイスウ</t>
    </rPh>
    <rPh sb="27" eb="28">
      <t>コウ</t>
    </rPh>
    <rPh sb="29" eb="31">
      <t>ジッシツ</t>
    </rPh>
    <rPh sb="31" eb="33">
      <t>キンリ</t>
    </rPh>
    <rPh sb="38" eb="40">
      <t>シホン</t>
    </rPh>
    <rPh sb="40" eb="42">
      <t>ゲンモウ</t>
    </rPh>
    <rPh sb="42" eb="43">
      <t>リツ</t>
    </rPh>
    <rPh sb="44" eb="46">
      <t>タイスウ</t>
    </rPh>
    <rPh sb="52" eb="54">
      <t>カンスウ</t>
    </rPh>
    <rPh sb="55" eb="57">
      <t>サイヨウ</t>
    </rPh>
    <rPh sb="61" eb="64">
      <t>チョウキテキ</t>
    </rPh>
    <rPh sb="65" eb="67">
      <t>ジッシツ</t>
    </rPh>
    <rPh sb="68" eb="70">
      <t>メイモク</t>
    </rPh>
    <rPh sb="73" eb="74">
      <t>オナ</t>
    </rPh>
    <rPh sb="80" eb="82">
      <t>セイチョウ</t>
    </rPh>
    <rPh sb="85" eb="87">
      <t>カテイ</t>
    </rPh>
    <rPh sb="96" eb="98">
      <t>ジッシツ</t>
    </rPh>
    <rPh sb="98" eb="100">
      <t>キンリ</t>
    </rPh>
    <rPh sb="107" eb="110">
      <t>ナイカクフ</t>
    </rPh>
    <rPh sb="111" eb="114">
      <t>チュウチョウキ</t>
    </rPh>
    <rPh sb="114" eb="116">
      <t>シサン</t>
    </rPh>
    <rPh sb="117" eb="119">
      <t>コウヒョウ</t>
    </rPh>
    <rPh sb="119" eb="120">
      <t>チ</t>
    </rPh>
    <rPh sb="121" eb="123">
      <t>シヨウ</t>
    </rPh>
    <rPh sb="125" eb="128">
      <t>セイゴウテキ</t>
    </rPh>
    <rPh sb="135" eb="137">
      <t>メイモク</t>
    </rPh>
    <rPh sb="137" eb="139">
      <t>チョウキ</t>
    </rPh>
    <rPh sb="139" eb="141">
      <t>キンリ</t>
    </rPh>
    <rPh sb="152" eb="153">
      <t>サキ</t>
    </rPh>
    <rPh sb="155" eb="156">
      <t>ネン</t>
    </rPh>
    <rPh sb="156" eb="158">
      <t>ヘイキン</t>
    </rPh>
    <rPh sb="160" eb="162">
      <t>センザイ</t>
    </rPh>
    <rPh sb="162" eb="165">
      <t>セイチョウリツ</t>
    </rPh>
    <rPh sb="166" eb="168">
      <t>シヨウ</t>
    </rPh>
    <phoneticPr fontId="1"/>
  </si>
  <si>
    <t>a01</t>
  </si>
  <si>
    <t>a02</t>
  </si>
  <si>
    <t>a03</t>
  </si>
  <si>
    <t>a04</t>
  </si>
  <si>
    <t>a05</t>
  </si>
  <si>
    <t>a06</t>
  </si>
  <si>
    <t>b01</t>
  </si>
  <si>
    <t>b02</t>
  </si>
  <si>
    <t>b03</t>
  </si>
  <si>
    <t>b04</t>
  </si>
  <si>
    <t>b05</t>
  </si>
  <si>
    <t>b06</t>
  </si>
  <si>
    <t>c01</t>
  </si>
  <si>
    <t>c02</t>
  </si>
  <si>
    <t>c03</t>
  </si>
  <si>
    <t>c04</t>
  </si>
  <si>
    <t>c05</t>
  </si>
  <si>
    <t>c06</t>
  </si>
  <si>
    <t>d01</t>
  </si>
  <si>
    <t>d02</t>
  </si>
  <si>
    <t>d03</t>
  </si>
  <si>
    <t>d04</t>
  </si>
  <si>
    <t>d05</t>
  </si>
  <si>
    <t>d06</t>
  </si>
  <si>
    <t>e01</t>
    <phoneticPr fontId="1"/>
  </si>
  <si>
    <t>e02</t>
    <phoneticPr fontId="1"/>
  </si>
  <si>
    <t>e03</t>
    <phoneticPr fontId="1"/>
  </si>
  <si>
    <t>f01</t>
    <phoneticPr fontId="1"/>
  </si>
  <si>
    <t>f02</t>
    <phoneticPr fontId="1"/>
  </si>
  <si>
    <t>f03</t>
    <phoneticPr fontId="1"/>
  </si>
  <si>
    <t>g01</t>
    <phoneticPr fontId="1"/>
  </si>
  <si>
    <t>g02</t>
    <phoneticPr fontId="1"/>
  </si>
  <si>
    <t>g03</t>
    <phoneticPr fontId="1"/>
  </si>
  <si>
    <t>I(1)</t>
    <phoneticPr fontId="1"/>
  </si>
  <si>
    <t>I(2)</t>
    <phoneticPr fontId="1"/>
  </si>
  <si>
    <t>固定資本ストックマトリックス（名目値）　2018年度</t>
    <rPh sb="0" eb="2">
      <t>コテイ</t>
    </rPh>
    <rPh sb="2" eb="4">
      <t>シホン</t>
    </rPh>
    <rPh sb="15" eb="18">
      <t>メイモクチ</t>
    </rPh>
    <rPh sb="24" eb="26">
      <t>ネンド</t>
    </rPh>
    <phoneticPr fontId="1"/>
  </si>
  <si>
    <t>固定資本ストックマトリックス（実質値　2011暦年連鎖）　2018年度</t>
    <rPh sb="0" eb="2">
      <t>コテイ</t>
    </rPh>
    <rPh sb="2" eb="4">
      <t>シホン</t>
    </rPh>
    <rPh sb="15" eb="18">
      <t>ジッシツチ</t>
    </rPh>
    <phoneticPr fontId="1"/>
  </si>
  <si>
    <t>固定資本ストックマトリックス（名目値）　2020年度</t>
    <rPh sb="0" eb="2">
      <t>コテイ</t>
    </rPh>
    <rPh sb="2" eb="4">
      <t>シホン</t>
    </rPh>
    <rPh sb="15" eb="18">
      <t>メイモクチ</t>
    </rPh>
    <rPh sb="24" eb="26">
      <t>ネンド</t>
    </rPh>
    <phoneticPr fontId="1"/>
  </si>
  <si>
    <t>固定資本ストックマトリックス（実質値、2015暦年連鎖）　2020年度</t>
    <rPh sb="0" eb="2">
      <t>コテイ</t>
    </rPh>
    <rPh sb="2" eb="4">
      <t>シホン</t>
    </rPh>
    <rPh sb="15" eb="18">
      <t>ジッシツチ</t>
    </rPh>
    <phoneticPr fontId="1"/>
  </si>
  <si>
    <t>固定資本ストックマトリックス（実質値　2015暦年連鎖）　デフレーター</t>
    <rPh sb="0" eb="2">
      <t>コテイ</t>
    </rPh>
    <rPh sb="2" eb="4">
      <t>シホン</t>
    </rPh>
    <rPh sb="15" eb="18">
      <t>ジッシツチ</t>
    </rPh>
    <phoneticPr fontId="1"/>
  </si>
  <si>
    <t>固定資本ストックマトリックス（実質値　2015暦年連鎖）　デフレーター変化率</t>
    <rPh sb="0" eb="2">
      <t>コテイ</t>
    </rPh>
    <rPh sb="2" eb="4">
      <t>シホン</t>
    </rPh>
    <rPh sb="15" eb="18">
      <t>ジッシツチ</t>
    </rPh>
    <rPh sb="35" eb="38">
      <t>ヘンカリツ</t>
    </rPh>
    <phoneticPr fontId="1"/>
  </si>
  <si>
    <t>固定資本マトリックス（名目値）　2018年度</t>
    <rPh sb="0" eb="2">
      <t>コテイ</t>
    </rPh>
    <rPh sb="2" eb="4">
      <t>シホン</t>
    </rPh>
    <rPh sb="11" eb="14">
      <t>メイモクチ</t>
    </rPh>
    <rPh sb="20" eb="22">
      <t>ネンド</t>
    </rPh>
    <phoneticPr fontId="1"/>
  </si>
  <si>
    <t>固定資本マトリックス（実質値　2011暦年連鎖）　2018年度</t>
    <rPh sb="0" eb="2">
      <t>コテイ</t>
    </rPh>
    <rPh sb="2" eb="4">
      <t>シホン</t>
    </rPh>
    <rPh sb="11" eb="14">
      <t>ジッシツチ</t>
    </rPh>
    <phoneticPr fontId="1"/>
  </si>
  <si>
    <t>固定資本マトリックス（名目値）　2020年度</t>
    <rPh sb="0" eb="2">
      <t>コテイ</t>
    </rPh>
    <rPh sb="2" eb="4">
      <t>シホン</t>
    </rPh>
    <rPh sb="11" eb="14">
      <t>メイモクチ</t>
    </rPh>
    <rPh sb="20" eb="22">
      <t>ネンド</t>
    </rPh>
    <phoneticPr fontId="1"/>
  </si>
  <si>
    <t>固定資本マトリックス（実質値、2015暦年連鎖）　2020年度</t>
    <rPh sb="0" eb="2">
      <t>コテイ</t>
    </rPh>
    <rPh sb="2" eb="4">
      <t>シホン</t>
    </rPh>
    <rPh sb="11" eb="14">
      <t>ジッシツチ</t>
    </rPh>
    <phoneticPr fontId="1"/>
  </si>
  <si>
    <t>固定資本マトリックス（実質値　2015暦年連鎖）　デフレーター</t>
    <rPh sb="0" eb="2">
      <t>コテイ</t>
    </rPh>
    <rPh sb="2" eb="4">
      <t>シホン</t>
    </rPh>
    <rPh sb="11" eb="14">
      <t>ジッシツチ</t>
    </rPh>
    <phoneticPr fontId="1"/>
  </si>
  <si>
    <t>固定資本マトリックス（実質値　2015暦年連鎖）　デフレーター変化率</t>
    <rPh sb="0" eb="2">
      <t>コテイ</t>
    </rPh>
    <rPh sb="2" eb="4">
      <t>シホン</t>
    </rPh>
    <rPh sb="11" eb="14">
      <t>ジッシツチ</t>
    </rPh>
    <rPh sb="31" eb="34">
      <t>ヘンカリツ</t>
    </rPh>
    <phoneticPr fontId="1"/>
  </si>
  <si>
    <t>固定資本減耗＋調整額（名目値）　2020年度</t>
    <rPh sb="0" eb="2">
      <t>コテイ</t>
    </rPh>
    <rPh sb="2" eb="4">
      <t>シホン</t>
    </rPh>
    <rPh sb="4" eb="6">
      <t>ゲンモウ</t>
    </rPh>
    <rPh sb="7" eb="9">
      <t>チョウセイ</t>
    </rPh>
    <rPh sb="9" eb="10">
      <t>ガク</t>
    </rPh>
    <rPh sb="11" eb="14">
      <t>メイモクチ</t>
    </rPh>
    <rPh sb="20" eb="22">
      <t>ネンド</t>
    </rPh>
    <phoneticPr fontId="1"/>
  </si>
  <si>
    <t>固定資本減耗＋調整額（実質値、2015暦年連鎖）　2020年度</t>
    <rPh sb="0" eb="2">
      <t>コテイ</t>
    </rPh>
    <rPh sb="2" eb="4">
      <t>シホン</t>
    </rPh>
    <rPh sb="4" eb="6">
      <t>ゲンモウ</t>
    </rPh>
    <rPh sb="7" eb="9">
      <t>チョウセイ</t>
    </rPh>
    <rPh sb="11" eb="14">
      <t>ジッシツチ</t>
    </rPh>
    <phoneticPr fontId="1"/>
  </si>
  <si>
    <t>固定資本減耗率（名目値）　2020年度</t>
    <rPh sb="0" eb="2">
      <t>コテイ</t>
    </rPh>
    <rPh sb="2" eb="4">
      <t>シホン</t>
    </rPh>
    <rPh sb="4" eb="6">
      <t>ゲンモウ</t>
    </rPh>
    <rPh sb="6" eb="7">
      <t>リツ</t>
    </rPh>
    <rPh sb="8" eb="11">
      <t>メイモクチ</t>
    </rPh>
    <rPh sb="17" eb="19">
      <t>ネンド</t>
    </rPh>
    <phoneticPr fontId="1"/>
  </si>
  <si>
    <t>固定資本減耗率（実質値、2015暦年連鎖）　2020年度</t>
    <rPh sb="0" eb="2">
      <t>コテイ</t>
    </rPh>
    <rPh sb="2" eb="4">
      <t>シホン</t>
    </rPh>
    <rPh sb="4" eb="6">
      <t>ゲンモウ</t>
    </rPh>
    <rPh sb="8" eb="11">
      <t>ジッシツチ</t>
    </rPh>
    <phoneticPr fontId="1"/>
  </si>
  <si>
    <t>国内総生産（支出側）　2020年度</t>
    <rPh sb="0" eb="2">
      <t>コクナイ</t>
    </rPh>
    <rPh sb="2" eb="5">
      <t>ソウセイサン</t>
    </rPh>
    <rPh sb="6" eb="8">
      <t>シシュツ</t>
    </rPh>
    <rPh sb="8" eb="9">
      <t>ガワ</t>
    </rPh>
    <rPh sb="15" eb="17">
      <t>ネンド</t>
    </rPh>
    <phoneticPr fontId="1"/>
  </si>
  <si>
    <t>名目投資対GDP比率</t>
    <rPh sb="0" eb="2">
      <t>メイモク</t>
    </rPh>
    <rPh sb="2" eb="4">
      <t>トウシ</t>
    </rPh>
    <rPh sb="4" eb="5">
      <t>タイ</t>
    </rPh>
    <rPh sb="8" eb="10">
      <t>ヒリツ</t>
    </rPh>
    <phoneticPr fontId="1"/>
  </si>
  <si>
    <t>実質投資対GDP比率</t>
    <rPh sb="0" eb="2">
      <t>ジッシツ</t>
    </rPh>
    <rPh sb="2" eb="4">
      <t>トウシ</t>
    </rPh>
    <rPh sb="4" eb="5">
      <t>タイ</t>
    </rPh>
    <rPh sb="8" eb="10">
      <t>ヒリツ</t>
    </rPh>
    <phoneticPr fontId="1"/>
  </si>
  <si>
    <t>名目ストック額対潜在GDP比率</t>
    <rPh sb="0" eb="2">
      <t>メイモク</t>
    </rPh>
    <rPh sb="6" eb="7">
      <t>ガク</t>
    </rPh>
    <rPh sb="7" eb="8">
      <t>タイ</t>
    </rPh>
    <rPh sb="8" eb="10">
      <t>センザイ</t>
    </rPh>
    <rPh sb="13" eb="15">
      <t>ヒリツ</t>
    </rPh>
    <phoneticPr fontId="1"/>
  </si>
  <si>
    <t>実質ストック額対潜在GDP比率</t>
    <rPh sb="0" eb="2">
      <t>ジッシツ</t>
    </rPh>
    <rPh sb="6" eb="7">
      <t>ガク</t>
    </rPh>
    <rPh sb="7" eb="8">
      <t>タイ</t>
    </rPh>
    <rPh sb="13" eb="15">
      <t>ヒリツ</t>
    </rPh>
    <phoneticPr fontId="1"/>
  </si>
  <si>
    <t>人口推計（10月1日時点）</t>
    <rPh sb="0" eb="4">
      <t>ジンコウスイケイ</t>
    </rPh>
    <rPh sb="7" eb="8">
      <t>ガツ</t>
    </rPh>
    <rPh sb="9" eb="10">
      <t>ニチ</t>
    </rPh>
    <rPh sb="10" eb="12">
      <t>ジテン</t>
    </rPh>
    <phoneticPr fontId="1"/>
  </si>
  <si>
    <t>財務省</t>
    <rPh sb="0" eb="3">
      <t>ザイムショウ</t>
    </rPh>
    <phoneticPr fontId="1"/>
  </si>
  <si>
    <t>内閣府</t>
    <rPh sb="0" eb="3">
      <t>ナイカクフ</t>
    </rPh>
    <phoneticPr fontId="1"/>
  </si>
  <si>
    <t>名目ストック額対名目潜在GDP比率</t>
    <phoneticPr fontId="1"/>
  </si>
  <si>
    <t>名目投資額対名目GDP比率</t>
    <phoneticPr fontId="1"/>
  </si>
  <si>
    <t>民間住宅</t>
    <rPh sb="0" eb="2">
      <t>ミンカン</t>
    </rPh>
    <rPh sb="2" eb="4">
      <t>ジュウタク</t>
    </rPh>
    <phoneticPr fontId="1"/>
  </si>
  <si>
    <t>公的住宅</t>
    <rPh sb="0" eb="2">
      <t>コウテキ</t>
    </rPh>
    <rPh sb="2" eb="4">
      <t>ジュウタク</t>
    </rPh>
    <phoneticPr fontId="1"/>
  </si>
  <si>
    <t>公的非住宅</t>
    <rPh sb="0" eb="2">
      <t>コウテキ</t>
    </rPh>
    <rPh sb="2" eb="3">
      <t>ヒ</t>
    </rPh>
    <rPh sb="3" eb="5">
      <t>ジュウタク</t>
    </rPh>
    <phoneticPr fontId="1"/>
  </si>
  <si>
    <t>民間土木</t>
    <rPh sb="0" eb="2">
      <t>ミンカン</t>
    </rPh>
    <phoneticPr fontId="1"/>
  </si>
  <si>
    <t>公的土木</t>
    <phoneticPr fontId="1"/>
  </si>
  <si>
    <t>名目値</t>
    <rPh sb="0" eb="2">
      <t>メイモク</t>
    </rPh>
    <rPh sb="2" eb="3">
      <t>チ</t>
    </rPh>
    <phoneticPr fontId="1"/>
  </si>
  <si>
    <t>実質値
2015暦年連鎖方式</t>
    <rPh sb="0" eb="2">
      <t>ジッシツ</t>
    </rPh>
    <rPh sb="2" eb="3">
      <t>チ</t>
    </rPh>
    <rPh sb="8" eb="10">
      <t>レキネン</t>
    </rPh>
    <rPh sb="10" eb="12">
      <t>レンサ</t>
    </rPh>
    <rPh sb="12" eb="14">
      <t>ホウシキ</t>
    </rPh>
    <phoneticPr fontId="1"/>
  </si>
  <si>
    <t>潜在GDP
（名目値）</t>
    <rPh sb="0" eb="2">
      <t>センザイ</t>
    </rPh>
    <rPh sb="7" eb="9">
      <t>メイモク</t>
    </rPh>
    <rPh sb="9" eb="10">
      <t>チ</t>
    </rPh>
    <phoneticPr fontId="1"/>
  </si>
  <si>
    <t>潜在GDP
（実質値）</t>
    <rPh sb="0" eb="2">
      <t>センザイ</t>
    </rPh>
    <rPh sb="7" eb="9">
      <t>ジッシツ</t>
    </rPh>
    <rPh sb="9" eb="10">
      <t>チ</t>
    </rPh>
    <phoneticPr fontId="1"/>
  </si>
  <si>
    <t>総人口</t>
    <rPh sb="0" eb="3">
      <t>ソウジンコウ</t>
    </rPh>
    <phoneticPr fontId="1"/>
  </si>
  <si>
    <t>15歳未満</t>
    <rPh sb="3" eb="4">
      <t>ミ</t>
    </rPh>
    <rPh sb="4" eb="5">
      <t>マン</t>
    </rPh>
    <phoneticPr fontId="1"/>
  </si>
  <si>
    <t>15～64歳</t>
    <phoneticPr fontId="1"/>
  </si>
  <si>
    <t>65歳以上</t>
    <phoneticPr fontId="1"/>
  </si>
  <si>
    <t>15歳未満
比率</t>
    <rPh sb="3" eb="4">
      <t>ミ</t>
    </rPh>
    <rPh sb="4" eb="5">
      <t>マン</t>
    </rPh>
    <rPh sb="6" eb="8">
      <t>ヒリツ</t>
    </rPh>
    <phoneticPr fontId="1"/>
  </si>
  <si>
    <t>15～64歳
比率</t>
    <phoneticPr fontId="1"/>
  </si>
  <si>
    <t>65歳以上
比率</t>
    <phoneticPr fontId="1"/>
  </si>
  <si>
    <t>15歳未満
比率変化率</t>
    <rPh sb="3" eb="4">
      <t>ミ</t>
    </rPh>
    <rPh sb="4" eb="5">
      <t>マン</t>
    </rPh>
    <rPh sb="6" eb="8">
      <t>ヒリツ</t>
    </rPh>
    <rPh sb="8" eb="11">
      <t>ヘンカリツ</t>
    </rPh>
    <phoneticPr fontId="1"/>
  </si>
  <si>
    <t>15～64歳
比率変化率</t>
    <phoneticPr fontId="1"/>
  </si>
  <si>
    <t>65歳以上
比率変化率</t>
    <phoneticPr fontId="1"/>
  </si>
  <si>
    <t>住宅（公的含む）
共和分回帰残差</t>
    <rPh sb="9" eb="11">
      <t>キョウワ</t>
    </rPh>
    <rPh sb="11" eb="12">
      <t>ブン</t>
    </rPh>
    <rPh sb="12" eb="14">
      <t>カイキ</t>
    </rPh>
    <rPh sb="14" eb="16">
      <t>ザンサ</t>
    </rPh>
    <phoneticPr fontId="1"/>
  </si>
  <si>
    <t>民間非住宅
共和分回帰残差</t>
    <rPh sb="6" eb="8">
      <t>キョウワ</t>
    </rPh>
    <rPh sb="8" eb="9">
      <t>ブン</t>
    </rPh>
    <rPh sb="9" eb="11">
      <t>カイキ</t>
    </rPh>
    <rPh sb="11" eb="13">
      <t>ザンサ</t>
    </rPh>
    <phoneticPr fontId="1"/>
  </si>
  <si>
    <t>民間土木構築物
共和分回帰残差</t>
    <phoneticPr fontId="1"/>
  </si>
  <si>
    <t>10億円</t>
    <rPh sb="2" eb="4">
      <t>オクエン</t>
    </rPh>
    <phoneticPr fontId="1"/>
  </si>
  <si>
    <t>%</t>
    <phoneticPr fontId="1"/>
  </si>
  <si>
    <t>千人</t>
    <rPh sb="0" eb="1">
      <t>セン</t>
    </rPh>
    <rPh sb="1" eb="2">
      <t>ニン</t>
    </rPh>
    <phoneticPr fontId="1"/>
  </si>
  <si>
    <t>％</t>
    <phoneticPr fontId="1"/>
  </si>
  <si>
    <t>stockh</t>
    <phoneticPr fontId="1"/>
  </si>
  <si>
    <t>stocknh</t>
    <phoneticPr fontId="1"/>
  </si>
  <si>
    <t>stockc</t>
    <phoneticPr fontId="1"/>
  </si>
  <si>
    <t>stockpc</t>
    <phoneticPr fontId="1"/>
  </si>
  <si>
    <t>flowh</t>
    <phoneticPr fontId="1"/>
  </si>
  <si>
    <t>flownh</t>
    <phoneticPr fontId="1"/>
  </si>
  <si>
    <t>flowc</t>
    <phoneticPr fontId="1"/>
  </si>
  <si>
    <t>flowpc</t>
    <phoneticPr fontId="1"/>
  </si>
  <si>
    <t>pop</t>
    <phoneticPr fontId="1"/>
  </si>
  <si>
    <t>popu15</t>
    <phoneticPr fontId="1"/>
  </si>
  <si>
    <t>pop1565</t>
    <phoneticPr fontId="1"/>
  </si>
  <si>
    <t>popo65</t>
    <phoneticPr fontId="1"/>
  </si>
  <si>
    <t>popu15r</t>
    <phoneticPr fontId="1"/>
  </si>
  <si>
    <t>pop1565r</t>
    <phoneticPr fontId="1"/>
  </si>
  <si>
    <t>popo65r</t>
    <phoneticPr fontId="1"/>
  </si>
  <si>
    <t>popo15r</t>
    <phoneticPr fontId="1"/>
  </si>
  <si>
    <t>名目フロー額対GDP比率</t>
    <rPh sb="0" eb="2">
      <t>メイモク</t>
    </rPh>
    <rPh sb="5" eb="6">
      <t>ガク</t>
    </rPh>
    <rPh sb="6" eb="7">
      <t>タイ</t>
    </rPh>
    <rPh sb="10" eb="12">
      <t>ヒリツ</t>
    </rPh>
    <phoneticPr fontId="1"/>
  </si>
  <si>
    <t>人口推計</t>
    <rPh sb="0" eb="4">
      <t>ジンコウスイケイ</t>
    </rPh>
    <phoneticPr fontId="1"/>
  </si>
  <si>
    <t>民間（土木）構築物</t>
    <rPh sb="0" eb="2">
      <t>ミンカン</t>
    </rPh>
    <phoneticPr fontId="1"/>
  </si>
  <si>
    <t>公的（土木）構築物</t>
  </si>
  <si>
    <t>民間土木</t>
    <rPh sb="0" eb="2">
      <t>ミンカン</t>
    </rPh>
    <rPh sb="2" eb="4">
      <t>ドボク</t>
    </rPh>
    <phoneticPr fontId="1"/>
  </si>
  <si>
    <t>15～64歳</t>
  </si>
  <si>
    <t>65歳以上</t>
  </si>
  <si>
    <t>15～64歳
比率</t>
  </si>
  <si>
    <t>65歳以上
比率</t>
  </si>
  <si>
    <t>%</t>
  </si>
  <si>
    <t>万人</t>
    <rPh sb="0" eb="2">
      <t>マンニン</t>
    </rPh>
    <phoneticPr fontId="1"/>
  </si>
  <si>
    <t>目的変数</t>
    <rPh sb="0" eb="2">
      <t>モクテキ</t>
    </rPh>
    <rPh sb="2" eb="4">
      <t>ヘンスウ</t>
    </rPh>
    <phoneticPr fontId="1"/>
  </si>
  <si>
    <t>名目投資額対名目GDP比率</t>
    <rPh sb="0" eb="2">
      <t>メイモク</t>
    </rPh>
    <rPh sb="2" eb="5">
      <t>トウシガク</t>
    </rPh>
    <rPh sb="5" eb="6">
      <t>タイ</t>
    </rPh>
    <rPh sb="6" eb="8">
      <t>メイモク</t>
    </rPh>
    <rPh sb="11" eb="13">
      <t>ヒリツ</t>
    </rPh>
    <phoneticPr fontId="1"/>
  </si>
  <si>
    <t>フロー対GDP</t>
    <rPh sb="3" eb="4">
      <t>タイ</t>
    </rPh>
    <phoneticPr fontId="1"/>
  </si>
  <si>
    <t>名目ストック額対名目潜在GDP比率</t>
    <rPh sb="0" eb="2">
      <t>メイモク</t>
    </rPh>
    <rPh sb="6" eb="7">
      <t>ガク</t>
    </rPh>
    <rPh sb="7" eb="8">
      <t>タイ</t>
    </rPh>
    <rPh sb="8" eb="10">
      <t>メイモク</t>
    </rPh>
    <rPh sb="10" eb="12">
      <t>センザイ</t>
    </rPh>
    <rPh sb="15" eb="17">
      <t>ヒリツ</t>
    </rPh>
    <phoneticPr fontId="1"/>
  </si>
  <si>
    <t>ストック対潜在GDP</t>
    <rPh sb="4" eb="5">
      <t>タイ</t>
    </rPh>
    <rPh sb="5" eb="7">
      <t>センザイ</t>
    </rPh>
    <phoneticPr fontId="1"/>
  </si>
  <si>
    <t>説明変数</t>
    <rPh sb="0" eb="2">
      <t>セツメイ</t>
    </rPh>
    <rPh sb="2" eb="4">
      <t>ヘンスウ</t>
    </rPh>
    <phoneticPr fontId="1"/>
  </si>
  <si>
    <t>年少人口比率変化率</t>
    <rPh sb="0" eb="2">
      <t>ネンショウ</t>
    </rPh>
    <rPh sb="2" eb="4">
      <t>ジンコウ</t>
    </rPh>
    <rPh sb="4" eb="6">
      <t>ヒリツ</t>
    </rPh>
    <rPh sb="6" eb="9">
      <t>ヘンカリツ</t>
    </rPh>
    <phoneticPr fontId="1"/>
  </si>
  <si>
    <t>生産年齢人口比率変化率</t>
    <rPh sb="0" eb="2">
      <t>セイサン</t>
    </rPh>
    <rPh sb="2" eb="4">
      <t>ネンレイ</t>
    </rPh>
    <rPh sb="4" eb="6">
      <t>ジンコウ</t>
    </rPh>
    <rPh sb="6" eb="8">
      <t>ヒリツ</t>
    </rPh>
    <rPh sb="8" eb="10">
      <t>ヘンカ</t>
    </rPh>
    <rPh sb="10" eb="11">
      <t>リツ</t>
    </rPh>
    <phoneticPr fontId="1"/>
  </si>
  <si>
    <t>老年人口比率変化率</t>
    <rPh sb="0" eb="2">
      <t>ロウネン</t>
    </rPh>
    <rPh sb="2" eb="4">
      <t>ジンコウ</t>
    </rPh>
    <rPh sb="4" eb="6">
      <t>ヒリツ</t>
    </rPh>
    <phoneticPr fontId="1"/>
  </si>
  <si>
    <t>u15</t>
    <phoneticPr fontId="1"/>
  </si>
  <si>
    <t>o65</t>
    <phoneticPr fontId="1"/>
  </si>
  <si>
    <t>all</t>
    <phoneticPr fontId="1"/>
  </si>
  <si>
    <t>Engle-Granger検定</t>
    <phoneticPr fontId="1"/>
  </si>
  <si>
    <t>τ統計量のp値</t>
    <rPh sb="1" eb="4">
      <t>トウケイリョウ</t>
    </rPh>
    <rPh sb="6" eb="7">
      <t>チ</t>
    </rPh>
    <phoneticPr fontId="1"/>
  </si>
  <si>
    <t>z統計量のp値</t>
    <rPh sb="1" eb="4">
      <t>トウケイリョウ</t>
    </rPh>
    <phoneticPr fontId="1"/>
  </si>
  <si>
    <t>Phillips-Ouliaris検定</t>
    <phoneticPr fontId="1"/>
  </si>
  <si>
    <t>τ統計量のp値</t>
    <rPh sb="1" eb="4">
      <t>トウケイリョウ</t>
    </rPh>
    <phoneticPr fontId="1"/>
  </si>
  <si>
    <t>うち民間住宅</t>
    <rPh sb="2" eb="4">
      <t>ミンカン</t>
    </rPh>
    <rPh sb="4" eb="6">
      <t>ジュウタク</t>
    </rPh>
    <phoneticPr fontId="1"/>
  </si>
  <si>
    <t>u15</t>
  </si>
  <si>
    <t>o65</t>
  </si>
  <si>
    <t>all</t>
  </si>
  <si>
    <t>（非住宅）建物</t>
    <rPh sb="1" eb="2">
      <t>ヒ</t>
    </rPh>
    <rPh sb="2" eb="4">
      <t>ジュウタク</t>
    </rPh>
    <rPh sb="5" eb="7">
      <t>タテモノ</t>
    </rPh>
    <phoneticPr fontId="1"/>
  </si>
  <si>
    <t>うち民間（非住宅）建物</t>
    <rPh sb="2" eb="4">
      <t>ミンカン</t>
    </rPh>
    <rPh sb="5" eb="6">
      <t>ヒ</t>
    </rPh>
    <rPh sb="6" eb="8">
      <t>ジュウタク</t>
    </rPh>
    <rPh sb="9" eb="11">
      <t>タテモノ</t>
    </rPh>
    <phoneticPr fontId="1"/>
  </si>
  <si>
    <t>名目投資額対名目GDP比率（変化率）</t>
    <rPh sb="0" eb="2">
      <t>メイモク</t>
    </rPh>
    <rPh sb="2" eb="5">
      <t>トウシガク</t>
    </rPh>
    <rPh sb="5" eb="6">
      <t>タイ</t>
    </rPh>
    <rPh sb="6" eb="8">
      <t>メイモク</t>
    </rPh>
    <rPh sb="11" eb="13">
      <t>ヒリツ</t>
    </rPh>
    <rPh sb="14" eb="16">
      <t>ヘンカ</t>
    </rPh>
    <rPh sb="16" eb="17">
      <t>リツ</t>
    </rPh>
    <phoneticPr fontId="1"/>
  </si>
  <si>
    <t>（土木）構築物</t>
    <rPh sb="1" eb="3">
      <t>ドボク</t>
    </rPh>
    <rPh sb="4" eb="7">
      <t>コウチクブツ</t>
    </rPh>
    <phoneticPr fontId="1"/>
  </si>
  <si>
    <t>うち民間（土木）構築物</t>
    <rPh sb="2" eb="4">
      <t>ミンカン</t>
    </rPh>
    <rPh sb="5" eb="7">
      <t>ドボク</t>
    </rPh>
    <rPh sb="8" eb="11">
      <t>コウチクブツ</t>
    </rPh>
    <phoneticPr fontId="1"/>
  </si>
  <si>
    <t>※期間は1980年から2019年まで。EViewsのデフォルト設定による検定。下線は有意水準10%以下。</t>
    <rPh sb="1" eb="3">
      <t>キカン</t>
    </rPh>
    <rPh sb="8" eb="9">
      <t>ネン</t>
    </rPh>
    <rPh sb="15" eb="16">
      <t>ネン</t>
    </rPh>
    <rPh sb="31" eb="33">
      <t>セッテイ</t>
    </rPh>
    <rPh sb="36" eb="38">
      <t>ケンテイ</t>
    </rPh>
    <rPh sb="39" eb="41">
      <t>カセン</t>
    </rPh>
    <rPh sb="42" eb="44">
      <t>ユウイ</t>
    </rPh>
    <rPh sb="44" eb="46">
      <t>スイジュン</t>
    </rPh>
    <rPh sb="49" eb="51">
      <t>イカ</t>
    </rPh>
    <phoneticPr fontId="1"/>
  </si>
  <si>
    <t>外生変数</t>
    <rPh sb="0" eb="2">
      <t>ガイセイ</t>
    </rPh>
    <rPh sb="2" eb="4">
      <t>ヘンスウ</t>
    </rPh>
    <phoneticPr fontId="1"/>
  </si>
  <si>
    <t>金利ギャップ（名目長期金利－潜在成長率）</t>
    <rPh sb="0" eb="2">
      <t>キンリ</t>
    </rPh>
    <rPh sb="7" eb="9">
      <t>メイモク</t>
    </rPh>
    <rPh sb="9" eb="11">
      <t>チョウキ</t>
    </rPh>
    <rPh sb="11" eb="13">
      <t>キンリ</t>
    </rPh>
    <rPh sb="14" eb="16">
      <t>センザイ</t>
    </rPh>
    <rPh sb="16" eb="19">
      <t>セイチョウリツ</t>
    </rPh>
    <phoneticPr fontId="1"/>
  </si>
  <si>
    <t>共和分回帰係数</t>
    <rPh sb="0" eb="2">
      <t>キョウワ</t>
    </rPh>
    <rPh sb="2" eb="3">
      <t>ブン</t>
    </rPh>
    <rPh sb="3" eb="5">
      <t>カイキ</t>
    </rPh>
    <rPh sb="5" eb="7">
      <t>ケイスウ</t>
    </rPh>
    <phoneticPr fontId="1"/>
  </si>
  <si>
    <t>***</t>
  </si>
  <si>
    <t>*</t>
    <phoneticPr fontId="1"/>
  </si>
  <si>
    <t>***</t>
    <phoneticPr fontId="1"/>
  </si>
  <si>
    <t>Engle-Granger
検定</t>
    <phoneticPr fontId="1"/>
  </si>
  <si>
    <t>Phillips-Ouliaris
検定</t>
    <phoneticPr fontId="1"/>
  </si>
  <si>
    <t>p値平均</t>
    <rPh sb="1" eb="2">
      <t>チ</t>
    </rPh>
    <rPh sb="2" eb="4">
      <t>ヘイキン</t>
    </rPh>
    <phoneticPr fontId="1"/>
  </si>
  <si>
    <t>R2</t>
    <phoneticPr fontId="1"/>
  </si>
  <si>
    <t>うち公的住宅</t>
    <rPh sb="2" eb="4">
      <t>コウテキ</t>
    </rPh>
    <rPh sb="4" eb="6">
      <t>ジュウタク</t>
    </rPh>
    <phoneticPr fontId="1"/>
  </si>
  <si>
    <t>名目ストック額対名目潜在GDP比率（変化率）</t>
    <rPh sb="0" eb="2">
      <t>メイモク</t>
    </rPh>
    <rPh sb="6" eb="7">
      <t>ガク</t>
    </rPh>
    <rPh sb="7" eb="8">
      <t>タイ</t>
    </rPh>
    <rPh sb="8" eb="10">
      <t>メイモク</t>
    </rPh>
    <rPh sb="10" eb="12">
      <t>センザイ</t>
    </rPh>
    <rPh sb="15" eb="17">
      <t>ヒリツ</t>
    </rPh>
    <phoneticPr fontId="1"/>
  </si>
  <si>
    <t>**</t>
    <phoneticPr fontId="1"/>
  </si>
  <si>
    <t>うち公的（非住宅）建物</t>
    <rPh sb="2" eb="4">
      <t>コウテキ</t>
    </rPh>
    <rPh sb="5" eb="6">
      <t>ヒ</t>
    </rPh>
    <rPh sb="6" eb="8">
      <t>ジュウタク</t>
    </rPh>
    <rPh sb="9" eb="11">
      <t>タテモノ</t>
    </rPh>
    <phoneticPr fontId="1"/>
  </si>
  <si>
    <t>名目投資額対名目GDP比率　※変化率※</t>
    <rPh sb="0" eb="2">
      <t>メイモク</t>
    </rPh>
    <rPh sb="2" eb="5">
      <t>トウシガク</t>
    </rPh>
    <rPh sb="5" eb="6">
      <t>タイ</t>
    </rPh>
    <rPh sb="6" eb="8">
      <t>メイモク</t>
    </rPh>
    <rPh sb="11" eb="13">
      <t>ヒリツ</t>
    </rPh>
    <phoneticPr fontId="1"/>
  </si>
  <si>
    <t>うち公的（土木）構築物</t>
    <rPh sb="2" eb="4">
      <t>コウテキ</t>
    </rPh>
    <rPh sb="5" eb="7">
      <t>ドボク</t>
    </rPh>
    <rPh sb="8" eb="11">
      <t>コウチクブツ</t>
    </rPh>
    <phoneticPr fontId="1"/>
  </si>
  <si>
    <t>※期間は1987年から2020年まで。EViewsのデフォルト設定による検定。下線は有意水準10%以下。***, **, *はそれぞれ1%, 5%, 10%水準で有意。</t>
    <rPh sb="1" eb="3">
      <t>キカン</t>
    </rPh>
    <rPh sb="8" eb="9">
      <t>ネン</t>
    </rPh>
    <rPh sb="15" eb="16">
      <t>ネン</t>
    </rPh>
    <rPh sb="31" eb="33">
      <t>セッテイ</t>
    </rPh>
    <rPh sb="36" eb="38">
      <t>ケンテイ</t>
    </rPh>
    <rPh sb="39" eb="41">
      <t>カセン</t>
    </rPh>
    <rPh sb="42" eb="44">
      <t>ユウイ</t>
    </rPh>
    <rPh sb="44" eb="46">
      <t>スイジュン</t>
    </rPh>
    <rPh sb="49" eb="51">
      <t>イカ</t>
    </rPh>
    <rPh sb="78" eb="80">
      <t>スイジュン</t>
    </rPh>
    <rPh sb="81" eb="83">
      <t>ユウイ</t>
    </rPh>
    <phoneticPr fontId="1"/>
  </si>
  <si>
    <t>a07</t>
  </si>
  <si>
    <t>中長期試算</t>
    <rPh sb="0" eb="3">
      <t>チュウチョウキ</t>
    </rPh>
    <rPh sb="3" eb="5">
      <t>シサン</t>
    </rPh>
    <phoneticPr fontId="1"/>
  </si>
  <si>
    <t>固定資本ストックマトリックス（実質値　2015暦年連鎖）物価上昇率</t>
    <rPh sb="0" eb="2">
      <t>コテイ</t>
    </rPh>
    <rPh sb="2" eb="4">
      <t>シホン</t>
    </rPh>
    <rPh sb="15" eb="18">
      <t>ジッシツチ</t>
    </rPh>
    <rPh sb="28" eb="30">
      <t>ブッカ</t>
    </rPh>
    <rPh sb="30" eb="33">
      <t>ジョウショウリツ</t>
    </rPh>
    <phoneticPr fontId="1"/>
  </si>
  <si>
    <t>固定資本マトリックス（実質値　2015暦年連鎖）　物価上昇率</t>
    <rPh sb="0" eb="2">
      <t>コテイ</t>
    </rPh>
    <rPh sb="2" eb="4">
      <t>シホン</t>
    </rPh>
    <rPh sb="11" eb="14">
      <t>ジッシツチ</t>
    </rPh>
    <rPh sb="25" eb="27">
      <t>ブッカ</t>
    </rPh>
    <rPh sb="27" eb="29">
      <t>ジョウショウ</t>
    </rPh>
    <rPh sb="29" eb="30">
      <t>リツ</t>
    </rPh>
    <phoneticPr fontId="1"/>
  </si>
  <si>
    <t>建設投資見通しベース</t>
    <rPh sb="0" eb="2">
      <t>ケンセツ</t>
    </rPh>
    <rPh sb="2" eb="4">
      <t>トウシ</t>
    </rPh>
    <rPh sb="4" eb="6">
      <t>ミトオ</t>
    </rPh>
    <phoneticPr fontId="1"/>
  </si>
  <si>
    <t>国内企業物価上昇率（暦年）</t>
    <rPh sb="0" eb="2">
      <t>コクナイ</t>
    </rPh>
    <rPh sb="2" eb="4">
      <t>キギョウ</t>
    </rPh>
    <rPh sb="4" eb="6">
      <t>ブッカ</t>
    </rPh>
    <rPh sb="6" eb="9">
      <t>ジョウショウリツ</t>
    </rPh>
    <rPh sb="10" eb="12">
      <t>レキネン</t>
    </rPh>
    <phoneticPr fontId="1"/>
  </si>
  <si>
    <t>国内企業物価上昇率（年度）</t>
    <rPh sb="0" eb="2">
      <t>コクナイ</t>
    </rPh>
    <rPh sb="2" eb="4">
      <t>キギョウ</t>
    </rPh>
    <rPh sb="4" eb="6">
      <t>ブッカ</t>
    </rPh>
    <rPh sb="6" eb="9">
      <t>ジョウショウリツ</t>
    </rPh>
    <rPh sb="10" eb="12">
      <t>ネンド</t>
    </rPh>
    <phoneticPr fontId="1"/>
  </si>
  <si>
    <t>名目値
（年度）</t>
    <rPh sb="0" eb="2">
      <t>メイモク</t>
    </rPh>
    <rPh sb="2" eb="3">
      <t>チ</t>
    </rPh>
    <rPh sb="5" eb="7">
      <t>ネンド</t>
    </rPh>
    <phoneticPr fontId="1"/>
  </si>
  <si>
    <t>実質値
（年度）</t>
    <rPh sb="5" eb="7">
      <t>ネンド</t>
    </rPh>
    <phoneticPr fontId="1"/>
  </si>
  <si>
    <t>兆円</t>
    <rPh sb="0" eb="2">
      <t>チョウエン</t>
    </rPh>
    <phoneticPr fontId="1"/>
  </si>
  <si>
    <t>年度値を前年度×1/4＋同年度3/4にて年換算</t>
    <phoneticPr fontId="1"/>
  </si>
  <si>
    <t>2032年以降
成長率横置き</t>
    <rPh sb="4" eb="5">
      <t>ネン</t>
    </rPh>
    <rPh sb="5" eb="7">
      <t>イコウ</t>
    </rPh>
    <rPh sb="8" eb="11">
      <t>セイチョウリツ</t>
    </rPh>
    <rPh sb="11" eb="13">
      <t>ヨコオ</t>
    </rPh>
    <phoneticPr fontId="1"/>
  </si>
  <si>
    <t>国内企業物価上昇率と同じ伸び率と仮定</t>
    <phoneticPr fontId="1"/>
  </si>
  <si>
    <t>直近5年平均と仮定</t>
    <rPh sb="7" eb="9">
      <t>カテイ</t>
    </rPh>
    <phoneticPr fontId="1"/>
  </si>
  <si>
    <t>GDP比率変化率について、先期のGDP比率変化率と、先期の共和分残差にて回帰。</t>
    <phoneticPr fontId="1"/>
  </si>
  <si>
    <t>先期の共和分残差と、先期の年少人口比率変化率の変化率と名目長期金利変化率にて回帰</t>
    <rPh sb="27" eb="29">
      <t>メイモク</t>
    </rPh>
    <rPh sb="29" eb="31">
      <t>チョウキ</t>
    </rPh>
    <rPh sb="31" eb="33">
      <t>キンリ</t>
    </rPh>
    <rPh sb="33" eb="36">
      <t>ヘンカリツ</t>
    </rPh>
    <phoneticPr fontId="1"/>
  </si>
  <si>
    <t>総務省「人口推計」
国立社会保障・人口問題研究所「日本の将来人口推計（平成29年推計）」より</t>
    <rPh sb="0" eb="3">
      <t>ソウムショウ</t>
    </rPh>
    <rPh sb="4" eb="6">
      <t>ジンコウ</t>
    </rPh>
    <rPh sb="6" eb="8">
      <t>スイケイ</t>
    </rPh>
    <phoneticPr fontId="1"/>
  </si>
  <si>
    <t>GDPベースの投資額から建設投資見通しベースの投資額へ2018年の比率にて補正</t>
    <phoneticPr fontId="1"/>
  </si>
  <si>
    <t>民間住宅</t>
    <rPh sb="0" eb="4">
      <t>ミンカンジュウタク</t>
    </rPh>
    <phoneticPr fontId="1"/>
  </si>
  <si>
    <t>民間非住宅</t>
    <rPh sb="0" eb="5">
      <t>ミンカンヒジュウタク</t>
    </rPh>
    <phoneticPr fontId="1"/>
  </si>
  <si>
    <t>民間土木</t>
    <rPh sb="0" eb="4">
      <t>ミンカンドボク</t>
    </rPh>
    <phoneticPr fontId="1"/>
  </si>
  <si>
    <t>ベースラインケース</t>
  </si>
  <si>
    <t>（単位：億円）</t>
    <rPh sb="1" eb="3">
      <t>タンイ</t>
    </rPh>
    <rPh sb="4" eb="6">
      <t>オクエン</t>
    </rPh>
    <phoneticPr fontId="1"/>
  </si>
  <si>
    <t>実現値</t>
    <rPh sb="0" eb="3">
      <t>ジツゲンチ</t>
    </rPh>
    <phoneticPr fontId="1"/>
  </si>
  <si>
    <t>予測値</t>
    <rPh sb="0" eb="3">
      <t>ヨソクチ</t>
    </rPh>
    <phoneticPr fontId="1"/>
  </si>
  <si>
    <t>※民間住宅・民間非住宅は建築補修（改装・改修）を含む</t>
    <rPh sb="1" eb="3">
      <t>ミンカン</t>
    </rPh>
    <rPh sb="3" eb="5">
      <t>ジュウタク</t>
    </rPh>
    <rPh sb="6" eb="8">
      <t>ミンカン</t>
    </rPh>
    <rPh sb="8" eb="11">
      <t>ヒジュウタク</t>
    </rPh>
    <rPh sb="12" eb="16">
      <t>ケンチクホシュウ</t>
    </rPh>
    <rPh sb="17" eb="19">
      <t>カイソウ</t>
    </rPh>
    <rPh sb="20" eb="22">
      <t>カイシュウ</t>
    </rPh>
    <rPh sb="24" eb="25">
      <t>フク</t>
    </rPh>
    <phoneticPr fontId="1"/>
  </si>
  <si>
    <t>ICPDWR15</t>
    <phoneticPr fontId="1"/>
  </si>
  <si>
    <t>ICPNDR15</t>
    <phoneticPr fontId="1"/>
  </si>
  <si>
    <t>ICPCER15</t>
    <phoneticPr fontId="1"/>
  </si>
  <si>
    <t>ICGDWR15</t>
    <phoneticPr fontId="1"/>
  </si>
  <si>
    <t>ICGNDR15</t>
    <phoneticPr fontId="1"/>
  </si>
  <si>
    <t>ICGCE15</t>
    <phoneticPr fontId="1"/>
  </si>
  <si>
    <t>成長実現ケース（供給側）</t>
    <rPh sb="0" eb="2">
      <t>セイチョウ</t>
    </rPh>
    <rPh sb="2" eb="4">
      <t>ジツゲン</t>
    </rPh>
    <rPh sb="8" eb="10">
      <t>キョウキュウ</t>
    </rPh>
    <rPh sb="10" eb="11">
      <t>ガワ</t>
    </rPh>
    <phoneticPr fontId="1"/>
  </si>
  <si>
    <t>ベースラインケース（供給側）</t>
    <phoneticPr fontId="1"/>
  </si>
  <si>
    <t>ベースラインケース（供給側、就業率維持）</t>
    <rPh sb="14" eb="17">
      <t>シュウギョウリツ</t>
    </rPh>
    <rPh sb="17" eb="19">
      <t>イジ</t>
    </rPh>
    <phoneticPr fontId="1"/>
  </si>
  <si>
    <t>成長実現ケース（需要側）</t>
    <rPh sb="0" eb="2">
      <t>セイチョウ</t>
    </rPh>
    <rPh sb="2" eb="4">
      <t>ジツゲン</t>
    </rPh>
    <rPh sb="8" eb="11">
      <t>ジュヨウガワ</t>
    </rPh>
    <phoneticPr fontId="1"/>
  </si>
  <si>
    <t>ベースラインケース（需要側）</t>
    <phoneticPr fontId="1"/>
  </si>
  <si>
    <t>a01</t>
    <phoneticPr fontId="1"/>
  </si>
  <si>
    <t>a02</t>
    <phoneticPr fontId="1"/>
  </si>
  <si>
    <t>a03</t>
    <phoneticPr fontId="1"/>
  </si>
  <si>
    <t>a04</t>
    <phoneticPr fontId="1"/>
  </si>
  <si>
    <t>a05</t>
    <phoneticPr fontId="1"/>
  </si>
  <si>
    <t>a06</t>
    <phoneticPr fontId="1"/>
  </si>
  <si>
    <t>今回推計</t>
    <rPh sb="0" eb="2">
      <t>コンカイ</t>
    </rPh>
    <rPh sb="2" eb="4">
      <t>スイケイ</t>
    </rPh>
    <phoneticPr fontId="1"/>
  </si>
  <si>
    <t>国土交通省「建設投資見通し」</t>
    <rPh sb="0" eb="2">
      <t>コクド</t>
    </rPh>
    <rPh sb="2" eb="5">
      <t>コウツウショウ</t>
    </rPh>
    <rPh sb="6" eb="8">
      <t>ケンセツ</t>
    </rPh>
    <rPh sb="8" eb="10">
      <t>トウシ</t>
    </rPh>
    <rPh sb="10" eb="12">
      <t>ミトオ</t>
    </rPh>
    <phoneticPr fontId="1"/>
  </si>
  <si>
    <t>厚労省</t>
    <rPh sb="0" eb="3">
      <t>コウロウショウ</t>
    </rPh>
    <phoneticPr fontId="1"/>
  </si>
  <si>
    <t>日本銀行</t>
    <rPh sb="0" eb="2">
      <t>ニホン</t>
    </rPh>
    <rPh sb="2" eb="4">
      <t>ギンコウ</t>
    </rPh>
    <phoneticPr fontId="1"/>
  </si>
  <si>
    <t>名目値</t>
    <rPh sb="0" eb="3">
      <t>メイモクチ</t>
    </rPh>
    <phoneticPr fontId="1"/>
  </si>
  <si>
    <t>実質値
(2015年基準）</t>
    <rPh sb="0" eb="3">
      <t>ジッシツチ</t>
    </rPh>
    <rPh sb="9" eb="10">
      <t>ネン</t>
    </rPh>
    <rPh sb="10" eb="12">
      <t>キジュン</t>
    </rPh>
    <phoneticPr fontId="1"/>
  </si>
  <si>
    <t>建設物価(成長実現ケース）</t>
    <rPh sb="0" eb="2">
      <t>ケンセツ</t>
    </rPh>
    <rPh sb="2" eb="4">
      <t>ブッカ</t>
    </rPh>
    <phoneticPr fontId="1"/>
  </si>
  <si>
    <t>物価上昇率
(成長実現ケース）</t>
    <rPh sb="2" eb="4">
      <t>ジョウショウ</t>
    </rPh>
    <rPh sb="4" eb="5">
      <t>リツ</t>
    </rPh>
    <rPh sb="7" eb="9">
      <t>セイチョウ</t>
    </rPh>
    <rPh sb="9" eb="11">
      <t>ジツゲン</t>
    </rPh>
    <phoneticPr fontId="1"/>
  </si>
  <si>
    <t>建設物価(ベースラインケース）</t>
    <phoneticPr fontId="1"/>
  </si>
  <si>
    <t>物価上昇率
(ベースラインケース）</t>
    <rPh sb="2" eb="4">
      <t>ジョウショウ</t>
    </rPh>
    <rPh sb="4" eb="5">
      <t>リツ</t>
    </rPh>
    <phoneticPr fontId="1"/>
  </si>
  <si>
    <t>デフレーター
(実現値）</t>
    <rPh sb="8" eb="10">
      <t>ジツゲン</t>
    </rPh>
    <rPh sb="10" eb="11">
      <t>チ</t>
    </rPh>
    <phoneticPr fontId="1"/>
  </si>
  <si>
    <t>毎月勤労統計
（建設業・規模5人以上：現金給与総額（季節調整済））</t>
    <rPh sb="0" eb="2">
      <t>マイツキ</t>
    </rPh>
    <rPh sb="2" eb="4">
      <t>キンロウ</t>
    </rPh>
    <rPh sb="4" eb="6">
      <t>トウケイ</t>
    </rPh>
    <rPh sb="8" eb="11">
      <t>ケンセツギョウ</t>
    </rPh>
    <rPh sb="12" eb="14">
      <t>キボ</t>
    </rPh>
    <rPh sb="15" eb="16">
      <t>ニン</t>
    </rPh>
    <rPh sb="16" eb="18">
      <t>イジョウ</t>
    </rPh>
    <rPh sb="19" eb="21">
      <t>ゲンキン</t>
    </rPh>
    <rPh sb="21" eb="23">
      <t>キュウヨ</t>
    </rPh>
    <rPh sb="23" eb="25">
      <t>ソウガク</t>
    </rPh>
    <rPh sb="26" eb="28">
      <t>キセツ</t>
    </rPh>
    <rPh sb="28" eb="30">
      <t>チョウセイ</t>
    </rPh>
    <rPh sb="30" eb="31">
      <t>ズミ</t>
    </rPh>
    <phoneticPr fontId="1"/>
  </si>
  <si>
    <t>物価上昇率</t>
    <rPh sb="2" eb="4">
      <t>ジョウショウ</t>
    </rPh>
    <rPh sb="4" eb="5">
      <t>リツ</t>
    </rPh>
    <phoneticPr fontId="1"/>
  </si>
  <si>
    <t>国内企業物価指数
（2015年基準）</t>
    <rPh sb="0" eb="2">
      <t>コクナイ</t>
    </rPh>
    <rPh sb="2" eb="4">
      <t>キギョウ</t>
    </rPh>
    <rPh sb="4" eb="6">
      <t>ブッカ</t>
    </rPh>
    <rPh sb="6" eb="8">
      <t>シスウ</t>
    </rPh>
    <rPh sb="14" eb="15">
      <t>ネン</t>
    </rPh>
    <rPh sb="15" eb="17">
      <t>キジュン</t>
    </rPh>
    <phoneticPr fontId="1"/>
  </si>
  <si>
    <t>企業向けサービス価格指数
（2015年基準）</t>
    <rPh sb="0" eb="3">
      <t>キギョウム</t>
    </rPh>
    <rPh sb="8" eb="10">
      <t>カカク</t>
    </rPh>
    <rPh sb="10" eb="12">
      <t>シスウ</t>
    </rPh>
    <rPh sb="18" eb="19">
      <t>ネン</t>
    </rPh>
    <rPh sb="19" eb="21">
      <t>キジュン</t>
    </rPh>
    <phoneticPr fontId="1"/>
  </si>
  <si>
    <t>成長実現ケース
（年度）</t>
    <rPh sb="0" eb="2">
      <t>セイチョウ</t>
    </rPh>
    <rPh sb="2" eb="4">
      <t>ジツゲン</t>
    </rPh>
    <rPh sb="9" eb="11">
      <t>ネンド</t>
    </rPh>
    <phoneticPr fontId="1"/>
  </si>
  <si>
    <t>ベースラインケース
（年度）</t>
    <phoneticPr fontId="1"/>
  </si>
  <si>
    <t>国土交通省</t>
    <rPh sb="0" eb="2">
      <t>コクド</t>
    </rPh>
    <rPh sb="2" eb="5">
      <t>コウツウショウ</t>
    </rPh>
    <phoneticPr fontId="1"/>
  </si>
  <si>
    <t>建設工事費デフレーター
（1995年度基準）</t>
    <rPh sb="0" eb="2">
      <t>ケンセツ</t>
    </rPh>
    <rPh sb="2" eb="5">
      <t>コウジヒ</t>
    </rPh>
    <rPh sb="17" eb="19">
      <t>ネンド</t>
    </rPh>
    <rPh sb="19" eb="21">
      <t>キジュン</t>
    </rPh>
    <phoneticPr fontId="1"/>
  </si>
  <si>
    <t>建設工事費デフレーター
（2005年度基準）</t>
    <rPh sb="0" eb="2">
      <t>ケンセツ</t>
    </rPh>
    <rPh sb="2" eb="5">
      <t>コウジヒ</t>
    </rPh>
    <rPh sb="17" eb="19">
      <t>ネンド</t>
    </rPh>
    <rPh sb="19" eb="21">
      <t>キジュン</t>
    </rPh>
    <phoneticPr fontId="1"/>
  </si>
  <si>
    <t>建設工事費デフレーター
（2015年度基準）</t>
    <rPh sb="0" eb="2">
      <t>ケンセツ</t>
    </rPh>
    <rPh sb="2" eb="5">
      <t>コウジヒ</t>
    </rPh>
    <rPh sb="17" eb="19">
      <t>ネンド</t>
    </rPh>
    <rPh sb="19" eb="21">
      <t>キジュン</t>
    </rPh>
    <phoneticPr fontId="1"/>
  </si>
  <si>
    <t>Q1</t>
    <phoneticPr fontId="1"/>
  </si>
  <si>
    <t>Q2</t>
    <phoneticPr fontId="1"/>
  </si>
  <si>
    <t>Q3</t>
    <phoneticPr fontId="1"/>
  </si>
  <si>
    <t>Q4</t>
    <phoneticPr fontId="1"/>
  </si>
  <si>
    <t>※期間は1987年から2019年まで。EViewsのデフォルト設定による検定。下線は有意水準10%以下。</t>
    <rPh sb="1" eb="3">
      <t>キカン</t>
    </rPh>
    <rPh sb="8" eb="9">
      <t>ネン</t>
    </rPh>
    <rPh sb="15" eb="16">
      <t>ネン</t>
    </rPh>
    <rPh sb="31" eb="33">
      <t>セッテイ</t>
    </rPh>
    <rPh sb="36" eb="38">
      <t>ケンテイ</t>
    </rPh>
    <rPh sb="39" eb="41">
      <t>カセン</t>
    </rPh>
    <rPh sb="42" eb="44">
      <t>ユウイ</t>
    </rPh>
    <rPh sb="44" eb="46">
      <t>スイジュン</t>
    </rPh>
    <rPh sb="49" eb="51">
      <t>イカ</t>
    </rPh>
    <phoneticPr fontId="1"/>
  </si>
  <si>
    <t>短期予測</t>
    <rPh sb="0" eb="2">
      <t>タンキ</t>
    </rPh>
    <rPh sb="2" eb="4">
      <t>ヨソク</t>
    </rPh>
    <phoneticPr fontId="1"/>
  </si>
  <si>
    <t>供給側</t>
    <phoneticPr fontId="1"/>
  </si>
  <si>
    <t>需要側</t>
    <phoneticPr fontId="1"/>
  </si>
  <si>
    <t>成長実現ケース</t>
    <phoneticPr fontId="1"/>
  </si>
  <si>
    <t>ベースラインケース
（建設就業率維持）</t>
    <rPh sb="11" eb="13">
      <t>ケンセツ</t>
    </rPh>
    <phoneticPr fontId="1"/>
  </si>
  <si>
    <t>（兆円、実質値：2015年度基準）</t>
    <rPh sb="1" eb="3">
      <t>チョウエン</t>
    </rPh>
    <rPh sb="4" eb="6">
      <t>ジッシツ</t>
    </rPh>
    <rPh sb="6" eb="7">
      <t>チ</t>
    </rPh>
    <rPh sb="12" eb="14">
      <t>ネンド</t>
    </rPh>
    <rPh sb="14" eb="16">
      <t>キジュン</t>
    </rPh>
    <phoneticPr fontId="1"/>
  </si>
  <si>
    <t>中長期予測</t>
    <rPh sb="0" eb="3">
      <t>チュウチョウキ</t>
    </rPh>
    <rPh sb="3" eb="5">
      <t>ヨソク</t>
    </rPh>
    <phoneticPr fontId="1"/>
  </si>
  <si>
    <t>内閣府「経済財政モデル」設備投資の推計式を準用</t>
    <rPh sb="0" eb="3">
      <t>ナイカクフ</t>
    </rPh>
    <rPh sb="4" eb="8">
      <t>ケイザイザイセイ</t>
    </rPh>
    <rPh sb="12" eb="14">
      <t>セツビ</t>
    </rPh>
    <rPh sb="14" eb="16">
      <t>トウシ</t>
    </rPh>
    <rPh sb="17" eb="19">
      <t>スイケイ</t>
    </rPh>
    <rPh sb="19" eb="20">
      <t>シキ</t>
    </rPh>
    <rPh sb="21" eb="23">
      <t>ジュンヨウ</t>
    </rPh>
    <phoneticPr fontId="1"/>
  </si>
  <si>
    <t>コブ＝ダグラス型生産関数にて推計</t>
    <rPh sb="7" eb="8">
      <t>ガタ</t>
    </rPh>
    <rPh sb="8" eb="10">
      <t>セイサン</t>
    </rPh>
    <rPh sb="10" eb="12">
      <t>カンスウ</t>
    </rPh>
    <rPh sb="14" eb="16">
      <t>スイケイ</t>
    </rPh>
    <phoneticPr fontId="1"/>
  </si>
  <si>
    <t>供給水準</t>
    <rPh sb="0" eb="2">
      <t>キョウキュウ</t>
    </rPh>
    <rPh sb="2" eb="4">
      <t>スイジュン</t>
    </rPh>
    <phoneticPr fontId="1"/>
  </si>
  <si>
    <t>有形固定資産
減耗率</t>
    <rPh sb="0" eb="6">
      <t>ユウケイコテイシサン</t>
    </rPh>
    <rPh sb="7" eb="10">
      <t>ゲンモウリツ</t>
    </rPh>
    <phoneticPr fontId="1"/>
  </si>
  <si>
    <t>無形固定資産
減耗率</t>
    <rPh sb="0" eb="2">
      <t>ムケイ</t>
    </rPh>
    <rPh sb="2" eb="4">
      <t>コテイ</t>
    </rPh>
    <rPh sb="4" eb="6">
      <t>シサン</t>
    </rPh>
    <rPh sb="7" eb="10">
      <t>ゲンモウリツ</t>
    </rPh>
    <phoneticPr fontId="1"/>
  </si>
  <si>
    <t>期首
有形固定資産
（10億円）</t>
    <rPh sb="0" eb="2">
      <t>キシュ</t>
    </rPh>
    <rPh sb="3" eb="5">
      <t>ユウケイ</t>
    </rPh>
    <rPh sb="5" eb="9">
      <t>コテイシサン</t>
    </rPh>
    <phoneticPr fontId="1"/>
  </si>
  <si>
    <t>期首
無形固定資産
（10億円）</t>
    <rPh sb="3" eb="5">
      <t>ムケイ</t>
    </rPh>
    <rPh sb="5" eb="9">
      <t>コテイシサン</t>
    </rPh>
    <phoneticPr fontId="1"/>
  </si>
  <si>
    <t>資本投入量
（10億円）</t>
    <rPh sb="0" eb="5">
      <t>シホントウニュウリョウ</t>
    </rPh>
    <phoneticPr fontId="1"/>
  </si>
  <si>
    <t>全産業就業者数
（万人）</t>
    <rPh sb="3" eb="6">
      <t>シュウギョウシャ</t>
    </rPh>
    <rPh sb="6" eb="7">
      <t>スウ</t>
    </rPh>
    <rPh sb="9" eb="11">
      <t>マンニン</t>
    </rPh>
    <phoneticPr fontId="1"/>
  </si>
  <si>
    <t>TFP上昇率</t>
    <rPh sb="3" eb="5">
      <t>ジョウショウ</t>
    </rPh>
    <rPh sb="5" eb="6">
      <t>リツ</t>
    </rPh>
    <phoneticPr fontId="1"/>
  </si>
  <si>
    <t>陳腐化の加速とみられる上昇傾向があるため、自動ARIMA予測</t>
    <rPh sb="0" eb="2">
      <t>チンプ</t>
    </rPh>
    <rPh sb="2" eb="3">
      <t>カ</t>
    </rPh>
    <rPh sb="4" eb="6">
      <t>カソク</t>
    </rPh>
    <rPh sb="11" eb="13">
      <t>ジョウショウ</t>
    </rPh>
    <rPh sb="13" eb="15">
      <t>ケイコウ</t>
    </rPh>
    <rPh sb="21" eb="23">
      <t>ジドウ</t>
    </rPh>
    <rPh sb="28" eb="30">
      <t>ヨソク</t>
    </rPh>
    <phoneticPr fontId="1"/>
  </si>
  <si>
    <t>直近の製造業の潜在平均労働時間で推移と想定</t>
    <rPh sb="0" eb="2">
      <t>チョッキン</t>
    </rPh>
    <rPh sb="7" eb="9">
      <t>センザイ</t>
    </rPh>
    <rPh sb="9" eb="15">
      <t>ヘイキンロウドウジカン</t>
    </rPh>
    <rPh sb="16" eb="18">
      <t>スイイ</t>
    </rPh>
    <rPh sb="19" eb="21">
      <t>ソウテイ</t>
    </rPh>
    <phoneticPr fontId="1"/>
  </si>
  <si>
    <t>橙色は雇用政策研究会資料
緑色は線形補完</t>
    <rPh sb="0" eb="2">
      <t>ダイダイイロ</t>
    </rPh>
    <rPh sb="3" eb="7">
      <t>コヨウセイサク</t>
    </rPh>
    <rPh sb="7" eb="10">
      <t>ケンキュウカイ</t>
    </rPh>
    <rPh sb="10" eb="12">
      <t>シリョウ</t>
    </rPh>
    <rPh sb="13" eb="15">
      <t>ミドリイロ</t>
    </rPh>
    <rPh sb="16" eb="20">
      <t>センケイホカン</t>
    </rPh>
    <phoneticPr fontId="1"/>
  </si>
  <si>
    <t>建設就業率維持と想定し、＋外国人4万人</t>
    <rPh sb="0" eb="2">
      <t>ケンセツ</t>
    </rPh>
    <rPh sb="2" eb="4">
      <t>シュウギョウ</t>
    </rPh>
    <rPh sb="4" eb="5">
      <t>リツ</t>
    </rPh>
    <rPh sb="5" eb="7">
      <t>イジ</t>
    </rPh>
    <rPh sb="8" eb="10">
      <t>ソウテイ</t>
    </rPh>
    <rPh sb="13" eb="15">
      <t>ガイコク</t>
    </rPh>
    <rPh sb="15" eb="16">
      <t>ジン</t>
    </rPh>
    <rPh sb="17" eb="18">
      <t>マン</t>
    </rPh>
    <rPh sb="18" eb="19">
      <t>ニン</t>
    </rPh>
    <phoneticPr fontId="1"/>
  </si>
  <si>
    <t>同左
2020年の建設業と鉱業の就業者比率で案分し（99.6%が建設業）
＋外国人4万人</t>
    <rPh sb="0" eb="1">
      <t>ドウ</t>
    </rPh>
    <rPh sb="1" eb="2">
      <t>ヒダリ</t>
    </rPh>
    <rPh sb="9" eb="12">
      <t>ケンセツギョウ</t>
    </rPh>
    <rPh sb="13" eb="15">
      <t>コウギョウ</t>
    </rPh>
    <rPh sb="16" eb="19">
      <t>シュウギョウシャ</t>
    </rPh>
    <rPh sb="19" eb="21">
      <t>ヒリツ</t>
    </rPh>
    <rPh sb="22" eb="24">
      <t>アンブン</t>
    </rPh>
    <rPh sb="32" eb="35">
      <t>ケンセツギョウ</t>
    </rPh>
    <phoneticPr fontId="1"/>
  </si>
  <si>
    <t>供給側予測
（成長実現ケース）</t>
    <rPh sb="0" eb="3">
      <t>キョウキュウガワ</t>
    </rPh>
    <rPh sb="3" eb="5">
      <t>ヨソク</t>
    </rPh>
    <rPh sb="7" eb="9">
      <t>セイチョウ</t>
    </rPh>
    <rPh sb="9" eb="11">
      <t>ジツゲン</t>
    </rPh>
    <phoneticPr fontId="1"/>
  </si>
  <si>
    <t>供給側予測
（ベースラインケース）</t>
    <rPh sb="0" eb="3">
      <t>キョウキュウガワ</t>
    </rPh>
    <rPh sb="3" eb="5">
      <t>ヨソク</t>
    </rPh>
    <phoneticPr fontId="1"/>
  </si>
  <si>
    <t>需要側予測
（成長実現ケース）</t>
    <rPh sb="0" eb="2">
      <t>ジュヨウ</t>
    </rPh>
    <rPh sb="2" eb="3">
      <t>ガワ</t>
    </rPh>
    <rPh sb="3" eb="5">
      <t>ヨソク</t>
    </rPh>
    <rPh sb="7" eb="9">
      <t>セイチョウ</t>
    </rPh>
    <rPh sb="9" eb="11">
      <t>ジツゲン</t>
    </rPh>
    <phoneticPr fontId="1"/>
  </si>
  <si>
    <t>需要側予測
（ベースラインケース）</t>
    <rPh sb="3" eb="5">
      <t>ヨソク</t>
    </rPh>
    <phoneticPr fontId="1"/>
  </si>
  <si>
    <t>建設業就業者数
（万人）</t>
    <rPh sb="0" eb="2">
      <t>ケンセツ</t>
    </rPh>
    <rPh sb="2" eb="3">
      <t>ギョウ</t>
    </rPh>
    <rPh sb="3" eb="7">
      <t>シュウギョウシャスウ</t>
    </rPh>
    <phoneticPr fontId="1"/>
  </si>
  <si>
    <t>建設業就業者数
（万人）</t>
    <rPh sb="0" eb="2">
      <t>ケンセツ</t>
    </rPh>
    <rPh sb="3" eb="7">
      <t>シュウギョウシャスウ</t>
    </rPh>
    <phoneticPr fontId="1"/>
  </si>
  <si>
    <t>供給側予測（成長実現ケース）</t>
    <phoneticPr fontId="1"/>
  </si>
  <si>
    <t>供給側予測（ベースラインケース)</t>
    <phoneticPr fontId="1"/>
  </si>
  <si>
    <t>供給側予測（ベースラインケース　就業率維持）</t>
    <phoneticPr fontId="1"/>
  </si>
  <si>
    <t>需要側予測（成長実現ケース）</t>
    <phoneticPr fontId="1"/>
  </si>
  <si>
    <t>需要側予測（ベースラインケース)</t>
    <phoneticPr fontId="1"/>
  </si>
  <si>
    <t>集計図表</t>
    <phoneticPr fontId="1"/>
  </si>
  <si>
    <t>いずれのシートにおいても</t>
    <phoneticPr fontId="1"/>
  </si>
  <si>
    <t>橙色セル･･･実績値や他機関の予測値</t>
    <rPh sb="0" eb="2">
      <t>ダイダイイロ</t>
    </rPh>
    <rPh sb="7" eb="10">
      <t>ジッセキチ</t>
    </rPh>
    <rPh sb="11" eb="14">
      <t>タキカン</t>
    </rPh>
    <rPh sb="15" eb="18">
      <t>ヨソクチ</t>
    </rPh>
    <phoneticPr fontId="1"/>
  </si>
  <si>
    <t>を表しています。</t>
    <rPh sb="1" eb="2">
      <t>アラワ</t>
    </rPh>
    <phoneticPr fontId="1"/>
  </si>
  <si>
    <t>ご自身の想定を用いて建設投資の先行き見通しにご活用頂くことを目的に公表しております。</t>
    <rPh sb="1" eb="3">
      <t>ジシン</t>
    </rPh>
    <rPh sb="4" eb="6">
      <t>ソウテイ</t>
    </rPh>
    <rPh sb="7" eb="8">
      <t>モチ</t>
    </rPh>
    <rPh sb="10" eb="12">
      <t>ケンセツ</t>
    </rPh>
    <rPh sb="12" eb="14">
      <t>トウシ</t>
    </rPh>
    <rPh sb="15" eb="17">
      <t>サキユ</t>
    </rPh>
    <rPh sb="18" eb="20">
      <t>ミトオ</t>
    </rPh>
    <rPh sb="23" eb="25">
      <t>カツヨウ</t>
    </rPh>
    <rPh sb="25" eb="26">
      <t>イタダ</t>
    </rPh>
    <rPh sb="30" eb="32">
      <t>モクテキ</t>
    </rPh>
    <rPh sb="33" eb="35">
      <t>コウヒョウ</t>
    </rPh>
    <phoneticPr fontId="1"/>
  </si>
  <si>
    <t>この資料は一般財団法人建設経済研究所「建設経済レポートNo.74　1.2　建設投資の中長期予測～供給側・需要側から見た2035年までの予測～」の推計に用いたものです。</t>
    <rPh sb="2" eb="4">
      <t>シリョウ</t>
    </rPh>
    <rPh sb="5" eb="18">
      <t>イッパンザイダンホウジンケンセツケイザイケンキュウショ</t>
    </rPh>
    <rPh sb="18" eb="20">
      <t>ケンセツ</t>
    </rPh>
    <rPh sb="20" eb="22">
      <t>ケイザイ</t>
    </rPh>
    <rPh sb="72" eb="74">
      <t>スイケイ</t>
    </rPh>
    <rPh sb="75" eb="76">
      <t>モチ</t>
    </rPh>
    <phoneticPr fontId="1"/>
  </si>
  <si>
    <t>【目的】</t>
    <rPh sb="1" eb="3">
      <t>モクテキ</t>
    </rPh>
    <phoneticPr fontId="1"/>
  </si>
  <si>
    <t>【内容説明】</t>
    <rPh sb="1" eb="3">
      <t>ナイヨウ</t>
    </rPh>
    <rPh sb="3" eb="5">
      <t>セツメイ</t>
    </rPh>
    <phoneticPr fontId="1"/>
  </si>
  <si>
    <t>青色セル･･･当研究所の想定値・推計式</t>
    <rPh sb="0" eb="2">
      <t>アオイロ</t>
    </rPh>
    <rPh sb="7" eb="8">
      <t>トウ</t>
    </rPh>
    <rPh sb="8" eb="11">
      <t>ケンキュウショ</t>
    </rPh>
    <rPh sb="12" eb="14">
      <t>ソウテイ</t>
    </rPh>
    <rPh sb="14" eb="15">
      <t>チ</t>
    </rPh>
    <rPh sb="16" eb="18">
      <t>スイケイ</t>
    </rPh>
    <rPh sb="18" eb="19">
      <t>シキ</t>
    </rPh>
    <phoneticPr fontId="1"/>
  </si>
  <si>
    <t>緑色セル･･･四則演算等の単純な計算式・定義式</t>
    <rPh sb="0" eb="2">
      <t>ミドリイロ</t>
    </rPh>
    <rPh sb="7" eb="9">
      <t>シソク</t>
    </rPh>
    <rPh sb="9" eb="11">
      <t>エンザン</t>
    </rPh>
    <rPh sb="11" eb="12">
      <t>トウ</t>
    </rPh>
    <rPh sb="13" eb="15">
      <t>タンジュン</t>
    </rPh>
    <rPh sb="16" eb="19">
      <t>ケイサンシキ</t>
    </rPh>
    <rPh sb="20" eb="22">
      <t>テイギ</t>
    </rPh>
    <rPh sb="22" eb="23">
      <t>シキ</t>
    </rPh>
    <phoneticPr fontId="1"/>
  </si>
  <si>
    <t>内閣府「中長期試算」</t>
    <rPh sb="0" eb="3">
      <t>ナイカクフ</t>
    </rPh>
    <rPh sb="4" eb="7">
      <t>チュウチョウキ</t>
    </rPh>
    <rPh sb="7" eb="9">
      <t>シサン</t>
    </rPh>
    <phoneticPr fontId="1"/>
  </si>
  <si>
    <t>2032年以降
横置き</t>
    <rPh sb="4" eb="5">
      <t>ネン</t>
    </rPh>
    <rPh sb="5" eb="7">
      <t>イコウ</t>
    </rPh>
    <rPh sb="8" eb="10">
      <t>ヨコオ</t>
    </rPh>
    <phoneticPr fontId="1"/>
  </si>
  <si>
    <t>直近5年平均と想定</t>
    <rPh sb="7" eb="9">
      <t>ソウテイ</t>
    </rPh>
    <phoneticPr fontId="1"/>
  </si>
  <si>
    <t>ストック額</t>
    <rPh sb="4" eb="5">
      <t>ガク</t>
    </rPh>
    <phoneticPr fontId="1"/>
  </si>
  <si>
    <t>投資額（GDP統計ベース）</t>
    <rPh sb="0" eb="2">
      <t>トウシ</t>
    </rPh>
    <rPh sb="2" eb="3">
      <t>ガク</t>
    </rPh>
    <rPh sb="7" eb="9">
      <t>トウケイ</t>
    </rPh>
    <phoneticPr fontId="1"/>
  </si>
  <si>
    <t>減耗率</t>
    <rPh sb="0" eb="2">
      <t>ゲンモウ</t>
    </rPh>
    <rPh sb="2" eb="3">
      <t>リツ</t>
    </rPh>
    <phoneticPr fontId="1"/>
  </si>
  <si>
    <t>長期均衡関係</t>
    <rPh sb="0" eb="2">
      <t>チョウキ</t>
    </rPh>
    <rPh sb="2" eb="4">
      <t>キンコウ</t>
    </rPh>
    <rPh sb="4" eb="6">
      <t>カンケイ</t>
    </rPh>
    <phoneticPr fontId="1"/>
  </si>
  <si>
    <t>人口統計</t>
    <rPh sb="0" eb="2">
      <t>ジンコウ</t>
    </rPh>
    <rPh sb="2" eb="4">
      <t>トウケイ</t>
    </rPh>
    <phoneticPr fontId="1"/>
  </si>
  <si>
    <t>内閣府「中長期試算」</t>
    <rPh sb="0" eb="2">
      <t>ナイカク</t>
    </rPh>
    <rPh sb="2" eb="3">
      <t>フ</t>
    </rPh>
    <rPh sb="4" eb="7">
      <t>チュウチョウキ</t>
    </rPh>
    <rPh sb="7" eb="9">
      <t>シサン</t>
    </rPh>
    <phoneticPr fontId="1"/>
  </si>
  <si>
    <t>投資額（建設投資見通しベース）</t>
    <rPh sb="0" eb="3">
      <t>トウシガク</t>
    </rPh>
    <rPh sb="4" eb="6">
      <t>ケンセツ</t>
    </rPh>
    <rPh sb="6" eb="8">
      <t>トウシ</t>
    </rPh>
    <rPh sb="8" eb="10">
      <t>ミトオ</t>
    </rPh>
    <phoneticPr fontId="1"/>
  </si>
  <si>
    <t>投資額の物価上昇率</t>
    <rPh sb="0" eb="2">
      <t>トウシ</t>
    </rPh>
    <rPh sb="2" eb="3">
      <t>ガク</t>
    </rPh>
    <rPh sb="4" eb="6">
      <t>ブッカ</t>
    </rPh>
    <rPh sb="6" eb="8">
      <t>ジョウショウ</t>
    </rPh>
    <rPh sb="8" eb="9">
      <t>リツ</t>
    </rPh>
    <phoneticPr fontId="1"/>
  </si>
  <si>
    <t>国内企業物価上昇率と同率と仮定</t>
    <phoneticPr fontId="1"/>
  </si>
  <si>
    <t>供給側予測
（ベースラインケース
、就業率維持）</t>
    <rPh sb="0" eb="3">
      <t>キョウキュウガワ</t>
    </rPh>
    <rPh sb="3" eb="5">
      <t>ヨソク</t>
    </rPh>
    <rPh sb="18" eb="21">
      <t>シュウギョウリツ</t>
    </rPh>
    <rPh sb="21" eb="23">
      <t>イジ</t>
    </rPh>
    <phoneticPr fontId="1"/>
  </si>
  <si>
    <t>この資料はこのシートを除いて以下の6シートあり、前5シートが各ケースでの推計結果、最後のシートがその集計結果です。</t>
    <rPh sb="2" eb="4">
      <t>シリョウ</t>
    </rPh>
    <rPh sb="11" eb="12">
      <t>ノゾ</t>
    </rPh>
    <rPh sb="14" eb="16">
      <t>イカ</t>
    </rPh>
    <rPh sb="24" eb="25">
      <t>マエ</t>
    </rPh>
    <rPh sb="30" eb="31">
      <t>カク</t>
    </rPh>
    <rPh sb="36" eb="38">
      <t>スイケイ</t>
    </rPh>
    <rPh sb="38" eb="40">
      <t>ケッカ</t>
    </rPh>
    <rPh sb="41" eb="43">
      <t>サイゴ</t>
    </rPh>
    <rPh sb="50" eb="52">
      <t>シュウケイ</t>
    </rPh>
    <rPh sb="52" eb="54">
      <t>ケッカ</t>
    </rPh>
    <phoneticPr fontId="1"/>
  </si>
  <si>
    <t>【予測の変更方法】</t>
    <rPh sb="1" eb="3">
      <t>ヨソク</t>
    </rPh>
    <rPh sb="4" eb="6">
      <t>ヘンコウ</t>
    </rPh>
    <rPh sb="6" eb="8">
      <t>ホウホウ</t>
    </rPh>
    <phoneticPr fontId="1"/>
  </si>
  <si>
    <t>青色セルをご自身の想定に置き換えて頂ければ、黒囲みの推計結果（予測結果）が変化します。</t>
    <rPh sb="0" eb="2">
      <t>アオイロ</t>
    </rPh>
    <rPh sb="6" eb="8">
      <t>ジシン</t>
    </rPh>
    <rPh sb="9" eb="11">
      <t>ソウテイ</t>
    </rPh>
    <rPh sb="12" eb="13">
      <t>オ</t>
    </rPh>
    <rPh sb="14" eb="15">
      <t>カ</t>
    </rPh>
    <rPh sb="17" eb="18">
      <t>イタダ</t>
    </rPh>
    <rPh sb="22" eb="23">
      <t>クロ</t>
    </rPh>
    <rPh sb="23" eb="24">
      <t>カコ</t>
    </rPh>
    <rPh sb="26" eb="28">
      <t>スイケイ</t>
    </rPh>
    <rPh sb="28" eb="30">
      <t>ケッカ</t>
    </rPh>
    <rPh sb="31" eb="33">
      <t>ヨソク</t>
    </rPh>
    <rPh sb="33" eb="35">
      <t>ケッカ</t>
    </rPh>
    <rPh sb="37" eb="39">
      <t>ヘンカ</t>
    </rPh>
    <phoneticPr fontId="1"/>
  </si>
  <si>
    <t>（緑色セルを変更頂くことも可能ですが、計算式をご確認のうえ、変更をお願いします。）</t>
    <rPh sb="1" eb="3">
      <t>ミドリイロ</t>
    </rPh>
    <rPh sb="6" eb="8">
      <t>ヘンコウ</t>
    </rPh>
    <rPh sb="8" eb="9">
      <t>イタダ</t>
    </rPh>
    <rPh sb="13" eb="15">
      <t>カノウ</t>
    </rPh>
    <rPh sb="19" eb="22">
      <t>ケイサンシキ</t>
    </rPh>
    <rPh sb="24" eb="26">
      <t>カクニン</t>
    </rPh>
    <rPh sb="30" eb="32">
      <t>ヘンコウ</t>
    </rPh>
    <rPh sb="34" eb="35">
      <t>ネガ</t>
    </rPh>
    <phoneticPr fontId="1"/>
  </si>
  <si>
    <t>【訂正】</t>
    <rPh sb="1" eb="3">
      <t>テイセイ</t>
    </rPh>
    <phoneticPr fontId="1"/>
  </si>
  <si>
    <t>需要側予測の民間土木を訂正しました。（2023年1月)</t>
    <rPh sb="0" eb="3">
      <t>ジュヨウガワ</t>
    </rPh>
    <rPh sb="3" eb="5">
      <t>ヨソク</t>
    </rPh>
    <rPh sb="6" eb="10">
      <t>ミンカンドボク</t>
    </rPh>
    <rPh sb="11" eb="13">
      <t>テイセイ</t>
    </rPh>
    <rPh sb="23" eb="24">
      <t>ネン</t>
    </rPh>
    <rPh sb="25" eb="26">
      <t>ガツ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</si>
</sst>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yyyy&quot;年&quot;m&quot;月&quot;;@"/>
    <numFmt numFmtId="177" formatCode="0.0%"/>
    <numFmt numFmtId="178" formatCode="#,##0.0;[Red]\-#,##0.0"/>
    <numFmt numFmtId="179" formatCode="0_);[Red]\(0\)"/>
    <numFmt numFmtId="180" formatCode="#,##0_ ;[Red]\-#,##0\ "/>
    <numFmt numFmtId="181" formatCode="#,##0.0"/>
    <numFmt numFmtId="182" formatCode="&quot;(&quot;\ 0.0&quot;)&quot;;&quot;(▲&quot;0.0&quot;)&quot;"/>
    <numFmt numFmtId="183" formatCode="0.0_ "/>
    <numFmt numFmtId="184" formatCode="0_ "/>
    <numFmt numFmtId="185" formatCode="&quot;[&quot;\ 0.0&quot;]&quot;;&quot;[▲&quot;0.0&quot;]&quot;"/>
    <numFmt numFmtId="186" formatCode="0.0000000000%"/>
    <numFmt numFmtId="187" formatCode="#,##0.000;[Red]\-#,##0.000"/>
    <numFmt numFmtId="188" formatCode="0.000000000"/>
    <numFmt numFmtId="189" formatCode="0.0000%"/>
  </numFmts>
  <fonts count="31">
    <font>
      <sz val="11"/>
      <color theme="1"/>
      <name val="ＭＳ Ｐゴシック"/>
    </font>
    <font>
      <sz val="6"/>
      <name val="ＭＳ Ｐゴシック"/>
      <family val="3"/>
      <charset val="128"/>
    </font>
    <font>
      <sz val="11"/>
      <color theme="1"/>
      <name val="ＭＳ Ｐゴシック"/>
      <family val="3"/>
      <charset val="128"/>
    </font>
    <font>
      <sz val="11"/>
      <color theme="1"/>
      <name val="ＭＳ Ｐゴシック"/>
      <family val="3"/>
      <charset val="128"/>
    </font>
    <font>
      <sz val="10"/>
      <color theme="1"/>
      <name val="ＭＳ 明朝"/>
      <family val="1"/>
      <charset val="128"/>
    </font>
    <font>
      <sz val="10"/>
      <name val="ＭＳ 明朝"/>
      <family val="1"/>
      <charset val="128"/>
    </font>
    <font>
      <sz val="11"/>
      <color theme="1"/>
      <name val="ＭＳ Ｐゴシック"/>
      <family val="3"/>
      <charset val="128"/>
    </font>
    <font>
      <sz val="11"/>
      <name val="ＭＳ Ｐゴシック"/>
      <family val="3"/>
      <charset val="128"/>
    </font>
    <font>
      <sz val="12"/>
      <name val="ＭＳ 明朝"/>
      <family val="1"/>
      <charset val="128"/>
    </font>
    <font>
      <sz val="11"/>
      <color theme="1"/>
      <name val="游ゴシック"/>
      <family val="3"/>
      <charset val="128"/>
    </font>
    <font>
      <sz val="11"/>
      <name val="游ゴシック"/>
      <family val="3"/>
      <charset val="128"/>
    </font>
    <font>
      <sz val="12"/>
      <name val="游ゴシック"/>
      <family val="3"/>
      <charset val="128"/>
    </font>
    <font>
      <sz val="11"/>
      <color indexed="8"/>
      <name val="游ゴシック"/>
      <family val="3"/>
      <charset val="128"/>
    </font>
    <font>
      <sz val="11"/>
      <color rgb="FFFF0000"/>
      <name val="游ゴシック"/>
      <family val="3"/>
      <charset val="128"/>
    </font>
    <font>
      <b/>
      <sz val="9"/>
      <color indexed="81"/>
      <name val="MS P ゴシック"/>
      <family val="3"/>
      <charset val="128"/>
    </font>
    <font>
      <b/>
      <sz val="11"/>
      <color theme="0"/>
      <name val="游ゴシック"/>
      <family val="3"/>
      <charset val="128"/>
    </font>
    <font>
      <b/>
      <sz val="11"/>
      <color theme="1"/>
      <name val="游ゴシック"/>
      <family val="3"/>
      <charset val="128"/>
    </font>
    <font>
      <sz val="14"/>
      <name val="ＭＳ 明朝"/>
      <family val="1"/>
      <charset val="128"/>
    </font>
    <font>
      <sz val="20"/>
      <color theme="1"/>
      <name val="ＭＳ Ｐゴシック"/>
      <family val="3"/>
      <charset val="128"/>
    </font>
    <font>
      <sz val="24"/>
      <color theme="1"/>
      <name val="ＭＳ Ｐゴシック"/>
      <family val="3"/>
      <charset val="128"/>
    </font>
    <font>
      <sz val="12"/>
      <color theme="1"/>
      <name val="ＭＳ Ｐゴシック"/>
      <family val="3"/>
      <charset val="128"/>
    </font>
    <font>
      <sz val="9"/>
      <color theme="1"/>
      <name val="ＭＳ Ｐゴシック"/>
      <family val="3"/>
      <charset val="128"/>
    </font>
    <font>
      <sz val="12"/>
      <color theme="1"/>
      <name val="游ゴシック"/>
      <family val="3"/>
      <charset val="128"/>
    </font>
    <font>
      <sz val="6"/>
      <name val="ＭＳ Ｐゴシック"/>
      <family val="2"/>
      <charset val="128"/>
      <scheme val="minor"/>
    </font>
    <font>
      <u/>
      <sz val="11"/>
      <color theme="1"/>
      <name val="游ゴシック"/>
      <family val="3"/>
      <charset val="128"/>
    </font>
    <font>
      <sz val="11"/>
      <color theme="1"/>
      <name val="ＭＳ Ｐゴシック"/>
      <family val="3"/>
      <charset val="128"/>
      <scheme val="minor"/>
    </font>
    <font>
      <sz val="9"/>
      <color theme="1"/>
      <name val="游ゴシック"/>
      <family val="3"/>
      <charset val="128"/>
    </font>
    <font>
      <sz val="11"/>
      <color theme="1"/>
      <name val="游ゴシック Medium"/>
      <family val="3"/>
      <charset val="128"/>
    </font>
    <font>
      <b/>
      <sz val="11"/>
      <color theme="1"/>
      <name val="游ゴシック Medium"/>
      <family val="3"/>
      <charset val="128"/>
    </font>
    <font>
      <b/>
      <sz val="11"/>
      <name val="游ゴシック Medium"/>
      <family val="3"/>
      <charset val="128"/>
    </font>
    <font>
      <sz val="11"/>
      <name val="游ゴシック Medium"/>
      <family val="3"/>
      <charset val="128"/>
    </font>
  </fonts>
  <fills count="11">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1"/>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9"/>
        <bgColor indexed="64"/>
      </patternFill>
    </fill>
    <fill>
      <patternFill patternType="solid">
        <fgColor theme="0" tint="-0.14999847407452621"/>
        <bgColor indexed="64"/>
      </patternFill>
    </fill>
  </fills>
  <borders count="48">
    <border>
      <left/>
      <right/>
      <top/>
      <bottom/>
      <diagonal/>
    </border>
    <border>
      <left/>
      <right style="thin">
        <color indexed="64"/>
      </right>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hair">
        <color auto="1"/>
      </top>
      <bottom/>
      <diagonal/>
    </border>
    <border>
      <left/>
      <right/>
      <top/>
      <bottom style="hair">
        <color auto="1"/>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auto="1"/>
      </left>
      <right/>
      <top/>
      <bottom style="hair">
        <color auto="1"/>
      </bottom>
      <diagonal/>
    </border>
    <border>
      <left style="medium">
        <color auto="1"/>
      </left>
      <right/>
      <top style="hair">
        <color auto="1"/>
      </top>
      <bottom/>
      <diagonal/>
    </border>
    <border>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hair">
        <color auto="1"/>
      </left>
      <right/>
      <top/>
      <bottom style="hair">
        <color auto="1"/>
      </bottom>
      <diagonal/>
    </border>
    <border>
      <left style="hair">
        <color auto="1"/>
      </left>
      <right/>
      <top/>
      <bottom/>
      <diagonal/>
    </border>
    <border>
      <left style="hair">
        <color auto="1"/>
      </left>
      <right/>
      <top style="hair">
        <color auto="1"/>
      </top>
      <bottom/>
      <diagonal/>
    </border>
  </borders>
  <cellStyleXfs count="10">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7" fillId="0" borderId="0"/>
    <xf numFmtId="38" fontId="7" fillId="0" borderId="0" applyFont="0" applyFill="0" applyBorder="0" applyAlignment="0" applyProtection="0"/>
    <xf numFmtId="0" fontId="8" fillId="0" borderId="0"/>
    <xf numFmtId="0" fontId="17" fillId="0" borderId="0"/>
    <xf numFmtId="0" fontId="7" fillId="0" borderId="0">
      <alignment vertical="center"/>
    </xf>
    <xf numFmtId="0" fontId="25" fillId="0" borderId="0">
      <alignment vertical="center"/>
    </xf>
    <xf numFmtId="38" fontId="25" fillId="0" borderId="0" applyFont="0" applyFill="0" applyBorder="0" applyAlignment="0" applyProtection="0">
      <alignment vertical="center"/>
    </xf>
  </cellStyleXfs>
  <cellXfs count="467">
    <xf numFmtId="0" fontId="0" fillId="0" borderId="0" xfId="0">
      <alignment vertical="center"/>
    </xf>
    <xf numFmtId="0" fontId="4" fillId="0" borderId="0" xfId="0" applyFont="1" applyAlignment="1">
      <alignment horizontal="center" vertical="center"/>
    </xf>
    <xf numFmtId="0" fontId="4" fillId="0" borderId="0" xfId="0" applyFont="1">
      <alignment vertical="center"/>
    </xf>
    <xf numFmtId="177" fontId="4" fillId="0" borderId="0" xfId="2" applyNumberFormat="1" applyFont="1" applyFill="1" applyBorder="1">
      <alignment vertical="center"/>
    </xf>
    <xf numFmtId="38" fontId="4" fillId="0" borderId="0" xfId="1" applyFont="1" applyFill="1" applyBorder="1" applyAlignment="1">
      <alignment vertical="center" wrapText="1"/>
    </xf>
    <xf numFmtId="178" fontId="4" fillId="0" borderId="0" xfId="1" applyNumberFormat="1" applyFont="1" applyFill="1" applyBorder="1" applyAlignment="1">
      <alignment vertical="center" wrapText="1"/>
    </xf>
    <xf numFmtId="178" fontId="4" fillId="0" borderId="0" xfId="0" applyNumberFormat="1" applyFont="1" applyAlignment="1">
      <alignment vertical="center" wrapText="1"/>
    </xf>
    <xf numFmtId="178" fontId="4" fillId="0" borderId="0" xfId="1" applyNumberFormat="1" applyFont="1" applyFill="1" applyBorder="1">
      <alignment vertical="center"/>
    </xf>
    <xf numFmtId="38" fontId="4" fillId="0" borderId="0" xfId="1" applyFont="1" applyFill="1" applyBorder="1">
      <alignment vertical="center"/>
    </xf>
    <xf numFmtId="0" fontId="4" fillId="0" borderId="0" xfId="0" applyFont="1" applyAlignment="1">
      <alignment vertical="center" wrapText="1"/>
    </xf>
    <xf numFmtId="176" fontId="5" fillId="0" borderId="0" xfId="0" applyNumberFormat="1" applyFont="1">
      <alignment vertical="center"/>
    </xf>
    <xf numFmtId="178" fontId="4" fillId="0" borderId="0" xfId="0" applyNumberFormat="1" applyFont="1">
      <alignment vertical="center"/>
    </xf>
    <xf numFmtId="178" fontId="4" fillId="2" borderId="0" xfId="1" applyNumberFormat="1" applyFont="1" applyFill="1" applyBorder="1">
      <alignment vertical="center"/>
    </xf>
    <xf numFmtId="178" fontId="4" fillId="3" borderId="0" xfId="1" applyNumberFormat="1" applyFont="1" applyFill="1" applyBorder="1">
      <alignment vertical="center"/>
    </xf>
    <xf numFmtId="0" fontId="2" fillId="0" borderId="0" xfId="0" applyFont="1">
      <alignment vertical="center"/>
    </xf>
    <xf numFmtId="14" fontId="2" fillId="0" borderId="0" xfId="0" applyNumberFormat="1" applyFont="1">
      <alignment vertical="center"/>
    </xf>
    <xf numFmtId="0" fontId="2" fillId="0" borderId="0" xfId="0" applyFont="1" applyAlignment="1">
      <alignment vertical="center" wrapText="1"/>
    </xf>
    <xf numFmtId="38" fontId="2" fillId="0" borderId="0" xfId="1" applyFont="1">
      <alignment vertical="center"/>
    </xf>
    <xf numFmtId="38" fontId="0" fillId="0" borderId="0" xfId="1" applyFont="1">
      <alignment vertical="center"/>
    </xf>
    <xf numFmtId="176" fontId="0" fillId="0" borderId="0" xfId="0" applyNumberFormat="1">
      <alignment vertical="center"/>
    </xf>
    <xf numFmtId="178" fontId="2" fillId="0" borderId="0" xfId="1" applyNumberFormat="1" applyFont="1" applyAlignment="1">
      <alignment vertical="center" wrapText="1"/>
    </xf>
    <xf numFmtId="178" fontId="0" fillId="0" borderId="0" xfId="1" applyNumberFormat="1" applyFont="1">
      <alignment vertical="center"/>
    </xf>
    <xf numFmtId="38" fontId="11" fillId="0" borderId="0" xfId="1" applyFont="1" applyBorder="1" applyAlignment="1">
      <alignment horizontal="right"/>
    </xf>
    <xf numFmtId="38" fontId="10" fillId="0" borderId="0" xfId="1" applyFont="1" applyBorder="1" applyAlignment="1">
      <alignment horizontal="right"/>
    </xf>
    <xf numFmtId="0" fontId="9" fillId="0" borderId="0" xfId="0" applyFont="1">
      <alignment vertical="center"/>
    </xf>
    <xf numFmtId="38" fontId="9" fillId="0" borderId="0" xfId="1" applyFont="1" applyBorder="1">
      <alignment vertical="center"/>
    </xf>
    <xf numFmtId="177" fontId="9" fillId="0" borderId="0" xfId="2" applyNumberFormat="1" applyFont="1" applyBorder="1">
      <alignment vertical="center"/>
    </xf>
    <xf numFmtId="176" fontId="10" fillId="0" borderId="0" xfId="0" applyNumberFormat="1" applyFont="1" applyAlignment="1">
      <alignment horizontal="right" vertical="center"/>
    </xf>
    <xf numFmtId="38" fontId="9" fillId="0" borderId="0" xfId="1" applyFont="1" applyBorder="1" applyAlignment="1">
      <alignment vertical="center" wrapText="1"/>
    </xf>
    <xf numFmtId="177" fontId="0" fillId="0" borderId="0" xfId="2" applyNumberFormat="1" applyFont="1">
      <alignment vertical="center"/>
    </xf>
    <xf numFmtId="38" fontId="9" fillId="0" borderId="0" xfId="1" applyFont="1" applyFill="1" applyBorder="1" applyAlignment="1">
      <alignment vertical="center" wrapText="1"/>
    </xf>
    <xf numFmtId="177" fontId="9" fillId="0" borderId="0" xfId="2" applyNumberFormat="1" applyFont="1" applyFill="1" applyBorder="1" applyAlignment="1">
      <alignment vertical="center" wrapText="1"/>
    </xf>
    <xf numFmtId="0" fontId="9" fillId="0" borderId="0" xfId="0" applyFont="1" applyAlignment="1">
      <alignment vertical="center" wrapText="1"/>
    </xf>
    <xf numFmtId="55" fontId="9" fillId="0" borderId="0" xfId="0" applyNumberFormat="1" applyFont="1">
      <alignment vertical="center"/>
    </xf>
    <xf numFmtId="38" fontId="9" fillId="0" borderId="0" xfId="1" applyFont="1" applyFill="1" applyBorder="1">
      <alignment vertical="center"/>
    </xf>
    <xf numFmtId="177" fontId="9" fillId="0" borderId="0" xfId="2" applyNumberFormat="1" applyFont="1" applyFill="1" applyBorder="1">
      <alignment vertical="center"/>
    </xf>
    <xf numFmtId="177" fontId="2" fillId="0" borderId="0" xfId="2" applyNumberFormat="1" applyFont="1">
      <alignment vertical="center"/>
    </xf>
    <xf numFmtId="38" fontId="9" fillId="0" borderId="0" xfId="1" applyFont="1">
      <alignment vertical="center"/>
    </xf>
    <xf numFmtId="177" fontId="9" fillId="0" borderId="0" xfId="2" applyNumberFormat="1" applyFont="1">
      <alignment vertical="center"/>
    </xf>
    <xf numFmtId="40" fontId="9" fillId="0" borderId="0" xfId="1" applyNumberFormat="1" applyFont="1" applyFill="1" applyBorder="1" applyAlignment="1">
      <alignment vertical="center" wrapText="1"/>
    </xf>
    <xf numFmtId="177" fontId="9" fillId="0" borderId="0" xfId="0" applyNumberFormat="1" applyFont="1">
      <alignment vertical="center"/>
    </xf>
    <xf numFmtId="0" fontId="9" fillId="0" borderId="0" xfId="0" applyFont="1" applyAlignment="1">
      <alignment horizontal="right" vertical="center"/>
    </xf>
    <xf numFmtId="38" fontId="9" fillId="0" borderId="0" xfId="0" applyNumberFormat="1" applyFont="1">
      <alignment vertical="center"/>
    </xf>
    <xf numFmtId="38" fontId="9" fillId="0" borderId="0" xfId="1" applyFont="1" applyFill="1">
      <alignment vertical="center"/>
    </xf>
    <xf numFmtId="177" fontId="9" fillId="0" borderId="0" xfId="2" applyNumberFormat="1" applyFont="1" applyFill="1">
      <alignment vertical="center"/>
    </xf>
    <xf numFmtId="40" fontId="9" fillId="0" borderId="0" xfId="1" applyNumberFormat="1" applyFont="1" applyFill="1">
      <alignment vertical="center"/>
    </xf>
    <xf numFmtId="38" fontId="9" fillId="5" borderId="0" xfId="1" applyFont="1" applyFill="1">
      <alignment vertical="center"/>
    </xf>
    <xf numFmtId="177" fontId="9" fillId="5" borderId="0" xfId="2" applyNumberFormat="1" applyFont="1" applyFill="1" applyBorder="1">
      <alignment vertical="center"/>
    </xf>
    <xf numFmtId="40" fontId="9" fillId="5" borderId="0" xfId="1" applyNumberFormat="1" applyFont="1" applyFill="1">
      <alignment vertical="center"/>
    </xf>
    <xf numFmtId="38" fontId="9" fillId="0" borderId="0" xfId="1" applyFont="1" applyFill="1" applyAlignment="1">
      <alignment vertical="center" wrapText="1"/>
    </xf>
    <xf numFmtId="178" fontId="9" fillId="0" borderId="0" xfId="1" applyNumberFormat="1" applyFont="1" applyFill="1" applyAlignment="1">
      <alignment vertical="center" wrapText="1"/>
    </xf>
    <xf numFmtId="181" fontId="0" fillId="0" borderId="0" xfId="0" applyNumberFormat="1" applyAlignment="1">
      <alignment horizontal="right" vertical="center"/>
    </xf>
    <xf numFmtId="181" fontId="0" fillId="0" borderId="1" xfId="0" applyNumberFormat="1" applyBorder="1" applyAlignment="1">
      <alignment horizontal="right" vertical="center"/>
    </xf>
    <xf numFmtId="177" fontId="9" fillId="0" borderId="0" xfId="2" applyNumberFormat="1" applyFont="1" applyFill="1" applyAlignment="1">
      <alignment vertical="center" wrapText="1"/>
    </xf>
    <xf numFmtId="40" fontId="9" fillId="0" borderId="0" xfId="1" applyNumberFormat="1" applyFont="1" applyFill="1" applyAlignment="1">
      <alignment vertical="center" wrapText="1"/>
    </xf>
    <xf numFmtId="10" fontId="9" fillId="0" borderId="0" xfId="2" applyNumberFormat="1" applyFont="1" applyFill="1">
      <alignment vertical="center"/>
    </xf>
    <xf numFmtId="38" fontId="15" fillId="6" borderId="0" xfId="1" applyFont="1" applyFill="1" applyAlignment="1">
      <alignment horizontal="center" vertical="center"/>
    </xf>
    <xf numFmtId="0" fontId="9" fillId="0" borderId="0" xfId="0" applyFont="1" applyAlignment="1">
      <alignment horizontal="center" vertical="center"/>
    </xf>
    <xf numFmtId="0" fontId="16" fillId="0" borderId="0" xfId="0" applyFont="1" applyAlignment="1">
      <alignment horizontal="center" vertical="center"/>
    </xf>
    <xf numFmtId="0" fontId="16" fillId="0" borderId="0" xfId="0" applyFont="1">
      <alignment vertical="center"/>
    </xf>
    <xf numFmtId="38" fontId="16" fillId="0" borderId="0" xfId="1" applyFont="1" applyFill="1">
      <alignment vertical="center"/>
    </xf>
    <xf numFmtId="38" fontId="9" fillId="4" borderId="0" xfId="1" applyFont="1" applyFill="1">
      <alignment vertical="center"/>
    </xf>
    <xf numFmtId="177" fontId="9" fillId="4" borderId="0" xfId="2" applyNumberFormat="1" applyFont="1" applyFill="1">
      <alignment vertical="center"/>
    </xf>
    <xf numFmtId="177" fontId="9" fillId="4" borderId="0" xfId="2" applyNumberFormat="1" applyFont="1" applyFill="1" applyBorder="1">
      <alignment vertical="center"/>
    </xf>
    <xf numFmtId="177" fontId="9" fillId="4" borderId="0" xfId="2" applyNumberFormat="1" applyFont="1" applyFill="1" applyAlignment="1">
      <alignment vertical="center" wrapText="1"/>
    </xf>
    <xf numFmtId="38" fontId="13" fillId="4" borderId="0" xfId="1" applyFont="1" applyFill="1">
      <alignment vertical="center"/>
    </xf>
    <xf numFmtId="177" fontId="9" fillId="0" borderId="0" xfId="2" applyNumberFormat="1" applyFont="1" applyAlignment="1">
      <alignment vertical="center" wrapText="1"/>
    </xf>
    <xf numFmtId="38" fontId="9" fillId="0" borderId="0" xfId="1" applyFont="1" applyAlignment="1">
      <alignment vertical="center" wrapText="1"/>
    </xf>
    <xf numFmtId="40" fontId="9" fillId="4" borderId="0" xfId="1" applyNumberFormat="1" applyFont="1" applyFill="1">
      <alignment vertical="center"/>
    </xf>
    <xf numFmtId="38" fontId="9" fillId="5" borderId="0" xfId="1" applyFont="1" applyFill="1" applyAlignment="1">
      <alignment vertical="center" wrapText="1"/>
    </xf>
    <xf numFmtId="40" fontId="9" fillId="5" borderId="0" xfId="1" applyNumberFormat="1" applyFont="1" applyFill="1" applyAlignment="1">
      <alignment vertical="center" wrapText="1"/>
    </xf>
    <xf numFmtId="40" fontId="9" fillId="0" borderId="0" xfId="1" applyNumberFormat="1" applyFont="1">
      <alignment vertical="center"/>
    </xf>
    <xf numFmtId="38" fontId="9" fillId="0" borderId="0" xfId="1" applyFont="1" applyFill="1" applyAlignment="1">
      <alignment horizontal="center" vertical="center"/>
    </xf>
    <xf numFmtId="38" fontId="9" fillId="0" borderId="0" xfId="1" applyFont="1" applyFill="1" applyAlignment="1">
      <alignment horizontal="center" vertical="center" wrapText="1"/>
    </xf>
    <xf numFmtId="177" fontId="9" fillId="0" borderId="0" xfId="2" applyNumberFormat="1" applyFont="1" applyFill="1" applyAlignment="1">
      <alignment horizontal="center" vertical="center" wrapText="1"/>
    </xf>
    <xf numFmtId="38" fontId="10" fillId="4" borderId="0" xfId="1" applyFont="1" applyFill="1">
      <alignment vertical="center"/>
    </xf>
    <xf numFmtId="177" fontId="10" fillId="4" borderId="0" xfId="2" applyNumberFormat="1" applyFont="1" applyFill="1">
      <alignment vertical="center"/>
    </xf>
    <xf numFmtId="177" fontId="10" fillId="0" borderId="0" xfId="2" applyNumberFormat="1" applyFont="1" applyFill="1" applyAlignment="1">
      <alignment vertical="center" wrapText="1"/>
    </xf>
    <xf numFmtId="4" fontId="9" fillId="0" borderId="0" xfId="0" applyNumberFormat="1" applyFont="1">
      <alignment vertical="center"/>
    </xf>
    <xf numFmtId="4" fontId="9" fillId="0" borderId="0" xfId="0" applyNumberFormat="1" applyFont="1" applyAlignment="1">
      <alignment horizontal="center" vertical="center"/>
    </xf>
    <xf numFmtId="177" fontId="16" fillId="0" borderId="0" xfId="2" applyNumberFormat="1" applyFont="1">
      <alignment vertical="center"/>
    </xf>
    <xf numFmtId="40" fontId="9" fillId="0" borderId="0" xfId="1" applyNumberFormat="1" applyFont="1" applyAlignment="1">
      <alignment vertical="center" wrapText="1"/>
    </xf>
    <xf numFmtId="40" fontId="16" fillId="0" borderId="0" xfId="1" applyNumberFormat="1" applyFont="1">
      <alignment vertical="center"/>
    </xf>
    <xf numFmtId="177" fontId="9" fillId="2" borderId="0" xfId="2" applyNumberFormat="1" applyFont="1" applyFill="1">
      <alignment vertical="center"/>
    </xf>
    <xf numFmtId="177" fontId="13" fillId="0" borderId="0" xfId="2" applyNumberFormat="1" applyFont="1" applyFill="1" applyAlignment="1">
      <alignment vertical="center" wrapText="1"/>
    </xf>
    <xf numFmtId="177" fontId="13" fillId="4" borderId="0" xfId="2" applyNumberFormat="1" applyFont="1" applyFill="1" applyBorder="1">
      <alignment vertical="center"/>
    </xf>
    <xf numFmtId="177" fontId="13" fillId="4" borderId="0" xfId="2" applyNumberFormat="1" applyFont="1" applyFill="1">
      <alignment vertical="center"/>
    </xf>
    <xf numFmtId="38" fontId="9" fillId="0" borderId="0" xfId="1" applyFont="1" applyAlignment="1">
      <alignment horizontal="center" vertical="center"/>
    </xf>
    <xf numFmtId="177" fontId="9" fillId="5" borderId="0" xfId="2" applyNumberFormat="1" applyFont="1" applyFill="1">
      <alignment vertical="center"/>
    </xf>
    <xf numFmtId="178" fontId="9" fillId="4" borderId="0" xfId="1" applyNumberFormat="1" applyFont="1" applyFill="1">
      <alignment vertical="center"/>
    </xf>
    <xf numFmtId="10" fontId="9" fillId="0" borderId="0" xfId="2" applyNumberFormat="1" applyFont="1">
      <alignment vertical="center"/>
    </xf>
    <xf numFmtId="177" fontId="9" fillId="7" borderId="0" xfId="2" applyNumberFormat="1" applyFont="1" applyFill="1">
      <alignment vertical="center"/>
    </xf>
    <xf numFmtId="40" fontId="9" fillId="7" borderId="0" xfId="1" applyNumberFormat="1" applyFont="1" applyFill="1">
      <alignment vertical="center"/>
    </xf>
    <xf numFmtId="177" fontId="13" fillId="0" borderId="0" xfId="2" applyNumberFormat="1" applyFont="1" applyFill="1">
      <alignment vertical="center"/>
    </xf>
    <xf numFmtId="38" fontId="16" fillId="0" borderId="0" xfId="1" applyFont="1">
      <alignment vertical="center"/>
    </xf>
    <xf numFmtId="10" fontId="16" fillId="0" borderId="0" xfId="2" applyNumberFormat="1" applyFont="1">
      <alignment vertical="center"/>
    </xf>
    <xf numFmtId="10" fontId="9" fillId="0" borderId="0" xfId="2" applyNumberFormat="1" applyFont="1" applyAlignment="1">
      <alignment vertical="center" wrapText="1"/>
    </xf>
    <xf numFmtId="0" fontId="18" fillId="0" borderId="0" xfId="7" applyFont="1">
      <alignment vertical="center"/>
    </xf>
    <xf numFmtId="0" fontId="2" fillId="0" borderId="0" xfId="7" applyFont="1">
      <alignment vertical="center"/>
    </xf>
    <xf numFmtId="0" fontId="19" fillId="0" borderId="0" xfId="7" applyFont="1">
      <alignment vertical="center"/>
    </xf>
    <xf numFmtId="0" fontId="20" fillId="0" borderId="0" xfId="7" applyFont="1">
      <alignment vertical="center"/>
    </xf>
    <xf numFmtId="0" fontId="21" fillId="0" borderId="0" xfId="7" applyFont="1" applyAlignment="1">
      <alignment horizontal="right" vertical="center"/>
    </xf>
    <xf numFmtId="0" fontId="20" fillId="0" borderId="10" xfId="7" applyFont="1" applyBorder="1" applyAlignment="1">
      <alignment horizontal="center" vertical="center" wrapText="1"/>
    </xf>
    <xf numFmtId="0" fontId="20" fillId="0" borderId="11" xfId="7" applyFont="1" applyBorder="1" applyAlignment="1">
      <alignment horizontal="center" vertical="center" wrapText="1"/>
    </xf>
    <xf numFmtId="0" fontId="20" fillId="0" borderId="12" xfId="7" applyFont="1" applyBorder="1" applyAlignment="1">
      <alignment horizontal="center" vertical="center" wrapText="1"/>
    </xf>
    <xf numFmtId="0" fontId="2" fillId="0" borderId="13" xfId="7" applyFont="1" applyBorder="1">
      <alignment vertical="center"/>
    </xf>
    <xf numFmtId="0" fontId="2" fillId="0" borderId="2" xfId="7" applyFont="1" applyBorder="1">
      <alignment vertical="center"/>
    </xf>
    <xf numFmtId="0" fontId="2" fillId="0" borderId="14" xfId="7" applyFont="1" applyBorder="1">
      <alignment vertical="center"/>
    </xf>
    <xf numFmtId="0" fontId="2" fillId="8" borderId="0" xfId="7" applyFont="1" applyFill="1">
      <alignment vertical="center"/>
    </xf>
    <xf numFmtId="182" fontId="2" fillId="0" borderId="18" xfId="7" applyNumberFormat="1" applyFont="1" applyBorder="1" applyAlignment="1">
      <alignment horizontal="center" vertical="center"/>
    </xf>
    <xf numFmtId="182" fontId="2" fillId="0" borderId="5" xfId="7" applyNumberFormat="1" applyFont="1" applyBorder="1" applyAlignment="1">
      <alignment horizontal="center" vertical="center"/>
    </xf>
    <xf numFmtId="182" fontId="7" fillId="0" borderId="5" xfId="7" applyNumberFormat="1" applyBorder="1" applyAlignment="1">
      <alignment horizontal="center" vertical="center"/>
    </xf>
    <xf numFmtId="182" fontId="7" fillId="0" borderId="4" xfId="7" applyNumberFormat="1" applyBorder="1" applyAlignment="1">
      <alignment horizontal="center" vertical="center"/>
    </xf>
    <xf numFmtId="0" fontId="2" fillId="0" borderId="19" xfId="7" applyFont="1" applyBorder="1">
      <alignment vertical="center"/>
    </xf>
    <xf numFmtId="0" fontId="2" fillId="0" borderId="20" xfId="7" applyFont="1" applyBorder="1">
      <alignment vertical="center"/>
    </xf>
    <xf numFmtId="0" fontId="2" fillId="0" borderId="21" xfId="7" applyFont="1" applyBorder="1">
      <alignment vertical="center"/>
    </xf>
    <xf numFmtId="0" fontId="2" fillId="0" borderId="22" xfId="7" applyFont="1" applyBorder="1">
      <alignment vertical="center"/>
    </xf>
    <xf numFmtId="184" fontId="7" fillId="0" borderId="5" xfId="7" applyNumberFormat="1" applyBorder="1" applyAlignment="1">
      <alignment horizontal="center" vertical="center"/>
    </xf>
    <xf numFmtId="182" fontId="7" fillId="8" borderId="5" xfId="7" applyNumberFormat="1" applyFill="1" applyBorder="1" applyAlignment="1">
      <alignment horizontal="center" vertical="center"/>
    </xf>
    <xf numFmtId="0" fontId="2" fillId="0" borderId="23" xfId="7" applyFont="1" applyBorder="1">
      <alignment vertical="center"/>
    </xf>
    <xf numFmtId="0" fontId="2" fillId="0" borderId="24" xfId="7" applyFont="1" applyBorder="1">
      <alignment vertical="center"/>
    </xf>
    <xf numFmtId="0" fontId="2" fillId="0" borderId="25" xfId="7" applyFont="1" applyBorder="1">
      <alignment vertical="center"/>
    </xf>
    <xf numFmtId="0" fontId="2" fillId="0" borderId="26" xfId="7" applyFont="1" applyBorder="1">
      <alignment vertical="center"/>
    </xf>
    <xf numFmtId="0" fontId="2" fillId="0" borderId="0" xfId="7" applyFont="1" applyAlignment="1">
      <alignment vertical="top"/>
    </xf>
    <xf numFmtId="0" fontId="7" fillId="0" borderId="0" xfId="7" applyAlignment="1">
      <alignment vertical="top"/>
    </xf>
    <xf numFmtId="179" fontId="9" fillId="0" borderId="0" xfId="1" applyNumberFormat="1" applyFont="1" applyFill="1" applyBorder="1" applyAlignment="1">
      <alignment horizontal="center" vertical="center"/>
    </xf>
    <xf numFmtId="178" fontId="9" fillId="0" borderId="0" xfId="1" applyNumberFormat="1" applyFont="1" applyFill="1" applyBorder="1">
      <alignment vertical="center"/>
    </xf>
    <xf numFmtId="0" fontId="22" fillId="0" borderId="0" xfId="1" applyNumberFormat="1" applyFont="1" applyFill="1" applyBorder="1" applyAlignment="1">
      <alignment horizontal="center" vertical="center" wrapText="1"/>
    </xf>
    <xf numFmtId="177" fontId="9" fillId="0" borderId="0" xfId="2" applyNumberFormat="1" applyFont="1" applyAlignment="1">
      <alignment horizontal="center" vertical="center"/>
    </xf>
    <xf numFmtId="0" fontId="9" fillId="0" borderId="0" xfId="1" applyNumberFormat="1" applyFont="1" applyAlignment="1">
      <alignment horizontal="center" vertical="center"/>
    </xf>
    <xf numFmtId="3" fontId="9" fillId="0" borderId="0" xfId="0" applyNumberFormat="1" applyFont="1">
      <alignment vertical="center"/>
    </xf>
    <xf numFmtId="178" fontId="9" fillId="0" borderId="0" xfId="1" applyNumberFormat="1" applyFont="1" applyFill="1">
      <alignment vertical="center"/>
    </xf>
    <xf numFmtId="0" fontId="15" fillId="6" borderId="0" xfId="0" applyFont="1" applyFill="1" applyAlignment="1">
      <alignment horizontal="center" vertical="center"/>
    </xf>
    <xf numFmtId="177" fontId="9" fillId="0" borderId="33" xfId="2" applyNumberFormat="1" applyFont="1" applyBorder="1">
      <alignment vertical="center"/>
    </xf>
    <xf numFmtId="177" fontId="9" fillId="0" borderId="33" xfId="2" applyNumberFormat="1" applyFont="1" applyBorder="1" applyAlignment="1">
      <alignment horizontal="center" vertical="center"/>
    </xf>
    <xf numFmtId="177" fontId="9" fillId="0" borderId="34" xfId="2" applyNumberFormat="1" applyFont="1" applyBorder="1">
      <alignment vertical="center"/>
    </xf>
    <xf numFmtId="177" fontId="9" fillId="0" borderId="34" xfId="2" applyNumberFormat="1" applyFont="1" applyBorder="1" applyAlignment="1">
      <alignment horizontal="center" vertical="center"/>
    </xf>
    <xf numFmtId="38" fontId="9" fillId="0" borderId="33" xfId="1" applyFont="1" applyBorder="1">
      <alignment vertical="center"/>
    </xf>
    <xf numFmtId="38" fontId="9" fillId="0" borderId="34" xfId="1" applyFont="1" applyBorder="1">
      <alignment vertical="center"/>
    </xf>
    <xf numFmtId="177" fontId="9" fillId="0" borderId="0" xfId="2" applyNumberFormat="1" applyFont="1" applyBorder="1" applyAlignment="1">
      <alignment horizontal="center" vertical="center"/>
    </xf>
    <xf numFmtId="186" fontId="9" fillId="0" borderId="0" xfId="2" applyNumberFormat="1" applyFont="1">
      <alignment vertical="center"/>
    </xf>
    <xf numFmtId="0" fontId="7" fillId="0" borderId="0" xfId="3"/>
    <xf numFmtId="182" fontId="7" fillId="0" borderId="37" xfId="7" applyNumberFormat="1" applyBorder="1" applyAlignment="1">
      <alignment horizontal="center" vertical="center"/>
    </xf>
    <xf numFmtId="0" fontId="0" fillId="4" borderId="0" xfId="0" applyFill="1">
      <alignment vertical="center"/>
    </xf>
    <xf numFmtId="0" fontId="2" fillId="4" borderId="0" xfId="0" applyFont="1" applyFill="1">
      <alignment vertical="center"/>
    </xf>
    <xf numFmtId="0" fontId="9" fillId="9" borderId="0" xfId="0" applyFont="1" applyFill="1" applyAlignment="1">
      <alignment horizontal="center" vertical="center"/>
    </xf>
    <xf numFmtId="187" fontId="9" fillId="0" borderId="0" xfId="1" applyNumberFormat="1" applyFont="1" applyFill="1">
      <alignment vertical="center"/>
    </xf>
    <xf numFmtId="177" fontId="9" fillId="0" borderId="0" xfId="2" applyNumberFormat="1" applyFont="1" applyFill="1" applyAlignment="1">
      <alignment horizontal="center" vertical="center"/>
    </xf>
    <xf numFmtId="187" fontId="24" fillId="0" borderId="0" xfId="1" applyNumberFormat="1" applyFont="1" applyFill="1">
      <alignment vertical="center"/>
    </xf>
    <xf numFmtId="187" fontId="9" fillId="0" borderId="3" xfId="1" applyNumberFormat="1" applyFont="1" applyFill="1" applyBorder="1">
      <alignment vertical="center"/>
    </xf>
    <xf numFmtId="187" fontId="24" fillId="0" borderId="0" xfId="1" applyNumberFormat="1" applyFont="1" applyFill="1" applyBorder="1">
      <alignment vertical="center"/>
    </xf>
    <xf numFmtId="187" fontId="9" fillId="0" borderId="0" xfId="1" applyNumberFormat="1" applyFont="1" applyFill="1" applyBorder="1">
      <alignment vertical="center"/>
    </xf>
    <xf numFmtId="187" fontId="24" fillId="0" borderId="3" xfId="1" applyNumberFormat="1" applyFont="1" applyFill="1" applyBorder="1">
      <alignment vertical="center"/>
    </xf>
    <xf numFmtId="0" fontId="9" fillId="0" borderId="4" xfId="0" applyFont="1" applyBorder="1" applyAlignment="1">
      <alignment horizontal="center" vertical="center"/>
    </xf>
    <xf numFmtId="0" fontId="9" fillId="0" borderId="2" xfId="0" applyFont="1" applyBorder="1" applyAlignment="1">
      <alignment horizontal="center" vertical="center"/>
    </xf>
    <xf numFmtId="0" fontId="9" fillId="0" borderId="2" xfId="0" applyFont="1" applyBorder="1">
      <alignment vertical="center"/>
    </xf>
    <xf numFmtId="188" fontId="0" fillId="0" borderId="0" xfId="0" applyNumberFormat="1">
      <alignment vertical="center"/>
    </xf>
    <xf numFmtId="186" fontId="9" fillId="0" borderId="0" xfId="2" applyNumberFormat="1" applyFont="1" applyFill="1">
      <alignment vertical="center"/>
    </xf>
    <xf numFmtId="0" fontId="9" fillId="8" borderId="2" xfId="0" applyFont="1" applyFill="1" applyBorder="1" applyAlignment="1">
      <alignment horizontal="center" vertical="center"/>
    </xf>
    <xf numFmtId="10" fontId="9" fillId="4" borderId="0" xfId="2" applyNumberFormat="1" applyFont="1" applyFill="1">
      <alignment vertical="center"/>
    </xf>
    <xf numFmtId="38" fontId="10" fillId="0" borderId="0" xfId="1" applyFont="1" applyFill="1" applyBorder="1" applyAlignment="1">
      <alignment vertical="center"/>
    </xf>
    <xf numFmtId="38" fontId="10" fillId="0" borderId="0" xfId="1" applyFont="1" applyBorder="1" applyAlignment="1">
      <alignment vertical="center"/>
    </xf>
    <xf numFmtId="38" fontId="9" fillId="0" borderId="0" xfId="1" applyFont="1" applyBorder="1" applyAlignment="1">
      <alignment vertical="center"/>
    </xf>
    <xf numFmtId="179" fontId="9" fillId="0" borderId="0" xfId="1" applyNumberFormat="1" applyFont="1" applyBorder="1" applyAlignment="1">
      <alignment vertical="center"/>
    </xf>
    <xf numFmtId="176" fontId="9" fillId="0" borderId="0" xfId="0" applyNumberFormat="1" applyFont="1">
      <alignment vertical="center"/>
    </xf>
    <xf numFmtId="14" fontId="9" fillId="0" borderId="0" xfId="1" applyNumberFormat="1" applyFont="1" applyBorder="1">
      <alignment vertical="center"/>
    </xf>
    <xf numFmtId="188" fontId="9" fillId="0" borderId="0" xfId="0" applyNumberFormat="1" applyFont="1">
      <alignment vertical="center"/>
    </xf>
    <xf numFmtId="188" fontId="9" fillId="0" borderId="0" xfId="1" applyNumberFormat="1" applyFont="1" applyFill="1">
      <alignment vertical="center"/>
    </xf>
    <xf numFmtId="0" fontId="15" fillId="7" borderId="0" xfId="0" applyFont="1" applyFill="1" applyAlignment="1">
      <alignment horizontal="center" vertical="center"/>
    </xf>
    <xf numFmtId="177" fontId="9" fillId="0" borderId="34" xfId="2" applyNumberFormat="1" applyFont="1" applyBorder="1" applyAlignment="1">
      <alignment horizontal="center" vertical="center" wrapText="1"/>
    </xf>
    <xf numFmtId="38" fontId="9" fillId="0" borderId="23" xfId="1" applyFont="1" applyBorder="1">
      <alignment vertical="center"/>
    </xf>
    <xf numFmtId="0" fontId="15" fillId="6" borderId="23" xfId="0" applyFont="1" applyFill="1" applyBorder="1" applyAlignment="1">
      <alignment horizontal="center" vertical="center"/>
    </xf>
    <xf numFmtId="177" fontId="9" fillId="0" borderId="39" xfId="2" applyNumberFormat="1" applyFont="1" applyBorder="1">
      <alignment vertical="center"/>
    </xf>
    <xf numFmtId="177" fontId="9" fillId="0" borderId="38" xfId="2" applyNumberFormat="1" applyFont="1" applyBorder="1">
      <alignment vertical="center"/>
    </xf>
    <xf numFmtId="177" fontId="9" fillId="0" borderId="23" xfId="2" applyNumberFormat="1" applyFont="1" applyBorder="1">
      <alignment vertical="center"/>
    </xf>
    <xf numFmtId="38" fontId="9" fillId="0" borderId="39" xfId="1" applyFont="1" applyBorder="1">
      <alignment vertical="center"/>
    </xf>
    <xf numFmtId="38" fontId="9" fillId="0" borderId="38" xfId="1" applyFont="1" applyBorder="1">
      <alignment vertical="center"/>
    </xf>
    <xf numFmtId="0" fontId="9" fillId="0" borderId="23" xfId="0" applyFont="1" applyBorder="1">
      <alignment vertical="center"/>
    </xf>
    <xf numFmtId="187" fontId="24" fillId="0" borderId="1" xfId="1" applyNumberFormat="1" applyFont="1" applyFill="1" applyBorder="1">
      <alignment vertical="center"/>
    </xf>
    <xf numFmtId="187" fontId="9" fillId="0" borderId="1" xfId="1" applyNumberFormat="1" applyFont="1" applyFill="1" applyBorder="1">
      <alignment vertical="center"/>
    </xf>
    <xf numFmtId="187" fontId="9" fillId="0" borderId="0" xfId="1" applyNumberFormat="1" applyFont="1" applyFill="1" applyBorder="1" applyAlignment="1">
      <alignment vertical="center"/>
    </xf>
    <xf numFmtId="187" fontId="9" fillId="0" borderId="1" xfId="1" applyNumberFormat="1" applyFont="1" applyFill="1" applyBorder="1" applyAlignment="1">
      <alignment vertical="center"/>
    </xf>
    <xf numFmtId="187" fontId="24" fillId="0" borderId="3" xfId="1" applyNumberFormat="1" applyFont="1" applyFill="1" applyBorder="1" applyAlignment="1">
      <alignment vertical="center"/>
    </xf>
    <xf numFmtId="187" fontId="24" fillId="0" borderId="0" xfId="1" applyNumberFormat="1" applyFont="1" applyFill="1" applyBorder="1" applyAlignment="1">
      <alignment vertical="center"/>
    </xf>
    <xf numFmtId="187" fontId="24" fillId="8" borderId="0" xfId="1" applyNumberFormat="1" applyFont="1" applyFill="1" applyBorder="1" applyAlignment="1">
      <alignment vertical="center"/>
    </xf>
    <xf numFmtId="187" fontId="9" fillId="8" borderId="0" xfId="1" applyNumberFormat="1" applyFont="1" applyFill="1" applyBorder="1" applyAlignment="1">
      <alignment vertical="center"/>
    </xf>
    <xf numFmtId="187" fontId="24" fillId="8" borderId="0" xfId="1" applyNumberFormat="1" applyFont="1" applyFill="1">
      <alignment vertical="center"/>
    </xf>
    <xf numFmtId="40" fontId="15" fillId="6" borderId="0" xfId="1" applyNumberFormat="1" applyFont="1" applyFill="1" applyAlignment="1">
      <alignment horizontal="center" vertical="center"/>
    </xf>
    <xf numFmtId="182" fontId="2" fillId="5" borderId="15" xfId="7" applyNumberFormat="1" applyFont="1" applyFill="1" applyBorder="1" applyAlignment="1">
      <alignment horizontal="center" vertical="center"/>
    </xf>
    <xf numFmtId="182" fontId="2" fillId="5" borderId="16" xfId="7" applyNumberFormat="1" applyFont="1" applyFill="1" applyBorder="1" applyAlignment="1">
      <alignment horizontal="center" vertical="center"/>
    </xf>
    <xf numFmtId="182" fontId="7" fillId="5" borderId="16" xfId="7" applyNumberFormat="1" applyFill="1" applyBorder="1" applyAlignment="1">
      <alignment horizontal="center" vertical="center"/>
    </xf>
    <xf numFmtId="183" fontId="2" fillId="5" borderId="18" xfId="7" applyNumberFormat="1" applyFont="1" applyFill="1" applyBorder="1" applyAlignment="1">
      <alignment horizontal="center" vertical="center"/>
    </xf>
    <xf numFmtId="183" fontId="2" fillId="5" borderId="5" xfId="7" applyNumberFormat="1" applyFont="1" applyFill="1" applyBorder="1" applyAlignment="1">
      <alignment horizontal="center" vertical="center"/>
    </xf>
    <xf numFmtId="183" fontId="7" fillId="5" borderId="5" xfId="7" applyNumberFormat="1" applyFill="1" applyBorder="1" applyAlignment="1">
      <alignment horizontal="center" vertical="center"/>
    </xf>
    <xf numFmtId="182" fontId="2" fillId="5" borderId="18" xfId="7" applyNumberFormat="1" applyFont="1" applyFill="1" applyBorder="1" applyAlignment="1">
      <alignment horizontal="center" vertical="center"/>
    </xf>
    <xf numFmtId="182" fontId="2" fillId="5" borderId="5" xfId="7" applyNumberFormat="1" applyFont="1" applyFill="1" applyBorder="1" applyAlignment="1">
      <alignment horizontal="center" vertical="center"/>
    </xf>
    <xf numFmtId="182" fontId="7" fillId="5" borderId="5" xfId="7" applyNumberFormat="1" applyFill="1" applyBorder="1" applyAlignment="1">
      <alignment horizontal="center" vertical="center"/>
    </xf>
    <xf numFmtId="184" fontId="2" fillId="5" borderId="5" xfId="7" applyNumberFormat="1" applyFont="1" applyFill="1" applyBorder="1" applyAlignment="1">
      <alignment horizontal="center" vertical="center"/>
    </xf>
    <xf numFmtId="184" fontId="7" fillId="5" borderId="5" xfId="7" applyNumberFormat="1" applyFill="1" applyBorder="1" applyAlignment="1">
      <alignment horizontal="center" vertical="center"/>
    </xf>
    <xf numFmtId="183" fontId="2" fillId="5" borderId="35" xfId="7" applyNumberFormat="1" applyFont="1" applyFill="1" applyBorder="1" applyAlignment="1">
      <alignment horizontal="center" vertical="center"/>
    </xf>
    <xf numFmtId="185" fontId="2" fillId="5" borderId="5" xfId="7" applyNumberFormat="1" applyFont="1" applyFill="1" applyBorder="1" applyAlignment="1">
      <alignment horizontal="center" vertical="center"/>
    </xf>
    <xf numFmtId="185" fontId="7" fillId="5" borderId="5" xfId="7" applyNumberFormat="1" applyFill="1" applyBorder="1" applyAlignment="1">
      <alignment horizontal="center" vertical="center"/>
    </xf>
    <xf numFmtId="185" fontId="2" fillId="5" borderId="18" xfId="7" applyNumberFormat="1" applyFont="1" applyFill="1" applyBorder="1" applyAlignment="1">
      <alignment horizontal="center" vertical="center"/>
    </xf>
    <xf numFmtId="185" fontId="2" fillId="5" borderId="30" xfId="7" applyNumberFormat="1" applyFont="1" applyFill="1" applyBorder="1" applyAlignment="1">
      <alignment horizontal="center" vertical="center"/>
    </xf>
    <xf numFmtId="185" fontId="2" fillId="5" borderId="31" xfId="7" applyNumberFormat="1" applyFont="1" applyFill="1" applyBorder="1" applyAlignment="1">
      <alignment horizontal="center" vertical="center"/>
    </xf>
    <xf numFmtId="185" fontId="7" fillId="5" borderId="31" xfId="7" applyNumberFormat="1" applyFill="1" applyBorder="1" applyAlignment="1">
      <alignment horizontal="center" vertical="center"/>
    </xf>
    <xf numFmtId="182" fontId="7" fillId="4" borderId="16" xfId="7" applyNumberFormat="1" applyFill="1" applyBorder="1" applyAlignment="1">
      <alignment horizontal="center" vertical="center"/>
    </xf>
    <xf numFmtId="182" fontId="7" fillId="4" borderId="17" xfId="7" applyNumberFormat="1" applyFill="1" applyBorder="1" applyAlignment="1">
      <alignment horizontal="center" vertical="center"/>
    </xf>
    <xf numFmtId="182" fontId="7" fillId="4" borderId="5" xfId="7" applyNumberFormat="1" applyFill="1" applyBorder="1" applyAlignment="1">
      <alignment horizontal="center" vertical="center"/>
    </xf>
    <xf numFmtId="182" fontId="7" fillId="4" borderId="4" xfId="7" applyNumberFormat="1" applyFill="1" applyBorder="1" applyAlignment="1">
      <alignment horizontal="center" vertical="center"/>
    </xf>
    <xf numFmtId="183" fontId="7" fillId="4" borderId="5" xfId="7" applyNumberFormat="1" applyFill="1" applyBorder="1" applyAlignment="1">
      <alignment horizontal="center" vertical="center"/>
    </xf>
    <xf numFmtId="183" fontId="7" fillId="4" borderId="4" xfId="7" applyNumberFormat="1" applyFill="1" applyBorder="1" applyAlignment="1">
      <alignment horizontal="center" vertical="center"/>
    </xf>
    <xf numFmtId="184" fontId="7" fillId="4" borderId="5" xfId="7" applyNumberFormat="1" applyFill="1" applyBorder="1" applyAlignment="1">
      <alignment horizontal="center" vertical="center"/>
    </xf>
    <xf numFmtId="184" fontId="7" fillId="4" borderId="4" xfId="7" applyNumberFormat="1" applyFill="1" applyBorder="1" applyAlignment="1">
      <alignment horizontal="center" vertical="center"/>
    </xf>
    <xf numFmtId="185" fontId="7" fillId="4" borderId="5" xfId="7" applyNumberFormat="1" applyFill="1" applyBorder="1" applyAlignment="1">
      <alignment horizontal="center" vertical="center"/>
    </xf>
    <xf numFmtId="185" fontId="7" fillId="4" borderId="4" xfId="7" applyNumberFormat="1" applyFill="1" applyBorder="1" applyAlignment="1">
      <alignment horizontal="center" vertical="center"/>
    </xf>
    <xf numFmtId="185" fontId="7" fillId="4" borderId="31" xfId="7" applyNumberFormat="1" applyFill="1" applyBorder="1" applyAlignment="1">
      <alignment horizontal="center" vertical="center"/>
    </xf>
    <xf numFmtId="185" fontId="7" fillId="4" borderId="32" xfId="7" applyNumberFormat="1" applyFill="1" applyBorder="1" applyAlignment="1">
      <alignment horizontal="center" vertical="center"/>
    </xf>
    <xf numFmtId="182" fontId="7" fillId="8" borderId="16" xfId="7" applyNumberFormat="1" applyFill="1" applyBorder="1" applyAlignment="1">
      <alignment horizontal="center" vertical="center"/>
    </xf>
    <xf numFmtId="182" fontId="7" fillId="8" borderId="42" xfId="7" applyNumberFormat="1" applyFill="1" applyBorder="1" applyAlignment="1">
      <alignment horizontal="center" vertical="center"/>
    </xf>
    <xf numFmtId="183" fontId="7" fillId="5" borderId="35" xfId="7" applyNumberFormat="1" applyFill="1" applyBorder="1" applyAlignment="1">
      <alignment horizontal="center" vertical="center"/>
    </xf>
    <xf numFmtId="182" fontId="7" fillId="0" borderId="35" xfId="7" applyNumberFormat="1" applyBorder="1" applyAlignment="1">
      <alignment horizontal="center" vertical="center"/>
    </xf>
    <xf numFmtId="182" fontId="7" fillId="8" borderId="35" xfId="7" applyNumberFormat="1" applyFill="1" applyBorder="1" applyAlignment="1">
      <alignment horizontal="center" vertical="center"/>
    </xf>
    <xf numFmtId="184" fontId="7" fillId="0" borderId="35" xfId="7" applyNumberFormat="1" applyBorder="1" applyAlignment="1">
      <alignment horizontal="center" vertical="center"/>
    </xf>
    <xf numFmtId="182" fontId="7" fillId="5" borderId="35" xfId="7" applyNumberFormat="1" applyFill="1" applyBorder="1" applyAlignment="1">
      <alignment horizontal="center" vertical="center"/>
    </xf>
    <xf numFmtId="0" fontId="20" fillId="0" borderId="41" xfId="7" applyFont="1" applyBorder="1" applyAlignment="1">
      <alignment horizontal="center" vertical="center" wrapText="1"/>
    </xf>
    <xf numFmtId="182" fontId="7" fillId="4" borderId="43" xfId="7" applyNumberFormat="1" applyFill="1" applyBorder="1" applyAlignment="1">
      <alignment horizontal="center" vertical="center"/>
    </xf>
    <xf numFmtId="183" fontId="7" fillId="5" borderId="37" xfId="7" applyNumberFormat="1" applyFill="1" applyBorder="1" applyAlignment="1">
      <alignment horizontal="center" vertical="center"/>
    </xf>
    <xf numFmtId="182" fontId="7" fillId="4" borderId="37" xfId="7" applyNumberFormat="1" applyFill="1" applyBorder="1" applyAlignment="1">
      <alignment horizontal="center" vertical="center"/>
    </xf>
    <xf numFmtId="183" fontId="7" fillId="4" borderId="37" xfId="7" applyNumberFormat="1" applyFill="1" applyBorder="1" applyAlignment="1">
      <alignment horizontal="center" vertical="center"/>
    </xf>
    <xf numFmtId="184" fontId="7" fillId="4" borderId="37" xfId="7" applyNumberFormat="1" applyFill="1" applyBorder="1" applyAlignment="1">
      <alignment horizontal="center" vertical="center"/>
    </xf>
    <xf numFmtId="182" fontId="7" fillId="5" borderId="37" xfId="7" applyNumberFormat="1" applyFill="1" applyBorder="1" applyAlignment="1">
      <alignment horizontal="center" vertical="center"/>
    </xf>
    <xf numFmtId="185" fontId="7" fillId="4" borderId="37" xfId="7" applyNumberFormat="1" applyFill="1" applyBorder="1" applyAlignment="1">
      <alignment horizontal="center" vertical="center"/>
    </xf>
    <xf numFmtId="185" fontId="7" fillId="4" borderId="44" xfId="7" applyNumberFormat="1" applyFill="1" applyBorder="1" applyAlignment="1">
      <alignment horizontal="center" vertical="center"/>
    </xf>
    <xf numFmtId="182" fontId="7" fillId="4" borderId="36" xfId="7" applyNumberFormat="1" applyFill="1" applyBorder="1" applyAlignment="1">
      <alignment horizontal="center" vertical="center"/>
    </xf>
    <xf numFmtId="182" fontId="2" fillId="4" borderId="15" xfId="7" applyNumberFormat="1" applyFont="1" applyFill="1" applyBorder="1" applyAlignment="1">
      <alignment horizontal="center" vertical="center"/>
    </xf>
    <xf numFmtId="182" fontId="2" fillId="4" borderId="18" xfId="7" applyNumberFormat="1" applyFont="1" applyFill="1" applyBorder="1" applyAlignment="1">
      <alignment horizontal="center" vertical="center"/>
    </xf>
    <xf numFmtId="182" fontId="2" fillId="4" borderId="5" xfId="7" applyNumberFormat="1" applyFont="1" applyFill="1" applyBorder="1" applyAlignment="1">
      <alignment horizontal="center" vertical="center"/>
    </xf>
    <xf numFmtId="183" fontId="2" fillId="4" borderId="18" xfId="7" applyNumberFormat="1" applyFont="1" applyFill="1" applyBorder="1" applyAlignment="1">
      <alignment horizontal="center" vertical="center"/>
    </xf>
    <xf numFmtId="183" fontId="2" fillId="4" borderId="5" xfId="7" applyNumberFormat="1" applyFont="1" applyFill="1" applyBorder="1" applyAlignment="1">
      <alignment horizontal="center" vertical="center"/>
    </xf>
    <xf numFmtId="184" fontId="2" fillId="4" borderId="18" xfId="7" applyNumberFormat="1" applyFont="1" applyFill="1" applyBorder="1" applyAlignment="1">
      <alignment horizontal="center" vertical="center"/>
    </xf>
    <xf numFmtId="184" fontId="2" fillId="4" borderId="5" xfId="7" applyNumberFormat="1" applyFont="1" applyFill="1" applyBorder="1" applyAlignment="1">
      <alignment horizontal="center" vertical="center"/>
    </xf>
    <xf numFmtId="185" fontId="2" fillId="4" borderId="5" xfId="7" applyNumberFormat="1" applyFont="1" applyFill="1" applyBorder="1" applyAlignment="1">
      <alignment horizontal="center" vertical="center"/>
    </xf>
    <xf numFmtId="185" fontId="2" fillId="4" borderId="27" xfId="7" applyNumberFormat="1" applyFont="1" applyFill="1" applyBorder="1" applyAlignment="1">
      <alignment horizontal="center" vertical="center"/>
    </xf>
    <xf numFmtId="185" fontId="2" fillId="4" borderId="28" xfId="7" applyNumberFormat="1" applyFont="1" applyFill="1" applyBorder="1" applyAlignment="1">
      <alignment horizontal="center" vertical="center"/>
    </xf>
    <xf numFmtId="185" fontId="7" fillId="4" borderId="28" xfId="7" applyNumberFormat="1" applyFill="1" applyBorder="1" applyAlignment="1">
      <alignment horizontal="center" vertical="center"/>
    </xf>
    <xf numFmtId="0" fontId="2" fillId="5" borderId="13" xfId="7" applyFont="1" applyFill="1" applyBorder="1">
      <alignment vertical="center"/>
    </xf>
    <xf numFmtId="0" fontId="2" fillId="5" borderId="2" xfId="7" applyFont="1" applyFill="1" applyBorder="1">
      <alignment vertical="center"/>
    </xf>
    <xf numFmtId="0" fontId="2" fillId="5" borderId="14" xfId="7" applyFont="1" applyFill="1" applyBorder="1">
      <alignment vertical="center"/>
    </xf>
    <xf numFmtId="0" fontId="2" fillId="5" borderId="22" xfId="7" applyFont="1" applyFill="1" applyBorder="1">
      <alignment vertical="center"/>
    </xf>
    <xf numFmtId="0" fontId="2" fillId="5" borderId="20" xfId="7" applyFont="1" applyFill="1" applyBorder="1">
      <alignment vertical="center"/>
    </xf>
    <xf numFmtId="0" fontId="2" fillId="5" borderId="21" xfId="7" applyFont="1" applyFill="1" applyBorder="1">
      <alignment vertical="center"/>
    </xf>
    <xf numFmtId="38" fontId="9" fillId="5" borderId="0" xfId="1" applyFont="1" applyFill="1" applyBorder="1">
      <alignment vertical="center"/>
    </xf>
    <xf numFmtId="178" fontId="9" fillId="5" borderId="0" xfId="1" applyNumberFormat="1" applyFont="1" applyFill="1" applyBorder="1">
      <alignment vertical="center"/>
    </xf>
    <xf numFmtId="38" fontId="4" fillId="2" borderId="0" xfId="1" applyFont="1" applyFill="1" applyBorder="1">
      <alignment vertical="center"/>
    </xf>
    <xf numFmtId="38" fontId="4" fillId="4" borderId="0" xfId="1" applyFont="1" applyFill="1" applyBorder="1" applyAlignment="1">
      <alignment vertical="center"/>
    </xf>
    <xf numFmtId="38" fontId="4" fillId="4" borderId="0" xfId="1" applyFont="1" applyFill="1" applyBorder="1">
      <alignment vertical="center"/>
    </xf>
    <xf numFmtId="177" fontId="4" fillId="5" borderId="0" xfId="2" applyNumberFormat="1" applyFont="1" applyFill="1" applyBorder="1">
      <alignment vertical="center"/>
    </xf>
    <xf numFmtId="38" fontId="4" fillId="5" borderId="0" xfId="1" applyFont="1" applyFill="1" applyBorder="1">
      <alignment vertical="center"/>
    </xf>
    <xf numFmtId="38" fontId="4" fillId="5" borderId="0" xfId="0" applyNumberFormat="1" applyFont="1" applyFill="1">
      <alignment vertical="center"/>
    </xf>
    <xf numFmtId="38" fontId="4" fillId="4" borderId="0" xfId="0" applyNumberFormat="1" applyFont="1" applyFill="1">
      <alignment vertical="center"/>
    </xf>
    <xf numFmtId="178" fontId="4" fillId="5" borderId="0" xfId="1" applyNumberFormat="1" applyFont="1" applyFill="1" applyBorder="1">
      <alignment vertical="center"/>
    </xf>
    <xf numFmtId="178" fontId="4" fillId="5" borderId="0" xfId="0" applyNumberFormat="1" applyFont="1" applyFill="1">
      <alignment vertical="center"/>
    </xf>
    <xf numFmtId="178" fontId="4" fillId="8" borderId="0" xfId="1" applyNumberFormat="1" applyFont="1" applyFill="1" applyBorder="1">
      <alignment vertical="center"/>
    </xf>
    <xf numFmtId="178" fontId="4" fillId="4" borderId="0" xfId="1" applyNumberFormat="1" applyFont="1" applyFill="1" applyBorder="1">
      <alignment vertical="center"/>
    </xf>
    <xf numFmtId="186" fontId="4" fillId="5" borderId="0" xfId="2" applyNumberFormat="1" applyFont="1" applyFill="1" applyBorder="1">
      <alignment vertical="center"/>
    </xf>
    <xf numFmtId="177" fontId="4" fillId="8" borderId="0" xfId="2" applyNumberFormat="1" applyFont="1" applyFill="1" applyBorder="1">
      <alignment vertical="center"/>
    </xf>
    <xf numFmtId="177" fontId="4" fillId="0" borderId="0" xfId="2" applyNumberFormat="1" applyFont="1" applyFill="1" applyBorder="1" applyAlignment="1">
      <alignment vertical="center" wrapText="1"/>
    </xf>
    <xf numFmtId="178" fontId="0" fillId="4" borderId="0" xfId="1" applyNumberFormat="1" applyFont="1" applyFill="1">
      <alignment vertical="center"/>
    </xf>
    <xf numFmtId="178" fontId="0" fillId="5" borderId="0" xfId="1" applyNumberFormat="1" applyFont="1" applyFill="1">
      <alignment vertical="center"/>
    </xf>
    <xf numFmtId="178" fontId="0" fillId="5" borderId="0" xfId="0" applyNumberFormat="1" applyFill="1">
      <alignment vertical="center"/>
    </xf>
    <xf numFmtId="38" fontId="0" fillId="8" borderId="0" xfId="1" applyFont="1" applyFill="1">
      <alignment vertical="center"/>
    </xf>
    <xf numFmtId="38" fontId="0" fillId="3" borderId="0" xfId="1" applyFont="1" applyFill="1">
      <alignment vertical="center"/>
    </xf>
    <xf numFmtId="38" fontId="0" fillId="5" borderId="0" xfId="1" applyFont="1" applyFill="1">
      <alignment vertical="center"/>
    </xf>
    <xf numFmtId="38" fontId="11" fillId="4" borderId="0" xfId="1" applyFont="1" applyFill="1" applyBorder="1" applyAlignment="1">
      <alignment horizontal="right"/>
    </xf>
    <xf numFmtId="38" fontId="10" fillId="4" borderId="0" xfId="1" applyFont="1" applyFill="1" applyBorder="1" applyAlignment="1">
      <alignment horizontal="right"/>
    </xf>
    <xf numFmtId="38" fontId="12" fillId="4" borderId="0" xfId="1" applyFont="1" applyFill="1" applyBorder="1" applyAlignment="1">
      <alignment horizontal="right"/>
    </xf>
    <xf numFmtId="38" fontId="9" fillId="4" borderId="0" xfId="1" applyFont="1" applyFill="1" applyBorder="1">
      <alignment vertical="center"/>
    </xf>
    <xf numFmtId="38" fontId="11" fillId="5" borderId="0" xfId="1" applyFont="1" applyFill="1" applyBorder="1" applyAlignment="1">
      <alignment horizontal="right"/>
    </xf>
    <xf numFmtId="180" fontId="10" fillId="4" borderId="0" xfId="0" applyNumberFormat="1" applyFont="1" applyFill="1" applyAlignment="1">
      <alignment horizontal="right" vertical="center"/>
    </xf>
    <xf numFmtId="0" fontId="9" fillId="8" borderId="0" xfId="0" applyFont="1" applyFill="1">
      <alignment vertical="center"/>
    </xf>
    <xf numFmtId="177" fontId="9" fillId="8" borderId="0" xfId="2" applyNumberFormat="1" applyFont="1" applyFill="1" applyBorder="1">
      <alignment vertical="center"/>
    </xf>
    <xf numFmtId="177" fontId="9" fillId="5" borderId="0" xfId="0" applyNumberFormat="1" applyFont="1" applyFill="1">
      <alignment vertical="center"/>
    </xf>
    <xf numFmtId="177" fontId="0" fillId="5" borderId="0" xfId="2" applyNumberFormat="1" applyFont="1" applyFill="1">
      <alignment vertical="center"/>
    </xf>
    <xf numFmtId="177" fontId="0" fillId="8" borderId="0" xfId="2" applyNumberFormat="1" applyFont="1" applyFill="1">
      <alignment vertical="center"/>
    </xf>
    <xf numFmtId="38" fontId="9" fillId="5" borderId="0" xfId="0" applyNumberFormat="1" applyFont="1" applyFill="1">
      <alignment vertical="center"/>
    </xf>
    <xf numFmtId="14" fontId="9" fillId="0" borderId="0" xfId="0" applyNumberFormat="1" applyFont="1">
      <alignment vertical="center"/>
    </xf>
    <xf numFmtId="38" fontId="9" fillId="8" borderId="0" xfId="1" applyFont="1" applyFill="1" applyBorder="1">
      <alignment vertical="center"/>
    </xf>
    <xf numFmtId="38" fontId="9" fillId="3" borderId="0" xfId="1" applyFont="1" applyFill="1" applyBorder="1">
      <alignment vertical="center"/>
    </xf>
    <xf numFmtId="38" fontId="9" fillId="4" borderId="0" xfId="1" applyFont="1" applyFill="1" applyAlignment="1">
      <alignment vertical="center"/>
    </xf>
    <xf numFmtId="38" fontId="9" fillId="5" borderId="0" xfId="1" applyFont="1" applyFill="1" applyBorder="1" applyAlignment="1">
      <alignment vertical="center" wrapText="1"/>
    </xf>
    <xf numFmtId="38" fontId="9" fillId="3" borderId="0" xfId="1" applyFont="1" applyFill="1" applyAlignment="1">
      <alignment vertical="center" wrapText="1"/>
    </xf>
    <xf numFmtId="38" fontId="9" fillId="3" borderId="0" xfId="1" applyFont="1" applyFill="1" applyBorder="1" applyAlignment="1">
      <alignment vertical="center" wrapText="1"/>
    </xf>
    <xf numFmtId="177" fontId="9" fillId="5" borderId="0" xfId="2" applyNumberFormat="1" applyFont="1" applyFill="1" applyAlignment="1">
      <alignment vertical="center" wrapText="1"/>
    </xf>
    <xf numFmtId="40" fontId="9" fillId="8" borderId="0" xfId="1" applyNumberFormat="1" applyFont="1" applyFill="1" applyAlignment="1">
      <alignment vertical="center" wrapText="1"/>
    </xf>
    <xf numFmtId="40" fontId="9" fillId="8" borderId="0" xfId="1" applyNumberFormat="1" applyFont="1" applyFill="1">
      <alignment vertical="center"/>
    </xf>
    <xf numFmtId="40" fontId="9" fillId="3" borderId="0" xfId="1" applyNumberFormat="1" applyFont="1" applyFill="1">
      <alignment vertical="center"/>
    </xf>
    <xf numFmtId="40" fontId="9" fillId="3" borderId="0" xfId="1" applyNumberFormat="1" applyFont="1" applyFill="1" applyAlignment="1">
      <alignment horizontal="center" vertical="center"/>
    </xf>
    <xf numFmtId="38" fontId="15" fillId="0" borderId="0" xfId="1" applyFont="1" applyFill="1" applyAlignment="1">
      <alignment horizontal="center" vertical="center" wrapText="1"/>
    </xf>
    <xf numFmtId="179" fontId="9" fillId="0" borderId="0" xfId="0" applyNumberFormat="1" applyFont="1">
      <alignment vertical="center"/>
    </xf>
    <xf numFmtId="38" fontId="9" fillId="8" borderId="0" xfId="1" applyFont="1" applyFill="1">
      <alignment vertical="center"/>
    </xf>
    <xf numFmtId="189" fontId="9" fillId="0" borderId="0" xfId="2" applyNumberFormat="1" applyFont="1" applyFill="1">
      <alignment vertical="center"/>
    </xf>
    <xf numFmtId="177" fontId="9" fillId="8" borderId="0" xfId="2" applyNumberFormat="1" applyFont="1" applyFill="1">
      <alignment vertical="center"/>
    </xf>
    <xf numFmtId="177" fontId="9" fillId="8" borderId="0" xfId="2" applyNumberFormat="1" applyFont="1" applyFill="1" applyAlignment="1">
      <alignment vertical="center" wrapText="1"/>
    </xf>
    <xf numFmtId="38" fontId="9" fillId="8" borderId="0" xfId="0" applyNumberFormat="1" applyFont="1" applyFill="1">
      <alignment vertical="center"/>
    </xf>
    <xf numFmtId="0" fontId="0" fillId="5" borderId="0" xfId="0" applyFill="1">
      <alignment vertical="center"/>
    </xf>
    <xf numFmtId="38" fontId="7" fillId="5" borderId="0" xfId="1" applyFont="1" applyFill="1">
      <alignment vertical="center"/>
    </xf>
    <xf numFmtId="38" fontId="7" fillId="3" borderId="0" xfId="1" applyFont="1" applyFill="1">
      <alignment vertical="center"/>
    </xf>
    <xf numFmtId="10" fontId="9" fillId="5" borderId="0" xfId="2" applyNumberFormat="1" applyFont="1" applyFill="1">
      <alignment vertical="center"/>
    </xf>
    <xf numFmtId="186" fontId="9" fillId="5" borderId="0" xfId="2" applyNumberFormat="1" applyFont="1" applyFill="1">
      <alignment vertical="center"/>
    </xf>
    <xf numFmtId="38" fontId="9" fillId="4" borderId="0" xfId="1" applyFont="1" applyFill="1" applyBorder="1" applyAlignment="1">
      <alignment vertical="center" wrapText="1"/>
    </xf>
    <xf numFmtId="38" fontId="9" fillId="5" borderId="0" xfId="1" applyFont="1" applyFill="1" applyBorder="1" applyAlignment="1">
      <alignment vertical="center"/>
    </xf>
    <xf numFmtId="38" fontId="10" fillId="4" borderId="0" xfId="0" quotePrefix="1" applyNumberFormat="1" applyFont="1" applyFill="1" applyAlignment="1">
      <alignment horizontal="right" vertical="center"/>
    </xf>
    <xf numFmtId="38" fontId="10" fillId="8" borderId="0" xfId="1" applyFont="1" applyFill="1">
      <alignment vertical="center"/>
    </xf>
    <xf numFmtId="0" fontId="15" fillId="0" borderId="0" xfId="0" applyFont="1" applyAlignment="1">
      <alignment horizontal="center" vertical="center"/>
    </xf>
    <xf numFmtId="38" fontId="10" fillId="0" borderId="0" xfId="1" applyFont="1">
      <alignment vertical="center"/>
    </xf>
    <xf numFmtId="0" fontId="9" fillId="10" borderId="0" xfId="0" applyFont="1" applyFill="1">
      <alignment vertical="center"/>
    </xf>
    <xf numFmtId="3" fontId="9" fillId="5" borderId="0" xfId="0" applyNumberFormat="1" applyFont="1" applyFill="1">
      <alignment vertical="center"/>
    </xf>
    <xf numFmtId="3" fontId="9" fillId="4" borderId="0" xfId="0" applyNumberFormat="1" applyFont="1" applyFill="1">
      <alignment vertical="center"/>
    </xf>
    <xf numFmtId="10" fontId="9" fillId="5" borderId="0" xfId="0" applyNumberFormat="1" applyFont="1" applyFill="1">
      <alignment vertical="center"/>
    </xf>
    <xf numFmtId="187" fontId="24" fillId="8" borderId="3" xfId="1" applyNumberFormat="1" applyFont="1" applyFill="1" applyBorder="1" applyAlignment="1">
      <alignment vertical="center"/>
    </xf>
    <xf numFmtId="187" fontId="24" fillId="8" borderId="3" xfId="1" applyNumberFormat="1" applyFont="1" applyFill="1" applyBorder="1">
      <alignment vertical="center"/>
    </xf>
    <xf numFmtId="187" fontId="24" fillId="8" borderId="0" xfId="1" applyNumberFormat="1" applyFont="1" applyFill="1" applyBorder="1">
      <alignment vertical="center"/>
    </xf>
    <xf numFmtId="187" fontId="9" fillId="8" borderId="0" xfId="1" applyNumberFormat="1" applyFont="1" applyFill="1" applyBorder="1">
      <alignment vertical="center"/>
    </xf>
    <xf numFmtId="177" fontId="15" fillId="6" borderId="0" xfId="2" applyNumberFormat="1" applyFont="1" applyFill="1" applyAlignment="1">
      <alignment horizontal="center" vertical="center"/>
    </xf>
    <xf numFmtId="187" fontId="9" fillId="8" borderId="1" xfId="1" applyNumberFormat="1" applyFont="1" applyFill="1" applyBorder="1" applyAlignment="1">
      <alignment vertical="center"/>
    </xf>
    <xf numFmtId="187" fontId="9" fillId="8" borderId="1" xfId="1" applyNumberFormat="1" applyFont="1" applyFill="1" applyBorder="1">
      <alignment vertical="center"/>
    </xf>
    <xf numFmtId="187" fontId="24" fillId="8" borderId="1" xfId="1" applyNumberFormat="1" applyFont="1" applyFill="1" applyBorder="1">
      <alignment vertical="center"/>
    </xf>
    <xf numFmtId="187" fontId="9" fillId="8" borderId="0" xfId="1" applyNumberFormat="1" applyFont="1" applyFill="1">
      <alignment vertical="center"/>
    </xf>
    <xf numFmtId="187" fontId="9" fillId="10" borderId="0" xfId="1" applyNumberFormat="1" applyFont="1" applyFill="1" applyBorder="1" applyAlignment="1">
      <alignment vertical="center"/>
    </xf>
    <xf numFmtId="187" fontId="9" fillId="10" borderId="0" xfId="1" applyNumberFormat="1" applyFont="1" applyFill="1">
      <alignment vertical="center"/>
    </xf>
    <xf numFmtId="187" fontId="24" fillId="10" borderId="0" xfId="1" applyNumberFormat="1" applyFont="1" applyFill="1">
      <alignment vertical="center"/>
    </xf>
    <xf numFmtId="187" fontId="9" fillId="10" borderId="1" xfId="1" applyNumberFormat="1" applyFont="1" applyFill="1" applyBorder="1" applyAlignment="1">
      <alignment vertical="center"/>
    </xf>
    <xf numFmtId="187" fontId="9" fillId="10" borderId="0" xfId="1" applyNumberFormat="1" applyFont="1" applyFill="1" applyBorder="1">
      <alignment vertical="center"/>
    </xf>
    <xf numFmtId="187" fontId="9" fillId="10" borderId="1" xfId="1" applyNumberFormat="1" applyFont="1" applyFill="1" applyBorder="1">
      <alignment vertical="center"/>
    </xf>
    <xf numFmtId="187" fontId="24" fillId="10" borderId="0" xfId="1" applyNumberFormat="1" applyFont="1" applyFill="1" applyBorder="1">
      <alignment vertical="center"/>
    </xf>
    <xf numFmtId="187" fontId="9" fillId="10" borderId="3" xfId="1" applyNumberFormat="1" applyFont="1" applyFill="1" applyBorder="1" applyAlignment="1">
      <alignment vertical="center"/>
    </xf>
    <xf numFmtId="187" fontId="9" fillId="10" borderId="3" xfId="1" applyNumberFormat="1" applyFont="1" applyFill="1" applyBorder="1">
      <alignment vertical="center"/>
    </xf>
    <xf numFmtId="187" fontId="24" fillId="10" borderId="3" xfId="1" applyNumberFormat="1" applyFont="1" applyFill="1" applyBorder="1">
      <alignment vertical="center"/>
    </xf>
    <xf numFmtId="177" fontId="9" fillId="10" borderId="0" xfId="2" applyNumberFormat="1" applyFont="1" applyFill="1">
      <alignment vertical="center"/>
    </xf>
    <xf numFmtId="177" fontId="24" fillId="10" borderId="0" xfId="2" applyNumberFormat="1" applyFont="1" applyFill="1">
      <alignment vertical="center"/>
    </xf>
    <xf numFmtId="0" fontId="15" fillId="0" borderId="0" xfId="0" applyFont="1" applyAlignment="1">
      <alignment horizontal="center" vertical="center" wrapText="1"/>
    </xf>
    <xf numFmtId="177" fontId="9" fillId="8" borderId="0" xfId="0" applyNumberFormat="1" applyFont="1" applyFill="1">
      <alignment vertical="center"/>
    </xf>
    <xf numFmtId="10" fontId="9" fillId="8" borderId="0" xfId="0" applyNumberFormat="1" applyFont="1" applyFill="1">
      <alignment vertical="center"/>
    </xf>
    <xf numFmtId="10" fontId="9" fillId="9" borderId="0" xfId="2" applyNumberFormat="1" applyFont="1" applyFill="1" applyAlignment="1">
      <alignment horizontal="center" vertical="center"/>
    </xf>
    <xf numFmtId="10" fontId="9" fillId="8" borderId="0" xfId="2" applyNumberFormat="1" applyFont="1" applyFill="1">
      <alignment vertical="center"/>
    </xf>
    <xf numFmtId="38" fontId="10" fillId="5" borderId="0" xfId="1" applyFont="1" applyFill="1">
      <alignment vertical="center"/>
    </xf>
    <xf numFmtId="0" fontId="9" fillId="5" borderId="0" xfId="0" applyFont="1" applyFill="1">
      <alignment vertical="center"/>
    </xf>
    <xf numFmtId="38" fontId="10" fillId="3" borderId="0" xfId="1" applyFont="1" applyFill="1">
      <alignment vertical="center"/>
    </xf>
    <xf numFmtId="186" fontId="9" fillId="0" borderId="0" xfId="0" applyNumberFormat="1" applyFont="1" applyAlignment="1">
      <alignment vertical="center" wrapText="1"/>
    </xf>
    <xf numFmtId="186" fontId="9" fillId="0" borderId="0" xfId="0" applyNumberFormat="1" applyFont="1">
      <alignment vertical="center"/>
    </xf>
    <xf numFmtId="10" fontId="15" fillId="6" borderId="0" xfId="2" applyNumberFormat="1" applyFont="1" applyFill="1" applyAlignment="1">
      <alignment horizontal="center" vertical="center"/>
    </xf>
    <xf numFmtId="177" fontId="15" fillId="6" borderId="0" xfId="2" applyNumberFormat="1" applyFont="1" applyFill="1" applyBorder="1" applyAlignment="1">
      <alignment horizontal="center" vertical="center"/>
    </xf>
    <xf numFmtId="177" fontId="9" fillId="0" borderId="0" xfId="2" applyNumberFormat="1" applyFont="1" applyBorder="1" applyAlignment="1">
      <alignment vertical="center" wrapText="1"/>
    </xf>
    <xf numFmtId="10" fontId="9" fillId="0" borderId="0" xfId="2" applyNumberFormat="1" applyFont="1" applyBorder="1">
      <alignment vertical="center"/>
    </xf>
    <xf numFmtId="183" fontId="10" fillId="0" borderId="0" xfId="5" applyNumberFormat="1" applyFont="1" applyAlignment="1">
      <alignment vertical="center"/>
    </xf>
    <xf numFmtId="186" fontId="9" fillId="5" borderId="0" xfId="2" applyNumberFormat="1" applyFont="1" applyFill="1" applyBorder="1">
      <alignment vertical="center"/>
    </xf>
    <xf numFmtId="40" fontId="9" fillId="0" borderId="0" xfId="1" applyNumberFormat="1" applyFont="1" applyBorder="1" applyAlignment="1">
      <alignment vertical="center" wrapText="1"/>
    </xf>
    <xf numFmtId="178" fontId="9" fillId="0" borderId="0" xfId="1" applyNumberFormat="1" applyFont="1" applyBorder="1">
      <alignment vertical="center"/>
    </xf>
    <xf numFmtId="0" fontId="15" fillId="6" borderId="0" xfId="1" applyNumberFormat="1" applyFont="1" applyFill="1" applyAlignment="1">
      <alignment horizontal="center" vertical="center"/>
    </xf>
    <xf numFmtId="0" fontId="15" fillId="6" borderId="23" xfId="1" applyNumberFormat="1" applyFont="1" applyFill="1" applyBorder="1" applyAlignment="1">
      <alignment horizontal="center" vertical="center"/>
    </xf>
    <xf numFmtId="38" fontId="9" fillId="0" borderId="33" xfId="1" applyFont="1" applyFill="1" applyBorder="1">
      <alignment vertical="center"/>
    </xf>
    <xf numFmtId="38" fontId="9" fillId="0" borderId="39" xfId="1" applyFont="1" applyFill="1" applyBorder="1">
      <alignment vertical="center"/>
    </xf>
    <xf numFmtId="38" fontId="9" fillId="0" borderId="34" xfId="1" applyFont="1" applyFill="1" applyBorder="1">
      <alignment vertical="center"/>
    </xf>
    <xf numFmtId="38" fontId="9" fillId="0" borderId="38" xfId="1" applyFont="1" applyFill="1" applyBorder="1">
      <alignment vertical="center"/>
    </xf>
    <xf numFmtId="0" fontId="26" fillId="0" borderId="0" xfId="0" applyFont="1" applyAlignment="1">
      <alignment horizontal="right" vertical="center"/>
    </xf>
    <xf numFmtId="178" fontId="9" fillId="5" borderId="0" xfId="1" applyNumberFormat="1" applyFont="1" applyFill="1">
      <alignment vertical="center"/>
    </xf>
    <xf numFmtId="178" fontId="9" fillId="0" borderId="0" xfId="1" applyNumberFormat="1" applyFont="1">
      <alignment vertical="center"/>
    </xf>
    <xf numFmtId="179" fontId="9" fillId="0" borderId="0" xfId="1" applyNumberFormat="1" applyFont="1" applyAlignment="1">
      <alignment horizontal="center" vertical="center"/>
    </xf>
    <xf numFmtId="38" fontId="0" fillId="5" borderId="0" xfId="0" applyNumberFormat="1" applyFill="1">
      <alignment vertical="center"/>
    </xf>
    <xf numFmtId="38" fontId="0" fillId="0" borderId="0" xfId="0" applyNumberFormat="1">
      <alignment vertical="center"/>
    </xf>
    <xf numFmtId="178" fontId="0" fillId="0" borderId="0" xfId="0" applyNumberFormat="1">
      <alignment vertical="center"/>
    </xf>
    <xf numFmtId="178" fontId="2" fillId="0" borderId="0" xfId="1" applyNumberFormat="1" applyFont="1">
      <alignment vertical="center"/>
    </xf>
    <xf numFmtId="178" fontId="2" fillId="5" borderId="0" xfId="1" applyNumberFormat="1" applyFont="1" applyFill="1">
      <alignment vertical="center"/>
    </xf>
    <xf numFmtId="10" fontId="9" fillId="0" borderId="0" xfId="0" applyNumberFormat="1" applyFont="1">
      <alignment vertical="center"/>
    </xf>
    <xf numFmtId="38" fontId="9" fillId="0" borderId="0" xfId="1" applyFont="1" applyAlignment="1">
      <alignment horizontal="center" vertical="center" wrapText="1"/>
    </xf>
    <xf numFmtId="0" fontId="9" fillId="0" borderId="0" xfId="0" applyFont="1" applyAlignment="1">
      <alignment horizontal="center" vertical="center" wrapText="1"/>
    </xf>
    <xf numFmtId="10" fontId="9" fillId="0" borderId="0" xfId="2" applyNumberFormat="1" applyFont="1" applyAlignment="1">
      <alignment horizontal="center" vertical="center" wrapText="1"/>
    </xf>
    <xf numFmtId="0" fontId="16" fillId="0" borderId="34" xfId="0" applyFont="1" applyBorder="1">
      <alignment vertical="center"/>
    </xf>
    <xf numFmtId="178" fontId="16" fillId="0" borderId="34" xfId="1" applyNumberFormat="1" applyFont="1" applyBorder="1">
      <alignment vertical="center"/>
    </xf>
    <xf numFmtId="178" fontId="16" fillId="0" borderId="34" xfId="1" applyNumberFormat="1" applyFont="1" applyBorder="1" applyAlignment="1">
      <alignment horizontal="center" vertical="center"/>
    </xf>
    <xf numFmtId="178" fontId="16" fillId="0" borderId="0" xfId="1" applyNumberFormat="1" applyFont="1" applyBorder="1">
      <alignment vertical="center"/>
    </xf>
    <xf numFmtId="178" fontId="16" fillId="0" borderId="0" xfId="1" applyNumberFormat="1" applyFont="1" applyBorder="1" applyAlignment="1">
      <alignment horizontal="center" vertical="center"/>
    </xf>
    <xf numFmtId="0" fontId="16" fillId="0" borderId="33" xfId="0" applyFont="1" applyBorder="1">
      <alignment vertical="center"/>
    </xf>
    <xf numFmtId="178" fontId="16" fillId="0" borderId="33" xfId="1" applyNumberFormat="1" applyFont="1" applyBorder="1">
      <alignment vertical="center"/>
    </xf>
    <xf numFmtId="178" fontId="16" fillId="0" borderId="33" xfId="1" applyNumberFormat="1" applyFont="1" applyBorder="1" applyAlignment="1">
      <alignment horizontal="center" vertical="center"/>
    </xf>
    <xf numFmtId="0" fontId="15" fillId="6" borderId="46" xfId="0" applyFont="1" applyFill="1" applyBorder="1" applyAlignment="1">
      <alignment horizontal="center" vertical="center"/>
    </xf>
    <xf numFmtId="178" fontId="16" fillId="0" borderId="45" xfId="1" applyNumberFormat="1" applyFont="1" applyBorder="1" applyAlignment="1">
      <alignment horizontal="center" vertical="center"/>
    </xf>
    <xf numFmtId="178" fontId="16" fillId="0" borderId="47" xfId="1" applyNumberFormat="1" applyFont="1" applyBorder="1" applyAlignment="1">
      <alignment horizontal="center" vertical="center"/>
    </xf>
    <xf numFmtId="178" fontId="16" fillId="0" borderId="46" xfId="1" applyNumberFormat="1" applyFont="1" applyBorder="1" applyAlignment="1">
      <alignment horizontal="center" vertical="center"/>
    </xf>
    <xf numFmtId="0" fontId="16" fillId="0" borderId="47" xfId="0" applyFont="1" applyBorder="1" applyAlignment="1">
      <alignment horizontal="center" vertical="center"/>
    </xf>
    <xf numFmtId="0" fontId="16" fillId="0" borderId="46" xfId="0" applyFont="1" applyBorder="1" applyAlignment="1">
      <alignment horizontal="center" vertical="center" wrapText="1"/>
    </xf>
    <xf numFmtId="0" fontId="16" fillId="0" borderId="45" xfId="0" applyFont="1" applyBorder="1" applyAlignment="1">
      <alignment horizontal="center" vertical="center"/>
    </xf>
    <xf numFmtId="0" fontId="16" fillId="0" borderId="46" xfId="0" applyFont="1" applyBorder="1" applyAlignment="1">
      <alignment horizontal="center" vertical="center"/>
    </xf>
    <xf numFmtId="38" fontId="9" fillId="4" borderId="0" xfId="1" applyFont="1" applyFill="1" applyAlignment="1">
      <alignment vertical="center" wrapText="1"/>
    </xf>
    <xf numFmtId="40" fontId="9" fillId="4" borderId="0" xfId="1" applyNumberFormat="1" applyFont="1" applyFill="1" applyAlignment="1">
      <alignment vertical="center" wrapText="1"/>
    </xf>
    <xf numFmtId="178" fontId="9" fillId="0" borderId="0" xfId="1" applyNumberFormat="1" applyFont="1" applyFill="1" applyAlignment="1">
      <alignment horizontal="center" vertical="center" wrapText="1"/>
    </xf>
    <xf numFmtId="38" fontId="9" fillId="0" borderId="0" xfId="1" applyFont="1" applyFill="1" applyBorder="1" applyAlignment="1">
      <alignment horizontal="center" vertical="center" wrapText="1"/>
    </xf>
    <xf numFmtId="177" fontId="9" fillId="0" borderId="0" xfId="2" applyNumberFormat="1" applyFont="1" applyFill="1" applyBorder="1" applyAlignment="1">
      <alignment horizontal="center" vertical="center"/>
    </xf>
    <xf numFmtId="40" fontId="9" fillId="0" borderId="0" xfId="1" applyNumberFormat="1" applyFont="1" applyFill="1" applyAlignment="1">
      <alignment horizontal="center" vertical="center" wrapText="1"/>
    </xf>
    <xf numFmtId="178" fontId="9" fillId="0" borderId="0" xfId="1" applyNumberFormat="1" applyFont="1" applyAlignment="1">
      <alignment vertical="center" wrapText="1"/>
    </xf>
    <xf numFmtId="178" fontId="9" fillId="8" borderId="0" xfId="1" applyNumberFormat="1" applyFont="1" applyFill="1">
      <alignment vertical="center"/>
    </xf>
    <xf numFmtId="0" fontId="27" fillId="0" borderId="0" xfId="0" applyFont="1">
      <alignment vertical="center"/>
    </xf>
    <xf numFmtId="0" fontId="27" fillId="0" borderId="0" xfId="0" applyFont="1" applyAlignment="1">
      <alignment horizontal="left" vertical="center" indent="1"/>
    </xf>
    <xf numFmtId="0" fontId="28" fillId="0" borderId="0" xfId="0" applyFont="1">
      <alignment vertical="center"/>
    </xf>
    <xf numFmtId="0" fontId="29" fillId="0" borderId="0" xfId="0" applyFont="1">
      <alignment vertical="center"/>
    </xf>
    <xf numFmtId="0" fontId="30" fillId="0" borderId="0" xfId="0" applyFont="1">
      <alignment vertical="center"/>
    </xf>
    <xf numFmtId="40" fontId="15" fillId="6" borderId="0" xfId="1" applyNumberFormat="1" applyFont="1" applyFill="1" applyAlignment="1">
      <alignment horizontal="center" vertical="center"/>
    </xf>
    <xf numFmtId="177" fontId="15" fillId="6" borderId="0" xfId="2" applyNumberFormat="1" applyFont="1" applyFill="1" applyAlignment="1">
      <alignment horizontal="center" vertical="center"/>
    </xf>
    <xf numFmtId="0" fontId="2" fillId="0" borderId="7" xfId="7" applyFont="1" applyBorder="1" applyAlignment="1">
      <alignment horizontal="center" vertical="center"/>
    </xf>
    <xf numFmtId="0" fontId="2" fillId="0" borderId="8" xfId="7" applyFont="1" applyBorder="1" applyAlignment="1">
      <alignment horizontal="center" vertical="center"/>
    </xf>
    <xf numFmtId="0" fontId="2" fillId="0" borderId="9" xfId="7" applyFont="1" applyBorder="1" applyAlignment="1">
      <alignment horizontal="center" vertical="center"/>
    </xf>
    <xf numFmtId="38" fontId="15" fillId="6" borderId="0" xfId="1" applyFont="1" applyFill="1" applyBorder="1" applyAlignment="1">
      <alignment horizontal="center" vertical="center"/>
    </xf>
    <xf numFmtId="38" fontId="10" fillId="0" borderId="0" xfId="1" applyFont="1" applyFill="1" applyBorder="1" applyAlignment="1">
      <alignment horizontal="center" vertical="center"/>
    </xf>
    <xf numFmtId="38" fontId="9" fillId="0" borderId="0" xfId="1" applyFont="1" applyAlignment="1">
      <alignment horizontal="center" vertical="center" wrapText="1"/>
    </xf>
    <xf numFmtId="38" fontId="15" fillId="6" borderId="0" xfId="1" applyFont="1" applyFill="1" applyAlignment="1">
      <alignment horizontal="center" vertical="center" wrapText="1"/>
    </xf>
    <xf numFmtId="38" fontId="15" fillId="6" borderId="0" xfId="1" applyFont="1" applyFill="1" applyAlignment="1">
      <alignment horizontal="center" vertical="center"/>
    </xf>
    <xf numFmtId="177" fontId="9" fillId="0" borderId="0" xfId="2" applyNumberFormat="1" applyFont="1" applyAlignment="1">
      <alignment horizontal="center" vertical="center"/>
    </xf>
    <xf numFmtId="177" fontId="9" fillId="0" borderId="29" xfId="2" applyNumberFormat="1" applyFont="1" applyBorder="1" applyAlignment="1">
      <alignment horizontal="center" vertical="center"/>
    </xf>
    <xf numFmtId="177" fontId="9" fillId="0" borderId="23" xfId="2" applyNumberFormat="1" applyFont="1" applyBorder="1" applyAlignment="1">
      <alignment horizontal="center" vertical="center"/>
    </xf>
    <xf numFmtId="177" fontId="9" fillId="0" borderId="0" xfId="2" applyNumberFormat="1" applyFont="1" applyBorder="1" applyAlignment="1">
      <alignment horizontal="center" vertical="center"/>
    </xf>
    <xf numFmtId="177" fontId="15" fillId="6" borderId="0" xfId="2" applyNumberFormat="1" applyFont="1" applyFill="1" applyAlignment="1">
      <alignment horizontal="center" vertical="center" wrapText="1"/>
    </xf>
    <xf numFmtId="38" fontId="9" fillId="0" borderId="33" xfId="1" applyFont="1" applyBorder="1" applyAlignment="1">
      <alignment horizontal="center" vertical="center" wrapText="1"/>
    </xf>
    <xf numFmtId="38" fontId="9" fillId="0" borderId="34" xfId="1" applyFont="1" applyBorder="1" applyAlignment="1">
      <alignment horizontal="center" vertical="center" wrapText="1"/>
    </xf>
    <xf numFmtId="38" fontId="9" fillId="0" borderId="0" xfId="1" applyFont="1" applyBorder="1" applyAlignment="1">
      <alignment horizontal="center" vertical="center" wrapText="1"/>
    </xf>
    <xf numFmtId="0" fontId="15" fillId="6" borderId="0" xfId="0" applyFont="1" applyFill="1" applyAlignment="1">
      <alignment horizontal="center" vertical="center"/>
    </xf>
    <xf numFmtId="38" fontId="15" fillId="6" borderId="33" xfId="1" applyFont="1" applyFill="1" applyBorder="1" applyAlignment="1">
      <alignment horizontal="center" vertical="center"/>
    </xf>
    <xf numFmtId="38" fontId="15" fillId="6" borderId="34" xfId="1" applyFont="1" applyFill="1" applyBorder="1" applyAlignment="1">
      <alignment horizontal="center" vertical="center"/>
    </xf>
    <xf numFmtId="177" fontId="9" fillId="0" borderId="33" xfId="2" applyNumberFormat="1" applyFont="1" applyBorder="1" applyAlignment="1">
      <alignment horizontal="center" vertical="center"/>
    </xf>
    <xf numFmtId="177" fontId="9" fillId="0" borderId="34" xfId="2" applyNumberFormat="1" applyFont="1" applyBorder="1" applyAlignment="1">
      <alignment horizontal="center" vertical="center"/>
    </xf>
    <xf numFmtId="0" fontId="9" fillId="0" borderId="0" xfId="0" applyFont="1" applyAlignment="1">
      <alignment horizontal="center" vertical="center" wrapText="1"/>
    </xf>
    <xf numFmtId="38" fontId="9" fillId="0" borderId="0" xfId="1"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right" vertical="center"/>
    </xf>
    <xf numFmtId="0" fontId="15" fillId="7" borderId="0" xfId="0" applyFont="1" applyFill="1" applyAlignment="1">
      <alignment horizontal="center" vertical="center"/>
    </xf>
    <xf numFmtId="0" fontId="9" fillId="0" borderId="3" xfId="0" applyFont="1" applyBorder="1" applyAlignment="1">
      <alignment horizontal="center" vertical="center"/>
    </xf>
    <xf numFmtId="0" fontId="9" fillId="0" borderId="2" xfId="0" applyFont="1" applyBorder="1" applyAlignment="1">
      <alignment horizontal="center" vertical="center"/>
    </xf>
    <xf numFmtId="177" fontId="9" fillId="0" borderId="0" xfId="2" applyNumberFormat="1" applyFont="1" applyFill="1" applyAlignment="1">
      <alignment horizontal="center" vertical="center"/>
    </xf>
    <xf numFmtId="177" fontId="9" fillId="0" borderId="0" xfId="2" applyNumberFormat="1" applyFont="1" applyFill="1" applyAlignment="1">
      <alignment horizontal="center" vertical="center" wrapText="1"/>
    </xf>
    <xf numFmtId="187" fontId="9" fillId="0" borderId="6" xfId="1" applyNumberFormat="1" applyFont="1" applyFill="1" applyBorder="1" applyAlignment="1">
      <alignment horizontal="center" vertical="center"/>
    </xf>
    <xf numFmtId="187" fontId="9" fillId="0" borderId="40" xfId="1" applyNumberFormat="1" applyFont="1" applyFill="1" applyBorder="1" applyAlignment="1">
      <alignment horizontal="center" vertical="center"/>
    </xf>
    <xf numFmtId="0" fontId="9" fillId="0" borderId="1" xfId="0" applyFont="1" applyBorder="1" applyAlignment="1">
      <alignment horizontal="center" vertical="center"/>
    </xf>
    <xf numFmtId="0" fontId="9" fillId="0" borderId="4" xfId="0" applyFont="1" applyBorder="1" applyAlignment="1">
      <alignment horizontal="center" vertical="center"/>
    </xf>
    <xf numFmtId="0" fontId="10" fillId="8" borderId="3" xfId="0" applyFont="1" applyFill="1" applyBorder="1" applyAlignment="1">
      <alignment horizontal="center" vertical="center"/>
    </xf>
    <xf numFmtId="0" fontId="10" fillId="8" borderId="0" xfId="0" applyFont="1" applyFill="1" applyAlignment="1">
      <alignment horizontal="center" vertical="center"/>
    </xf>
    <xf numFmtId="0" fontId="10" fillId="8" borderId="1" xfId="0" applyFont="1" applyFill="1" applyBorder="1" applyAlignment="1">
      <alignment horizontal="center" vertical="center"/>
    </xf>
    <xf numFmtId="0" fontId="9" fillId="8" borderId="3" xfId="0" applyFont="1" applyFill="1" applyBorder="1" applyAlignment="1">
      <alignment horizontal="center" vertical="center"/>
    </xf>
    <xf numFmtId="0" fontId="9" fillId="8" borderId="0" xfId="0" applyFont="1" applyFill="1" applyAlignment="1">
      <alignment horizontal="center" vertical="center"/>
    </xf>
    <xf numFmtId="0" fontId="9" fillId="8" borderId="1" xfId="0" applyFont="1" applyFill="1" applyBorder="1" applyAlignment="1">
      <alignment horizontal="center" vertical="center"/>
    </xf>
    <xf numFmtId="0" fontId="9" fillId="8" borderId="2" xfId="0" applyFont="1" applyFill="1" applyBorder="1" applyAlignment="1">
      <alignment horizontal="center" vertical="center"/>
    </xf>
    <xf numFmtId="0" fontId="9" fillId="8" borderId="35" xfId="0" applyFont="1" applyFill="1" applyBorder="1" applyAlignment="1">
      <alignment horizontal="center" vertical="center"/>
    </xf>
    <xf numFmtId="0" fontId="9" fillId="8" borderId="4" xfId="0" applyFont="1" applyFill="1" applyBorder="1" applyAlignment="1">
      <alignment horizontal="center" vertical="center"/>
    </xf>
    <xf numFmtId="0" fontId="9" fillId="0" borderId="35" xfId="0" applyFont="1" applyBorder="1" applyAlignment="1">
      <alignment horizontal="center" vertical="center"/>
    </xf>
    <xf numFmtId="0" fontId="10" fillId="0" borderId="0" xfId="0" applyFont="1" applyAlignment="1">
      <alignment horizontal="center" vertical="center"/>
    </xf>
    <xf numFmtId="10" fontId="9" fillId="0" borderId="0" xfId="2" applyNumberFormat="1" applyFont="1" applyAlignment="1">
      <alignment horizontal="center" vertical="center" wrapText="1"/>
    </xf>
    <xf numFmtId="177" fontId="9" fillId="0" borderId="0" xfId="2" applyNumberFormat="1" applyFont="1" applyAlignment="1">
      <alignment horizontal="center" vertical="center" wrapText="1"/>
    </xf>
    <xf numFmtId="0" fontId="9" fillId="9" borderId="0" xfId="0" applyFont="1" applyFill="1" applyAlignment="1">
      <alignment horizontal="center" vertical="center"/>
    </xf>
    <xf numFmtId="0" fontId="9" fillId="0" borderId="23" xfId="0" applyFont="1" applyBorder="1" applyAlignment="1">
      <alignment horizontal="center" vertical="center"/>
    </xf>
    <xf numFmtId="0" fontId="9" fillId="0" borderId="29" xfId="0" applyFont="1" applyBorder="1" applyAlignment="1">
      <alignment horizontal="center" vertical="center"/>
    </xf>
    <xf numFmtId="0" fontId="9" fillId="6" borderId="0" xfId="0" applyFont="1" applyFill="1" applyAlignment="1">
      <alignment horizontal="center" vertical="center"/>
    </xf>
    <xf numFmtId="0" fontId="16" fillId="0" borderId="0" xfId="0" applyFont="1" applyAlignment="1">
      <alignment horizontal="right" vertical="center"/>
    </xf>
    <xf numFmtId="0" fontId="16" fillId="0" borderId="0" xfId="0" applyFont="1" applyAlignment="1">
      <alignment horizontal="center" vertical="center"/>
    </xf>
    <xf numFmtId="0" fontId="16" fillId="0" borderId="34" xfId="0" applyFont="1" applyBorder="1" applyAlignment="1">
      <alignment horizontal="center" vertical="center"/>
    </xf>
    <xf numFmtId="0" fontId="16" fillId="0" borderId="47" xfId="0" applyFont="1" applyBorder="1" applyAlignment="1">
      <alignment horizontal="center" vertical="center"/>
    </xf>
    <xf numFmtId="0" fontId="16" fillId="0" borderId="46" xfId="0" applyFont="1" applyBorder="1" applyAlignment="1">
      <alignment horizontal="center" vertical="center"/>
    </xf>
    <xf numFmtId="0" fontId="16" fillId="0" borderId="45" xfId="0" applyFont="1" applyBorder="1" applyAlignment="1">
      <alignment horizontal="center" vertical="center"/>
    </xf>
    <xf numFmtId="0" fontId="15" fillId="6" borderId="0" xfId="0" applyFont="1" applyFill="1" applyAlignment="1">
      <alignment horizontal="center" vertical="center" wrapText="1"/>
    </xf>
  </cellXfs>
  <cellStyles count="10">
    <cellStyle name="パーセント" xfId="2" builtinId="5"/>
    <cellStyle name="桁区切り" xfId="1" builtinId="6"/>
    <cellStyle name="桁区切り 2" xfId="4" xr:uid="{FC6DA79F-044C-48C1-82C7-2046B5CD54EC}"/>
    <cellStyle name="桁区切り 3" xfId="9" xr:uid="{51C0F08F-D445-4DC3-9EF9-AF65127CB2E8}"/>
    <cellStyle name="標準" xfId="0" builtinId="0"/>
    <cellStyle name="標準 2" xfId="3" xr:uid="{6782F215-95DD-4C26-BD1B-8308CF23AEF3}"/>
    <cellStyle name="標準 2 2" xfId="5" xr:uid="{616E00FC-0183-4802-A11A-1E23BEB442F9}"/>
    <cellStyle name="標準 3" xfId="6" xr:uid="{AE3BDB06-115C-4885-B10A-CC9C1C3F2C2F}"/>
    <cellStyle name="標準 4" xfId="7" xr:uid="{28EC76DC-A26D-487E-A1E7-1D0610240C8C}"/>
    <cellStyle name="標準 5" xfId="8" xr:uid="{FC9A778E-6484-4318-92CF-34BB3DE6C77F}"/>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4.xml"/><Relationship Id="rId1" Type="http://schemas.microsoft.com/office/2011/relationships/chartStyle" Target="style4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'【供給側予測】生産関数（中間投入なし　成長実現）日銀'!$X$1:$X$12</c:f>
              <c:strCache>
                <c:ptCount val="12"/>
                <c:pt idx="0">
                  <c:v>実質金利ギャップ＋固定資本減耗率</c:v>
                </c:pt>
                <c:pt idx="1">
                  <c:v>実質金利ギャップ</c:v>
                </c:pt>
                <c:pt idx="3">
                  <c:v>3.7%</c:v>
                </c:pt>
                <c:pt idx="4">
                  <c:v>3.8%</c:v>
                </c:pt>
                <c:pt idx="5">
                  <c:v>3.9%</c:v>
                </c:pt>
                <c:pt idx="6">
                  <c:v>4.0%</c:v>
                </c:pt>
                <c:pt idx="7">
                  <c:v>4.3%</c:v>
                </c:pt>
                <c:pt idx="8">
                  <c:v>4.5%</c:v>
                </c:pt>
                <c:pt idx="9">
                  <c:v>4.7%</c:v>
                </c:pt>
                <c:pt idx="10">
                  <c:v>4.7%</c:v>
                </c:pt>
                <c:pt idx="11">
                  <c:v>4.5%</c:v>
                </c:pt>
              </c:strCache>
            </c:strRef>
          </c:tx>
          <c:spPr>
            <a:ln w="28575" cap="rnd">
              <a:solidFill>
                <a:schemeClr val="accent1"/>
              </a:solidFill>
              <a:round/>
            </a:ln>
            <a:effectLst/>
          </c:spPr>
          <c:marker>
            <c:symbol val="none"/>
          </c:marker>
          <c:cat>
            <c:strRef>
              <c:f>'【供給側予測】生産関数（中間投入なし　成長実現）日銀'!$A$2:$A$67</c:f>
              <c:strCache>
                <c:ptCount val="63"/>
                <c:pt idx="0">
                  <c:v>年</c:v>
                </c:pt>
                <c:pt idx="1">
                  <c:v>1980年</c:v>
                </c:pt>
                <c:pt idx="2">
                  <c:v>1981年</c:v>
                </c:pt>
                <c:pt idx="3">
                  <c:v>1982年</c:v>
                </c:pt>
                <c:pt idx="4">
                  <c:v>1983年</c:v>
                </c:pt>
                <c:pt idx="5">
                  <c:v>1984年</c:v>
                </c:pt>
                <c:pt idx="6">
                  <c:v>1985年</c:v>
                </c:pt>
                <c:pt idx="7">
                  <c:v>1986年</c:v>
                </c:pt>
                <c:pt idx="8">
                  <c:v>1987年</c:v>
                </c:pt>
                <c:pt idx="9">
                  <c:v>1988年</c:v>
                </c:pt>
                <c:pt idx="10">
                  <c:v>1989年</c:v>
                </c:pt>
                <c:pt idx="11">
                  <c:v>1990年</c:v>
                </c:pt>
                <c:pt idx="12">
                  <c:v>1991年</c:v>
                </c:pt>
                <c:pt idx="13">
                  <c:v>1992年</c:v>
                </c:pt>
                <c:pt idx="14">
                  <c:v>1993年</c:v>
                </c:pt>
                <c:pt idx="15">
                  <c:v>1994年</c:v>
                </c:pt>
                <c:pt idx="16">
                  <c:v>1995年</c:v>
                </c:pt>
                <c:pt idx="17">
                  <c:v>1996年</c:v>
                </c:pt>
                <c:pt idx="18">
                  <c:v>1997年</c:v>
                </c:pt>
                <c:pt idx="19">
                  <c:v>1998年</c:v>
                </c:pt>
                <c:pt idx="20">
                  <c:v>1999年</c:v>
                </c:pt>
                <c:pt idx="21">
                  <c:v>2000年</c:v>
                </c:pt>
                <c:pt idx="22">
                  <c:v>2001年</c:v>
                </c:pt>
                <c:pt idx="23">
                  <c:v>2002年</c:v>
                </c:pt>
                <c:pt idx="24">
                  <c:v>2003年</c:v>
                </c:pt>
                <c:pt idx="25">
                  <c:v>2004年</c:v>
                </c:pt>
                <c:pt idx="26">
                  <c:v>2005年</c:v>
                </c:pt>
                <c:pt idx="27">
                  <c:v>2006年</c:v>
                </c:pt>
                <c:pt idx="28">
                  <c:v>2007年</c:v>
                </c:pt>
                <c:pt idx="29">
                  <c:v>2008年</c:v>
                </c:pt>
                <c:pt idx="30">
                  <c:v>2009年</c:v>
                </c:pt>
                <c:pt idx="31">
                  <c:v>2010年</c:v>
                </c:pt>
                <c:pt idx="32">
                  <c:v>2011年</c:v>
                </c:pt>
                <c:pt idx="33">
                  <c:v>2012年</c:v>
                </c:pt>
                <c:pt idx="34">
                  <c:v>2013年</c:v>
                </c:pt>
                <c:pt idx="35">
                  <c:v>2014年</c:v>
                </c:pt>
                <c:pt idx="36">
                  <c:v>2015年</c:v>
                </c:pt>
                <c:pt idx="37">
                  <c:v>2016年</c:v>
                </c:pt>
                <c:pt idx="38">
                  <c:v>2017年</c:v>
                </c:pt>
                <c:pt idx="39">
                  <c:v>2018年</c:v>
                </c:pt>
                <c:pt idx="40">
                  <c:v>2019年</c:v>
                </c:pt>
                <c:pt idx="41">
                  <c:v>2020年</c:v>
                </c:pt>
                <c:pt idx="42">
                  <c:v>2021年</c:v>
                </c:pt>
                <c:pt idx="43">
                  <c:v>2022年</c:v>
                </c:pt>
                <c:pt idx="44">
                  <c:v>2023年</c:v>
                </c:pt>
                <c:pt idx="45">
                  <c:v>2024年</c:v>
                </c:pt>
                <c:pt idx="46">
                  <c:v>2025年</c:v>
                </c:pt>
                <c:pt idx="47">
                  <c:v>2026年</c:v>
                </c:pt>
                <c:pt idx="48">
                  <c:v>2027年</c:v>
                </c:pt>
                <c:pt idx="49">
                  <c:v>2028年</c:v>
                </c:pt>
                <c:pt idx="50">
                  <c:v>2029年</c:v>
                </c:pt>
                <c:pt idx="51">
                  <c:v>2030年</c:v>
                </c:pt>
                <c:pt idx="52">
                  <c:v>2031年</c:v>
                </c:pt>
                <c:pt idx="53">
                  <c:v>2032年</c:v>
                </c:pt>
                <c:pt idx="54">
                  <c:v>2033年</c:v>
                </c:pt>
                <c:pt idx="55">
                  <c:v>2034年</c:v>
                </c:pt>
                <c:pt idx="56">
                  <c:v>2035年</c:v>
                </c:pt>
                <c:pt idx="57">
                  <c:v>2036年</c:v>
                </c:pt>
                <c:pt idx="58">
                  <c:v>2037年</c:v>
                </c:pt>
                <c:pt idx="59">
                  <c:v>2038年</c:v>
                </c:pt>
                <c:pt idx="60">
                  <c:v>2039年</c:v>
                </c:pt>
                <c:pt idx="61">
                  <c:v>2040年</c:v>
                </c:pt>
                <c:pt idx="62">
                  <c:v>推計方法</c:v>
                </c:pt>
              </c:strCache>
            </c:strRef>
          </c:cat>
          <c:val>
            <c:numRef>
              <c:f>'【供給側予測】生産関数（中間投入なし　成長実現）日銀'!$X$2:$X$43</c:f>
              <c:numCache>
                <c:formatCode>0.0%</c:formatCode>
                <c:ptCount val="42"/>
                <c:pt idx="0">
                  <c:v>0</c:v>
                </c:pt>
                <c:pt idx="11">
                  <c:v>6.7223983739837373E-3</c:v>
                </c:pt>
                <c:pt idx="12">
                  <c:v>3.7700000000000233E-3</c:v>
                </c:pt>
                <c:pt idx="13">
                  <c:v>4.4823481781376823E-3</c:v>
                </c:pt>
                <c:pt idx="14">
                  <c:v>4.4613821138211607E-3</c:v>
                </c:pt>
                <c:pt idx="15">
                  <c:v>9.5776518218623347E-3</c:v>
                </c:pt>
                <c:pt idx="16">
                  <c:v>3.6019277108433542E-3</c:v>
                </c:pt>
                <c:pt idx="17">
                  <c:v>-8.2016194331984218E-4</c:v>
                </c:pt>
                <c:pt idx="18">
                  <c:v>7.3106122448978773E-4</c:v>
                </c:pt>
                <c:pt idx="19">
                  <c:v>-8.7147368421052526E-3</c:v>
                </c:pt>
                <c:pt idx="20">
                  <c:v>1.4349795918367318E-3</c:v>
                </c:pt>
                <c:pt idx="21">
                  <c:v>-3.5380645161290358E-3</c:v>
                </c:pt>
                <c:pt idx="22">
                  <c:v>-1.7125609756097459E-3</c:v>
                </c:pt>
                <c:pt idx="23">
                  <c:v>-5.3009349593495896E-3</c:v>
                </c:pt>
                <c:pt idx="24">
                  <c:v>-4.0708979591836747E-3</c:v>
                </c:pt>
                <c:pt idx="25">
                  <c:v>-8.9520731707317062E-3</c:v>
                </c:pt>
                <c:pt idx="26">
                  <c:v>-1.1154816326530604E-2</c:v>
                </c:pt>
                <c:pt idx="27">
                  <c:v>-3.582983870967742E-3</c:v>
                </c:pt>
                <c:pt idx="28">
                  <c:v>1.8127346938775456E-3</c:v>
                </c:pt>
                <c:pt idx="29">
                  <c:v>2.9294693877551176E-3</c:v>
                </c:pt>
                <c:pt idx="30">
                  <c:v>3.5383950617283973E-3</c:v>
                </c:pt>
                <c:pt idx="31">
                  <c:v>-2.1839591836734611E-3</c:v>
                </c:pt>
                <c:pt idx="32">
                  <c:v>-6.755224489795905E-3</c:v>
                </c:pt>
                <c:pt idx="33">
                  <c:v>-7.9211290322580702E-3</c:v>
                </c:pt>
                <c:pt idx="34">
                  <c:v>-1.4853224489795917E-2</c:v>
                </c:pt>
                <c:pt idx="35">
                  <c:v>-1.8474057377049182E-2</c:v>
                </c:pt>
                <c:pt idx="36">
                  <c:v>-1.9862213114754102E-2</c:v>
                </c:pt>
                <c:pt idx="37">
                  <c:v>-2.0998326530612246E-2</c:v>
                </c:pt>
                <c:pt idx="38">
                  <c:v>-2.2963360323886642E-2</c:v>
                </c:pt>
                <c:pt idx="39">
                  <c:v>-1.7388244897959183E-2</c:v>
                </c:pt>
                <c:pt idx="40">
                  <c:v>-1.7499585062240662E-2</c:v>
                </c:pt>
                <c:pt idx="41">
                  <c:v>-1.4294814814814816E-2</c:v>
                </c:pt>
              </c:numCache>
            </c:numRef>
          </c:val>
          <c:smooth val="0"/>
          <c:extLst>
            <c:ext xmlns:c16="http://schemas.microsoft.com/office/drawing/2014/chart" uri="{C3380CC4-5D6E-409C-BE32-E72D297353CC}">
              <c16:uniqueId val="{00000000-BDC0-42DA-86AF-CD5DEF40C103}"/>
            </c:ext>
          </c:extLst>
        </c:ser>
        <c:ser>
          <c:idx val="1"/>
          <c:order val="1"/>
          <c:tx>
            <c:strRef>
              <c:f>'【供給側予測】生産関数（中間投入なし　成長実現）日銀'!$AA$1:$AA$9</c:f>
              <c:strCache>
                <c:ptCount val="9"/>
                <c:pt idx="0">
                  <c:v>実質金利ギャップ＋固定資本減耗率</c:v>
                </c:pt>
                <c:pt idx="1">
                  <c:v>実質金利ギャップ
－無形固定資産減耗率</c:v>
                </c:pt>
                <c:pt idx="3">
                  <c:v>3.7%</c:v>
                </c:pt>
                <c:pt idx="4">
                  <c:v>3.8%</c:v>
                </c:pt>
                <c:pt idx="5">
                  <c:v>3.9%</c:v>
                </c:pt>
                <c:pt idx="6">
                  <c:v>4.0%</c:v>
                </c:pt>
                <c:pt idx="7">
                  <c:v>4.3%</c:v>
                </c:pt>
                <c:pt idx="8">
                  <c:v>4.5%</c:v>
                </c:pt>
              </c:strCache>
            </c:strRef>
          </c:tx>
          <c:spPr>
            <a:ln w="28575" cap="rnd">
              <a:solidFill>
                <a:schemeClr val="accent2"/>
              </a:solidFill>
              <a:round/>
            </a:ln>
            <a:effectLst/>
          </c:spPr>
          <c:marker>
            <c:symbol val="none"/>
          </c:marker>
          <c:cat>
            <c:strRef>
              <c:f>'【供給側予測】生産関数（中間投入なし　成長実現）日銀'!$A$2:$A$67</c:f>
              <c:strCache>
                <c:ptCount val="63"/>
                <c:pt idx="0">
                  <c:v>年</c:v>
                </c:pt>
                <c:pt idx="1">
                  <c:v>1980年</c:v>
                </c:pt>
                <c:pt idx="2">
                  <c:v>1981年</c:v>
                </c:pt>
                <c:pt idx="3">
                  <c:v>1982年</c:v>
                </c:pt>
                <c:pt idx="4">
                  <c:v>1983年</c:v>
                </c:pt>
                <c:pt idx="5">
                  <c:v>1984年</c:v>
                </c:pt>
                <c:pt idx="6">
                  <c:v>1985年</c:v>
                </c:pt>
                <c:pt idx="7">
                  <c:v>1986年</c:v>
                </c:pt>
                <c:pt idx="8">
                  <c:v>1987年</c:v>
                </c:pt>
                <c:pt idx="9">
                  <c:v>1988年</c:v>
                </c:pt>
                <c:pt idx="10">
                  <c:v>1989年</c:v>
                </c:pt>
                <c:pt idx="11">
                  <c:v>1990年</c:v>
                </c:pt>
                <c:pt idx="12">
                  <c:v>1991年</c:v>
                </c:pt>
                <c:pt idx="13">
                  <c:v>1992年</c:v>
                </c:pt>
                <c:pt idx="14">
                  <c:v>1993年</c:v>
                </c:pt>
                <c:pt idx="15">
                  <c:v>1994年</c:v>
                </c:pt>
                <c:pt idx="16">
                  <c:v>1995年</c:v>
                </c:pt>
                <c:pt idx="17">
                  <c:v>1996年</c:v>
                </c:pt>
                <c:pt idx="18">
                  <c:v>1997年</c:v>
                </c:pt>
                <c:pt idx="19">
                  <c:v>1998年</c:v>
                </c:pt>
                <c:pt idx="20">
                  <c:v>1999年</c:v>
                </c:pt>
                <c:pt idx="21">
                  <c:v>2000年</c:v>
                </c:pt>
                <c:pt idx="22">
                  <c:v>2001年</c:v>
                </c:pt>
                <c:pt idx="23">
                  <c:v>2002年</c:v>
                </c:pt>
                <c:pt idx="24">
                  <c:v>2003年</c:v>
                </c:pt>
                <c:pt idx="25">
                  <c:v>2004年</c:v>
                </c:pt>
                <c:pt idx="26">
                  <c:v>2005年</c:v>
                </c:pt>
                <c:pt idx="27">
                  <c:v>2006年</c:v>
                </c:pt>
                <c:pt idx="28">
                  <c:v>2007年</c:v>
                </c:pt>
                <c:pt idx="29">
                  <c:v>2008年</c:v>
                </c:pt>
                <c:pt idx="30">
                  <c:v>2009年</c:v>
                </c:pt>
                <c:pt idx="31">
                  <c:v>2010年</c:v>
                </c:pt>
                <c:pt idx="32">
                  <c:v>2011年</c:v>
                </c:pt>
                <c:pt idx="33">
                  <c:v>2012年</c:v>
                </c:pt>
                <c:pt idx="34">
                  <c:v>2013年</c:v>
                </c:pt>
                <c:pt idx="35">
                  <c:v>2014年</c:v>
                </c:pt>
                <c:pt idx="36">
                  <c:v>2015年</c:v>
                </c:pt>
                <c:pt idx="37">
                  <c:v>2016年</c:v>
                </c:pt>
                <c:pt idx="38">
                  <c:v>2017年</c:v>
                </c:pt>
                <c:pt idx="39">
                  <c:v>2018年</c:v>
                </c:pt>
                <c:pt idx="40">
                  <c:v>2019年</c:v>
                </c:pt>
                <c:pt idx="41">
                  <c:v>2020年</c:v>
                </c:pt>
                <c:pt idx="42">
                  <c:v>2021年</c:v>
                </c:pt>
                <c:pt idx="43">
                  <c:v>2022年</c:v>
                </c:pt>
                <c:pt idx="44">
                  <c:v>2023年</c:v>
                </c:pt>
                <c:pt idx="45">
                  <c:v>2024年</c:v>
                </c:pt>
                <c:pt idx="46">
                  <c:v>2025年</c:v>
                </c:pt>
                <c:pt idx="47">
                  <c:v>2026年</c:v>
                </c:pt>
                <c:pt idx="48">
                  <c:v>2027年</c:v>
                </c:pt>
                <c:pt idx="49">
                  <c:v>2028年</c:v>
                </c:pt>
                <c:pt idx="50">
                  <c:v>2029年</c:v>
                </c:pt>
                <c:pt idx="51">
                  <c:v>2030年</c:v>
                </c:pt>
                <c:pt idx="52">
                  <c:v>2031年</c:v>
                </c:pt>
                <c:pt idx="53">
                  <c:v>2032年</c:v>
                </c:pt>
                <c:pt idx="54">
                  <c:v>2033年</c:v>
                </c:pt>
                <c:pt idx="55">
                  <c:v>2034年</c:v>
                </c:pt>
                <c:pt idx="56">
                  <c:v>2035年</c:v>
                </c:pt>
                <c:pt idx="57">
                  <c:v>2036年</c:v>
                </c:pt>
                <c:pt idx="58">
                  <c:v>2037年</c:v>
                </c:pt>
                <c:pt idx="59">
                  <c:v>2038年</c:v>
                </c:pt>
                <c:pt idx="60">
                  <c:v>2039年</c:v>
                </c:pt>
                <c:pt idx="61">
                  <c:v>2040年</c:v>
                </c:pt>
                <c:pt idx="62">
                  <c:v>推計方法</c:v>
                </c:pt>
              </c:strCache>
            </c:strRef>
          </c:cat>
          <c:val>
            <c:numRef>
              <c:f>'【供給側予測】生産関数（中間投入なし　成長実現）日銀'!$AA$2:$AA$43</c:f>
              <c:numCache>
                <c:formatCode>General</c:formatCode>
                <c:ptCount val="42"/>
                <c:pt idx="8" formatCode="0.0%">
                  <c:v>3.0235036496349954E-3</c:v>
                </c:pt>
                <c:pt idx="9" formatCode="0.0%">
                  <c:v>2.7113919413919371E-3</c:v>
                </c:pt>
                <c:pt idx="10" formatCode="0.0%">
                  <c:v>6.5451405622489675E-3</c:v>
                </c:pt>
                <c:pt idx="11" formatCode="0.0%">
                  <c:v>2.8722398373983736E-2</c:v>
                </c:pt>
                <c:pt idx="12" formatCode="0.0%">
                  <c:v>3.077000000000002E-2</c:v>
                </c:pt>
                <c:pt idx="13" formatCode="0.0%">
                  <c:v>2.8482348178137683E-2</c:v>
                </c:pt>
                <c:pt idx="14" formatCode="0.0%">
                  <c:v>2.346138211382116E-2</c:v>
                </c:pt>
                <c:pt idx="15" formatCode="0.0%">
                  <c:v>2.6577651821862336E-2</c:v>
                </c:pt>
                <c:pt idx="16" formatCode="0.0%">
                  <c:v>1.9601927710843355E-2</c:v>
                </c:pt>
                <c:pt idx="17" formatCode="0.0%">
                  <c:v>1.7179838056680156E-2</c:v>
                </c:pt>
                <c:pt idx="18" formatCode="0.0%">
                  <c:v>1.2731061224489788E-2</c:v>
                </c:pt>
                <c:pt idx="19" formatCode="0.0%">
                  <c:v>6.2852631578947469E-3</c:v>
                </c:pt>
                <c:pt idx="20" formatCode="0.0%">
                  <c:v>9.434979591836732E-3</c:v>
                </c:pt>
                <c:pt idx="21" formatCode="0.0%">
                  <c:v>8.4619354838709644E-3</c:v>
                </c:pt>
                <c:pt idx="22" formatCode="0.0%">
                  <c:v>4.2874390243902542E-3</c:v>
                </c:pt>
                <c:pt idx="23" formatCode="0.0%">
                  <c:v>2.6990650406504106E-3</c:v>
                </c:pt>
                <c:pt idx="24" formatCode="0.0%">
                  <c:v>-1.0708979591836747E-3</c:v>
                </c:pt>
                <c:pt idx="25" formatCode="0.0%">
                  <c:v>4.0479268292682932E-3</c:v>
                </c:pt>
                <c:pt idx="26" formatCode="0.0%">
                  <c:v>3.8451836734693951E-3</c:v>
                </c:pt>
                <c:pt idx="27" formatCode="0.0%">
                  <c:v>1.1417016129032257E-2</c:v>
                </c:pt>
                <c:pt idx="28" formatCode="0.0%">
                  <c:v>1.4812734693877545E-2</c:v>
                </c:pt>
                <c:pt idx="29" formatCode="0.0%">
                  <c:v>1.5929469387755118E-2</c:v>
                </c:pt>
                <c:pt idx="30" formatCode="0.0%">
                  <c:v>1.4538395061728396E-2</c:v>
                </c:pt>
                <c:pt idx="31" formatCode="0.0%">
                  <c:v>9.8160408163265392E-3</c:v>
                </c:pt>
                <c:pt idx="32" formatCode="0.0%">
                  <c:v>6.2447755102040944E-3</c:v>
                </c:pt>
                <c:pt idx="33" formatCode="0.0%">
                  <c:v>1.5788709677419296E-3</c:v>
                </c:pt>
                <c:pt idx="34" formatCode="0.0%">
                  <c:v>-8.5322448979591788E-4</c:v>
                </c:pt>
                <c:pt idx="35" formatCode="0.0%">
                  <c:v>-3.4740573770491818E-3</c:v>
                </c:pt>
                <c:pt idx="36" formatCode="0.0%">
                  <c:v>-5.362213114754104E-3</c:v>
                </c:pt>
                <c:pt idx="37" formatCode="0.0%">
                  <c:v>-9.4983265306122465E-3</c:v>
                </c:pt>
                <c:pt idx="38" formatCode="0.0%">
                  <c:v>-7.4633603238866393E-3</c:v>
                </c:pt>
                <c:pt idx="39" formatCode="0.0%">
                  <c:v>-6.2382448979591831E-3</c:v>
                </c:pt>
                <c:pt idx="40" formatCode="0.0%">
                  <c:v>-7.9495850622406626E-3</c:v>
                </c:pt>
                <c:pt idx="41" formatCode="0.0%">
                  <c:v>-5.8948148148148154E-3</c:v>
                </c:pt>
              </c:numCache>
            </c:numRef>
          </c:val>
          <c:smooth val="0"/>
          <c:extLst>
            <c:ext xmlns:c16="http://schemas.microsoft.com/office/drawing/2014/chart" uri="{C3380CC4-5D6E-409C-BE32-E72D297353CC}">
              <c16:uniqueId val="{00000001-BDC0-42DA-86AF-CD5DEF40C103}"/>
            </c:ext>
          </c:extLst>
        </c:ser>
        <c:dLbls>
          <c:showLegendKey val="0"/>
          <c:showVal val="0"/>
          <c:showCatName val="0"/>
          <c:showSerName val="0"/>
          <c:showPercent val="0"/>
          <c:showBubbleSize val="0"/>
        </c:dLbls>
        <c:smooth val="0"/>
        <c:axId val="2056314352"/>
        <c:axId val="2056311024"/>
      </c:lineChart>
      <c:catAx>
        <c:axId val="2056314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56311024"/>
        <c:crosses val="autoZero"/>
        <c:auto val="1"/>
        <c:lblAlgn val="ctr"/>
        <c:lblOffset val="100"/>
        <c:noMultiLvlLbl val="0"/>
      </c:catAx>
      <c:valAx>
        <c:axId val="2056311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56314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建設投資額（実質値）の動向</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'★【現状】生産関数（中間投入あり　見通し×付加価値率）'!$AF$2</c:f>
              <c:strCache>
                <c:ptCount val="1"/>
                <c:pt idx="0">
                  <c:v>実際の需要水準
（建設投資見通し）</c:v>
                </c:pt>
              </c:strCache>
            </c:strRef>
          </c:tx>
          <c:spPr>
            <a:ln w="28575" cap="rnd">
              <a:solidFill>
                <a:schemeClr val="accent1"/>
              </a:solidFill>
              <a:round/>
            </a:ln>
            <a:effectLst/>
          </c:spPr>
          <c:marker>
            <c:symbol val="none"/>
          </c:marker>
          <c:cat>
            <c:strRef>
              <c:f>'★【現状】生産関数（中間投入あり　見通し×付加価値率）'!$AE$3:$AE$42</c:f>
              <c:strCache>
                <c:ptCount val="40"/>
                <c:pt idx="0">
                  <c:v>1980年</c:v>
                </c:pt>
                <c:pt idx="1">
                  <c:v>1981年</c:v>
                </c:pt>
                <c:pt idx="2">
                  <c:v>1982年</c:v>
                </c:pt>
                <c:pt idx="3">
                  <c:v>1983年</c:v>
                </c:pt>
                <c:pt idx="4">
                  <c:v>1984年</c:v>
                </c:pt>
                <c:pt idx="5">
                  <c:v>1985年</c:v>
                </c:pt>
                <c:pt idx="6">
                  <c:v>1986年</c:v>
                </c:pt>
                <c:pt idx="7">
                  <c:v>1987年</c:v>
                </c:pt>
                <c:pt idx="8">
                  <c:v>1988年</c:v>
                </c:pt>
                <c:pt idx="9">
                  <c:v>1989年</c:v>
                </c:pt>
                <c:pt idx="10">
                  <c:v>1990年</c:v>
                </c:pt>
                <c:pt idx="11">
                  <c:v>1991年</c:v>
                </c:pt>
                <c:pt idx="12">
                  <c:v>1992年</c:v>
                </c:pt>
                <c:pt idx="13">
                  <c:v>1993年</c:v>
                </c:pt>
                <c:pt idx="14">
                  <c:v>1994年</c:v>
                </c:pt>
                <c:pt idx="15">
                  <c:v>1995年</c:v>
                </c:pt>
                <c:pt idx="16">
                  <c:v>1996年</c:v>
                </c:pt>
                <c:pt idx="17">
                  <c:v>1997年</c:v>
                </c:pt>
                <c:pt idx="18">
                  <c:v>1998年</c:v>
                </c:pt>
                <c:pt idx="19">
                  <c:v>1999年</c:v>
                </c:pt>
                <c:pt idx="20">
                  <c:v>2000年</c:v>
                </c:pt>
                <c:pt idx="21">
                  <c:v>2001年</c:v>
                </c:pt>
                <c:pt idx="22">
                  <c:v>2002年</c:v>
                </c:pt>
                <c:pt idx="23">
                  <c:v>2003年</c:v>
                </c:pt>
                <c:pt idx="24">
                  <c:v>2004年</c:v>
                </c:pt>
                <c:pt idx="25">
                  <c:v>2005年</c:v>
                </c:pt>
                <c:pt idx="26">
                  <c:v>2006年</c:v>
                </c:pt>
                <c:pt idx="27">
                  <c:v>2007年</c:v>
                </c:pt>
                <c:pt idx="28">
                  <c:v>2008年</c:v>
                </c:pt>
                <c:pt idx="29">
                  <c:v>2009年</c:v>
                </c:pt>
                <c:pt idx="30">
                  <c:v>2010年</c:v>
                </c:pt>
                <c:pt idx="31">
                  <c:v>2011年</c:v>
                </c:pt>
                <c:pt idx="32">
                  <c:v>2012年</c:v>
                </c:pt>
                <c:pt idx="33">
                  <c:v>2013年</c:v>
                </c:pt>
                <c:pt idx="34">
                  <c:v>2014年</c:v>
                </c:pt>
                <c:pt idx="35">
                  <c:v>2015年</c:v>
                </c:pt>
                <c:pt idx="36">
                  <c:v>2016年</c:v>
                </c:pt>
                <c:pt idx="37">
                  <c:v>2017年</c:v>
                </c:pt>
                <c:pt idx="38">
                  <c:v>2018年</c:v>
                </c:pt>
                <c:pt idx="39">
                  <c:v>2019年</c:v>
                </c:pt>
              </c:strCache>
            </c:strRef>
          </c:cat>
          <c:val>
            <c:numRef>
              <c:f>'★【現状】生産関数（中間投入あり　見通し×付加価値率）'!$AF$3:$AF$42</c:f>
              <c:numCache>
                <c:formatCode>#,##0_);[Red]\(#,##0\)</c:formatCode>
                <c:ptCount val="40"/>
                <c:pt idx="1">
                  <c:v>651330.72414749418</c:v>
                </c:pt>
                <c:pt idx="2">
                  <c:v>635334.08977780421</c:v>
                </c:pt>
                <c:pt idx="3">
                  <c:v>624447.63493421383</c:v>
                </c:pt>
                <c:pt idx="4">
                  <c:v>647211.48335997341</c:v>
                </c:pt>
                <c:pt idx="5">
                  <c:v>680353.27379812137</c:v>
                </c:pt>
                <c:pt idx="6">
                  <c:v>763024.5789952171</c:v>
                </c:pt>
                <c:pt idx="7">
                  <c:v>814660.82511505764</c:v>
                </c:pt>
                <c:pt idx="8">
                  <c:v>869898.3104078183</c:v>
                </c:pt>
                <c:pt idx="9">
                  <c:v>921875.92235572974</c:v>
                </c:pt>
                <c:pt idx="10">
                  <c:v>938020.51009871368</c:v>
                </c:pt>
                <c:pt idx="11">
                  <c:v>931140.95929229981</c:v>
                </c:pt>
                <c:pt idx="12">
                  <c:v>914515.97595756478</c:v>
                </c:pt>
                <c:pt idx="13">
                  <c:v>876340.72052990249</c:v>
                </c:pt>
                <c:pt idx="14">
                  <c:v>872986.73810545634</c:v>
                </c:pt>
                <c:pt idx="15">
                  <c:v>883056.79709820484</c:v>
                </c:pt>
                <c:pt idx="16">
                  <c:v>855111.95504074183</c:v>
                </c:pt>
                <c:pt idx="17">
                  <c:v>802443.59688947361</c:v>
                </c:pt>
                <c:pt idx="18">
                  <c:v>766874.02644940093</c:v>
                </c:pt>
                <c:pt idx="19">
                  <c:v>751604.13154859724</c:v>
                </c:pt>
                <c:pt idx="20">
                  <c:v>696493.91938198661</c:v>
                </c:pt>
                <c:pt idx="21">
                  <c:v>667741.27891964652</c:v>
                </c:pt>
                <c:pt idx="22">
                  <c:v>624622.83784950804</c:v>
                </c:pt>
                <c:pt idx="23">
                  <c:v>602368.81293877563</c:v>
                </c:pt>
                <c:pt idx="24">
                  <c:v>578148.02609135176</c:v>
                </c:pt>
                <c:pt idx="25">
                  <c:v>562554.77681610198</c:v>
                </c:pt>
                <c:pt idx="26">
                  <c:v>522523.59306057193</c:v>
                </c:pt>
                <c:pt idx="27">
                  <c:v>501684.99681737344</c:v>
                </c:pt>
                <c:pt idx="28">
                  <c:v>468658.16167911794</c:v>
                </c:pt>
                <c:pt idx="29">
                  <c:v>445129.41915783682</c:v>
                </c:pt>
                <c:pt idx="30">
                  <c:v>441477.07590113312</c:v>
                </c:pt>
                <c:pt idx="31">
                  <c:v>449019.97389370791</c:v>
                </c:pt>
                <c:pt idx="32">
                  <c:v>486748.93760943471</c:v>
                </c:pt>
                <c:pt idx="33">
                  <c:v>483928.61031785968</c:v>
                </c:pt>
                <c:pt idx="34">
                  <c:v>545260.32700008084</c:v>
                </c:pt>
                <c:pt idx="35">
                  <c:v>576265.23792121804</c:v>
                </c:pt>
                <c:pt idx="36">
                  <c:v>597005.03327586374</c:v>
                </c:pt>
                <c:pt idx="37">
                  <c:v>591954.65616563207</c:v>
                </c:pt>
                <c:pt idx="38">
                  <c:v>578817.48974194156</c:v>
                </c:pt>
                <c:pt idx="39">
                  <c:v>570532.1832492376</c:v>
                </c:pt>
              </c:numCache>
            </c:numRef>
          </c:val>
          <c:smooth val="0"/>
          <c:extLst>
            <c:ext xmlns:c16="http://schemas.microsoft.com/office/drawing/2014/chart" uri="{C3380CC4-5D6E-409C-BE32-E72D297353CC}">
              <c16:uniqueId val="{00000000-22B4-49B8-B983-0220A61F0FEC}"/>
            </c:ext>
          </c:extLst>
        </c:ser>
        <c:ser>
          <c:idx val="1"/>
          <c:order val="1"/>
          <c:tx>
            <c:strRef>
              <c:f>'★【現状】生産関数（中間投入あり　見通し×付加価値率）'!$AG$2</c:f>
              <c:strCache>
                <c:ptCount val="1"/>
                <c:pt idx="0">
                  <c:v>潜在的な供給水準
（建設投資見通し）</c:v>
                </c:pt>
              </c:strCache>
            </c:strRef>
          </c:tx>
          <c:spPr>
            <a:ln w="28575" cap="rnd">
              <a:solidFill>
                <a:schemeClr val="accent2"/>
              </a:solidFill>
              <a:round/>
            </a:ln>
            <a:effectLst/>
          </c:spPr>
          <c:marker>
            <c:symbol val="none"/>
          </c:marker>
          <c:cat>
            <c:strRef>
              <c:f>'★【現状】生産関数（中間投入あり　見通し×付加価値率）'!$AE$3:$AE$42</c:f>
              <c:strCache>
                <c:ptCount val="40"/>
                <c:pt idx="0">
                  <c:v>1980年</c:v>
                </c:pt>
                <c:pt idx="1">
                  <c:v>1981年</c:v>
                </c:pt>
                <c:pt idx="2">
                  <c:v>1982年</c:v>
                </c:pt>
                <c:pt idx="3">
                  <c:v>1983年</c:v>
                </c:pt>
                <c:pt idx="4">
                  <c:v>1984年</c:v>
                </c:pt>
                <c:pt idx="5">
                  <c:v>1985年</c:v>
                </c:pt>
                <c:pt idx="6">
                  <c:v>1986年</c:v>
                </c:pt>
                <c:pt idx="7">
                  <c:v>1987年</c:v>
                </c:pt>
                <c:pt idx="8">
                  <c:v>1988年</c:v>
                </c:pt>
                <c:pt idx="9">
                  <c:v>1989年</c:v>
                </c:pt>
                <c:pt idx="10">
                  <c:v>1990年</c:v>
                </c:pt>
                <c:pt idx="11">
                  <c:v>1991年</c:v>
                </c:pt>
                <c:pt idx="12">
                  <c:v>1992年</c:v>
                </c:pt>
                <c:pt idx="13">
                  <c:v>1993年</c:v>
                </c:pt>
                <c:pt idx="14">
                  <c:v>1994年</c:v>
                </c:pt>
                <c:pt idx="15">
                  <c:v>1995年</c:v>
                </c:pt>
                <c:pt idx="16">
                  <c:v>1996年</c:v>
                </c:pt>
                <c:pt idx="17">
                  <c:v>1997年</c:v>
                </c:pt>
                <c:pt idx="18">
                  <c:v>1998年</c:v>
                </c:pt>
                <c:pt idx="19">
                  <c:v>1999年</c:v>
                </c:pt>
                <c:pt idx="20">
                  <c:v>2000年</c:v>
                </c:pt>
                <c:pt idx="21">
                  <c:v>2001年</c:v>
                </c:pt>
                <c:pt idx="22">
                  <c:v>2002年</c:v>
                </c:pt>
                <c:pt idx="23">
                  <c:v>2003年</c:v>
                </c:pt>
                <c:pt idx="24">
                  <c:v>2004年</c:v>
                </c:pt>
                <c:pt idx="25">
                  <c:v>2005年</c:v>
                </c:pt>
                <c:pt idx="26">
                  <c:v>2006年</c:v>
                </c:pt>
                <c:pt idx="27">
                  <c:v>2007年</c:v>
                </c:pt>
                <c:pt idx="28">
                  <c:v>2008年</c:v>
                </c:pt>
                <c:pt idx="29">
                  <c:v>2009年</c:v>
                </c:pt>
                <c:pt idx="30">
                  <c:v>2010年</c:v>
                </c:pt>
                <c:pt idx="31">
                  <c:v>2011年</c:v>
                </c:pt>
                <c:pt idx="32">
                  <c:v>2012年</c:v>
                </c:pt>
                <c:pt idx="33">
                  <c:v>2013年</c:v>
                </c:pt>
                <c:pt idx="34">
                  <c:v>2014年</c:v>
                </c:pt>
                <c:pt idx="35">
                  <c:v>2015年</c:v>
                </c:pt>
                <c:pt idx="36">
                  <c:v>2016年</c:v>
                </c:pt>
                <c:pt idx="37">
                  <c:v>2017年</c:v>
                </c:pt>
                <c:pt idx="38">
                  <c:v>2018年</c:v>
                </c:pt>
                <c:pt idx="39">
                  <c:v>2019年</c:v>
                </c:pt>
              </c:strCache>
            </c:strRef>
          </c:cat>
          <c:val>
            <c:numRef>
              <c:f>'★【現状】生産関数（中間投入あり　見通し×付加価値率）'!$AG$3:$AG$42</c:f>
              <c:numCache>
                <c:formatCode>#,##0_);[Red]\(#,##0\)</c:formatCode>
                <c:ptCount val="40"/>
                <c:pt idx="1">
                  <c:v>595473.04077692132</c:v>
                </c:pt>
                <c:pt idx="2">
                  <c:v>640123.99071290984</c:v>
                </c:pt>
                <c:pt idx="3">
                  <c:v>712339.00610039069</c:v>
                </c:pt>
                <c:pt idx="4">
                  <c:v>753934.3060739697</c:v>
                </c:pt>
                <c:pt idx="5">
                  <c:v>777984.70055832097</c:v>
                </c:pt>
                <c:pt idx="6">
                  <c:v>812595.5236084623</c:v>
                </c:pt>
                <c:pt idx="7">
                  <c:v>838585.53743648902</c:v>
                </c:pt>
                <c:pt idx="8">
                  <c:v>866778.74458204431</c:v>
                </c:pt>
                <c:pt idx="9">
                  <c:v>904760.37393255287</c:v>
                </c:pt>
                <c:pt idx="10">
                  <c:v>934016.83863283868</c:v>
                </c:pt>
                <c:pt idx="11">
                  <c:v>993800.90097561851</c:v>
                </c:pt>
                <c:pt idx="12">
                  <c:v>1021918.9578073365</c:v>
                </c:pt>
                <c:pt idx="13">
                  <c:v>1027168.7561781757</c:v>
                </c:pt>
                <c:pt idx="14">
                  <c:v>1091680.4224790675</c:v>
                </c:pt>
                <c:pt idx="15">
                  <c:v>1079103.3189261954</c:v>
                </c:pt>
                <c:pt idx="16">
                  <c:v>1038906.0576870119</c:v>
                </c:pt>
                <c:pt idx="17">
                  <c:v>969778.04559820786</c:v>
                </c:pt>
                <c:pt idx="18">
                  <c:v>872317.30847604247</c:v>
                </c:pt>
                <c:pt idx="19">
                  <c:v>791331.15282787511</c:v>
                </c:pt>
                <c:pt idx="20">
                  <c:v>726474.92705667112</c:v>
                </c:pt>
                <c:pt idx="21">
                  <c:v>663922.46030812676</c:v>
                </c:pt>
                <c:pt idx="22">
                  <c:v>613518.32556876924</c:v>
                </c:pt>
                <c:pt idx="23">
                  <c:v>570020.98355665687</c:v>
                </c:pt>
                <c:pt idx="24">
                  <c:v>538332.44031173398</c:v>
                </c:pt>
                <c:pt idx="25">
                  <c:v>523834.62921368796</c:v>
                </c:pt>
                <c:pt idx="26">
                  <c:v>502541.90752876265</c:v>
                </c:pt>
                <c:pt idx="27">
                  <c:v>492533.38327867951</c:v>
                </c:pt>
                <c:pt idx="28">
                  <c:v>492625.51016592805</c:v>
                </c:pt>
                <c:pt idx="29">
                  <c:v>474942.13680144568</c:v>
                </c:pt>
                <c:pt idx="30">
                  <c:v>492111.68098146876</c:v>
                </c:pt>
                <c:pt idx="31">
                  <c:v>523249.05289023888</c:v>
                </c:pt>
                <c:pt idx="32">
                  <c:v>547162.3497278865</c:v>
                </c:pt>
                <c:pt idx="33">
                  <c:v>568040.76586954587</c:v>
                </c:pt>
                <c:pt idx="34">
                  <c:v>568726.61960694892</c:v>
                </c:pt>
                <c:pt idx="35">
                  <c:v>561779.46744570113</c:v>
                </c:pt>
                <c:pt idx="36">
                  <c:v>560905.15710747126</c:v>
                </c:pt>
                <c:pt idx="37">
                  <c:v>568158.04865890031</c:v>
                </c:pt>
                <c:pt idx="38">
                  <c:v>579698.07646305533</c:v>
                </c:pt>
                <c:pt idx="39">
                  <c:v>592837.60425360524</c:v>
                </c:pt>
              </c:numCache>
            </c:numRef>
          </c:val>
          <c:smooth val="0"/>
          <c:extLst>
            <c:ext xmlns:c16="http://schemas.microsoft.com/office/drawing/2014/chart" uri="{C3380CC4-5D6E-409C-BE32-E72D297353CC}">
              <c16:uniqueId val="{00000001-22B4-49B8-B983-0220A61F0FEC}"/>
            </c:ext>
          </c:extLst>
        </c:ser>
        <c:dLbls>
          <c:showLegendKey val="0"/>
          <c:showVal val="0"/>
          <c:showCatName val="0"/>
          <c:showSerName val="0"/>
          <c:showPercent val="0"/>
          <c:showBubbleSize val="0"/>
        </c:dLbls>
        <c:smooth val="0"/>
        <c:axId val="658850992"/>
        <c:axId val="658861808"/>
      </c:lineChart>
      <c:catAx>
        <c:axId val="658850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58861808"/>
        <c:crosses val="autoZero"/>
        <c:auto val="1"/>
        <c:lblAlgn val="ctr"/>
        <c:lblOffset val="100"/>
        <c:noMultiLvlLbl val="0"/>
      </c:catAx>
      <c:valAx>
        <c:axId val="65886180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58850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TFP</a:t>
            </a:r>
            <a:r>
              <a:rPr lang="ja-JP" altLang="en-US"/>
              <a:t>成長率の動向</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'★【現状】生産関数（中間投入あり　見通し×付加価値率）'!$AC$2</c:f>
              <c:strCache>
                <c:ptCount val="1"/>
                <c:pt idx="0">
                  <c:v>TFP成長率</c:v>
                </c:pt>
              </c:strCache>
            </c:strRef>
          </c:tx>
          <c:spPr>
            <a:ln w="28575" cap="rnd">
              <a:solidFill>
                <a:schemeClr val="accent1"/>
              </a:solidFill>
              <a:round/>
            </a:ln>
            <a:effectLst/>
          </c:spPr>
          <c:marker>
            <c:symbol val="none"/>
          </c:marker>
          <c:cat>
            <c:strRef>
              <c:f>'★【現状】生産関数（中間投入あり　見通し×付加価値率）'!$Z$3:$Z$42</c:f>
              <c:strCache>
                <c:ptCount val="40"/>
                <c:pt idx="0">
                  <c:v>1980年</c:v>
                </c:pt>
                <c:pt idx="1">
                  <c:v>1981年</c:v>
                </c:pt>
                <c:pt idx="2">
                  <c:v>1982年</c:v>
                </c:pt>
                <c:pt idx="3">
                  <c:v>1983年</c:v>
                </c:pt>
                <c:pt idx="4">
                  <c:v>1984年</c:v>
                </c:pt>
                <c:pt idx="5">
                  <c:v>1985年</c:v>
                </c:pt>
                <c:pt idx="6">
                  <c:v>1986年</c:v>
                </c:pt>
                <c:pt idx="7">
                  <c:v>1987年</c:v>
                </c:pt>
                <c:pt idx="8">
                  <c:v>1988年</c:v>
                </c:pt>
                <c:pt idx="9">
                  <c:v>1989年</c:v>
                </c:pt>
                <c:pt idx="10">
                  <c:v>1990年</c:v>
                </c:pt>
                <c:pt idx="11">
                  <c:v>1991年</c:v>
                </c:pt>
                <c:pt idx="12">
                  <c:v>1992年</c:v>
                </c:pt>
                <c:pt idx="13">
                  <c:v>1993年</c:v>
                </c:pt>
                <c:pt idx="14">
                  <c:v>1994年</c:v>
                </c:pt>
                <c:pt idx="15">
                  <c:v>1995年</c:v>
                </c:pt>
                <c:pt idx="16">
                  <c:v>1996年</c:v>
                </c:pt>
                <c:pt idx="17">
                  <c:v>1997年</c:v>
                </c:pt>
                <c:pt idx="18">
                  <c:v>1998年</c:v>
                </c:pt>
                <c:pt idx="19">
                  <c:v>1999年</c:v>
                </c:pt>
                <c:pt idx="20">
                  <c:v>2000年</c:v>
                </c:pt>
                <c:pt idx="21">
                  <c:v>2001年</c:v>
                </c:pt>
                <c:pt idx="22">
                  <c:v>2002年</c:v>
                </c:pt>
                <c:pt idx="23">
                  <c:v>2003年</c:v>
                </c:pt>
                <c:pt idx="24">
                  <c:v>2004年</c:v>
                </c:pt>
                <c:pt idx="25">
                  <c:v>2005年</c:v>
                </c:pt>
                <c:pt idx="26">
                  <c:v>2006年</c:v>
                </c:pt>
                <c:pt idx="27">
                  <c:v>2007年</c:v>
                </c:pt>
                <c:pt idx="28">
                  <c:v>2008年</c:v>
                </c:pt>
                <c:pt idx="29">
                  <c:v>2009年</c:v>
                </c:pt>
                <c:pt idx="30">
                  <c:v>2010年</c:v>
                </c:pt>
                <c:pt idx="31">
                  <c:v>2011年</c:v>
                </c:pt>
                <c:pt idx="32">
                  <c:v>2012年</c:v>
                </c:pt>
                <c:pt idx="33">
                  <c:v>2013年</c:v>
                </c:pt>
                <c:pt idx="34">
                  <c:v>2014年</c:v>
                </c:pt>
                <c:pt idx="35">
                  <c:v>2015年</c:v>
                </c:pt>
                <c:pt idx="36">
                  <c:v>2016年</c:v>
                </c:pt>
                <c:pt idx="37">
                  <c:v>2017年</c:v>
                </c:pt>
                <c:pt idx="38">
                  <c:v>2018年</c:v>
                </c:pt>
                <c:pt idx="39">
                  <c:v>2019年</c:v>
                </c:pt>
              </c:strCache>
            </c:strRef>
          </c:cat>
          <c:val>
            <c:numRef>
              <c:f>'★【現状】生産関数（中間投入あり　見通し×付加価値率）'!$AC$3:$AC$42</c:f>
              <c:numCache>
                <c:formatCode>0.0%</c:formatCode>
                <c:ptCount val="40"/>
                <c:pt idx="2">
                  <c:v>7.1244647632797475E-2</c:v>
                </c:pt>
                <c:pt idx="3">
                  <c:v>6.8057366448296852E-2</c:v>
                </c:pt>
                <c:pt idx="4">
                  <c:v>6.6458280716049867E-2</c:v>
                </c:pt>
                <c:pt idx="5">
                  <c:v>6.2632949142682692E-2</c:v>
                </c:pt>
                <c:pt idx="6">
                  <c:v>5.3858189999421935E-2</c:v>
                </c:pt>
                <c:pt idx="7">
                  <c:v>3.9333667220038837E-2</c:v>
                </c:pt>
                <c:pt idx="8">
                  <c:v>1.9137056478197634E-2</c:v>
                </c:pt>
                <c:pt idx="9">
                  <c:v>-5.2006337125405366E-3</c:v>
                </c:pt>
                <c:pt idx="10">
                  <c:v>-3.1882950537400423E-2</c:v>
                </c:pt>
                <c:pt idx="11">
                  <c:v>-5.9186380335170097E-2</c:v>
                </c:pt>
                <c:pt idx="12">
                  <c:v>-8.4205549023546378E-2</c:v>
                </c:pt>
                <c:pt idx="13">
                  <c:v>-0.10590387234290266</c:v>
                </c:pt>
                <c:pt idx="14">
                  <c:v>-0.1236252704698001</c:v>
                </c:pt>
                <c:pt idx="15">
                  <c:v>-0.13615179388847731</c:v>
                </c:pt>
                <c:pt idx="16">
                  <c:v>-0.14386266334643361</c:v>
                </c:pt>
                <c:pt idx="17">
                  <c:v>-0.14689779115596013</c:v>
                </c:pt>
                <c:pt idx="18">
                  <c:v>-0.14421039991350937</c:v>
                </c:pt>
                <c:pt idx="19">
                  <c:v>-0.1368731822077992</c:v>
                </c:pt>
                <c:pt idx="20">
                  <c:v>-0.12615134966176456</c:v>
                </c:pt>
                <c:pt idx="21">
                  <c:v>-0.11386385557381229</c:v>
                </c:pt>
                <c:pt idx="22">
                  <c:v>-0.10163695790591543</c:v>
                </c:pt>
                <c:pt idx="23">
                  <c:v>-8.9757153949942881E-2</c:v>
                </c:pt>
                <c:pt idx="24">
                  <c:v>-7.7875222351248663E-2</c:v>
                </c:pt>
                <c:pt idx="25">
                  <c:v>-6.4452989503586244E-2</c:v>
                </c:pt>
                <c:pt idx="26">
                  <c:v>-4.7648947693199828E-2</c:v>
                </c:pt>
                <c:pt idx="27">
                  <c:v>-2.5743537910636216E-2</c:v>
                </c:pt>
                <c:pt idx="28">
                  <c:v>2.2769417622929833E-3</c:v>
                </c:pt>
                <c:pt idx="29">
                  <c:v>3.3288734414303356E-2</c:v>
                </c:pt>
                <c:pt idx="30">
                  <c:v>6.2066123235995585E-2</c:v>
                </c:pt>
                <c:pt idx="31">
                  <c:v>8.4371238827745776E-2</c:v>
                </c:pt>
                <c:pt idx="32">
                  <c:v>9.7605851216419737E-2</c:v>
                </c:pt>
                <c:pt idx="33">
                  <c:v>0.10131523231869033</c:v>
                </c:pt>
                <c:pt idx="34">
                  <c:v>9.6056737075983278E-2</c:v>
                </c:pt>
                <c:pt idx="35">
                  <c:v>8.5100599335504512E-2</c:v>
                </c:pt>
                <c:pt idx="36">
                  <c:v>7.0745235616287427E-2</c:v>
                </c:pt>
                <c:pt idx="37">
                  <c:v>5.6131265113992024E-2</c:v>
                </c:pt>
                <c:pt idx="38">
                  <c:v>4.5022867195863459E-2</c:v>
                </c:pt>
                <c:pt idx="39">
                  <c:v>3.9796057027241982E-2</c:v>
                </c:pt>
              </c:numCache>
            </c:numRef>
          </c:val>
          <c:smooth val="0"/>
          <c:extLst>
            <c:ext xmlns:c16="http://schemas.microsoft.com/office/drawing/2014/chart" uri="{C3380CC4-5D6E-409C-BE32-E72D297353CC}">
              <c16:uniqueId val="{00000000-2A16-49D1-A4BB-F9CA1E2C6FB1}"/>
            </c:ext>
          </c:extLst>
        </c:ser>
        <c:dLbls>
          <c:showLegendKey val="0"/>
          <c:showVal val="0"/>
          <c:showCatName val="0"/>
          <c:showSerName val="0"/>
          <c:showPercent val="0"/>
          <c:showBubbleSize val="0"/>
        </c:dLbls>
        <c:smooth val="0"/>
        <c:axId val="2027026112"/>
        <c:axId val="2027026528"/>
      </c:lineChart>
      <c:catAx>
        <c:axId val="20270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27026528"/>
        <c:crosses val="autoZero"/>
        <c:auto val="1"/>
        <c:lblAlgn val="ctr"/>
        <c:lblOffset val="100"/>
        <c:noMultiLvlLbl val="0"/>
      </c:catAx>
      <c:valAx>
        <c:axId val="20270265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27026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需給ギャップの動向</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'★【現状】生産関数（中間投入あり　見通し×付加価値率）'!$AH$2</c:f>
              <c:strCache>
                <c:ptCount val="1"/>
                <c:pt idx="0">
                  <c:v>需給ギャップ</c:v>
                </c:pt>
              </c:strCache>
            </c:strRef>
          </c:tx>
          <c:spPr>
            <a:ln w="28575" cap="rnd">
              <a:solidFill>
                <a:schemeClr val="accent1"/>
              </a:solidFill>
              <a:round/>
            </a:ln>
            <a:effectLst/>
          </c:spPr>
          <c:marker>
            <c:symbol val="none"/>
          </c:marker>
          <c:cat>
            <c:strRef>
              <c:f>'★【現状】生産関数（中間投入あり　見通し×付加価値率）'!$AE$3:$AE$42</c:f>
              <c:strCache>
                <c:ptCount val="40"/>
                <c:pt idx="0">
                  <c:v>1980年</c:v>
                </c:pt>
                <c:pt idx="1">
                  <c:v>1981年</c:v>
                </c:pt>
                <c:pt idx="2">
                  <c:v>1982年</c:v>
                </c:pt>
                <c:pt idx="3">
                  <c:v>1983年</c:v>
                </c:pt>
                <c:pt idx="4">
                  <c:v>1984年</c:v>
                </c:pt>
                <c:pt idx="5">
                  <c:v>1985年</c:v>
                </c:pt>
                <c:pt idx="6">
                  <c:v>1986年</c:v>
                </c:pt>
                <c:pt idx="7">
                  <c:v>1987年</c:v>
                </c:pt>
                <c:pt idx="8">
                  <c:v>1988年</c:v>
                </c:pt>
                <c:pt idx="9">
                  <c:v>1989年</c:v>
                </c:pt>
                <c:pt idx="10">
                  <c:v>1990年</c:v>
                </c:pt>
                <c:pt idx="11">
                  <c:v>1991年</c:v>
                </c:pt>
                <c:pt idx="12">
                  <c:v>1992年</c:v>
                </c:pt>
                <c:pt idx="13">
                  <c:v>1993年</c:v>
                </c:pt>
                <c:pt idx="14">
                  <c:v>1994年</c:v>
                </c:pt>
                <c:pt idx="15">
                  <c:v>1995年</c:v>
                </c:pt>
                <c:pt idx="16">
                  <c:v>1996年</c:v>
                </c:pt>
                <c:pt idx="17">
                  <c:v>1997年</c:v>
                </c:pt>
                <c:pt idx="18">
                  <c:v>1998年</c:v>
                </c:pt>
                <c:pt idx="19">
                  <c:v>1999年</c:v>
                </c:pt>
                <c:pt idx="20">
                  <c:v>2000年</c:v>
                </c:pt>
                <c:pt idx="21">
                  <c:v>2001年</c:v>
                </c:pt>
                <c:pt idx="22">
                  <c:v>2002年</c:v>
                </c:pt>
                <c:pt idx="23">
                  <c:v>2003年</c:v>
                </c:pt>
                <c:pt idx="24">
                  <c:v>2004年</c:v>
                </c:pt>
                <c:pt idx="25">
                  <c:v>2005年</c:v>
                </c:pt>
                <c:pt idx="26">
                  <c:v>2006年</c:v>
                </c:pt>
                <c:pt idx="27">
                  <c:v>2007年</c:v>
                </c:pt>
                <c:pt idx="28">
                  <c:v>2008年</c:v>
                </c:pt>
                <c:pt idx="29">
                  <c:v>2009年</c:v>
                </c:pt>
                <c:pt idx="30">
                  <c:v>2010年</c:v>
                </c:pt>
                <c:pt idx="31">
                  <c:v>2011年</c:v>
                </c:pt>
                <c:pt idx="32">
                  <c:v>2012年</c:v>
                </c:pt>
                <c:pt idx="33">
                  <c:v>2013年</c:v>
                </c:pt>
                <c:pt idx="34">
                  <c:v>2014年</c:v>
                </c:pt>
                <c:pt idx="35">
                  <c:v>2015年</c:v>
                </c:pt>
                <c:pt idx="36">
                  <c:v>2016年</c:v>
                </c:pt>
                <c:pt idx="37">
                  <c:v>2017年</c:v>
                </c:pt>
                <c:pt idx="38">
                  <c:v>2018年</c:v>
                </c:pt>
                <c:pt idx="39">
                  <c:v>2019年</c:v>
                </c:pt>
              </c:strCache>
            </c:strRef>
          </c:cat>
          <c:val>
            <c:numRef>
              <c:f>'★【現状】生産関数（中間投入あり　見通し×付加価値率）'!$AH$3:$AH$42</c:f>
              <c:numCache>
                <c:formatCode>0.0%</c:formatCode>
                <c:ptCount val="40"/>
                <c:pt idx="1">
                  <c:v>9.380388287216937E-2</c:v>
                </c:pt>
                <c:pt idx="2">
                  <c:v>-7.4827705328948686E-3</c:v>
                </c:pt>
                <c:pt idx="3">
                  <c:v>-0.12338418984989605</c:v>
                </c:pt>
                <c:pt idx="4">
                  <c:v>-0.14155453844479327</c:v>
                </c:pt>
                <c:pt idx="5">
                  <c:v>-0.12549273358477919</c:v>
                </c:pt>
                <c:pt idx="6">
                  <c:v>-6.1003221372814574E-2</c:v>
                </c:pt>
                <c:pt idx="7">
                  <c:v>-2.8529841326107218E-2</c:v>
                </c:pt>
                <c:pt idx="8">
                  <c:v>3.5990336002969499E-3</c:v>
                </c:pt>
                <c:pt idx="9">
                  <c:v>1.8917217106651021E-2</c:v>
                </c:pt>
                <c:pt idx="10">
                  <c:v>4.2865088725117075E-3</c:v>
                </c:pt>
                <c:pt idx="11">
                  <c:v>-6.3050799835062704E-2</c:v>
                </c:pt>
                <c:pt idx="12">
                  <c:v>-0.10509931441160376</c:v>
                </c:pt>
                <c:pt idx="13">
                  <c:v>-0.14683861316952881</c:v>
                </c:pt>
                <c:pt idx="14">
                  <c:v>-0.20032756827953876</c:v>
                </c:pt>
                <c:pt idx="15">
                  <c:v>-0.18167539510774039</c:v>
                </c:pt>
                <c:pt idx="16">
                  <c:v>-0.17691118584433277</c:v>
                </c:pt>
                <c:pt idx="17">
                  <c:v>-0.17254922347258742</c:v>
                </c:pt>
                <c:pt idx="18">
                  <c:v>-0.12087720947650721</c:v>
                </c:pt>
                <c:pt idx="19">
                  <c:v>-5.0202776849250376E-2</c:v>
                </c:pt>
                <c:pt idx="20">
                  <c:v>-4.1269156798230074E-2</c:v>
                </c:pt>
                <c:pt idx="21">
                  <c:v>5.7519045367849806E-3</c:v>
                </c:pt>
                <c:pt idx="22">
                  <c:v>1.809972386797775E-2</c:v>
                </c:pt>
                <c:pt idx="23">
                  <c:v>5.6748488766648321E-2</c:v>
                </c:pt>
                <c:pt idx="24">
                  <c:v>7.3960963148647751E-2</c:v>
                </c:pt>
                <c:pt idx="25">
                  <c:v>7.3916739068082674E-2</c:v>
                </c:pt>
                <c:pt idx="26">
                  <c:v>3.9761232312084636E-2</c:v>
                </c:pt>
                <c:pt idx="27">
                  <c:v>1.85806969626582E-2</c:v>
                </c:pt>
                <c:pt idx="28">
                  <c:v>-4.8652268289430103E-2</c:v>
                </c:pt>
                <c:pt idx="29">
                  <c:v>-6.2771262715046003E-2</c:v>
                </c:pt>
                <c:pt idx="30">
                  <c:v>-0.10289250801637111</c:v>
                </c:pt>
                <c:pt idx="31">
                  <c:v>-0.14186185065508736</c:v>
                </c:pt>
                <c:pt idx="32">
                  <c:v>-0.11041222435808393</c:v>
                </c:pt>
                <c:pt idx="33">
                  <c:v>-0.14807415348602476</c:v>
                </c:pt>
                <c:pt idx="34">
                  <c:v>-4.126111175011609E-2</c:v>
                </c:pt>
                <c:pt idx="35">
                  <c:v>2.5785510711847145E-2</c:v>
                </c:pt>
                <c:pt idx="36">
                  <c:v>6.4360036114760891E-2</c:v>
                </c:pt>
                <c:pt idx="37">
                  <c:v>4.1883781393050899E-2</c:v>
                </c:pt>
                <c:pt idx="38">
                  <c:v>-1.5190437175271309E-3</c:v>
                </c:pt>
                <c:pt idx="39">
                  <c:v>-3.762484168400658E-2</c:v>
                </c:pt>
              </c:numCache>
            </c:numRef>
          </c:val>
          <c:smooth val="0"/>
          <c:extLst>
            <c:ext xmlns:c16="http://schemas.microsoft.com/office/drawing/2014/chart" uri="{C3380CC4-5D6E-409C-BE32-E72D297353CC}">
              <c16:uniqueId val="{00000000-26A7-4097-9718-8E599BD68F57}"/>
            </c:ext>
          </c:extLst>
        </c:ser>
        <c:dLbls>
          <c:showLegendKey val="0"/>
          <c:showVal val="0"/>
          <c:showCatName val="0"/>
          <c:showSerName val="0"/>
          <c:showPercent val="0"/>
          <c:showBubbleSize val="0"/>
        </c:dLbls>
        <c:smooth val="0"/>
        <c:axId val="658840592"/>
        <c:axId val="658863056"/>
      </c:lineChart>
      <c:catAx>
        <c:axId val="65884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58863056"/>
        <c:crosses val="autoZero"/>
        <c:auto val="1"/>
        <c:lblAlgn val="ctr"/>
        <c:lblOffset val="100"/>
        <c:noMultiLvlLbl val="0"/>
      </c:catAx>
      <c:valAx>
        <c:axId val="6588630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58840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建設投資額（実質値）の動向</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'★【現状】生産関数（中間投入あり　見通し）'!$AJ$2</c:f>
              <c:strCache>
                <c:ptCount val="1"/>
                <c:pt idx="0">
                  <c:v>実際の需要水準</c:v>
                </c:pt>
              </c:strCache>
            </c:strRef>
          </c:tx>
          <c:spPr>
            <a:ln w="28575" cap="rnd">
              <a:solidFill>
                <a:schemeClr val="accent1"/>
              </a:solidFill>
              <a:round/>
            </a:ln>
            <a:effectLst/>
          </c:spPr>
          <c:marker>
            <c:symbol val="none"/>
          </c:marker>
          <c:cat>
            <c:strRef>
              <c:f>'★【現状】生産関数（中間投入あり　見通し）'!$AI$3:$AI$42</c:f>
              <c:strCache>
                <c:ptCount val="40"/>
                <c:pt idx="0">
                  <c:v>1980年</c:v>
                </c:pt>
                <c:pt idx="1">
                  <c:v>1981年</c:v>
                </c:pt>
                <c:pt idx="2">
                  <c:v>1982年</c:v>
                </c:pt>
                <c:pt idx="3">
                  <c:v>1983年</c:v>
                </c:pt>
                <c:pt idx="4">
                  <c:v>1984年</c:v>
                </c:pt>
                <c:pt idx="5">
                  <c:v>1985年</c:v>
                </c:pt>
                <c:pt idx="6">
                  <c:v>1986年</c:v>
                </c:pt>
                <c:pt idx="7">
                  <c:v>1987年</c:v>
                </c:pt>
                <c:pt idx="8">
                  <c:v>1988年</c:v>
                </c:pt>
                <c:pt idx="9">
                  <c:v>1989年</c:v>
                </c:pt>
                <c:pt idx="10">
                  <c:v>1990年</c:v>
                </c:pt>
                <c:pt idx="11">
                  <c:v>1991年</c:v>
                </c:pt>
                <c:pt idx="12">
                  <c:v>1992年</c:v>
                </c:pt>
                <c:pt idx="13">
                  <c:v>1993年</c:v>
                </c:pt>
                <c:pt idx="14">
                  <c:v>1994年</c:v>
                </c:pt>
                <c:pt idx="15">
                  <c:v>1995年</c:v>
                </c:pt>
                <c:pt idx="16">
                  <c:v>1996年</c:v>
                </c:pt>
                <c:pt idx="17">
                  <c:v>1997年</c:v>
                </c:pt>
                <c:pt idx="18">
                  <c:v>1998年</c:v>
                </c:pt>
                <c:pt idx="19">
                  <c:v>1999年</c:v>
                </c:pt>
                <c:pt idx="20">
                  <c:v>2000年</c:v>
                </c:pt>
                <c:pt idx="21">
                  <c:v>2001年</c:v>
                </c:pt>
                <c:pt idx="22">
                  <c:v>2002年</c:v>
                </c:pt>
                <c:pt idx="23">
                  <c:v>2003年</c:v>
                </c:pt>
                <c:pt idx="24">
                  <c:v>2004年</c:v>
                </c:pt>
                <c:pt idx="25">
                  <c:v>2005年</c:v>
                </c:pt>
                <c:pt idx="26">
                  <c:v>2006年</c:v>
                </c:pt>
                <c:pt idx="27">
                  <c:v>2007年</c:v>
                </c:pt>
                <c:pt idx="28">
                  <c:v>2008年</c:v>
                </c:pt>
                <c:pt idx="29">
                  <c:v>2009年</c:v>
                </c:pt>
                <c:pt idx="30">
                  <c:v>2010年</c:v>
                </c:pt>
                <c:pt idx="31">
                  <c:v>2011年</c:v>
                </c:pt>
                <c:pt idx="32">
                  <c:v>2012年</c:v>
                </c:pt>
                <c:pt idx="33">
                  <c:v>2013年</c:v>
                </c:pt>
                <c:pt idx="34">
                  <c:v>2014年</c:v>
                </c:pt>
                <c:pt idx="35">
                  <c:v>2015年</c:v>
                </c:pt>
                <c:pt idx="36">
                  <c:v>2016年</c:v>
                </c:pt>
                <c:pt idx="37">
                  <c:v>2017年</c:v>
                </c:pt>
                <c:pt idx="38">
                  <c:v>2018年</c:v>
                </c:pt>
                <c:pt idx="39">
                  <c:v>2019年</c:v>
                </c:pt>
              </c:strCache>
            </c:strRef>
          </c:cat>
          <c:val>
            <c:numRef>
              <c:f>'★【現状】生産関数（中間投入あり　見通し）'!$AJ$3:$AJ$42</c:f>
              <c:numCache>
                <c:formatCode>#,##0_);[Red]\(#,##0\)</c:formatCode>
                <c:ptCount val="40"/>
                <c:pt idx="1">
                  <c:v>651330.72414749418</c:v>
                </c:pt>
                <c:pt idx="2">
                  <c:v>635334.08977780421</c:v>
                </c:pt>
                <c:pt idx="3">
                  <c:v>624447.63493421394</c:v>
                </c:pt>
                <c:pt idx="4">
                  <c:v>647211.48335997341</c:v>
                </c:pt>
                <c:pt idx="5">
                  <c:v>680353.27379812137</c:v>
                </c:pt>
                <c:pt idx="6">
                  <c:v>763024.5789952171</c:v>
                </c:pt>
                <c:pt idx="7">
                  <c:v>814660.82511505764</c:v>
                </c:pt>
                <c:pt idx="8">
                  <c:v>869898.3104078183</c:v>
                </c:pt>
                <c:pt idx="9">
                  <c:v>921875.92235572974</c:v>
                </c:pt>
                <c:pt idx="10">
                  <c:v>938020.51009871368</c:v>
                </c:pt>
                <c:pt idx="11">
                  <c:v>931140.95929229981</c:v>
                </c:pt>
                <c:pt idx="12">
                  <c:v>914515.97595756478</c:v>
                </c:pt>
                <c:pt idx="13">
                  <c:v>876340.72052990249</c:v>
                </c:pt>
                <c:pt idx="14">
                  <c:v>872986.73810545634</c:v>
                </c:pt>
                <c:pt idx="15">
                  <c:v>883056.79709820484</c:v>
                </c:pt>
                <c:pt idx="16">
                  <c:v>855111.95504074183</c:v>
                </c:pt>
                <c:pt idx="17">
                  <c:v>802443.59688947361</c:v>
                </c:pt>
                <c:pt idx="18">
                  <c:v>766874.02644940093</c:v>
                </c:pt>
                <c:pt idx="19">
                  <c:v>751604.13154859724</c:v>
                </c:pt>
                <c:pt idx="20">
                  <c:v>696493.91938198661</c:v>
                </c:pt>
                <c:pt idx="21">
                  <c:v>667741.27891964652</c:v>
                </c:pt>
                <c:pt idx="22">
                  <c:v>624622.83784950804</c:v>
                </c:pt>
                <c:pt idx="23">
                  <c:v>602368.81293877563</c:v>
                </c:pt>
                <c:pt idx="24">
                  <c:v>578148.02609135176</c:v>
                </c:pt>
                <c:pt idx="25">
                  <c:v>562554.77681610198</c:v>
                </c:pt>
                <c:pt idx="26">
                  <c:v>522523.59306057193</c:v>
                </c:pt>
                <c:pt idx="27">
                  <c:v>501684.99681737344</c:v>
                </c:pt>
                <c:pt idx="28">
                  <c:v>468658.16167911794</c:v>
                </c:pt>
                <c:pt idx="29">
                  <c:v>445129.41915783682</c:v>
                </c:pt>
                <c:pt idx="30">
                  <c:v>441477.07590113312</c:v>
                </c:pt>
                <c:pt idx="31">
                  <c:v>449019.97389370791</c:v>
                </c:pt>
                <c:pt idx="32">
                  <c:v>486748.93760943471</c:v>
                </c:pt>
                <c:pt idx="33">
                  <c:v>483928.61031785968</c:v>
                </c:pt>
                <c:pt idx="34">
                  <c:v>545260.32700008084</c:v>
                </c:pt>
                <c:pt idx="35">
                  <c:v>576265.23792121804</c:v>
                </c:pt>
                <c:pt idx="36">
                  <c:v>597005.03327586385</c:v>
                </c:pt>
                <c:pt idx="37">
                  <c:v>591954.65616563207</c:v>
                </c:pt>
                <c:pt idx="38">
                  <c:v>578817.48974194156</c:v>
                </c:pt>
                <c:pt idx="39">
                  <c:v>570532.1832492376</c:v>
                </c:pt>
              </c:numCache>
            </c:numRef>
          </c:val>
          <c:smooth val="0"/>
          <c:extLst>
            <c:ext xmlns:c16="http://schemas.microsoft.com/office/drawing/2014/chart" uri="{C3380CC4-5D6E-409C-BE32-E72D297353CC}">
              <c16:uniqueId val="{00000000-D33A-49CD-A03D-9D40B0441057}"/>
            </c:ext>
          </c:extLst>
        </c:ser>
        <c:ser>
          <c:idx val="1"/>
          <c:order val="1"/>
          <c:tx>
            <c:strRef>
              <c:f>'★【現状】生産関数（中間投入あり　見通し）'!$AK$2</c:f>
              <c:strCache>
                <c:ptCount val="1"/>
                <c:pt idx="0">
                  <c:v>潜在的な供給水準</c:v>
                </c:pt>
              </c:strCache>
            </c:strRef>
          </c:tx>
          <c:spPr>
            <a:ln w="28575" cap="rnd">
              <a:solidFill>
                <a:schemeClr val="accent2"/>
              </a:solidFill>
              <a:round/>
            </a:ln>
            <a:effectLst/>
          </c:spPr>
          <c:marker>
            <c:symbol val="none"/>
          </c:marker>
          <c:cat>
            <c:strRef>
              <c:f>'★【現状】生産関数（中間投入あり　見通し）'!$AI$3:$AI$42</c:f>
              <c:strCache>
                <c:ptCount val="40"/>
                <c:pt idx="0">
                  <c:v>1980年</c:v>
                </c:pt>
                <c:pt idx="1">
                  <c:v>1981年</c:v>
                </c:pt>
                <c:pt idx="2">
                  <c:v>1982年</c:v>
                </c:pt>
                <c:pt idx="3">
                  <c:v>1983年</c:v>
                </c:pt>
                <c:pt idx="4">
                  <c:v>1984年</c:v>
                </c:pt>
                <c:pt idx="5">
                  <c:v>1985年</c:v>
                </c:pt>
                <c:pt idx="6">
                  <c:v>1986年</c:v>
                </c:pt>
                <c:pt idx="7">
                  <c:v>1987年</c:v>
                </c:pt>
                <c:pt idx="8">
                  <c:v>1988年</c:v>
                </c:pt>
                <c:pt idx="9">
                  <c:v>1989年</c:v>
                </c:pt>
                <c:pt idx="10">
                  <c:v>1990年</c:v>
                </c:pt>
                <c:pt idx="11">
                  <c:v>1991年</c:v>
                </c:pt>
                <c:pt idx="12">
                  <c:v>1992年</c:v>
                </c:pt>
                <c:pt idx="13">
                  <c:v>1993年</c:v>
                </c:pt>
                <c:pt idx="14">
                  <c:v>1994年</c:v>
                </c:pt>
                <c:pt idx="15">
                  <c:v>1995年</c:v>
                </c:pt>
                <c:pt idx="16">
                  <c:v>1996年</c:v>
                </c:pt>
                <c:pt idx="17">
                  <c:v>1997年</c:v>
                </c:pt>
                <c:pt idx="18">
                  <c:v>1998年</c:v>
                </c:pt>
                <c:pt idx="19">
                  <c:v>1999年</c:v>
                </c:pt>
                <c:pt idx="20">
                  <c:v>2000年</c:v>
                </c:pt>
                <c:pt idx="21">
                  <c:v>2001年</c:v>
                </c:pt>
                <c:pt idx="22">
                  <c:v>2002年</c:v>
                </c:pt>
                <c:pt idx="23">
                  <c:v>2003年</c:v>
                </c:pt>
                <c:pt idx="24">
                  <c:v>2004年</c:v>
                </c:pt>
                <c:pt idx="25">
                  <c:v>2005年</c:v>
                </c:pt>
                <c:pt idx="26">
                  <c:v>2006年</c:v>
                </c:pt>
                <c:pt idx="27">
                  <c:v>2007年</c:v>
                </c:pt>
                <c:pt idx="28">
                  <c:v>2008年</c:v>
                </c:pt>
                <c:pt idx="29">
                  <c:v>2009年</c:v>
                </c:pt>
                <c:pt idx="30">
                  <c:v>2010年</c:v>
                </c:pt>
                <c:pt idx="31">
                  <c:v>2011年</c:v>
                </c:pt>
                <c:pt idx="32">
                  <c:v>2012年</c:v>
                </c:pt>
                <c:pt idx="33">
                  <c:v>2013年</c:v>
                </c:pt>
                <c:pt idx="34">
                  <c:v>2014年</c:v>
                </c:pt>
                <c:pt idx="35">
                  <c:v>2015年</c:v>
                </c:pt>
                <c:pt idx="36">
                  <c:v>2016年</c:v>
                </c:pt>
                <c:pt idx="37">
                  <c:v>2017年</c:v>
                </c:pt>
                <c:pt idx="38">
                  <c:v>2018年</c:v>
                </c:pt>
                <c:pt idx="39">
                  <c:v>2019年</c:v>
                </c:pt>
              </c:strCache>
            </c:strRef>
          </c:cat>
          <c:val>
            <c:numRef>
              <c:f>'★【現状】生産関数（中間投入あり　見通し）'!$AK$3:$AK$42</c:f>
              <c:numCache>
                <c:formatCode>#,##0_);[Red]\(#,##0\)</c:formatCode>
                <c:ptCount val="40"/>
                <c:pt idx="1">
                  <c:v>635290.13116446184</c:v>
                </c:pt>
                <c:pt idx="2">
                  <c:v>642157.42834934336</c:v>
                </c:pt>
                <c:pt idx="3">
                  <c:v>651398.01385152095</c:v>
                </c:pt>
                <c:pt idx="4">
                  <c:v>680304.20576031518</c:v>
                </c:pt>
                <c:pt idx="5">
                  <c:v>715300.44940283289</c:v>
                </c:pt>
                <c:pt idx="6">
                  <c:v>778375.66615346796</c:v>
                </c:pt>
                <c:pt idx="7">
                  <c:v>823195.47098840529</c:v>
                </c:pt>
                <c:pt idx="8">
                  <c:v>869567.87721413048</c:v>
                </c:pt>
                <c:pt idx="9">
                  <c:v>913513.75571731897</c:v>
                </c:pt>
                <c:pt idx="10">
                  <c:v>937198.04960806097</c:v>
                </c:pt>
                <c:pt idx="11">
                  <c:v>946018.03302782821</c:v>
                </c:pt>
                <c:pt idx="12">
                  <c:v>945222.75299003837</c:v>
                </c:pt>
                <c:pt idx="13">
                  <c:v>926469.38244747231</c:v>
                </c:pt>
                <c:pt idx="14">
                  <c:v>920321.55735231284</c:v>
                </c:pt>
                <c:pt idx="15">
                  <c:v>914765.06052875903</c:v>
                </c:pt>
                <c:pt idx="16">
                  <c:v>882130.86941071053</c:v>
                </c:pt>
                <c:pt idx="17">
                  <c:v>831839.51200953161</c:v>
                </c:pt>
                <c:pt idx="18">
                  <c:v>789282.09235586761</c:v>
                </c:pt>
                <c:pt idx="19">
                  <c:v>757912.42304105207</c:v>
                </c:pt>
                <c:pt idx="20">
                  <c:v>706069.18040646217</c:v>
                </c:pt>
                <c:pt idx="21">
                  <c:v>670601.76792858157</c:v>
                </c:pt>
                <c:pt idx="22">
                  <c:v>629516.12808870315</c:v>
                </c:pt>
                <c:pt idx="23">
                  <c:v>601889.83664617827</c:v>
                </c:pt>
                <c:pt idx="24">
                  <c:v>575203.92859205627</c:v>
                </c:pt>
                <c:pt idx="25">
                  <c:v>555124.29412256344</c:v>
                </c:pt>
                <c:pt idx="26">
                  <c:v>523951.68247711117</c:v>
                </c:pt>
                <c:pt idx="27">
                  <c:v>505356.87026060064</c:v>
                </c:pt>
                <c:pt idx="28">
                  <c:v>482395.1436529659</c:v>
                </c:pt>
                <c:pt idx="29">
                  <c:v>467019.70500080922</c:v>
                </c:pt>
                <c:pt idx="30">
                  <c:v>465314.49948805349</c:v>
                </c:pt>
                <c:pt idx="31">
                  <c:v>472150.41020149359</c:v>
                </c:pt>
                <c:pt idx="32">
                  <c:v>497724.65998266928</c:v>
                </c:pt>
                <c:pt idx="33">
                  <c:v>501261.63660952402</c:v>
                </c:pt>
                <c:pt idx="34">
                  <c:v>540887.2041414408</c:v>
                </c:pt>
                <c:pt idx="35">
                  <c:v>563133.3224047228</c:v>
                </c:pt>
                <c:pt idx="36">
                  <c:v>579209.76546665758</c:v>
                </c:pt>
                <c:pt idx="37">
                  <c:v>580898.13822734565</c:v>
                </c:pt>
                <c:pt idx="38">
                  <c:v>577634.58440136921</c:v>
                </c:pt>
                <c:pt idx="39">
                  <c:v>576573.85523495974</c:v>
                </c:pt>
              </c:numCache>
            </c:numRef>
          </c:val>
          <c:smooth val="0"/>
          <c:extLst>
            <c:ext xmlns:c16="http://schemas.microsoft.com/office/drawing/2014/chart" uri="{C3380CC4-5D6E-409C-BE32-E72D297353CC}">
              <c16:uniqueId val="{00000001-D33A-49CD-A03D-9D40B0441057}"/>
            </c:ext>
          </c:extLst>
        </c:ser>
        <c:dLbls>
          <c:showLegendKey val="0"/>
          <c:showVal val="0"/>
          <c:showCatName val="0"/>
          <c:showSerName val="0"/>
          <c:showPercent val="0"/>
          <c:showBubbleSize val="0"/>
        </c:dLbls>
        <c:smooth val="0"/>
        <c:axId val="658850992"/>
        <c:axId val="658861808"/>
      </c:lineChart>
      <c:catAx>
        <c:axId val="658850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58861808"/>
        <c:crosses val="autoZero"/>
        <c:auto val="1"/>
        <c:lblAlgn val="ctr"/>
        <c:lblOffset val="100"/>
        <c:noMultiLvlLbl val="0"/>
      </c:catAx>
      <c:valAx>
        <c:axId val="65886180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58850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TFP</a:t>
            </a:r>
            <a:r>
              <a:rPr lang="ja-JP" altLang="en-US"/>
              <a:t>成長率の動向</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'★【現状】生産関数（中間投入あり　見通し）'!$AG$2</c:f>
              <c:strCache>
                <c:ptCount val="1"/>
                <c:pt idx="0">
                  <c:v>TFP成長率</c:v>
                </c:pt>
              </c:strCache>
            </c:strRef>
          </c:tx>
          <c:spPr>
            <a:ln w="28575" cap="rnd">
              <a:solidFill>
                <a:schemeClr val="accent1"/>
              </a:solidFill>
              <a:round/>
            </a:ln>
            <a:effectLst/>
          </c:spPr>
          <c:marker>
            <c:symbol val="none"/>
          </c:marker>
          <c:cat>
            <c:strRef>
              <c:f>'★【現状】生産関数（中間投入あり　見通し）'!$AD$3:$AD$42</c:f>
              <c:strCache>
                <c:ptCount val="40"/>
                <c:pt idx="0">
                  <c:v>1980年</c:v>
                </c:pt>
                <c:pt idx="1">
                  <c:v>1981年</c:v>
                </c:pt>
                <c:pt idx="2">
                  <c:v>1982年</c:v>
                </c:pt>
                <c:pt idx="3">
                  <c:v>1983年</c:v>
                </c:pt>
                <c:pt idx="4">
                  <c:v>1984年</c:v>
                </c:pt>
                <c:pt idx="5">
                  <c:v>1985年</c:v>
                </c:pt>
                <c:pt idx="6">
                  <c:v>1986年</c:v>
                </c:pt>
                <c:pt idx="7">
                  <c:v>1987年</c:v>
                </c:pt>
                <c:pt idx="8">
                  <c:v>1988年</c:v>
                </c:pt>
                <c:pt idx="9">
                  <c:v>1989年</c:v>
                </c:pt>
                <c:pt idx="10">
                  <c:v>1990年</c:v>
                </c:pt>
                <c:pt idx="11">
                  <c:v>1991年</c:v>
                </c:pt>
                <c:pt idx="12">
                  <c:v>1992年</c:v>
                </c:pt>
                <c:pt idx="13">
                  <c:v>1993年</c:v>
                </c:pt>
                <c:pt idx="14">
                  <c:v>1994年</c:v>
                </c:pt>
                <c:pt idx="15">
                  <c:v>1995年</c:v>
                </c:pt>
                <c:pt idx="16">
                  <c:v>1996年</c:v>
                </c:pt>
                <c:pt idx="17">
                  <c:v>1997年</c:v>
                </c:pt>
                <c:pt idx="18">
                  <c:v>1998年</c:v>
                </c:pt>
                <c:pt idx="19">
                  <c:v>1999年</c:v>
                </c:pt>
                <c:pt idx="20">
                  <c:v>2000年</c:v>
                </c:pt>
                <c:pt idx="21">
                  <c:v>2001年</c:v>
                </c:pt>
                <c:pt idx="22">
                  <c:v>2002年</c:v>
                </c:pt>
                <c:pt idx="23">
                  <c:v>2003年</c:v>
                </c:pt>
                <c:pt idx="24">
                  <c:v>2004年</c:v>
                </c:pt>
                <c:pt idx="25">
                  <c:v>2005年</c:v>
                </c:pt>
                <c:pt idx="26">
                  <c:v>2006年</c:v>
                </c:pt>
                <c:pt idx="27">
                  <c:v>2007年</c:v>
                </c:pt>
                <c:pt idx="28">
                  <c:v>2008年</c:v>
                </c:pt>
                <c:pt idx="29">
                  <c:v>2009年</c:v>
                </c:pt>
                <c:pt idx="30">
                  <c:v>2010年</c:v>
                </c:pt>
                <c:pt idx="31">
                  <c:v>2011年</c:v>
                </c:pt>
                <c:pt idx="32">
                  <c:v>2012年</c:v>
                </c:pt>
                <c:pt idx="33">
                  <c:v>2013年</c:v>
                </c:pt>
                <c:pt idx="34">
                  <c:v>2014年</c:v>
                </c:pt>
                <c:pt idx="35">
                  <c:v>2015年</c:v>
                </c:pt>
                <c:pt idx="36">
                  <c:v>2016年</c:v>
                </c:pt>
                <c:pt idx="37">
                  <c:v>2017年</c:v>
                </c:pt>
                <c:pt idx="38">
                  <c:v>2018年</c:v>
                </c:pt>
                <c:pt idx="39">
                  <c:v>2019年</c:v>
                </c:pt>
              </c:strCache>
            </c:strRef>
          </c:cat>
          <c:val>
            <c:numRef>
              <c:f>'★【現状】生産関数（中間投入あり　見通し）'!$AG$3:$AG$42</c:f>
              <c:numCache>
                <c:formatCode>0.0%</c:formatCode>
                <c:ptCount val="40"/>
                <c:pt idx="2">
                  <c:v>2.9639948288311846E-2</c:v>
                </c:pt>
                <c:pt idx="3">
                  <c:v>2.9464619513994927E-2</c:v>
                </c:pt>
                <c:pt idx="4">
                  <c:v>2.9883429950020579E-2</c:v>
                </c:pt>
                <c:pt idx="5">
                  <c:v>2.9088109879416901E-2</c:v>
                </c:pt>
                <c:pt idx="6">
                  <c:v>2.5571312362575593E-2</c:v>
                </c:pt>
                <c:pt idx="7">
                  <c:v>1.872784207739242E-2</c:v>
                </c:pt>
                <c:pt idx="8">
                  <c:v>8.4717284929163306E-3</c:v>
                </c:pt>
                <c:pt idx="9">
                  <c:v>-4.4211953265290704E-3</c:v>
                </c:pt>
                <c:pt idx="10">
                  <c:v>-1.8827916774794784E-2</c:v>
                </c:pt>
                <c:pt idx="11">
                  <c:v>-3.3500259709642433E-2</c:v>
                </c:pt>
                <c:pt idx="12">
                  <c:v>-4.6573929512383372E-2</c:v>
                </c:pt>
                <c:pt idx="13">
                  <c:v>-5.7104617272561664E-2</c:v>
                </c:pt>
                <c:pt idx="14">
                  <c:v>-6.4467598752864008E-2</c:v>
                </c:pt>
                <c:pt idx="15">
                  <c:v>-6.8014944407350564E-2</c:v>
                </c:pt>
                <c:pt idx="16">
                  <c:v>-6.8368893250272844E-2</c:v>
                </c:pt>
                <c:pt idx="17">
                  <c:v>-6.6154541351594043E-2</c:v>
                </c:pt>
                <c:pt idx="18">
                  <c:v>-6.1417662304373843E-2</c:v>
                </c:pt>
                <c:pt idx="19">
                  <c:v>-5.5492101326185206E-2</c:v>
                </c:pt>
                <c:pt idx="20">
                  <c:v>-4.9409030796252362E-2</c:v>
                </c:pt>
                <c:pt idx="21">
                  <c:v>-4.4025570716309081E-2</c:v>
                </c:pt>
                <c:pt idx="22">
                  <c:v>-3.9681203186996306E-2</c:v>
                </c:pt>
                <c:pt idx="23">
                  <c:v>-3.5999612288609706E-2</c:v>
                </c:pt>
                <c:pt idx="24">
                  <c:v>-3.2449475008006101E-2</c:v>
                </c:pt>
                <c:pt idx="25">
                  <c:v>-2.8216984789459554E-2</c:v>
                </c:pt>
                <c:pt idx="26">
                  <c:v>-2.2551113413106449E-2</c:v>
                </c:pt>
                <c:pt idx="27">
                  <c:v>-1.4712540099368177E-2</c:v>
                </c:pt>
                <c:pt idx="28">
                  <c:v>-4.1668681907571781E-3</c:v>
                </c:pt>
                <c:pt idx="29">
                  <c:v>8.1192146433306522E-3</c:v>
                </c:pt>
                <c:pt idx="30">
                  <c:v>2.0463817977388166E-2</c:v>
                </c:pt>
                <c:pt idx="31">
                  <c:v>3.1153451178478342E-2</c:v>
                </c:pt>
                <c:pt idx="32">
                  <c:v>3.8797333279400492E-2</c:v>
                </c:pt>
                <c:pt idx="33">
                  <c:v>4.2734526011932505E-2</c:v>
                </c:pt>
                <c:pt idx="34">
                  <c:v>4.2634635289971801E-2</c:v>
                </c:pt>
                <c:pt idx="35">
                  <c:v>3.9603463670184524E-2</c:v>
                </c:pt>
                <c:pt idx="36">
                  <c:v>3.4541324028878773E-2</c:v>
                </c:pt>
                <c:pt idx="37">
                  <c:v>2.8842872814012877E-2</c:v>
                </c:pt>
                <c:pt idx="38">
                  <c:v>2.4281669616813772E-2</c:v>
                </c:pt>
                <c:pt idx="39">
                  <c:v>2.2141501269936192E-2</c:v>
                </c:pt>
              </c:numCache>
            </c:numRef>
          </c:val>
          <c:smooth val="0"/>
          <c:extLst>
            <c:ext xmlns:c16="http://schemas.microsoft.com/office/drawing/2014/chart" uri="{C3380CC4-5D6E-409C-BE32-E72D297353CC}">
              <c16:uniqueId val="{00000000-D361-4F05-9140-7A0B8EEDD6F8}"/>
            </c:ext>
          </c:extLst>
        </c:ser>
        <c:dLbls>
          <c:showLegendKey val="0"/>
          <c:showVal val="0"/>
          <c:showCatName val="0"/>
          <c:showSerName val="0"/>
          <c:showPercent val="0"/>
          <c:showBubbleSize val="0"/>
        </c:dLbls>
        <c:smooth val="0"/>
        <c:axId val="2027026112"/>
        <c:axId val="2027026528"/>
      </c:lineChart>
      <c:catAx>
        <c:axId val="20270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27026528"/>
        <c:crosses val="autoZero"/>
        <c:auto val="1"/>
        <c:lblAlgn val="ctr"/>
        <c:lblOffset val="100"/>
        <c:noMultiLvlLbl val="0"/>
      </c:catAx>
      <c:valAx>
        <c:axId val="20270265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27026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需給ギャップの動向</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'★【現状】生産関数（中間投入あり　見通し）'!$AL$2</c:f>
              <c:strCache>
                <c:ptCount val="1"/>
                <c:pt idx="0">
                  <c:v>需給ギャップ</c:v>
                </c:pt>
              </c:strCache>
            </c:strRef>
          </c:tx>
          <c:spPr>
            <a:ln w="28575" cap="rnd">
              <a:solidFill>
                <a:schemeClr val="accent1"/>
              </a:solidFill>
              <a:round/>
            </a:ln>
            <a:effectLst/>
          </c:spPr>
          <c:marker>
            <c:symbol val="none"/>
          </c:marker>
          <c:cat>
            <c:strRef>
              <c:f>'★【現状】生産関数（中間投入あり　見通し）'!$AI$3:$AI$42</c:f>
              <c:strCache>
                <c:ptCount val="40"/>
                <c:pt idx="0">
                  <c:v>1980年</c:v>
                </c:pt>
                <c:pt idx="1">
                  <c:v>1981年</c:v>
                </c:pt>
                <c:pt idx="2">
                  <c:v>1982年</c:v>
                </c:pt>
                <c:pt idx="3">
                  <c:v>1983年</c:v>
                </c:pt>
                <c:pt idx="4">
                  <c:v>1984年</c:v>
                </c:pt>
                <c:pt idx="5">
                  <c:v>1985年</c:v>
                </c:pt>
                <c:pt idx="6">
                  <c:v>1986年</c:v>
                </c:pt>
                <c:pt idx="7">
                  <c:v>1987年</c:v>
                </c:pt>
                <c:pt idx="8">
                  <c:v>1988年</c:v>
                </c:pt>
                <c:pt idx="9">
                  <c:v>1989年</c:v>
                </c:pt>
                <c:pt idx="10">
                  <c:v>1990年</c:v>
                </c:pt>
                <c:pt idx="11">
                  <c:v>1991年</c:v>
                </c:pt>
                <c:pt idx="12">
                  <c:v>1992年</c:v>
                </c:pt>
                <c:pt idx="13">
                  <c:v>1993年</c:v>
                </c:pt>
                <c:pt idx="14">
                  <c:v>1994年</c:v>
                </c:pt>
                <c:pt idx="15">
                  <c:v>1995年</c:v>
                </c:pt>
                <c:pt idx="16">
                  <c:v>1996年</c:v>
                </c:pt>
                <c:pt idx="17">
                  <c:v>1997年</c:v>
                </c:pt>
                <c:pt idx="18">
                  <c:v>1998年</c:v>
                </c:pt>
                <c:pt idx="19">
                  <c:v>1999年</c:v>
                </c:pt>
                <c:pt idx="20">
                  <c:v>2000年</c:v>
                </c:pt>
                <c:pt idx="21">
                  <c:v>2001年</c:v>
                </c:pt>
                <c:pt idx="22">
                  <c:v>2002年</c:v>
                </c:pt>
                <c:pt idx="23">
                  <c:v>2003年</c:v>
                </c:pt>
                <c:pt idx="24">
                  <c:v>2004年</c:v>
                </c:pt>
                <c:pt idx="25">
                  <c:v>2005年</c:v>
                </c:pt>
                <c:pt idx="26">
                  <c:v>2006年</c:v>
                </c:pt>
                <c:pt idx="27">
                  <c:v>2007年</c:v>
                </c:pt>
                <c:pt idx="28">
                  <c:v>2008年</c:v>
                </c:pt>
                <c:pt idx="29">
                  <c:v>2009年</c:v>
                </c:pt>
                <c:pt idx="30">
                  <c:v>2010年</c:v>
                </c:pt>
                <c:pt idx="31">
                  <c:v>2011年</c:v>
                </c:pt>
                <c:pt idx="32">
                  <c:v>2012年</c:v>
                </c:pt>
                <c:pt idx="33">
                  <c:v>2013年</c:v>
                </c:pt>
                <c:pt idx="34">
                  <c:v>2014年</c:v>
                </c:pt>
                <c:pt idx="35">
                  <c:v>2015年</c:v>
                </c:pt>
                <c:pt idx="36">
                  <c:v>2016年</c:v>
                </c:pt>
                <c:pt idx="37">
                  <c:v>2017年</c:v>
                </c:pt>
                <c:pt idx="38">
                  <c:v>2018年</c:v>
                </c:pt>
                <c:pt idx="39">
                  <c:v>2019年</c:v>
                </c:pt>
              </c:strCache>
            </c:strRef>
          </c:cat>
          <c:val>
            <c:numRef>
              <c:f>'★【現状】生産関数（中間投入あり　見通し）'!$AL$3:$AL$42</c:f>
              <c:numCache>
                <c:formatCode>0.0%</c:formatCode>
                <c:ptCount val="40"/>
                <c:pt idx="1">
                  <c:v>2.5249239986823921E-2</c:v>
                </c:pt>
                <c:pt idx="2">
                  <c:v>-1.0625647653221803E-2</c:v>
                </c:pt>
                <c:pt idx="3">
                  <c:v>-4.1373136460698595E-2</c:v>
                </c:pt>
                <c:pt idx="4">
                  <c:v>-4.8644006784225285E-2</c:v>
                </c:pt>
                <c:pt idx="5">
                  <c:v>-4.8856638680832787E-2</c:v>
                </c:pt>
                <c:pt idx="6">
                  <c:v>-1.9721951527739777E-2</c:v>
                </c:pt>
                <c:pt idx="7">
                  <c:v>-1.0367702658883867E-2</c:v>
                </c:pt>
                <c:pt idx="8">
                  <c:v>3.7999701040755706E-4</c:v>
                </c:pt>
                <c:pt idx="9">
                  <c:v>9.1538486268819639E-3</c:v>
                </c:pt>
                <c:pt idx="10">
                  <c:v>8.7757383937862941E-4</c:v>
                </c:pt>
                <c:pt idx="11">
                  <c:v>-1.5725993814211751E-2</c:v>
                </c:pt>
                <c:pt idx="12">
                  <c:v>-3.2486286365132816E-2</c:v>
                </c:pt>
                <c:pt idx="13">
                  <c:v>-5.4107197568843503E-2</c:v>
                </c:pt>
                <c:pt idx="14">
                  <c:v>-5.1432913712284173E-2</c:v>
                </c:pt>
                <c:pt idx="15">
                  <c:v>-3.4662739974158994E-2</c:v>
                </c:pt>
                <c:pt idx="16">
                  <c:v>-3.0629145070071213E-2</c:v>
                </c:pt>
                <c:pt idx="17">
                  <c:v>-3.5338445331893738E-2</c:v>
                </c:pt>
                <c:pt idx="18">
                  <c:v>-2.8390440025799352E-2</c:v>
                </c:pt>
                <c:pt idx="19">
                  <c:v>-8.3232459327469525E-3</c:v>
                </c:pt>
                <c:pt idx="20">
                  <c:v>-1.3561363801438525E-2</c:v>
                </c:pt>
                <c:pt idx="21">
                  <c:v>-4.2655554246014025E-3</c:v>
                </c:pt>
                <c:pt idx="22">
                  <c:v>-7.7730974964085563E-3</c:v>
                </c:pt>
                <c:pt idx="23">
                  <c:v>7.9578730763471854E-4</c:v>
                </c:pt>
                <c:pt idx="24">
                  <c:v>5.1183542965393888E-3</c:v>
                </c:pt>
                <c:pt idx="25">
                  <c:v>1.3385259431463455E-2</c:v>
                </c:pt>
                <c:pt idx="26">
                  <c:v>-2.7256128080123581E-3</c:v>
                </c:pt>
                <c:pt idx="27">
                  <c:v>-7.265901898857543E-3</c:v>
                </c:pt>
                <c:pt idx="28">
                  <c:v>-2.8476617467215453E-2</c:v>
                </c:pt>
                <c:pt idx="29">
                  <c:v>-4.6872295983601958E-2</c:v>
                </c:pt>
                <c:pt idx="30">
                  <c:v>-5.1228628407553788E-2</c:v>
                </c:pt>
                <c:pt idx="31">
                  <c:v>-4.8989550380597158E-2</c:v>
                </c:pt>
                <c:pt idx="32">
                  <c:v>-2.2051795411577049E-2</c:v>
                </c:pt>
                <c:pt idx="33">
                  <c:v>-3.4578800821269573E-2</c:v>
                </c:pt>
                <c:pt idx="34">
                  <c:v>8.0850920952762594E-3</c:v>
                </c:pt>
                <c:pt idx="35">
                  <c:v>2.3319372152261587E-2</c:v>
                </c:pt>
                <c:pt idx="36">
                  <c:v>3.0723355975997717E-2</c:v>
                </c:pt>
                <c:pt idx="37">
                  <c:v>1.9033488335883138E-2</c:v>
                </c:pt>
                <c:pt idx="38">
                  <c:v>2.0478436930819435E-3</c:v>
                </c:pt>
                <c:pt idx="39">
                  <c:v>-1.047857430729339E-2</c:v>
                </c:pt>
              </c:numCache>
            </c:numRef>
          </c:val>
          <c:smooth val="0"/>
          <c:extLst>
            <c:ext xmlns:c16="http://schemas.microsoft.com/office/drawing/2014/chart" uri="{C3380CC4-5D6E-409C-BE32-E72D297353CC}">
              <c16:uniqueId val="{00000000-A9A6-4341-B312-73D367A6A15F}"/>
            </c:ext>
          </c:extLst>
        </c:ser>
        <c:dLbls>
          <c:showLegendKey val="0"/>
          <c:showVal val="0"/>
          <c:showCatName val="0"/>
          <c:showSerName val="0"/>
          <c:showPercent val="0"/>
          <c:showBubbleSize val="0"/>
        </c:dLbls>
        <c:smooth val="0"/>
        <c:axId val="658840592"/>
        <c:axId val="658863056"/>
      </c:lineChart>
      <c:catAx>
        <c:axId val="65884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58863056"/>
        <c:crosses val="autoZero"/>
        <c:auto val="1"/>
        <c:lblAlgn val="ctr"/>
        <c:lblOffset val="100"/>
        <c:noMultiLvlLbl val="0"/>
      </c:catAx>
      <c:valAx>
        <c:axId val="6588630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58840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15235866802127E-2"/>
          <c:y val="5.821146219942655E-2"/>
          <c:w val="0.91739676113106894"/>
          <c:h val="0.77608942313982698"/>
        </c:manualLayout>
      </c:layout>
      <c:lineChart>
        <c:grouping val="standard"/>
        <c:varyColors val="0"/>
        <c:ser>
          <c:idx val="0"/>
          <c:order val="0"/>
          <c:tx>
            <c:strRef>
              <c:f>'★平均労働時間 (製造業)'!$J$1</c:f>
              <c:strCache>
                <c:ptCount val="1"/>
                <c:pt idx="0">
                  <c:v>現実平均労働時間</c:v>
                </c:pt>
              </c:strCache>
            </c:strRef>
          </c:tx>
          <c:spPr>
            <a:ln w="28575" cap="rnd">
              <a:solidFill>
                <a:schemeClr val="tx1">
                  <a:lumMod val="85000"/>
                  <a:lumOff val="15000"/>
                </a:schemeClr>
              </a:solidFill>
              <a:round/>
            </a:ln>
            <a:effectLst/>
          </c:spPr>
          <c:marker>
            <c:symbol val="none"/>
          </c:marker>
          <c:cat>
            <c:strRef>
              <c:f>'★平均労働時間 (製造業)'!$I$2:$I$67</c:f>
              <c:strCache>
                <c:ptCount val="66"/>
                <c:pt idx="0">
                  <c:v>1955年</c:v>
                </c:pt>
                <c:pt idx="1">
                  <c:v>1956年</c:v>
                </c:pt>
                <c:pt idx="2">
                  <c:v>1957年</c:v>
                </c:pt>
                <c:pt idx="3">
                  <c:v>1958年</c:v>
                </c:pt>
                <c:pt idx="4">
                  <c:v>1959年</c:v>
                </c:pt>
                <c:pt idx="5">
                  <c:v>1960年</c:v>
                </c:pt>
                <c:pt idx="6">
                  <c:v>1961年</c:v>
                </c:pt>
                <c:pt idx="7">
                  <c:v>1962年</c:v>
                </c:pt>
                <c:pt idx="8">
                  <c:v>1963年</c:v>
                </c:pt>
                <c:pt idx="9">
                  <c:v>1964年</c:v>
                </c:pt>
                <c:pt idx="10">
                  <c:v>1965年</c:v>
                </c:pt>
                <c:pt idx="11">
                  <c:v>1966年</c:v>
                </c:pt>
                <c:pt idx="12">
                  <c:v>1967年</c:v>
                </c:pt>
                <c:pt idx="13">
                  <c:v>1968年</c:v>
                </c:pt>
                <c:pt idx="14">
                  <c:v>1969年</c:v>
                </c:pt>
                <c:pt idx="15">
                  <c:v>1970年</c:v>
                </c:pt>
                <c:pt idx="16">
                  <c:v>1971年</c:v>
                </c:pt>
                <c:pt idx="17">
                  <c:v>1972年</c:v>
                </c:pt>
                <c:pt idx="18">
                  <c:v>1973年</c:v>
                </c:pt>
                <c:pt idx="19">
                  <c:v>1974年</c:v>
                </c:pt>
                <c:pt idx="20">
                  <c:v>1975年</c:v>
                </c:pt>
                <c:pt idx="21">
                  <c:v>1976年</c:v>
                </c:pt>
                <c:pt idx="22">
                  <c:v>1977年</c:v>
                </c:pt>
                <c:pt idx="23">
                  <c:v>1978年</c:v>
                </c:pt>
                <c:pt idx="24">
                  <c:v>1979年</c:v>
                </c:pt>
                <c:pt idx="25">
                  <c:v>1980年</c:v>
                </c:pt>
                <c:pt idx="26">
                  <c:v>1981年</c:v>
                </c:pt>
                <c:pt idx="27">
                  <c:v>1982年</c:v>
                </c:pt>
                <c:pt idx="28">
                  <c:v>1983年</c:v>
                </c:pt>
                <c:pt idx="29">
                  <c:v>1984年</c:v>
                </c:pt>
                <c:pt idx="30">
                  <c:v>1985年</c:v>
                </c:pt>
                <c:pt idx="31">
                  <c:v>1986年</c:v>
                </c:pt>
                <c:pt idx="32">
                  <c:v>1987年</c:v>
                </c:pt>
                <c:pt idx="33">
                  <c:v>1988年</c:v>
                </c:pt>
                <c:pt idx="34">
                  <c:v>1989年</c:v>
                </c:pt>
                <c:pt idx="35">
                  <c:v>1990年</c:v>
                </c:pt>
                <c:pt idx="36">
                  <c:v>1991年</c:v>
                </c:pt>
                <c:pt idx="37">
                  <c:v>1992年</c:v>
                </c:pt>
                <c:pt idx="38">
                  <c:v>1993年</c:v>
                </c:pt>
                <c:pt idx="39">
                  <c:v>1994年</c:v>
                </c:pt>
                <c:pt idx="40">
                  <c:v>1995年</c:v>
                </c:pt>
                <c:pt idx="41">
                  <c:v>1996年</c:v>
                </c:pt>
                <c:pt idx="42">
                  <c:v>1997年</c:v>
                </c:pt>
                <c:pt idx="43">
                  <c:v>1998年</c:v>
                </c:pt>
                <c:pt idx="44">
                  <c:v>1999年</c:v>
                </c:pt>
                <c:pt idx="45">
                  <c:v>2000年</c:v>
                </c:pt>
                <c:pt idx="46">
                  <c:v>2001年</c:v>
                </c:pt>
                <c:pt idx="47">
                  <c:v>2002年</c:v>
                </c:pt>
                <c:pt idx="48">
                  <c:v>2003年</c:v>
                </c:pt>
                <c:pt idx="49">
                  <c:v>2004年</c:v>
                </c:pt>
                <c:pt idx="50">
                  <c:v>2005年</c:v>
                </c:pt>
                <c:pt idx="51">
                  <c:v>2006年</c:v>
                </c:pt>
                <c:pt idx="52">
                  <c:v>2007年</c:v>
                </c:pt>
                <c:pt idx="53">
                  <c:v>2008年</c:v>
                </c:pt>
                <c:pt idx="54">
                  <c:v>2009年</c:v>
                </c:pt>
                <c:pt idx="55">
                  <c:v>2010年</c:v>
                </c:pt>
                <c:pt idx="56">
                  <c:v>2011年</c:v>
                </c:pt>
                <c:pt idx="57">
                  <c:v>2012年</c:v>
                </c:pt>
                <c:pt idx="58">
                  <c:v>2013年</c:v>
                </c:pt>
                <c:pt idx="59">
                  <c:v>2014年</c:v>
                </c:pt>
                <c:pt idx="60">
                  <c:v>2015年</c:v>
                </c:pt>
                <c:pt idx="61">
                  <c:v>2016年</c:v>
                </c:pt>
                <c:pt idx="62">
                  <c:v>2017年</c:v>
                </c:pt>
                <c:pt idx="63">
                  <c:v>2018年</c:v>
                </c:pt>
                <c:pt idx="64">
                  <c:v>2019年</c:v>
                </c:pt>
                <c:pt idx="65">
                  <c:v>2020年</c:v>
                </c:pt>
              </c:strCache>
            </c:strRef>
          </c:cat>
          <c:val>
            <c:numRef>
              <c:f>'★平均労働時間 (製造業)'!$J$2:$J$67</c:f>
              <c:numCache>
                <c:formatCode>#,##0_);[Red]\(#,##0\)</c:formatCode>
                <c:ptCount val="66"/>
                <c:pt idx="0">
                  <c:v>2381.7733666666668</c:v>
                </c:pt>
                <c:pt idx="1">
                  <c:v>2460.1070999999997</c:v>
                </c:pt>
                <c:pt idx="2">
                  <c:v>2449.5748333333336</c:v>
                </c:pt>
                <c:pt idx="3">
                  <c:v>2413.6992999999998</c:v>
                </c:pt>
                <c:pt idx="4">
                  <c:v>2455.4992333333334</c:v>
                </c:pt>
                <c:pt idx="5">
                  <c:v>2485.6149333333333</c:v>
                </c:pt>
                <c:pt idx="6">
                  <c:v>2437.0677666666666</c:v>
                </c:pt>
                <c:pt idx="7">
                  <c:v>2374.3678666666665</c:v>
                </c:pt>
                <c:pt idx="8">
                  <c:v>2353.9616000000001</c:v>
                </c:pt>
                <c:pt idx="9">
                  <c:v>2343.4293333333335</c:v>
                </c:pt>
                <c:pt idx="10">
                  <c:v>2298.8317666666667</c:v>
                </c:pt>
                <c:pt idx="11">
                  <c:v>2311.9970999999996</c:v>
                </c:pt>
                <c:pt idx="12">
                  <c:v>2320.8836999999999</c:v>
                </c:pt>
                <c:pt idx="13">
                  <c:v>2307.8829333333333</c:v>
                </c:pt>
                <c:pt idx="14">
                  <c:v>2271.3491333333332</c:v>
                </c:pt>
                <c:pt idx="15">
                  <c:v>2244.5247666666664</c:v>
                </c:pt>
                <c:pt idx="16">
                  <c:v>2208.1555333333331</c:v>
                </c:pt>
                <c:pt idx="17">
                  <c:v>2195.9775999999997</c:v>
                </c:pt>
                <c:pt idx="18">
                  <c:v>2181.1666</c:v>
                </c:pt>
                <c:pt idx="19">
                  <c:v>2077.1604666666667</c:v>
                </c:pt>
                <c:pt idx="20">
                  <c:v>2014.9542666666666</c:v>
                </c:pt>
                <c:pt idx="21">
                  <c:v>2086.2116333333333</c:v>
                </c:pt>
                <c:pt idx="22">
                  <c:v>2094.1108333333332</c:v>
                </c:pt>
                <c:pt idx="23">
                  <c:v>2108.5926999999997</c:v>
                </c:pt>
                <c:pt idx="24">
                  <c:v>2132.4548666666665</c:v>
                </c:pt>
                <c:pt idx="25">
                  <c:v>2138.0501333333332</c:v>
                </c:pt>
                <c:pt idx="26">
                  <c:v>2130.3155000000002</c:v>
                </c:pt>
                <c:pt idx="27">
                  <c:v>2122.7454333333335</c:v>
                </c:pt>
                <c:pt idx="28">
                  <c:v>2133.4422666666665</c:v>
                </c:pt>
                <c:pt idx="29">
                  <c:v>2162.2414333333336</c:v>
                </c:pt>
                <c:pt idx="30">
                  <c:v>2148.5823999999998</c:v>
                </c:pt>
                <c:pt idx="31">
                  <c:v>2131.3029000000001</c:v>
                </c:pt>
                <c:pt idx="32">
                  <c:v>2142.4934333333335</c:v>
                </c:pt>
                <c:pt idx="33">
                  <c:v>2168.8240999999998</c:v>
                </c:pt>
                <c:pt idx="34">
                  <c:v>2146.443033333333</c:v>
                </c:pt>
                <c:pt idx="35">
                  <c:v>2118.9603999999999</c:v>
                </c:pt>
                <c:pt idx="36">
                  <c:v>2072.2234666666668</c:v>
                </c:pt>
                <c:pt idx="37">
                  <c:v>2004.4219999999998</c:v>
                </c:pt>
                <c:pt idx="38">
                  <c:v>1959.0016000000001</c:v>
                </c:pt>
                <c:pt idx="39">
                  <c:v>1957.8496333333335</c:v>
                </c:pt>
                <c:pt idx="40">
                  <c:v>1970.3567</c:v>
                </c:pt>
                <c:pt idx="41">
                  <c:v>1985.0031333333334</c:v>
                </c:pt>
                <c:pt idx="42">
                  <c:v>1981.7117999999998</c:v>
                </c:pt>
                <c:pt idx="43">
                  <c:v>1947.8110666666669</c:v>
                </c:pt>
                <c:pt idx="44">
                  <c:v>1947.8110666666669</c:v>
                </c:pt>
                <c:pt idx="45">
                  <c:v>1983.6865999999998</c:v>
                </c:pt>
                <c:pt idx="46">
                  <c:v>1962.7866333333334</c:v>
                </c:pt>
                <c:pt idx="47">
                  <c:v>1968.8756000000003</c:v>
                </c:pt>
                <c:pt idx="48">
                  <c:v>1991.0920999999998</c:v>
                </c:pt>
                <c:pt idx="49">
                  <c:v>2019.0684333333331</c:v>
                </c:pt>
                <c:pt idx="50">
                  <c:v>2006.0676666666666</c:v>
                </c:pt>
                <c:pt idx="51">
                  <c:v>2020.0558333333331</c:v>
                </c:pt>
                <c:pt idx="52">
                  <c:v>2010.0172666666667</c:v>
                </c:pt>
                <c:pt idx="53">
                  <c:v>1986.4842333333338</c:v>
                </c:pt>
                <c:pt idx="54">
                  <c:v>1873.2623666666668</c:v>
                </c:pt>
                <c:pt idx="55">
                  <c:v>1967.0653666666667</c:v>
                </c:pt>
                <c:pt idx="56">
                  <c:v>1957.8496333333333</c:v>
                </c:pt>
                <c:pt idx="57">
                  <c:v>1974.9645666666668</c:v>
                </c:pt>
                <c:pt idx="58">
                  <c:v>1960.9764</c:v>
                </c:pt>
                <c:pt idx="59">
                  <c:v>1968.3819000000001</c:v>
                </c:pt>
                <c:pt idx="60">
                  <c:v>1975.2937000000002</c:v>
                </c:pt>
                <c:pt idx="61">
                  <c:v>1973.6480333333332</c:v>
                </c:pt>
                <c:pt idx="62">
                  <c:v>1980.559833333333</c:v>
                </c:pt>
                <c:pt idx="63">
                  <c:v>1981.2181</c:v>
                </c:pt>
                <c:pt idx="64">
                  <c:v>1942.7095000000004</c:v>
                </c:pt>
                <c:pt idx="65">
                  <c:v>1868.8190666666667</c:v>
                </c:pt>
              </c:numCache>
            </c:numRef>
          </c:val>
          <c:smooth val="0"/>
          <c:extLst>
            <c:ext xmlns:c16="http://schemas.microsoft.com/office/drawing/2014/chart" uri="{C3380CC4-5D6E-409C-BE32-E72D297353CC}">
              <c16:uniqueId val="{00000000-E77B-473F-B967-56A2D3184E0B}"/>
            </c:ext>
          </c:extLst>
        </c:ser>
        <c:ser>
          <c:idx val="1"/>
          <c:order val="1"/>
          <c:tx>
            <c:strRef>
              <c:f>'★平均労働時間 (製造業)'!$K$1</c:f>
              <c:strCache>
                <c:ptCount val="1"/>
                <c:pt idx="0">
                  <c:v>潜在平均労働時間</c:v>
                </c:pt>
              </c:strCache>
            </c:strRef>
          </c:tx>
          <c:spPr>
            <a:ln w="28575" cap="rnd">
              <a:solidFill>
                <a:schemeClr val="bg1">
                  <a:lumMod val="65000"/>
                </a:schemeClr>
              </a:solidFill>
              <a:round/>
            </a:ln>
            <a:effectLst/>
          </c:spPr>
          <c:marker>
            <c:symbol val="none"/>
          </c:marker>
          <c:cat>
            <c:strRef>
              <c:f>'★平均労働時間 (製造業)'!$I$2:$I$67</c:f>
              <c:strCache>
                <c:ptCount val="66"/>
                <c:pt idx="0">
                  <c:v>1955年</c:v>
                </c:pt>
                <c:pt idx="1">
                  <c:v>1956年</c:v>
                </c:pt>
                <c:pt idx="2">
                  <c:v>1957年</c:v>
                </c:pt>
                <c:pt idx="3">
                  <c:v>1958年</c:v>
                </c:pt>
                <c:pt idx="4">
                  <c:v>1959年</c:v>
                </c:pt>
                <c:pt idx="5">
                  <c:v>1960年</c:v>
                </c:pt>
                <c:pt idx="6">
                  <c:v>1961年</c:v>
                </c:pt>
                <c:pt idx="7">
                  <c:v>1962年</c:v>
                </c:pt>
                <c:pt idx="8">
                  <c:v>1963年</c:v>
                </c:pt>
                <c:pt idx="9">
                  <c:v>1964年</c:v>
                </c:pt>
                <c:pt idx="10">
                  <c:v>1965年</c:v>
                </c:pt>
                <c:pt idx="11">
                  <c:v>1966年</c:v>
                </c:pt>
                <c:pt idx="12">
                  <c:v>1967年</c:v>
                </c:pt>
                <c:pt idx="13">
                  <c:v>1968年</c:v>
                </c:pt>
                <c:pt idx="14">
                  <c:v>1969年</c:v>
                </c:pt>
                <c:pt idx="15">
                  <c:v>1970年</c:v>
                </c:pt>
                <c:pt idx="16">
                  <c:v>1971年</c:v>
                </c:pt>
                <c:pt idx="17">
                  <c:v>1972年</c:v>
                </c:pt>
                <c:pt idx="18">
                  <c:v>1973年</c:v>
                </c:pt>
                <c:pt idx="19">
                  <c:v>1974年</c:v>
                </c:pt>
                <c:pt idx="20">
                  <c:v>1975年</c:v>
                </c:pt>
                <c:pt idx="21">
                  <c:v>1976年</c:v>
                </c:pt>
                <c:pt idx="22">
                  <c:v>1977年</c:v>
                </c:pt>
                <c:pt idx="23">
                  <c:v>1978年</c:v>
                </c:pt>
                <c:pt idx="24">
                  <c:v>1979年</c:v>
                </c:pt>
                <c:pt idx="25">
                  <c:v>1980年</c:v>
                </c:pt>
                <c:pt idx="26">
                  <c:v>1981年</c:v>
                </c:pt>
                <c:pt idx="27">
                  <c:v>1982年</c:v>
                </c:pt>
                <c:pt idx="28">
                  <c:v>1983年</c:v>
                </c:pt>
                <c:pt idx="29">
                  <c:v>1984年</c:v>
                </c:pt>
                <c:pt idx="30">
                  <c:v>1985年</c:v>
                </c:pt>
                <c:pt idx="31">
                  <c:v>1986年</c:v>
                </c:pt>
                <c:pt idx="32">
                  <c:v>1987年</c:v>
                </c:pt>
                <c:pt idx="33">
                  <c:v>1988年</c:v>
                </c:pt>
                <c:pt idx="34">
                  <c:v>1989年</c:v>
                </c:pt>
                <c:pt idx="35">
                  <c:v>1990年</c:v>
                </c:pt>
                <c:pt idx="36">
                  <c:v>1991年</c:v>
                </c:pt>
                <c:pt idx="37">
                  <c:v>1992年</c:v>
                </c:pt>
                <c:pt idx="38">
                  <c:v>1993年</c:v>
                </c:pt>
                <c:pt idx="39">
                  <c:v>1994年</c:v>
                </c:pt>
                <c:pt idx="40">
                  <c:v>1995年</c:v>
                </c:pt>
                <c:pt idx="41">
                  <c:v>1996年</c:v>
                </c:pt>
                <c:pt idx="42">
                  <c:v>1997年</c:v>
                </c:pt>
                <c:pt idx="43">
                  <c:v>1998年</c:v>
                </c:pt>
                <c:pt idx="44">
                  <c:v>1999年</c:v>
                </c:pt>
                <c:pt idx="45">
                  <c:v>2000年</c:v>
                </c:pt>
                <c:pt idx="46">
                  <c:v>2001年</c:v>
                </c:pt>
                <c:pt idx="47">
                  <c:v>2002年</c:v>
                </c:pt>
                <c:pt idx="48">
                  <c:v>2003年</c:v>
                </c:pt>
                <c:pt idx="49">
                  <c:v>2004年</c:v>
                </c:pt>
                <c:pt idx="50">
                  <c:v>2005年</c:v>
                </c:pt>
                <c:pt idx="51">
                  <c:v>2006年</c:v>
                </c:pt>
                <c:pt idx="52">
                  <c:v>2007年</c:v>
                </c:pt>
                <c:pt idx="53">
                  <c:v>2008年</c:v>
                </c:pt>
                <c:pt idx="54">
                  <c:v>2009年</c:v>
                </c:pt>
                <c:pt idx="55">
                  <c:v>2010年</c:v>
                </c:pt>
                <c:pt idx="56">
                  <c:v>2011年</c:v>
                </c:pt>
                <c:pt idx="57">
                  <c:v>2012年</c:v>
                </c:pt>
                <c:pt idx="58">
                  <c:v>2013年</c:v>
                </c:pt>
                <c:pt idx="59">
                  <c:v>2014年</c:v>
                </c:pt>
                <c:pt idx="60">
                  <c:v>2015年</c:v>
                </c:pt>
                <c:pt idx="61">
                  <c:v>2016年</c:v>
                </c:pt>
                <c:pt idx="62">
                  <c:v>2017年</c:v>
                </c:pt>
                <c:pt idx="63">
                  <c:v>2018年</c:v>
                </c:pt>
                <c:pt idx="64">
                  <c:v>2019年</c:v>
                </c:pt>
                <c:pt idx="65">
                  <c:v>2020年</c:v>
                </c:pt>
              </c:strCache>
            </c:strRef>
          </c:cat>
          <c:val>
            <c:numRef>
              <c:f>'★平均労働時間 (製造業)'!$K$2:$K$67</c:f>
              <c:numCache>
                <c:formatCode>#,##0_);[Red]\(#,##0\)</c:formatCode>
                <c:ptCount val="66"/>
                <c:pt idx="0">
                  <c:v>2449.8905802975</c:v>
                </c:pt>
                <c:pt idx="1">
                  <c:v>2445.7226761700799</c:v>
                </c:pt>
                <c:pt idx="2">
                  <c:v>2440.8735999063601</c:v>
                </c:pt>
                <c:pt idx="3">
                  <c:v>2434.8060236083202</c:v>
                </c:pt>
                <c:pt idx="4">
                  <c:v>2427.0696317122402</c:v>
                </c:pt>
                <c:pt idx="5">
                  <c:v>2417.0030414182802</c:v>
                </c:pt>
                <c:pt idx="6">
                  <c:v>2404.2291659428502</c:v>
                </c:pt>
                <c:pt idx="7">
                  <c:v>2389.0570374214699</c:v>
                </c:pt>
                <c:pt idx="8">
                  <c:v>2372.1240739969398</c:v>
                </c:pt>
                <c:pt idx="9">
                  <c:v>2353.9208021044901</c:v>
                </c:pt>
                <c:pt idx="10">
                  <c:v>2334.7561234393802</c:v>
                </c:pt>
                <c:pt idx="11">
                  <c:v>2314.8340250091701</c:v>
                </c:pt>
                <c:pt idx="12">
                  <c:v>2293.9992502536802</c:v>
                </c:pt>
                <c:pt idx="13">
                  <c:v>2272.0681733626502</c:v>
                </c:pt>
                <c:pt idx="14">
                  <c:v>2249.1260130232699</c:v>
                </c:pt>
                <c:pt idx="15">
                  <c:v>2225.6161355224499</c:v>
                </c:pt>
                <c:pt idx="16">
                  <c:v>2202.2041383502001</c:v>
                </c:pt>
                <c:pt idx="17">
                  <c:v>2179.74470530796</c:v>
                </c:pt>
                <c:pt idx="18">
                  <c:v>2159.15203414702</c:v>
                </c:pt>
                <c:pt idx="19">
                  <c:v>2141.50265156556</c:v>
                </c:pt>
                <c:pt idx="20">
                  <c:v>2128.09322992031</c:v>
                </c:pt>
                <c:pt idx="21">
                  <c:v>2119.57701971901</c:v>
                </c:pt>
                <c:pt idx="22">
                  <c:v>2115.47588183687</c:v>
                </c:pt>
                <c:pt idx="23">
                  <c:v>2114.9780232852299</c:v>
                </c:pt>
                <c:pt idx="24">
                  <c:v>2117.0580005903998</c:v>
                </c:pt>
                <c:pt idx="25">
                  <c:v>2120.62651704583</c:v>
                </c:pt>
                <c:pt idx="26">
                  <c:v>2124.7482446057502</c:v>
                </c:pt>
                <c:pt idx="27">
                  <c:v>2128.6620913872298</c:v>
                </c:pt>
                <c:pt idx="28">
                  <c:v>2131.6626380613302</c:v>
                </c:pt>
                <c:pt idx="29">
                  <c:v>2132.98529871853</c:v>
                </c:pt>
                <c:pt idx="30">
                  <c:v>2131.8832837353798</c:v>
                </c:pt>
                <c:pt idx="31">
                  <c:v>2127.9023648345901</c:v>
                </c:pt>
                <c:pt idx="32">
                  <c:v>2120.7553049015</c:v>
                </c:pt>
                <c:pt idx="33">
                  <c:v>2110.1888721731002</c:v>
                </c:pt>
                <c:pt idx="34">
                  <c:v>2096.1672161707202</c:v>
                </c:pt>
                <c:pt idx="35">
                  <c:v>2079.2408386939301</c:v>
                </c:pt>
                <c:pt idx="36">
                  <c:v>2060.46299971396</c:v>
                </c:pt>
                <c:pt idx="37">
                  <c:v>2041.28415481507</c:v>
                </c:pt>
                <c:pt idx="38">
                  <c:v>2023.27236425107</c:v>
                </c:pt>
                <c:pt idx="39">
                  <c:v>2007.6270667276101</c:v>
                </c:pt>
                <c:pt idx="40">
                  <c:v>1994.90499330782</c:v>
                </c:pt>
                <c:pt idx="41">
                  <c:v>1985.16510072091</c:v>
                </c:pt>
                <c:pt idx="42">
                  <c:v>1978.22086276299</c:v>
                </c:pt>
                <c:pt idx="43">
                  <c:v>1973.8841335563</c:v>
                </c:pt>
                <c:pt idx="44">
                  <c:v>1972.0016765954399</c:v>
                </c:pt>
                <c:pt idx="45">
                  <c:v>1972.15952470615</c:v>
                </c:pt>
                <c:pt idx="46">
                  <c:v>1973.7018046148301</c:v>
                </c:pt>
                <c:pt idx="47">
                  <c:v>1976.08791380086</c:v>
                </c:pt>
                <c:pt idx="48">
                  <c:v>1978.6680980307899</c:v>
                </c:pt>
                <c:pt idx="49">
                  <c:v>1980.72047993315</c:v>
                </c:pt>
                <c:pt idx="50">
                  <c:v>1981.64742215618</c:v>
                </c:pt>
                <c:pt idx="51">
                  <c:v>1981.2347668821101</c:v>
                </c:pt>
                <c:pt idx="52">
                  <c:v>1979.51255873829</c:v>
                </c:pt>
                <c:pt idx="53">
                  <c:v>1976.89905301657</c:v>
                </c:pt>
                <c:pt idx="54">
                  <c:v>1974.11755208809</c:v>
                </c:pt>
                <c:pt idx="55">
                  <c:v>1971.9872101271501</c:v>
                </c:pt>
                <c:pt idx="56">
                  <c:v>1970.31862945385</c:v>
                </c:pt>
                <c:pt idx="57">
                  <c:v>1968.8731939536699</c:v>
                </c:pt>
                <c:pt idx="58">
                  <c:v>1967.2875975509</c:v>
                </c:pt>
                <c:pt idx="59">
                  <c:v>1965.2594478969399</c:v>
                </c:pt>
                <c:pt idx="60">
                  <c:v>1962.4232406677099</c:v>
                </c:pt>
                <c:pt idx="61">
                  <c:v>1958.4446960601299</c:v>
                </c:pt>
                <c:pt idx="62">
                  <c:v>1953.1182388644499</c:v>
                </c:pt>
                <c:pt idx="63">
                  <c:v>1946.3903272436801</c:v>
                </c:pt>
                <c:pt idx="64">
                  <c:v>1938.48183530548</c:v>
                </c:pt>
                <c:pt idx="65">
                  <c:v>1938.48183530548</c:v>
                </c:pt>
              </c:numCache>
            </c:numRef>
          </c:val>
          <c:smooth val="0"/>
          <c:extLst>
            <c:ext xmlns:c16="http://schemas.microsoft.com/office/drawing/2014/chart" uri="{C3380CC4-5D6E-409C-BE32-E72D297353CC}">
              <c16:uniqueId val="{00000001-E77B-473F-B967-56A2D3184E0B}"/>
            </c:ext>
          </c:extLst>
        </c:ser>
        <c:dLbls>
          <c:showLegendKey val="0"/>
          <c:showVal val="0"/>
          <c:showCatName val="0"/>
          <c:showSerName val="0"/>
          <c:showPercent val="0"/>
          <c:showBubbleSize val="0"/>
        </c:dLbls>
        <c:smooth val="0"/>
        <c:axId val="758780320"/>
        <c:axId val="758766176"/>
      </c:lineChart>
      <c:catAx>
        <c:axId val="75878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8766176"/>
        <c:crosses val="autoZero"/>
        <c:auto val="1"/>
        <c:lblAlgn val="ctr"/>
        <c:lblOffset val="100"/>
        <c:noMultiLvlLbl val="0"/>
      </c:catAx>
      <c:valAx>
        <c:axId val="75876617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8780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★図6!$B$1</c:f>
              <c:strCache>
                <c:ptCount val="1"/>
                <c:pt idx="0">
                  <c:v>有形固定資産減耗率</c:v>
                </c:pt>
              </c:strCache>
            </c:strRef>
          </c:tx>
          <c:spPr>
            <a:ln w="28575" cap="rnd">
              <a:solidFill>
                <a:schemeClr val="accent1"/>
              </a:solidFill>
              <a:prstDash val="dash"/>
              <a:round/>
            </a:ln>
            <a:effectLst/>
          </c:spPr>
          <c:marker>
            <c:symbol val="none"/>
          </c:marker>
          <c:cat>
            <c:numRef>
              <c:f>★図6!$A$2:$A$56</c:f>
              <c:numCache>
                <c:formatCode>General</c:formatCode>
                <c:ptCount val="55"/>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pt idx="44">
                  <c:v>2025</c:v>
                </c:pt>
                <c:pt idx="45">
                  <c:v>2026</c:v>
                </c:pt>
                <c:pt idx="46">
                  <c:v>2027</c:v>
                </c:pt>
                <c:pt idx="47">
                  <c:v>2028</c:v>
                </c:pt>
                <c:pt idx="48">
                  <c:v>2029</c:v>
                </c:pt>
                <c:pt idx="49">
                  <c:v>2030</c:v>
                </c:pt>
                <c:pt idx="50">
                  <c:v>2031</c:v>
                </c:pt>
                <c:pt idx="51">
                  <c:v>2032</c:v>
                </c:pt>
                <c:pt idx="52">
                  <c:v>2033</c:v>
                </c:pt>
                <c:pt idx="53">
                  <c:v>2034</c:v>
                </c:pt>
                <c:pt idx="54">
                  <c:v>2035</c:v>
                </c:pt>
              </c:numCache>
            </c:numRef>
          </c:cat>
          <c:val>
            <c:numRef>
              <c:f>★図6!$B$2:$B$56</c:f>
              <c:numCache>
                <c:formatCode>0.0%</c:formatCode>
                <c:ptCount val="55"/>
                <c:pt idx="0">
                  <c:v>9.9397659666527652E-2</c:v>
                </c:pt>
                <c:pt idx="1">
                  <c:v>0.10155024626748303</c:v>
                </c:pt>
                <c:pt idx="2">
                  <c:v>0.10577141616732799</c:v>
                </c:pt>
                <c:pt idx="3">
                  <c:v>0.10811939449329493</c:v>
                </c:pt>
                <c:pt idx="4">
                  <c:v>0.11717576103466582</c:v>
                </c:pt>
                <c:pt idx="5">
                  <c:v>0.11315827810043916</c:v>
                </c:pt>
                <c:pt idx="6">
                  <c:v>0.11060647451739845</c:v>
                </c:pt>
                <c:pt idx="7">
                  <c:v>0.10622289444240673</c:v>
                </c:pt>
                <c:pt idx="8">
                  <c:v>0.10562191321004707</c:v>
                </c:pt>
                <c:pt idx="9">
                  <c:v>9.9648887769073644E-2</c:v>
                </c:pt>
                <c:pt idx="10">
                  <c:v>0.10219668755332688</c:v>
                </c:pt>
                <c:pt idx="11">
                  <c:v>0.10635865326378074</c:v>
                </c:pt>
                <c:pt idx="12">
                  <c:v>0.10896493823100792</c:v>
                </c:pt>
                <c:pt idx="13">
                  <c:v>0.10970254496282229</c:v>
                </c:pt>
                <c:pt idx="14">
                  <c:v>0.10615447638595017</c:v>
                </c:pt>
                <c:pt idx="15">
                  <c:v>0.10796927823546791</c:v>
                </c:pt>
                <c:pt idx="16">
                  <c:v>0.11098527746319375</c:v>
                </c:pt>
                <c:pt idx="17">
                  <c:v>0.1121881383882056</c:v>
                </c:pt>
                <c:pt idx="18">
                  <c:v>0.11052012414897885</c:v>
                </c:pt>
                <c:pt idx="19">
                  <c:v>0.10780754191009188</c:v>
                </c:pt>
                <c:pt idx="20">
                  <c:v>0.10978428351309698</c:v>
                </c:pt>
                <c:pt idx="21">
                  <c:v>0.11052220821433778</c:v>
                </c:pt>
                <c:pt idx="22">
                  <c:v>0.11190920153023266</c:v>
                </c:pt>
                <c:pt idx="23">
                  <c:v>0.10971531157161858</c:v>
                </c:pt>
                <c:pt idx="24">
                  <c:v>0.10874314881434458</c:v>
                </c:pt>
                <c:pt idx="25">
                  <c:v>0.10686823296984259</c:v>
                </c:pt>
                <c:pt idx="26">
                  <c:v>0.10404032370309986</c:v>
                </c:pt>
                <c:pt idx="27">
                  <c:v>0.10844349056143607</c:v>
                </c:pt>
                <c:pt idx="28">
                  <c:v>0.11123371007664097</c:v>
                </c:pt>
                <c:pt idx="29">
                  <c:v>0.11020477394683277</c:v>
                </c:pt>
                <c:pt idx="30">
                  <c:v>0.1172261456615748</c:v>
                </c:pt>
                <c:pt idx="31">
                  <c:v>0.11249505420590317</c:v>
                </c:pt>
                <c:pt idx="32">
                  <c:v>0.11375755610256649</c:v>
                </c:pt>
                <c:pt idx="33">
                  <c:v>0.11732207881639745</c:v>
                </c:pt>
                <c:pt idx="34">
                  <c:v>0.12007202474696448</c:v>
                </c:pt>
                <c:pt idx="35">
                  <c:v>0.12267486158378625</c:v>
                </c:pt>
                <c:pt idx="36">
                  <c:v>0.12411467971304722</c:v>
                </c:pt>
                <c:pt idx="37">
                  <c:v>0.12743463246176612</c:v>
                </c:pt>
                <c:pt idx="38">
                  <c:v>0.13006732839559218</c:v>
                </c:pt>
                <c:pt idx="39">
                  <c:v>0.13281677522458163</c:v>
                </c:pt>
                <c:pt idx="40">
                  <c:v>0.133807525989386</c:v>
                </c:pt>
                <c:pt idx="41">
                  <c:v>0.13480566728915799</c:v>
                </c:pt>
                <c:pt idx="42">
                  <c:v>0.13581125425423901</c:v>
                </c:pt>
                <c:pt idx="43">
                  <c:v>0.136824342425795</c:v>
                </c:pt>
                <c:pt idx="44">
                  <c:v>0.13784498775930401</c:v>
                </c:pt>
                <c:pt idx="45">
                  <c:v>0.138873246627643</c:v>
                </c:pt>
                <c:pt idx="46">
                  <c:v>0.139909175824208</c:v>
                </c:pt>
                <c:pt idx="47">
                  <c:v>0.14095283256604399</c:v>
                </c:pt>
                <c:pt idx="48">
                  <c:v>0.14200427449701</c:v>
                </c:pt>
                <c:pt idx="49">
                  <c:v>0.14306355969095999</c:v>
                </c:pt>
                <c:pt idx="50">
                  <c:v>0.14413074665495301</c:v>
                </c:pt>
                <c:pt idx="51">
                  <c:v>0.14520589433248099</c:v>
                </c:pt>
                <c:pt idx="52">
                  <c:v>0.14628906210673001</c:v>
                </c:pt>
                <c:pt idx="53">
                  <c:v>0.147380309803853</c:v>
                </c:pt>
                <c:pt idx="54">
                  <c:v>0.148479697696281</c:v>
                </c:pt>
              </c:numCache>
            </c:numRef>
          </c:val>
          <c:smooth val="0"/>
          <c:extLst>
            <c:ext xmlns:c16="http://schemas.microsoft.com/office/drawing/2014/chart" uri="{C3380CC4-5D6E-409C-BE32-E72D297353CC}">
              <c16:uniqueId val="{00000000-3ECD-4095-A51C-571B569384B2}"/>
            </c:ext>
          </c:extLst>
        </c:ser>
        <c:ser>
          <c:idx val="1"/>
          <c:order val="1"/>
          <c:tx>
            <c:strRef>
              <c:f>★図6!$C$1</c:f>
              <c:strCache>
                <c:ptCount val="1"/>
                <c:pt idx="0">
                  <c:v>無形固定資産減耗率</c:v>
                </c:pt>
              </c:strCache>
            </c:strRef>
          </c:tx>
          <c:spPr>
            <a:ln w="28575" cap="rnd">
              <a:solidFill>
                <a:schemeClr val="accent2"/>
              </a:solidFill>
              <a:prstDash val="dash"/>
              <a:round/>
            </a:ln>
            <a:effectLst/>
          </c:spPr>
          <c:marker>
            <c:symbol val="none"/>
          </c:marker>
          <c:cat>
            <c:numRef>
              <c:f>★図6!$A$2:$A$56</c:f>
              <c:numCache>
                <c:formatCode>General</c:formatCode>
                <c:ptCount val="55"/>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pt idx="44">
                  <c:v>2025</c:v>
                </c:pt>
                <c:pt idx="45">
                  <c:v>2026</c:v>
                </c:pt>
                <c:pt idx="46">
                  <c:v>2027</c:v>
                </c:pt>
                <c:pt idx="47">
                  <c:v>2028</c:v>
                </c:pt>
                <c:pt idx="48">
                  <c:v>2029</c:v>
                </c:pt>
                <c:pt idx="49">
                  <c:v>2030</c:v>
                </c:pt>
                <c:pt idx="50">
                  <c:v>2031</c:v>
                </c:pt>
                <c:pt idx="51">
                  <c:v>2032</c:v>
                </c:pt>
                <c:pt idx="52">
                  <c:v>2033</c:v>
                </c:pt>
                <c:pt idx="53">
                  <c:v>2034</c:v>
                </c:pt>
                <c:pt idx="54">
                  <c:v>2035</c:v>
                </c:pt>
              </c:numCache>
            </c:numRef>
          </c:cat>
          <c:val>
            <c:numRef>
              <c:f>★図6!$C$2:$C$56</c:f>
              <c:numCache>
                <c:formatCode>0.0%</c:formatCode>
                <c:ptCount val="55"/>
                <c:pt idx="0">
                  <c:v>0.16529717456579623</c:v>
                </c:pt>
                <c:pt idx="1">
                  <c:v>0.1654751325509787</c:v>
                </c:pt>
                <c:pt idx="2">
                  <c:v>0.16564104074701763</c:v>
                </c:pt>
                <c:pt idx="3">
                  <c:v>0.16627164808496372</c:v>
                </c:pt>
                <c:pt idx="4">
                  <c:v>0.16756109163692756</c:v>
                </c:pt>
                <c:pt idx="5">
                  <c:v>0.16923977148471006</c:v>
                </c:pt>
                <c:pt idx="6">
                  <c:v>0.17035721082788849</c:v>
                </c:pt>
                <c:pt idx="7">
                  <c:v>0.17073589395908575</c:v>
                </c:pt>
                <c:pt idx="8">
                  <c:v>0.17172099635020191</c:v>
                </c:pt>
                <c:pt idx="9">
                  <c:v>0.17345639184699987</c:v>
                </c:pt>
                <c:pt idx="10">
                  <c:v>0.17428068482567377</c:v>
                </c:pt>
                <c:pt idx="11">
                  <c:v>0.17458013622100607</c:v>
                </c:pt>
                <c:pt idx="12">
                  <c:v>0.17536907717138372</c:v>
                </c:pt>
                <c:pt idx="13">
                  <c:v>0.17669407788252073</c:v>
                </c:pt>
                <c:pt idx="14">
                  <c:v>0.17745197168857432</c:v>
                </c:pt>
                <c:pt idx="15">
                  <c:v>0.1782115425269537</c:v>
                </c:pt>
                <c:pt idx="16">
                  <c:v>0.17903543976600228</c:v>
                </c:pt>
                <c:pt idx="17">
                  <c:v>0.18066425517921744</c:v>
                </c:pt>
                <c:pt idx="18">
                  <c:v>0.18293079877612128</c:v>
                </c:pt>
                <c:pt idx="19">
                  <c:v>0.18595813204508851</c:v>
                </c:pt>
                <c:pt idx="20">
                  <c:v>0.18948983505945541</c:v>
                </c:pt>
                <c:pt idx="21">
                  <c:v>0.19315324608342463</c:v>
                </c:pt>
                <c:pt idx="22">
                  <c:v>0.19765395894428156</c:v>
                </c:pt>
                <c:pt idx="23">
                  <c:v>0.2023856337658933</c:v>
                </c:pt>
                <c:pt idx="24">
                  <c:v>0.20620062404567485</c:v>
                </c:pt>
                <c:pt idx="25">
                  <c:v>0.21034690194505712</c:v>
                </c:pt>
                <c:pt idx="26">
                  <c:v>0.21345958741968213</c:v>
                </c:pt>
                <c:pt idx="27">
                  <c:v>0.21570910086968423</c:v>
                </c:pt>
                <c:pt idx="28">
                  <c:v>0.21809616184009975</c:v>
                </c:pt>
                <c:pt idx="29">
                  <c:v>0.21871444823663255</c:v>
                </c:pt>
                <c:pt idx="30">
                  <c:v>0.22040786704405257</c:v>
                </c:pt>
                <c:pt idx="31">
                  <c:v>0.22155688622754502</c:v>
                </c:pt>
                <c:pt idx="32">
                  <c:v>0.22326692037907611</c:v>
                </c:pt>
                <c:pt idx="33">
                  <c:v>0.22508836579679636</c:v>
                </c:pt>
                <c:pt idx="34">
                  <c:v>0.22670545900007652</c:v>
                </c:pt>
                <c:pt idx="35">
                  <c:v>0.22937168811506434</c:v>
                </c:pt>
                <c:pt idx="36">
                  <c:v>0.23004834510970626</c:v>
                </c:pt>
                <c:pt idx="37">
                  <c:v>0.23003382850419171</c:v>
                </c:pt>
                <c:pt idx="38">
                  <c:v>0.22905635743816638</c:v>
                </c:pt>
                <c:pt idx="39">
                  <c:v>0.22846787947697558</c:v>
                </c:pt>
                <c:pt idx="40">
                  <c:v>0.22812146890277299</c:v>
                </c:pt>
                <c:pt idx="41">
                  <c:v>0.22798389653957599</c:v>
                </c:pt>
                <c:pt idx="42">
                  <c:v>0.228026494661</c:v>
                </c:pt>
                <c:pt idx="43">
                  <c:v>0.22822453082878699</c:v>
                </c:pt>
                <c:pt idx="44">
                  <c:v>0.228556667686308</c:v>
                </c:pt>
                <c:pt idx="45">
                  <c:v>0.229004496907493</c:v>
                </c:pt>
                <c:pt idx="46">
                  <c:v>0.22955213712172201</c:v>
                </c:pt>
                <c:pt idx="47">
                  <c:v>0.23018588703253501</c:v>
                </c:pt>
                <c:pt idx="48">
                  <c:v>0.23089392615358401</c:v>
                </c:pt>
                <c:pt idx="49">
                  <c:v>0.23166605662527301</c:v>
                </c:pt>
                <c:pt idx="50">
                  <c:v>0.232493480472862</c:v>
                </c:pt>
                <c:pt idx="51">
                  <c:v>0.233368607440887</c:v>
                </c:pt>
                <c:pt idx="52">
                  <c:v>0.234284889206612</c:v>
                </c:pt>
                <c:pt idx="53">
                  <c:v>0.235236676351402</c:v>
                </c:pt>
                <c:pt idx="54">
                  <c:v>0.236219094965986</c:v>
                </c:pt>
              </c:numCache>
            </c:numRef>
          </c:val>
          <c:smooth val="0"/>
          <c:extLst>
            <c:ext xmlns:c16="http://schemas.microsoft.com/office/drawing/2014/chart" uri="{C3380CC4-5D6E-409C-BE32-E72D297353CC}">
              <c16:uniqueId val="{00000001-3ECD-4095-A51C-571B569384B2}"/>
            </c:ext>
          </c:extLst>
        </c:ser>
        <c:ser>
          <c:idx val="2"/>
          <c:order val="2"/>
          <c:tx>
            <c:strRef>
              <c:f>★図6!$D$1</c:f>
              <c:strCache>
                <c:ptCount val="1"/>
                <c:pt idx="0">
                  <c:v>有形固定資産減耗率（現実）</c:v>
                </c:pt>
              </c:strCache>
            </c:strRef>
          </c:tx>
          <c:spPr>
            <a:ln w="28575" cap="rnd">
              <a:solidFill>
                <a:schemeClr val="accent1"/>
              </a:solidFill>
              <a:round/>
            </a:ln>
            <a:effectLst/>
          </c:spPr>
          <c:marker>
            <c:symbol val="none"/>
          </c:marker>
          <c:cat>
            <c:numRef>
              <c:f>★図6!$A$2:$A$56</c:f>
              <c:numCache>
                <c:formatCode>General</c:formatCode>
                <c:ptCount val="55"/>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pt idx="44">
                  <c:v>2025</c:v>
                </c:pt>
                <c:pt idx="45">
                  <c:v>2026</c:v>
                </c:pt>
                <c:pt idx="46">
                  <c:v>2027</c:v>
                </c:pt>
                <c:pt idx="47">
                  <c:v>2028</c:v>
                </c:pt>
                <c:pt idx="48">
                  <c:v>2029</c:v>
                </c:pt>
                <c:pt idx="49">
                  <c:v>2030</c:v>
                </c:pt>
                <c:pt idx="50">
                  <c:v>2031</c:v>
                </c:pt>
                <c:pt idx="51">
                  <c:v>2032</c:v>
                </c:pt>
                <c:pt idx="52">
                  <c:v>2033</c:v>
                </c:pt>
                <c:pt idx="53">
                  <c:v>2034</c:v>
                </c:pt>
                <c:pt idx="54">
                  <c:v>2035</c:v>
                </c:pt>
              </c:numCache>
            </c:numRef>
          </c:cat>
          <c:val>
            <c:numRef>
              <c:f>★図6!$D$2:$D$56</c:f>
              <c:numCache>
                <c:formatCode>0.0%</c:formatCode>
                <c:ptCount val="55"/>
                <c:pt idx="0">
                  <c:v>9.9397659666527652E-2</c:v>
                </c:pt>
                <c:pt idx="1">
                  <c:v>0.10155024626748303</c:v>
                </c:pt>
                <c:pt idx="2">
                  <c:v>0.10577141616732799</c:v>
                </c:pt>
                <c:pt idx="3">
                  <c:v>0.10811939449329493</c:v>
                </c:pt>
                <c:pt idx="4">
                  <c:v>0.11717576103466582</c:v>
                </c:pt>
                <c:pt idx="5">
                  <c:v>0.11315827810043916</c:v>
                </c:pt>
                <c:pt idx="6">
                  <c:v>0.11060647451739845</c:v>
                </c:pt>
                <c:pt idx="7">
                  <c:v>0.10622289444240673</c:v>
                </c:pt>
                <c:pt idx="8">
                  <c:v>0.10562191321004707</c:v>
                </c:pt>
                <c:pt idx="9">
                  <c:v>9.9648887769073644E-2</c:v>
                </c:pt>
                <c:pt idx="10">
                  <c:v>0.10219668755332688</c:v>
                </c:pt>
                <c:pt idx="11">
                  <c:v>0.10635865326378074</c:v>
                </c:pt>
                <c:pt idx="12">
                  <c:v>0.10896493823100792</c:v>
                </c:pt>
                <c:pt idx="13">
                  <c:v>0.10970254496282229</c:v>
                </c:pt>
                <c:pt idx="14">
                  <c:v>0.10615447638595017</c:v>
                </c:pt>
                <c:pt idx="15">
                  <c:v>0.10796927823546791</c:v>
                </c:pt>
                <c:pt idx="16">
                  <c:v>0.11098527746319375</c:v>
                </c:pt>
                <c:pt idx="17">
                  <c:v>0.1121881383882056</c:v>
                </c:pt>
                <c:pt idx="18">
                  <c:v>0.11052012414897885</c:v>
                </c:pt>
                <c:pt idx="19">
                  <c:v>0.10780754191009188</c:v>
                </c:pt>
                <c:pt idx="20">
                  <c:v>0.10978428351309698</c:v>
                </c:pt>
                <c:pt idx="21">
                  <c:v>0.11052220821433778</c:v>
                </c:pt>
                <c:pt idx="22">
                  <c:v>0.11190920153023266</c:v>
                </c:pt>
                <c:pt idx="23">
                  <c:v>0.10971531157161858</c:v>
                </c:pt>
                <c:pt idx="24">
                  <c:v>0.10874314881434458</c:v>
                </c:pt>
                <c:pt idx="25">
                  <c:v>0.10686823296984259</c:v>
                </c:pt>
                <c:pt idx="26">
                  <c:v>0.10404032370309986</c:v>
                </c:pt>
                <c:pt idx="27">
                  <c:v>0.10844349056143607</c:v>
                </c:pt>
                <c:pt idx="28">
                  <c:v>0.11123371007664097</c:v>
                </c:pt>
                <c:pt idx="29">
                  <c:v>0.11020477394683277</c:v>
                </c:pt>
                <c:pt idx="30">
                  <c:v>0.1172261456615748</c:v>
                </c:pt>
                <c:pt idx="31">
                  <c:v>0.11249505420590317</c:v>
                </c:pt>
                <c:pt idx="32">
                  <c:v>0.11375755610256649</c:v>
                </c:pt>
                <c:pt idx="33">
                  <c:v>0.11732207881639745</c:v>
                </c:pt>
                <c:pt idx="34">
                  <c:v>0.12007202474696448</c:v>
                </c:pt>
                <c:pt idx="35">
                  <c:v>0.12267486158378625</c:v>
                </c:pt>
                <c:pt idx="36">
                  <c:v>0.12411467971304722</c:v>
                </c:pt>
                <c:pt idx="37">
                  <c:v>0.12743463246176612</c:v>
                </c:pt>
                <c:pt idx="38">
                  <c:v>0.13006732839559218</c:v>
                </c:pt>
                <c:pt idx="39">
                  <c:v>0.13281677522458163</c:v>
                </c:pt>
              </c:numCache>
            </c:numRef>
          </c:val>
          <c:smooth val="0"/>
          <c:extLst>
            <c:ext xmlns:c16="http://schemas.microsoft.com/office/drawing/2014/chart" uri="{C3380CC4-5D6E-409C-BE32-E72D297353CC}">
              <c16:uniqueId val="{00000002-3ECD-4095-A51C-571B569384B2}"/>
            </c:ext>
          </c:extLst>
        </c:ser>
        <c:ser>
          <c:idx val="3"/>
          <c:order val="3"/>
          <c:tx>
            <c:strRef>
              <c:f>★図6!$E$1</c:f>
              <c:strCache>
                <c:ptCount val="1"/>
                <c:pt idx="0">
                  <c:v>無形固定資産減耗率（現実）</c:v>
                </c:pt>
              </c:strCache>
            </c:strRef>
          </c:tx>
          <c:spPr>
            <a:ln w="28575" cap="rnd">
              <a:solidFill>
                <a:schemeClr val="accent2"/>
              </a:solidFill>
              <a:round/>
            </a:ln>
            <a:effectLst/>
          </c:spPr>
          <c:marker>
            <c:symbol val="none"/>
          </c:marker>
          <c:cat>
            <c:numRef>
              <c:f>★図6!$A$2:$A$56</c:f>
              <c:numCache>
                <c:formatCode>General</c:formatCode>
                <c:ptCount val="55"/>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pt idx="44">
                  <c:v>2025</c:v>
                </c:pt>
                <c:pt idx="45">
                  <c:v>2026</c:v>
                </c:pt>
                <c:pt idx="46">
                  <c:v>2027</c:v>
                </c:pt>
                <c:pt idx="47">
                  <c:v>2028</c:v>
                </c:pt>
                <c:pt idx="48">
                  <c:v>2029</c:v>
                </c:pt>
                <c:pt idx="49">
                  <c:v>2030</c:v>
                </c:pt>
                <c:pt idx="50">
                  <c:v>2031</c:v>
                </c:pt>
                <c:pt idx="51">
                  <c:v>2032</c:v>
                </c:pt>
                <c:pt idx="52">
                  <c:v>2033</c:v>
                </c:pt>
                <c:pt idx="53">
                  <c:v>2034</c:v>
                </c:pt>
                <c:pt idx="54">
                  <c:v>2035</c:v>
                </c:pt>
              </c:numCache>
            </c:numRef>
          </c:cat>
          <c:val>
            <c:numRef>
              <c:f>★図6!$E$2:$E$56</c:f>
              <c:numCache>
                <c:formatCode>0.0%</c:formatCode>
                <c:ptCount val="55"/>
                <c:pt idx="0">
                  <c:v>0.16529717456579623</c:v>
                </c:pt>
                <c:pt idx="1">
                  <c:v>0.1654751325509787</c:v>
                </c:pt>
                <c:pt idx="2">
                  <c:v>0.16564104074701763</c:v>
                </c:pt>
                <c:pt idx="3">
                  <c:v>0.16627164808496372</c:v>
                </c:pt>
                <c:pt idx="4">
                  <c:v>0.16756109163692756</c:v>
                </c:pt>
                <c:pt idx="5">
                  <c:v>0.16923977148471006</c:v>
                </c:pt>
                <c:pt idx="6">
                  <c:v>0.17035721082788849</c:v>
                </c:pt>
                <c:pt idx="7">
                  <c:v>0.17073589395908575</c:v>
                </c:pt>
                <c:pt idx="8">
                  <c:v>0.17172099635020191</c:v>
                </c:pt>
                <c:pt idx="9">
                  <c:v>0.17345639184699987</c:v>
                </c:pt>
                <c:pt idx="10">
                  <c:v>0.17428068482567377</c:v>
                </c:pt>
                <c:pt idx="11">
                  <c:v>0.17458013622100607</c:v>
                </c:pt>
                <c:pt idx="12">
                  <c:v>0.17536907717138372</c:v>
                </c:pt>
                <c:pt idx="13">
                  <c:v>0.17669407788252073</c:v>
                </c:pt>
                <c:pt idx="14">
                  <c:v>0.17745197168857432</c:v>
                </c:pt>
                <c:pt idx="15">
                  <c:v>0.1782115425269537</c:v>
                </c:pt>
                <c:pt idx="16">
                  <c:v>0.17903543976600228</c:v>
                </c:pt>
                <c:pt idx="17">
                  <c:v>0.18066425517921744</c:v>
                </c:pt>
                <c:pt idx="18">
                  <c:v>0.18293079877612128</c:v>
                </c:pt>
                <c:pt idx="19">
                  <c:v>0.18595813204508851</c:v>
                </c:pt>
                <c:pt idx="20">
                  <c:v>0.18948983505945541</c:v>
                </c:pt>
                <c:pt idx="21">
                  <c:v>0.19315324608342463</c:v>
                </c:pt>
                <c:pt idx="22">
                  <c:v>0.19765395894428156</c:v>
                </c:pt>
                <c:pt idx="23">
                  <c:v>0.2023856337658933</c:v>
                </c:pt>
                <c:pt idx="24">
                  <c:v>0.20620062404567485</c:v>
                </c:pt>
                <c:pt idx="25">
                  <c:v>0.21034690194505712</c:v>
                </c:pt>
                <c:pt idx="26">
                  <c:v>0.21345958741968213</c:v>
                </c:pt>
                <c:pt idx="27">
                  <c:v>0.21570910086968423</c:v>
                </c:pt>
                <c:pt idx="28">
                  <c:v>0.21809616184009975</c:v>
                </c:pt>
                <c:pt idx="29">
                  <c:v>0.21871444823663255</c:v>
                </c:pt>
                <c:pt idx="30">
                  <c:v>0.22040786704405257</c:v>
                </c:pt>
                <c:pt idx="31">
                  <c:v>0.22155688622754502</c:v>
                </c:pt>
                <c:pt idx="32">
                  <c:v>0.22326692037907611</c:v>
                </c:pt>
                <c:pt idx="33">
                  <c:v>0.22508836579679636</c:v>
                </c:pt>
                <c:pt idx="34">
                  <c:v>0.22670545900007652</c:v>
                </c:pt>
                <c:pt idx="35">
                  <c:v>0.22937168811506434</c:v>
                </c:pt>
                <c:pt idx="36">
                  <c:v>0.23004834510970626</c:v>
                </c:pt>
                <c:pt idx="37">
                  <c:v>0.23003382850419171</c:v>
                </c:pt>
                <c:pt idx="38">
                  <c:v>0.22905635743816638</c:v>
                </c:pt>
                <c:pt idx="39">
                  <c:v>0.22846787947697558</c:v>
                </c:pt>
              </c:numCache>
            </c:numRef>
          </c:val>
          <c:smooth val="0"/>
          <c:extLst>
            <c:ext xmlns:c16="http://schemas.microsoft.com/office/drawing/2014/chart" uri="{C3380CC4-5D6E-409C-BE32-E72D297353CC}">
              <c16:uniqueId val="{00000003-3ECD-4095-A51C-571B569384B2}"/>
            </c:ext>
          </c:extLst>
        </c:ser>
        <c:dLbls>
          <c:showLegendKey val="0"/>
          <c:showVal val="0"/>
          <c:showCatName val="0"/>
          <c:showSerName val="0"/>
          <c:showPercent val="0"/>
          <c:showBubbleSize val="0"/>
        </c:dLbls>
        <c:smooth val="0"/>
        <c:axId val="821342256"/>
        <c:axId val="821343088"/>
      </c:lineChart>
      <c:catAx>
        <c:axId val="82134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21343088"/>
        <c:crosses val="autoZero"/>
        <c:auto val="1"/>
        <c:lblAlgn val="ctr"/>
        <c:lblOffset val="100"/>
        <c:noMultiLvlLbl val="0"/>
      </c:catAx>
      <c:valAx>
        <c:axId val="8213430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21342256"/>
        <c:crosses val="autoZero"/>
        <c:crossBetween val="between"/>
      </c:valAx>
      <c:spPr>
        <a:noFill/>
        <a:ln>
          <a:noFill/>
        </a:ln>
        <a:effectLst/>
      </c:spPr>
    </c:plotArea>
    <c:legend>
      <c:legendPos val="b"/>
      <c:legendEntry>
        <c:idx val="2"/>
        <c:delete val="1"/>
      </c:legendEntry>
      <c:legendEntry>
        <c:idx val="3"/>
        <c:delete val="1"/>
      </c:legendEntry>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'★PPT用図表（有形固定資産）'!$B$1</c:f>
              <c:strCache>
                <c:ptCount val="1"/>
                <c:pt idx="0">
                  <c:v>成長実現ケース</c:v>
                </c:pt>
              </c:strCache>
            </c:strRef>
          </c:tx>
          <c:spPr>
            <a:ln w="28575" cap="rnd">
              <a:solidFill>
                <a:schemeClr val="accent1"/>
              </a:solidFill>
              <a:round/>
            </a:ln>
            <a:effectLst/>
          </c:spPr>
          <c:marker>
            <c:symbol val="none"/>
          </c:marker>
          <c:dLbls>
            <c:dLbl>
              <c:idx val="55"/>
              <c:layout>
                <c:manualLayout>
                  <c:x val="-1.7155761419234618E-2"/>
                  <c:y val="-7.4425021709042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03-4371-9444-2F0CC3C9B093}"/>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游ゴシック Medium" panose="020B0500000000000000" pitchFamily="50" charset="-128"/>
                    <a:ea typeface="游ゴシック Medium" panose="020B0500000000000000"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'★PPT用図表（有形固定資産）'!$A$2:$A$57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'★PPT用図表（有形固定資産）'!$B$2:$B$57</c:f>
              <c:numCache>
                <c:formatCode>#,##0.0;[Red]\-#,##0.0</c:formatCode>
                <c:ptCount val="56"/>
                <c:pt idx="1">
                  <c:v>9.3798712123572923</c:v>
                </c:pt>
                <c:pt idx="2">
                  <c:v>9.9235204389402245</c:v>
                </c:pt>
                <c:pt idx="3">
                  <c:v>10.470234793915569</c:v>
                </c:pt>
                <c:pt idx="4">
                  <c:v>11.027392939510266</c:v>
                </c:pt>
                <c:pt idx="5">
                  <c:v>11.606731825340683</c:v>
                </c:pt>
                <c:pt idx="6">
                  <c:v>12.22239142819851</c:v>
                </c:pt>
                <c:pt idx="7">
                  <c:v>12.888917682322807</c:v>
                </c:pt>
                <c:pt idx="8">
                  <c:v>13.615245403267675</c:v>
                </c:pt>
                <c:pt idx="9">
                  <c:v>14.400555579519976</c:v>
                </c:pt>
                <c:pt idx="10">
                  <c:v>15.231312236265817</c:v>
                </c:pt>
                <c:pt idx="11">
                  <c:v>16.081253452196044</c:v>
                </c:pt>
                <c:pt idx="12">
                  <c:v>16.913218793740086</c:v>
                </c:pt>
                <c:pt idx="13">
                  <c:v>17.687308750673296</c:v>
                </c:pt>
                <c:pt idx="14">
                  <c:v>18.368745084406243</c:v>
                </c:pt>
                <c:pt idx="15">
                  <c:v>18.931909886010033</c:v>
                </c:pt>
                <c:pt idx="16">
                  <c:v>19.360533044669658</c:v>
                </c:pt>
                <c:pt idx="17">
                  <c:v>19.646607053546155</c:v>
                </c:pt>
                <c:pt idx="18">
                  <c:v>19.791899218361845</c:v>
                </c:pt>
                <c:pt idx="19">
                  <c:v>19.806541153175576</c:v>
                </c:pt>
                <c:pt idx="20">
                  <c:v>19.706160668846504</c:v>
                </c:pt>
                <c:pt idx="21">
                  <c:v>19.508342569438092</c:v>
                </c:pt>
                <c:pt idx="22">
                  <c:v>19.230569271873513</c:v>
                </c:pt>
                <c:pt idx="23">
                  <c:v>18.892361700389131</c:v>
                </c:pt>
                <c:pt idx="24">
                  <c:v>18.515525364959071</c:v>
                </c:pt>
                <c:pt idx="25">
                  <c:v>18.123577248289106</c:v>
                </c:pt>
                <c:pt idx="26">
                  <c:v>17.738009323739647</c:v>
                </c:pt>
                <c:pt idx="27">
                  <c:v>17.376286935404323</c:v>
                </c:pt>
                <c:pt idx="28">
                  <c:v>17.050818066987091</c:v>
                </c:pt>
                <c:pt idx="29">
                  <c:v>16.768111382454002</c:v>
                </c:pt>
                <c:pt idx="30">
                  <c:v>16.535233449381376</c:v>
                </c:pt>
                <c:pt idx="31">
                  <c:v>16.359454966264721</c:v>
                </c:pt>
                <c:pt idx="32">
                  <c:v>16.245037271073937</c:v>
                </c:pt>
                <c:pt idx="33">
                  <c:v>16.19357326734017</c:v>
                </c:pt>
                <c:pt idx="34">
                  <c:v>16.202375485423982</c:v>
                </c:pt>
                <c:pt idx="35">
                  <c:v>16.263770788816309</c:v>
                </c:pt>
                <c:pt idx="36">
                  <c:v>16.368010451761961</c:v>
                </c:pt>
                <c:pt idx="37">
                  <c:v>16.50536559394169</c:v>
                </c:pt>
                <c:pt idx="38">
                  <c:v>16.666701070878535</c:v>
                </c:pt>
                <c:pt idx="39">
                  <c:v>16.842414833015997</c:v>
                </c:pt>
                <c:pt idx="40">
                  <c:v>17.025376375689007</c:v>
                </c:pt>
                <c:pt idx="41">
                  <c:v>17.210936085578261</c:v>
                </c:pt>
                <c:pt idx="42">
                  <c:v>17.246995544076988</c:v>
                </c:pt>
                <c:pt idx="43">
                  <c:v>17.317137624396388</c:v>
                </c:pt>
                <c:pt idx="44">
                  <c:v>17.420150768946201</c:v>
                </c:pt>
                <c:pt idx="45">
                  <c:v>17.555055504116957</c:v>
                </c:pt>
                <c:pt idx="46">
                  <c:v>17.721079407480762</c:v>
                </c:pt>
                <c:pt idx="47">
                  <c:v>17.917320222903356</c:v>
                </c:pt>
                <c:pt idx="48">
                  <c:v>18.143360172730652</c:v>
                </c:pt>
                <c:pt idx="49">
                  <c:v>18.398931175200339</c:v>
                </c:pt>
                <c:pt idx="50">
                  <c:v>18.683902204093414</c:v>
                </c:pt>
                <c:pt idx="51">
                  <c:v>18.998268593750016</c:v>
                </c:pt>
                <c:pt idx="52">
                  <c:v>19.341461854528884</c:v>
                </c:pt>
                <c:pt idx="53">
                  <c:v>19.71369161865433</c:v>
                </c:pt>
                <c:pt idx="54">
                  <c:v>20.1152654445279</c:v>
                </c:pt>
                <c:pt idx="55">
                  <c:v>20.54658371416448</c:v>
                </c:pt>
              </c:numCache>
            </c:numRef>
          </c:val>
          <c:smooth val="0"/>
          <c:extLst>
            <c:ext xmlns:c16="http://schemas.microsoft.com/office/drawing/2014/chart" uri="{C3380CC4-5D6E-409C-BE32-E72D297353CC}">
              <c16:uniqueId val="{00000000-E1F8-4CFB-81AF-7D6B612485E7}"/>
            </c:ext>
          </c:extLst>
        </c:ser>
        <c:ser>
          <c:idx val="1"/>
          <c:order val="1"/>
          <c:tx>
            <c:strRef>
              <c:f>'★PPT用図表（有形固定資産）'!$C$1</c:f>
              <c:strCache>
                <c:ptCount val="1"/>
                <c:pt idx="0">
                  <c:v>ベースラインケース</c:v>
                </c:pt>
              </c:strCache>
            </c:strRef>
          </c:tx>
          <c:spPr>
            <a:ln w="28575" cap="rnd">
              <a:solidFill>
                <a:schemeClr val="accent2"/>
              </a:solidFill>
              <a:round/>
            </a:ln>
            <a:effectLst/>
          </c:spPr>
          <c:marker>
            <c:symbol val="none"/>
          </c:marker>
          <c:dLbls>
            <c:dLbl>
              <c:idx val="55"/>
              <c:layout>
                <c:manualLayout>
                  <c:x val="-1.0917302721331235E-2"/>
                  <c:y val="0.10632145958434588"/>
                </c:manualLayout>
              </c:layout>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游ゴシック Medium" panose="020B0500000000000000" pitchFamily="50" charset="-128"/>
                      <a:ea typeface="游ゴシック Medium" panose="020B0500000000000000"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03-4371-9444-2F0CC3C9B0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'★PPT用図表（有形固定資産）'!$A$2:$A$57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'★PPT用図表（有形固定資産）'!$C$2:$C$57</c:f>
              <c:numCache>
                <c:formatCode>#,##0.0;[Red]\-#,##0.0</c:formatCode>
                <c:ptCount val="56"/>
                <c:pt idx="1">
                  <c:v>9.3798712123572923</c:v>
                </c:pt>
                <c:pt idx="2">
                  <c:v>9.9235204389402245</c:v>
                </c:pt>
                <c:pt idx="3">
                  <c:v>10.470234793915569</c:v>
                </c:pt>
                <c:pt idx="4">
                  <c:v>11.027392939510266</c:v>
                </c:pt>
                <c:pt idx="5">
                  <c:v>11.606731825340683</c:v>
                </c:pt>
                <c:pt idx="6">
                  <c:v>12.22239142819851</c:v>
                </c:pt>
                <c:pt idx="7">
                  <c:v>12.888917682322807</c:v>
                </c:pt>
                <c:pt idx="8">
                  <c:v>13.615245403267675</c:v>
                </c:pt>
                <c:pt idx="9">
                  <c:v>14.400555579519976</c:v>
                </c:pt>
                <c:pt idx="10">
                  <c:v>15.231312236265817</c:v>
                </c:pt>
                <c:pt idx="11">
                  <c:v>16.081253452196044</c:v>
                </c:pt>
                <c:pt idx="12">
                  <c:v>16.913218793740086</c:v>
                </c:pt>
                <c:pt idx="13">
                  <c:v>17.687308750673296</c:v>
                </c:pt>
                <c:pt idx="14">
                  <c:v>18.368745084406243</c:v>
                </c:pt>
                <c:pt idx="15">
                  <c:v>18.931909886010033</c:v>
                </c:pt>
                <c:pt idx="16">
                  <c:v>19.360533044669658</c:v>
                </c:pt>
                <c:pt idx="17">
                  <c:v>19.646607053546155</c:v>
                </c:pt>
                <c:pt idx="18">
                  <c:v>19.791899218361845</c:v>
                </c:pt>
                <c:pt idx="19">
                  <c:v>19.806541153175576</c:v>
                </c:pt>
                <c:pt idx="20">
                  <c:v>19.706160668846504</c:v>
                </c:pt>
                <c:pt idx="21">
                  <c:v>19.508342569438092</c:v>
                </c:pt>
                <c:pt idx="22">
                  <c:v>19.230569271873513</c:v>
                </c:pt>
                <c:pt idx="23">
                  <c:v>18.892361700389131</c:v>
                </c:pt>
                <c:pt idx="24">
                  <c:v>18.515525364959071</c:v>
                </c:pt>
                <c:pt idx="25">
                  <c:v>18.123577248289106</c:v>
                </c:pt>
                <c:pt idx="26">
                  <c:v>17.738009323739647</c:v>
                </c:pt>
                <c:pt idx="27">
                  <c:v>17.376286935404323</c:v>
                </c:pt>
                <c:pt idx="28">
                  <c:v>17.050818066987091</c:v>
                </c:pt>
                <c:pt idx="29">
                  <c:v>16.768111382454002</c:v>
                </c:pt>
                <c:pt idx="30">
                  <c:v>16.535233449381376</c:v>
                </c:pt>
                <c:pt idx="31">
                  <c:v>16.359454966264721</c:v>
                </c:pt>
                <c:pt idx="32">
                  <c:v>16.245037271073937</c:v>
                </c:pt>
                <c:pt idx="33">
                  <c:v>16.19357326734017</c:v>
                </c:pt>
                <c:pt idx="34">
                  <c:v>16.202375485423982</c:v>
                </c:pt>
                <c:pt idx="35">
                  <c:v>16.263770788816309</c:v>
                </c:pt>
                <c:pt idx="36">
                  <c:v>16.368010451761961</c:v>
                </c:pt>
                <c:pt idx="37">
                  <c:v>16.50536559394169</c:v>
                </c:pt>
                <c:pt idx="38">
                  <c:v>16.666701070878535</c:v>
                </c:pt>
                <c:pt idx="39">
                  <c:v>16.842414833015997</c:v>
                </c:pt>
                <c:pt idx="40">
                  <c:v>17.025376375689007</c:v>
                </c:pt>
                <c:pt idx="41">
                  <c:v>17.210936085578261</c:v>
                </c:pt>
                <c:pt idx="42">
                  <c:v>17.255074885209385</c:v>
                </c:pt>
                <c:pt idx="43">
                  <c:v>17.30778101748994</c:v>
                </c:pt>
                <c:pt idx="44">
                  <c:v>17.368620285700185</c:v>
                </c:pt>
                <c:pt idx="45">
                  <c:v>17.43718461080779</c:v>
                </c:pt>
                <c:pt idx="46">
                  <c:v>17.513089217782838</c:v>
                </c:pt>
                <c:pt idx="47">
                  <c:v>17.588769634059119</c:v>
                </c:pt>
                <c:pt idx="48">
                  <c:v>17.663819531689242</c:v>
                </c:pt>
                <c:pt idx="49">
                  <c:v>17.737821522456763</c:v>
                </c:pt>
                <c:pt idx="50">
                  <c:v>17.810345455826628</c:v>
                </c:pt>
                <c:pt idx="51">
                  <c:v>17.880946628386226</c:v>
                </c:pt>
                <c:pt idx="52">
                  <c:v>17.951379266730008</c:v>
                </c:pt>
                <c:pt idx="53">
                  <c:v>18.021215209954402</c:v>
                </c:pt>
                <c:pt idx="54">
                  <c:v>18.090015143751231</c:v>
                </c:pt>
                <c:pt idx="55">
                  <c:v>18.157326772720495</c:v>
                </c:pt>
              </c:numCache>
            </c:numRef>
          </c:val>
          <c:smooth val="0"/>
          <c:extLst>
            <c:ext xmlns:c16="http://schemas.microsoft.com/office/drawing/2014/chart" uri="{C3380CC4-5D6E-409C-BE32-E72D297353CC}">
              <c16:uniqueId val="{00000001-E1F8-4CFB-81AF-7D6B612485E7}"/>
            </c:ext>
          </c:extLst>
        </c:ser>
        <c:ser>
          <c:idx val="2"/>
          <c:order val="2"/>
          <c:tx>
            <c:strRef>
              <c:f>'★PPT用図表（有形固定資産）'!#REF!</c:f>
              <c:strCache>
                <c:ptCount val="1"/>
                <c:pt idx="0">
                  <c:v>#REF!</c:v>
                </c:pt>
              </c:strCache>
            </c:strRef>
          </c:tx>
          <c:spPr>
            <a:ln w="28575" cap="rnd">
              <a:solidFill>
                <a:schemeClr val="accent2"/>
              </a:solidFill>
              <a:prstDash val="sysDash"/>
              <a:round/>
            </a:ln>
            <a:effectLst/>
          </c:spPr>
          <c:marker>
            <c:symbol val="none"/>
          </c:marker>
          <c:cat>
            <c:numRef>
              <c:f>'★PPT用図表（有形固定資産）'!$A$2:$A$57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'★PPT用図表（有形固定資産）'!#REF!</c:f>
              <c:numCache>
                <c:formatCode>General</c:formatCode>
                <c:ptCount val="1"/>
                <c:pt idx="0">
                  <c:v>1</c:v>
                </c:pt>
              </c:numCache>
            </c:numRef>
          </c:val>
          <c:smooth val="0"/>
          <c:extLst>
            <c:ext xmlns:c16="http://schemas.microsoft.com/office/drawing/2014/chart" uri="{C3380CC4-5D6E-409C-BE32-E72D297353CC}">
              <c16:uniqueId val="{00000002-E1F8-4CFB-81AF-7D6B612485E7}"/>
            </c:ext>
          </c:extLst>
        </c:ser>
        <c:ser>
          <c:idx val="3"/>
          <c:order val="3"/>
          <c:tx>
            <c:strRef>
              <c:f>'★PPT用図表（有形固定資産）'!$D$1</c:f>
              <c:strCache>
                <c:ptCount val="1"/>
                <c:pt idx="0">
                  <c:v>現実</c:v>
                </c:pt>
              </c:strCache>
            </c:strRef>
          </c:tx>
          <c:spPr>
            <a:ln w="28575" cap="rnd">
              <a:solidFill>
                <a:schemeClr val="tx1"/>
              </a:solidFill>
              <a:round/>
            </a:ln>
            <a:effectLst/>
          </c:spPr>
          <c:marker>
            <c:symbol val="none"/>
          </c:marker>
          <c:cat>
            <c:numRef>
              <c:f>'★PPT用図表（有形固定資産）'!$A$2:$A$57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'★PPT用図表（有形固定資産）'!$D$2:$D$57</c:f>
              <c:numCache>
                <c:formatCode>#,##0.0;[Red]\-#,##0.0</c:formatCode>
                <c:ptCount val="56"/>
                <c:pt idx="1">
                  <c:v>9.3798712123572923</c:v>
                </c:pt>
                <c:pt idx="2">
                  <c:v>9.9235204389402245</c:v>
                </c:pt>
                <c:pt idx="3">
                  <c:v>10.470234793915569</c:v>
                </c:pt>
                <c:pt idx="4">
                  <c:v>11.027392939510266</c:v>
                </c:pt>
                <c:pt idx="5">
                  <c:v>11.606731825340683</c:v>
                </c:pt>
                <c:pt idx="6">
                  <c:v>12.22239142819851</c:v>
                </c:pt>
                <c:pt idx="7">
                  <c:v>12.888917682322807</c:v>
                </c:pt>
                <c:pt idx="8">
                  <c:v>13.615245403267675</c:v>
                </c:pt>
                <c:pt idx="9">
                  <c:v>14.400555579519976</c:v>
                </c:pt>
                <c:pt idx="10">
                  <c:v>15.231312236265817</c:v>
                </c:pt>
                <c:pt idx="11">
                  <c:v>16.081253452196044</c:v>
                </c:pt>
                <c:pt idx="12">
                  <c:v>16.913218793740086</c:v>
                </c:pt>
                <c:pt idx="13">
                  <c:v>17.687308750673296</c:v>
                </c:pt>
                <c:pt idx="14">
                  <c:v>18.368745084406243</c:v>
                </c:pt>
                <c:pt idx="15">
                  <c:v>18.931909886010033</c:v>
                </c:pt>
                <c:pt idx="16">
                  <c:v>19.360533044669658</c:v>
                </c:pt>
                <c:pt idx="17">
                  <c:v>19.646607053546155</c:v>
                </c:pt>
                <c:pt idx="18">
                  <c:v>19.791899218361845</c:v>
                </c:pt>
                <c:pt idx="19">
                  <c:v>19.806541153175576</c:v>
                </c:pt>
                <c:pt idx="20">
                  <c:v>19.706160668846504</c:v>
                </c:pt>
                <c:pt idx="21">
                  <c:v>19.508342569438092</c:v>
                </c:pt>
                <c:pt idx="22">
                  <c:v>19.230569271873513</c:v>
                </c:pt>
                <c:pt idx="23">
                  <c:v>18.892361700389131</c:v>
                </c:pt>
                <c:pt idx="24">
                  <c:v>18.515525364959071</c:v>
                </c:pt>
                <c:pt idx="25">
                  <c:v>18.123577248289106</c:v>
                </c:pt>
                <c:pt idx="26">
                  <c:v>17.738009323739647</c:v>
                </c:pt>
                <c:pt idx="27">
                  <c:v>17.376286935404323</c:v>
                </c:pt>
                <c:pt idx="28">
                  <c:v>17.050818066987091</c:v>
                </c:pt>
                <c:pt idx="29">
                  <c:v>16.768111382454002</c:v>
                </c:pt>
                <c:pt idx="30">
                  <c:v>16.535233449381376</c:v>
                </c:pt>
                <c:pt idx="31">
                  <c:v>16.359454966264721</c:v>
                </c:pt>
                <c:pt idx="32">
                  <c:v>16.245037271073937</c:v>
                </c:pt>
                <c:pt idx="33">
                  <c:v>16.19357326734017</c:v>
                </c:pt>
                <c:pt idx="34">
                  <c:v>16.202375485423982</c:v>
                </c:pt>
                <c:pt idx="35">
                  <c:v>16.263770788816309</c:v>
                </c:pt>
                <c:pt idx="36">
                  <c:v>16.368010451761961</c:v>
                </c:pt>
                <c:pt idx="37">
                  <c:v>16.50536559394169</c:v>
                </c:pt>
                <c:pt idx="38">
                  <c:v>16.666701070878535</c:v>
                </c:pt>
                <c:pt idx="39">
                  <c:v>16.842414833015997</c:v>
                </c:pt>
                <c:pt idx="40">
                  <c:v>17.025376375689007</c:v>
                </c:pt>
              </c:numCache>
            </c:numRef>
          </c:val>
          <c:smooth val="0"/>
          <c:extLst>
            <c:ext xmlns:c16="http://schemas.microsoft.com/office/drawing/2014/chart" uri="{C3380CC4-5D6E-409C-BE32-E72D297353CC}">
              <c16:uniqueId val="{00000003-E1F8-4CFB-81AF-7D6B612485E7}"/>
            </c:ext>
          </c:extLst>
        </c:ser>
        <c:dLbls>
          <c:showLegendKey val="0"/>
          <c:showVal val="0"/>
          <c:showCatName val="0"/>
          <c:showSerName val="0"/>
          <c:showPercent val="0"/>
          <c:showBubbleSize val="0"/>
        </c:dLbls>
        <c:smooth val="0"/>
        <c:axId val="231813167"/>
        <c:axId val="231797359"/>
      </c:lineChart>
      <c:catAx>
        <c:axId val="231813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797359"/>
        <c:crosses val="autoZero"/>
        <c:auto val="1"/>
        <c:lblAlgn val="ctr"/>
        <c:lblOffset val="100"/>
        <c:noMultiLvlLbl val="0"/>
      </c:catAx>
      <c:valAx>
        <c:axId val="231797359"/>
        <c:scaling>
          <c:orientation val="minMax"/>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813167"/>
        <c:crosses val="autoZero"/>
        <c:crossBetween val="between"/>
      </c:valAx>
      <c:spPr>
        <a:noFill/>
        <a:ln>
          <a:noFill/>
        </a:ln>
        <a:effectLst/>
      </c:spPr>
    </c:plotArea>
    <c:legend>
      <c:legendPos val="b"/>
      <c:legendEntry>
        <c:idx val="2"/>
        <c:delete val="1"/>
      </c:legendEntry>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'★PPT用図表（無形固定資産）'!$B$1</c:f>
              <c:strCache>
                <c:ptCount val="1"/>
                <c:pt idx="0">
                  <c:v>成長実現ケース</c:v>
                </c:pt>
              </c:strCache>
            </c:strRef>
          </c:tx>
          <c:spPr>
            <a:ln w="28575" cap="rnd">
              <a:solidFill>
                <a:schemeClr val="accent1"/>
              </a:solidFill>
              <a:round/>
            </a:ln>
            <a:effectLst/>
          </c:spPr>
          <c:marker>
            <c:symbol val="none"/>
          </c:marker>
          <c:dLbls>
            <c:dLbl>
              <c:idx val="55"/>
              <c:layout>
                <c:manualLayout>
                  <c:x val="-4.5207673594459416E-2"/>
                  <c:y val="-2.3884237301912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92-4E1D-933F-89E4C5D1F82D}"/>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游ゴシック Medium" panose="020B0500000000000000" pitchFamily="50" charset="-128"/>
                    <a:ea typeface="游ゴシック Medium" panose="020B0500000000000000"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'★PPT用図表（無形固定資産）'!$A$2:$A$57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'★PPT用図表（無形固定資産）'!$B$2:$B$57</c:f>
              <c:numCache>
                <c:formatCode>#,##0.0;[Red]\-#,##0.0</c:formatCode>
                <c:ptCount val="56"/>
                <c:pt idx="1">
                  <c:v>0.472806642263148</c:v>
                </c:pt>
                <c:pt idx="2">
                  <c:v>0.52338370931380196</c:v>
                </c:pt>
                <c:pt idx="3">
                  <c:v>0.5745537304292091</c:v>
                </c:pt>
                <c:pt idx="4">
                  <c:v>0.62714315620186101</c:v>
                </c:pt>
                <c:pt idx="5">
                  <c:v>0.68192716819685995</c:v>
                </c:pt>
                <c:pt idx="6">
                  <c:v>0.73955168204161392</c:v>
                </c:pt>
                <c:pt idx="7">
                  <c:v>0.80051999814048302</c:v>
                </c:pt>
                <c:pt idx="8">
                  <c:v>0.86502961742339202</c:v>
                </c:pt>
                <c:pt idx="9">
                  <c:v>0.93288410976273894</c:v>
                </c:pt>
                <c:pt idx="10">
                  <c:v>1.0033596160840501</c:v>
                </c:pt>
                <c:pt idx="11">
                  <c:v>1.0751981494637701</c:v>
                </c:pt>
                <c:pt idx="12">
                  <c:v>1.1468155553272599</c:v>
                </c:pt>
                <c:pt idx="13">
                  <c:v>1.2164729488452999</c:v>
                </c:pt>
                <c:pt idx="14">
                  <c:v>1.2822284055868098</c:v>
                </c:pt>
                <c:pt idx="15">
                  <c:v>1.34229842065101</c:v>
                </c:pt>
                <c:pt idx="16">
                  <c:v>1.3953966768661601</c:v>
                </c:pt>
                <c:pt idx="17">
                  <c:v>1.4406598728540201</c:v>
                </c:pt>
                <c:pt idx="18">
                  <c:v>1.4774617404676802</c:v>
                </c:pt>
                <c:pt idx="19">
                  <c:v>1.5054704128317</c:v>
                </c:pt>
                <c:pt idx="20">
                  <c:v>1.5247844056659601</c:v>
                </c:pt>
                <c:pt idx="21">
                  <c:v>1.5358085305620099</c:v>
                </c:pt>
                <c:pt idx="22">
                  <c:v>1.53922475505476</c:v>
                </c:pt>
                <c:pt idx="23">
                  <c:v>1.5359989613734799</c:v>
                </c:pt>
                <c:pt idx="24">
                  <c:v>1.5272157841969198</c:v>
                </c:pt>
                <c:pt idx="25">
                  <c:v>1.5139448685900601</c:v>
                </c:pt>
                <c:pt idx="26">
                  <c:v>1.4972417017759301</c:v>
                </c:pt>
                <c:pt idx="27">
                  <c:v>1.4780853222916701</c:v>
                </c:pt>
                <c:pt idx="28">
                  <c:v>1.4574433516566301</c:v>
                </c:pt>
                <c:pt idx="29">
                  <c:v>1.43628755816728</c:v>
                </c:pt>
                <c:pt idx="30">
                  <c:v>1.4156182766034899</c:v>
                </c:pt>
                <c:pt idx="31">
                  <c:v>1.3965069661634699</c:v>
                </c:pt>
                <c:pt idx="32">
                  <c:v>1.3799329032794101</c:v>
                </c:pt>
                <c:pt idx="33">
                  <c:v>1.3666892947218401</c:v>
                </c:pt>
                <c:pt idx="34">
                  <c:v>1.35729701822851</c:v>
                </c:pt>
                <c:pt idx="35">
                  <c:v>1.3520110585899499</c:v>
                </c:pt>
                <c:pt idx="36">
                  <c:v>1.3508104304144</c:v>
                </c:pt>
                <c:pt idx="37">
                  <c:v>1.35321503772422</c:v>
                </c:pt>
                <c:pt idx="38">
                  <c:v>1.3584466802376101</c:v>
                </c:pt>
                <c:pt idx="39">
                  <c:v>1.3656400072955099</c:v>
                </c:pt>
                <c:pt idx="40">
                  <c:v>1.37394320143653</c:v>
                </c:pt>
                <c:pt idx="41">
                  <c:v>1.3826350451262799</c:v>
                </c:pt>
                <c:pt idx="42">
                  <c:v>1.3890396860433749</c:v>
                </c:pt>
                <c:pt idx="43">
                  <c:v>1.3977604460657094</c:v>
                </c:pt>
                <c:pt idx="44">
                  <c:v>1.4086760637313263</c:v>
                </c:pt>
                <c:pt idx="45">
                  <c:v>1.4216837504390225</c:v>
                </c:pt>
                <c:pt idx="46">
                  <c:v>1.4366966631267084</c:v>
                </c:pt>
                <c:pt idx="47">
                  <c:v>1.453615119957866</c:v>
                </c:pt>
                <c:pt idx="48">
                  <c:v>1.4723788349824485</c:v>
                </c:pt>
                <c:pt idx="49">
                  <c:v>1.4929378572115701</c:v>
                </c:pt>
                <c:pt idx="50">
                  <c:v>1.5152513376531733</c:v>
                </c:pt>
                <c:pt idx="51">
                  <c:v>1.5392864842266836</c:v>
                </c:pt>
                <c:pt idx="52">
                  <c:v>1.5649602820034616</c:v>
                </c:pt>
                <c:pt idx="53">
                  <c:v>1.5922540848478393</c:v>
                </c:pt>
                <c:pt idx="54">
                  <c:v>1.6211546415033484</c:v>
                </c:pt>
                <c:pt idx="55">
                  <c:v>1.6516535771264129</c:v>
                </c:pt>
              </c:numCache>
            </c:numRef>
          </c:val>
          <c:smooth val="0"/>
          <c:extLst>
            <c:ext xmlns:c16="http://schemas.microsoft.com/office/drawing/2014/chart" uri="{C3380CC4-5D6E-409C-BE32-E72D297353CC}">
              <c16:uniqueId val="{00000000-D6AD-4BDF-B2C1-C469180F1873}"/>
            </c:ext>
          </c:extLst>
        </c:ser>
        <c:ser>
          <c:idx val="1"/>
          <c:order val="1"/>
          <c:tx>
            <c:strRef>
              <c:f>'★PPT用図表（無形固定資産）'!$C$1</c:f>
              <c:strCache>
                <c:ptCount val="1"/>
                <c:pt idx="0">
                  <c:v>ベースラインケース</c:v>
                </c:pt>
              </c:strCache>
            </c:strRef>
          </c:tx>
          <c:spPr>
            <a:ln w="28575" cap="rnd">
              <a:solidFill>
                <a:schemeClr val="accent2"/>
              </a:solidFill>
              <a:round/>
            </a:ln>
            <a:effectLst/>
          </c:spPr>
          <c:marker>
            <c:symbol val="none"/>
          </c:marker>
          <c:dLbls>
            <c:dLbl>
              <c:idx val="55"/>
              <c:layout>
                <c:manualLayout>
                  <c:x val="-4.2089903001737976E-2"/>
                  <c:y val="8.7575536773680449E-2"/>
                </c:manualLayout>
              </c:layout>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游ゴシック Medium" panose="020B0500000000000000" pitchFamily="50" charset="-128"/>
                      <a:ea typeface="游ゴシック Medium" panose="020B0500000000000000"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92-4E1D-933F-89E4C5D1F8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'★PPT用図表（無形固定資産）'!$A$2:$A$57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'★PPT用図表（無形固定資産）'!$C$2:$C$57</c:f>
              <c:numCache>
                <c:formatCode>#,##0.0;[Red]\-#,##0.0</c:formatCode>
                <c:ptCount val="56"/>
                <c:pt idx="1">
                  <c:v>0.472806642263148</c:v>
                </c:pt>
                <c:pt idx="2">
                  <c:v>0.52338370931380196</c:v>
                </c:pt>
                <c:pt idx="3">
                  <c:v>0.5745537304292091</c:v>
                </c:pt>
                <c:pt idx="4">
                  <c:v>0.62714315620186101</c:v>
                </c:pt>
                <c:pt idx="5">
                  <c:v>0.68192716819685995</c:v>
                </c:pt>
                <c:pt idx="6">
                  <c:v>0.73955168204161392</c:v>
                </c:pt>
                <c:pt idx="7">
                  <c:v>0.80051999814048302</c:v>
                </c:pt>
                <c:pt idx="8">
                  <c:v>0.86502961742339202</c:v>
                </c:pt>
                <c:pt idx="9">
                  <c:v>0.93288410976273894</c:v>
                </c:pt>
                <c:pt idx="10">
                  <c:v>1.0033596160840501</c:v>
                </c:pt>
                <c:pt idx="11">
                  <c:v>1.0751981494637701</c:v>
                </c:pt>
                <c:pt idx="12">
                  <c:v>1.1468155553272599</c:v>
                </c:pt>
                <c:pt idx="13">
                  <c:v>1.2164729488452999</c:v>
                </c:pt>
                <c:pt idx="14">
                  <c:v>1.2822284055868098</c:v>
                </c:pt>
                <c:pt idx="15">
                  <c:v>1.34229842065101</c:v>
                </c:pt>
                <c:pt idx="16">
                  <c:v>1.3953966768661601</c:v>
                </c:pt>
                <c:pt idx="17">
                  <c:v>1.4406598728540201</c:v>
                </c:pt>
                <c:pt idx="18">
                  <c:v>1.4774617404676802</c:v>
                </c:pt>
                <c:pt idx="19">
                  <c:v>1.5054704128317</c:v>
                </c:pt>
                <c:pt idx="20">
                  <c:v>1.5247844056659601</c:v>
                </c:pt>
                <c:pt idx="21">
                  <c:v>1.5358085305620099</c:v>
                </c:pt>
                <c:pt idx="22">
                  <c:v>1.53922475505476</c:v>
                </c:pt>
                <c:pt idx="23">
                  <c:v>1.5359989613734799</c:v>
                </c:pt>
                <c:pt idx="24">
                  <c:v>1.5272157841969198</c:v>
                </c:pt>
                <c:pt idx="25">
                  <c:v>1.5139448685900601</c:v>
                </c:pt>
                <c:pt idx="26">
                  <c:v>1.4972417017759301</c:v>
                </c:pt>
                <c:pt idx="27">
                  <c:v>1.4780853222916701</c:v>
                </c:pt>
                <c:pt idx="28">
                  <c:v>1.4574433516566301</c:v>
                </c:pt>
                <c:pt idx="29">
                  <c:v>1.43628755816728</c:v>
                </c:pt>
                <c:pt idx="30">
                  <c:v>1.4156182766034899</c:v>
                </c:pt>
                <c:pt idx="31">
                  <c:v>1.3965069661634699</c:v>
                </c:pt>
                <c:pt idx="32">
                  <c:v>1.3799329032794101</c:v>
                </c:pt>
                <c:pt idx="33">
                  <c:v>1.3666892947218401</c:v>
                </c:pt>
                <c:pt idx="34">
                  <c:v>1.35729701822851</c:v>
                </c:pt>
                <c:pt idx="35">
                  <c:v>1.3520110585899499</c:v>
                </c:pt>
                <c:pt idx="36">
                  <c:v>1.3508104304144</c:v>
                </c:pt>
                <c:pt idx="37">
                  <c:v>1.35321503772422</c:v>
                </c:pt>
                <c:pt idx="38">
                  <c:v>1.3584466802376101</c:v>
                </c:pt>
                <c:pt idx="39">
                  <c:v>1.3656400072955099</c:v>
                </c:pt>
                <c:pt idx="40">
                  <c:v>1.37394320143653</c:v>
                </c:pt>
                <c:pt idx="41">
                  <c:v>1.3826350451262799</c:v>
                </c:pt>
                <c:pt idx="42">
                  <c:v>1.389880731770913</c:v>
                </c:pt>
                <c:pt idx="43">
                  <c:v>1.3974386570302266</c:v>
                </c:pt>
                <c:pt idx="44">
                  <c:v>1.4052817324144389</c:v>
                </c:pt>
                <c:pt idx="45">
                  <c:v>1.4133851414715033</c:v>
                </c:pt>
                <c:pt idx="46">
                  <c:v>1.4217260368689251</c:v>
                </c:pt>
                <c:pt idx="47">
                  <c:v>1.4296738049239435</c:v>
                </c:pt>
                <c:pt idx="48">
                  <c:v>1.4372157763727036</c:v>
                </c:pt>
                <c:pt idx="49">
                  <c:v>1.4443382281805295</c:v>
                </c:pt>
                <c:pt idx="50">
                  <c:v>1.4510262363188757</c:v>
                </c:pt>
                <c:pt idx="51">
                  <c:v>1.4572635298478194</c:v>
                </c:pt>
                <c:pt idx="52">
                  <c:v>1.4632203820085607</c:v>
                </c:pt>
                <c:pt idx="53">
                  <c:v>1.4688774215364861</c:v>
                </c:pt>
                <c:pt idx="54">
                  <c:v>1.474214323506386</c:v>
                </c:pt>
                <c:pt idx="55">
                  <c:v>1.4792096791396867</c:v>
                </c:pt>
              </c:numCache>
            </c:numRef>
          </c:val>
          <c:smooth val="0"/>
          <c:extLst>
            <c:ext xmlns:c16="http://schemas.microsoft.com/office/drawing/2014/chart" uri="{C3380CC4-5D6E-409C-BE32-E72D297353CC}">
              <c16:uniqueId val="{00000001-D6AD-4BDF-B2C1-C469180F1873}"/>
            </c:ext>
          </c:extLst>
        </c:ser>
        <c:ser>
          <c:idx val="2"/>
          <c:order val="2"/>
          <c:tx>
            <c:strRef>
              <c:f>'★PPT用図表（有形固定資産）'!#REF!</c:f>
              <c:strCache>
                <c:ptCount val="1"/>
                <c:pt idx="0">
                  <c:v>#REF!</c:v>
                </c:pt>
              </c:strCache>
            </c:strRef>
          </c:tx>
          <c:spPr>
            <a:ln w="28575" cap="rnd">
              <a:solidFill>
                <a:schemeClr val="accent2"/>
              </a:solidFill>
              <a:prstDash val="sysDash"/>
              <a:round/>
            </a:ln>
            <a:effectLst/>
          </c:spPr>
          <c:marker>
            <c:symbol val="none"/>
          </c:marker>
          <c:cat>
            <c:numRef>
              <c:f>'★PPT用図表（無形固定資産）'!$A$2:$A$57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'★PPT用図表（有形固定資産）'!#REF!</c:f>
              <c:numCache>
                <c:formatCode>General</c:formatCode>
                <c:ptCount val="1"/>
                <c:pt idx="0">
                  <c:v>1</c:v>
                </c:pt>
              </c:numCache>
            </c:numRef>
          </c:val>
          <c:smooth val="0"/>
          <c:extLst>
            <c:ext xmlns:c16="http://schemas.microsoft.com/office/drawing/2014/chart" uri="{C3380CC4-5D6E-409C-BE32-E72D297353CC}">
              <c16:uniqueId val="{00000002-D6AD-4BDF-B2C1-C469180F1873}"/>
            </c:ext>
          </c:extLst>
        </c:ser>
        <c:ser>
          <c:idx val="3"/>
          <c:order val="3"/>
          <c:tx>
            <c:strRef>
              <c:f>'★PPT用図表（無形固定資産）'!$D$1</c:f>
              <c:strCache>
                <c:ptCount val="1"/>
                <c:pt idx="0">
                  <c:v>現実</c:v>
                </c:pt>
              </c:strCache>
            </c:strRef>
          </c:tx>
          <c:spPr>
            <a:ln w="28575" cap="rnd">
              <a:solidFill>
                <a:schemeClr val="tx1"/>
              </a:solidFill>
              <a:round/>
            </a:ln>
            <a:effectLst/>
          </c:spPr>
          <c:marker>
            <c:symbol val="none"/>
          </c:marker>
          <c:cat>
            <c:numRef>
              <c:f>'★PPT用図表（無形固定資産）'!$A$2:$A$57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'★PPT用図表（無形固定資産）'!$D$2:$D$57</c:f>
              <c:numCache>
                <c:formatCode>#,##0.0;[Red]\-#,##0.0</c:formatCode>
                <c:ptCount val="56"/>
                <c:pt idx="1">
                  <c:v>0.472806642263148</c:v>
                </c:pt>
                <c:pt idx="2">
                  <c:v>0.52338370931380196</c:v>
                </c:pt>
                <c:pt idx="3">
                  <c:v>0.5745537304292091</c:v>
                </c:pt>
                <c:pt idx="4">
                  <c:v>0.62714315620186101</c:v>
                </c:pt>
                <c:pt idx="5">
                  <c:v>0.68192716819685995</c:v>
                </c:pt>
                <c:pt idx="6">
                  <c:v>0.73955168204161392</c:v>
                </c:pt>
                <c:pt idx="7">
                  <c:v>0.80051999814048302</c:v>
                </c:pt>
                <c:pt idx="8">
                  <c:v>0.86502961742339202</c:v>
                </c:pt>
                <c:pt idx="9">
                  <c:v>0.93288410976273894</c:v>
                </c:pt>
                <c:pt idx="10">
                  <c:v>1.0033596160840501</c:v>
                </c:pt>
                <c:pt idx="11">
                  <c:v>1.0751981494637701</c:v>
                </c:pt>
                <c:pt idx="12">
                  <c:v>1.1468155553272599</c:v>
                </c:pt>
                <c:pt idx="13">
                  <c:v>1.2164729488452999</c:v>
                </c:pt>
                <c:pt idx="14">
                  <c:v>1.2822284055868098</c:v>
                </c:pt>
                <c:pt idx="15">
                  <c:v>1.34229842065101</c:v>
                </c:pt>
                <c:pt idx="16">
                  <c:v>1.3953966768661601</c:v>
                </c:pt>
                <c:pt idx="17">
                  <c:v>1.4406598728540201</c:v>
                </c:pt>
                <c:pt idx="18">
                  <c:v>1.4774617404676802</c:v>
                </c:pt>
                <c:pt idx="19">
                  <c:v>1.5054704128317</c:v>
                </c:pt>
                <c:pt idx="20">
                  <c:v>1.5247844056659601</c:v>
                </c:pt>
                <c:pt idx="21">
                  <c:v>1.5358085305620099</c:v>
                </c:pt>
                <c:pt idx="22">
                  <c:v>1.53922475505476</c:v>
                </c:pt>
                <c:pt idx="23">
                  <c:v>1.5359989613734799</c:v>
                </c:pt>
                <c:pt idx="24">
                  <c:v>1.5272157841969198</c:v>
                </c:pt>
                <c:pt idx="25">
                  <c:v>1.5139448685900601</c:v>
                </c:pt>
                <c:pt idx="26">
                  <c:v>1.4972417017759301</c:v>
                </c:pt>
                <c:pt idx="27">
                  <c:v>1.4780853222916701</c:v>
                </c:pt>
                <c:pt idx="28">
                  <c:v>1.4574433516566301</c:v>
                </c:pt>
                <c:pt idx="29">
                  <c:v>1.43628755816728</c:v>
                </c:pt>
                <c:pt idx="30">
                  <c:v>1.4156182766034899</c:v>
                </c:pt>
                <c:pt idx="31">
                  <c:v>1.3965069661634699</c:v>
                </c:pt>
                <c:pt idx="32">
                  <c:v>1.3799329032794101</c:v>
                </c:pt>
                <c:pt idx="33">
                  <c:v>1.3666892947218401</c:v>
                </c:pt>
                <c:pt idx="34">
                  <c:v>1.35729701822851</c:v>
                </c:pt>
                <c:pt idx="35">
                  <c:v>1.3520110585899499</c:v>
                </c:pt>
                <c:pt idx="36">
                  <c:v>1.3508104304144</c:v>
                </c:pt>
                <c:pt idx="37">
                  <c:v>1.35321503772422</c:v>
                </c:pt>
                <c:pt idx="38">
                  <c:v>1.3584466802376101</c:v>
                </c:pt>
                <c:pt idx="39">
                  <c:v>1.3656400072955099</c:v>
                </c:pt>
                <c:pt idx="40">
                  <c:v>1.37394320143653</c:v>
                </c:pt>
              </c:numCache>
            </c:numRef>
          </c:val>
          <c:smooth val="0"/>
          <c:extLst>
            <c:ext xmlns:c16="http://schemas.microsoft.com/office/drawing/2014/chart" uri="{C3380CC4-5D6E-409C-BE32-E72D297353CC}">
              <c16:uniqueId val="{00000003-D6AD-4BDF-B2C1-C469180F1873}"/>
            </c:ext>
          </c:extLst>
        </c:ser>
        <c:dLbls>
          <c:showLegendKey val="0"/>
          <c:showVal val="0"/>
          <c:showCatName val="0"/>
          <c:showSerName val="0"/>
          <c:showPercent val="0"/>
          <c:showBubbleSize val="0"/>
        </c:dLbls>
        <c:smooth val="0"/>
        <c:axId val="231813167"/>
        <c:axId val="231797359"/>
      </c:lineChart>
      <c:catAx>
        <c:axId val="231813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797359"/>
        <c:crosses val="autoZero"/>
        <c:auto val="1"/>
        <c:lblAlgn val="ctr"/>
        <c:lblOffset val="100"/>
        <c:noMultiLvlLbl val="0"/>
      </c:catAx>
      <c:valAx>
        <c:axId val="231797359"/>
        <c:scaling>
          <c:orientation val="minMax"/>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813167"/>
        <c:crosses val="autoZero"/>
        <c:crossBetween val="between"/>
      </c:valAx>
      <c:spPr>
        <a:noFill/>
        <a:ln>
          <a:noFill/>
        </a:ln>
        <a:effectLst/>
      </c:spPr>
    </c:plotArea>
    <c:legend>
      <c:legendPos val="b"/>
      <c:legendEntry>
        <c:idx val="2"/>
        <c:delete val="1"/>
      </c:legendEntry>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★図3!$B$1</c:f>
              <c:strCache>
                <c:ptCount val="1"/>
                <c:pt idx="0">
                  <c:v>実質GDP（成長実現ケース）</c:v>
                </c:pt>
              </c:strCache>
            </c:strRef>
          </c:tx>
          <c:spPr>
            <a:ln w="28575" cap="rnd">
              <a:solidFill>
                <a:schemeClr val="accent1"/>
              </a:solidFill>
              <a:round/>
            </a:ln>
            <a:effectLst/>
          </c:spPr>
          <c:marker>
            <c:symbol val="none"/>
          </c:marker>
          <c:cat>
            <c:numRef>
              <c:f>★図3!$A$2:$A$31</c:f>
              <c:numCache>
                <c:formatCode>General</c:formatCode>
                <c:ptCount val="3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numCache>
            </c:numRef>
          </c:cat>
          <c:val>
            <c:numRef>
              <c:f>★図3!$B$2:$B$31</c:f>
              <c:numCache>
                <c:formatCode>#,##0_);[Red]\(#,##0\)</c:formatCode>
                <c:ptCount val="30"/>
                <c:pt idx="0">
                  <c:v>486.54559999999998</c:v>
                </c:pt>
                <c:pt idx="1">
                  <c:v>495.92520000000002</c:v>
                </c:pt>
                <c:pt idx="2">
                  <c:v>504.26499999999999</c:v>
                </c:pt>
                <c:pt idx="3">
                  <c:v>515.13760000000002</c:v>
                </c:pt>
                <c:pt idx="4">
                  <c:v>521.7876</c:v>
                </c:pt>
                <c:pt idx="5">
                  <c:v>527.27</c:v>
                </c:pt>
                <c:pt idx="6">
                  <c:v>508.26190000000003</c:v>
                </c:pt>
                <c:pt idx="7">
                  <c:v>495.8775</c:v>
                </c:pt>
                <c:pt idx="8">
                  <c:v>512.06370000000004</c:v>
                </c:pt>
                <c:pt idx="9">
                  <c:v>514.67989999999998</c:v>
                </c:pt>
                <c:pt idx="10">
                  <c:v>517.92279999999994</c:v>
                </c:pt>
                <c:pt idx="11">
                  <c:v>532.08040000000005</c:v>
                </c:pt>
                <c:pt idx="12">
                  <c:v>530.19159999999999</c:v>
                </c:pt>
                <c:pt idx="13">
                  <c:v>539.40930000000003</c:v>
                </c:pt>
                <c:pt idx="14">
                  <c:v>543.46249999999998</c:v>
                </c:pt>
                <c:pt idx="15">
                  <c:v>553.21480000000008</c:v>
                </c:pt>
                <c:pt idx="16">
                  <c:v>554.25930000000005</c:v>
                </c:pt>
                <c:pt idx="17">
                  <c:v>550.62819999999999</c:v>
                </c:pt>
                <c:pt idx="18">
                  <c:v>525.65830000000005</c:v>
                </c:pt>
                <c:pt idx="19">
                  <c:v>539.32541580000009</c:v>
                </c:pt>
                <c:pt idx="20">
                  <c:v>556.5838291056001</c:v>
                </c:pt>
                <c:pt idx="21">
                  <c:v>568.27208951681769</c:v>
                </c:pt>
                <c:pt idx="22">
                  <c:v>583.04716384425501</c:v>
                </c:pt>
                <c:pt idx="23">
                  <c:v>594.12505995729578</c:v>
                </c:pt>
                <c:pt idx="24">
                  <c:v>606.00756115644174</c:v>
                </c:pt>
                <c:pt idx="25">
                  <c:v>617.52170481841404</c:v>
                </c:pt>
                <c:pt idx="26">
                  <c:v>629.25461720996384</c:v>
                </c:pt>
                <c:pt idx="27">
                  <c:v>640.58120031974317</c:v>
                </c:pt>
                <c:pt idx="28">
                  <c:v>652.11166192549854</c:v>
                </c:pt>
                <c:pt idx="29">
                  <c:v>663.19756017823192</c:v>
                </c:pt>
              </c:numCache>
            </c:numRef>
          </c:val>
          <c:smooth val="0"/>
          <c:extLst>
            <c:ext xmlns:c16="http://schemas.microsoft.com/office/drawing/2014/chart" uri="{C3380CC4-5D6E-409C-BE32-E72D297353CC}">
              <c16:uniqueId val="{00000000-5468-4153-828C-236E65374DB3}"/>
            </c:ext>
          </c:extLst>
        </c:ser>
        <c:ser>
          <c:idx val="2"/>
          <c:order val="1"/>
          <c:tx>
            <c:strRef>
              <c:f>★図3!$C$1</c:f>
              <c:strCache>
                <c:ptCount val="1"/>
                <c:pt idx="0">
                  <c:v>潜在GDP（成長実現ケース）</c:v>
                </c:pt>
              </c:strCache>
            </c:strRef>
          </c:tx>
          <c:spPr>
            <a:ln w="28575" cap="rnd">
              <a:solidFill>
                <a:schemeClr val="tx2"/>
              </a:solidFill>
              <a:prstDash val="dash"/>
              <a:round/>
            </a:ln>
            <a:effectLst/>
          </c:spPr>
          <c:marker>
            <c:symbol val="none"/>
          </c:marker>
          <c:cat>
            <c:numRef>
              <c:f>★図3!$A$2:$A$31</c:f>
              <c:numCache>
                <c:formatCode>General</c:formatCode>
                <c:ptCount val="3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numCache>
            </c:numRef>
          </c:cat>
          <c:val>
            <c:numRef>
              <c:f>★図3!$C$2:$C$31</c:f>
              <c:numCache>
                <c:formatCode>#,##0_);[Red]\(#,##0\)</c:formatCode>
                <c:ptCount val="30"/>
                <c:pt idx="0">
                  <c:v>499.53347022587269</c:v>
                </c:pt>
                <c:pt idx="1">
                  <c:v>505.01547861507129</c:v>
                </c:pt>
                <c:pt idx="2">
                  <c:v>510.9067882472138</c:v>
                </c:pt>
                <c:pt idx="3">
                  <c:v>515.13760000000002</c:v>
                </c:pt>
                <c:pt idx="4">
                  <c:v>518.16047666335658</c:v>
                </c:pt>
                <c:pt idx="5">
                  <c:v>518.96653543307082</c:v>
                </c:pt>
                <c:pt idx="6">
                  <c:v>517.57830957230146</c:v>
                </c:pt>
                <c:pt idx="7">
                  <c:v>517.61743215031322</c:v>
                </c:pt>
                <c:pt idx="8">
                  <c:v>518.80820668693013</c:v>
                </c:pt>
                <c:pt idx="9">
                  <c:v>521.98772819472617</c:v>
                </c:pt>
                <c:pt idx="10">
                  <c:v>525.2766734279918</c:v>
                </c:pt>
                <c:pt idx="11">
                  <c:v>529.96055776892433</c:v>
                </c:pt>
                <c:pt idx="12">
                  <c:v>535.00665993945506</c:v>
                </c:pt>
                <c:pt idx="13">
                  <c:v>539.94924924924931</c:v>
                </c:pt>
                <c:pt idx="14">
                  <c:v>544.55160320641278</c:v>
                </c:pt>
                <c:pt idx="15">
                  <c:v>548.82420634920641</c:v>
                </c:pt>
                <c:pt idx="16">
                  <c:v>552.60149551345978</c:v>
                </c:pt>
                <c:pt idx="17">
                  <c:v>555.62885973763878</c:v>
                </c:pt>
                <c:pt idx="18">
                  <c:v>558.02367303609356</c:v>
                </c:pt>
                <c:pt idx="19">
                  <c:v>561.37181507431012</c:v>
                </c:pt>
                <c:pt idx="20">
                  <c:v>566.98553322505325</c:v>
                </c:pt>
                <c:pt idx="21">
                  <c:v>573.78935962375385</c:v>
                </c:pt>
                <c:pt idx="22">
                  <c:v>582.39620001811011</c:v>
                </c:pt>
                <c:pt idx="23">
                  <c:v>593.46172781845416</c:v>
                </c:pt>
                <c:pt idx="24">
                  <c:v>605.33096237482323</c:v>
                </c:pt>
                <c:pt idx="25">
                  <c:v>616.83225065994486</c:v>
                </c:pt>
                <c:pt idx="26">
                  <c:v>628.5520634224838</c:v>
                </c:pt>
                <c:pt idx="27">
                  <c:v>639.86600056408849</c:v>
                </c:pt>
                <c:pt idx="28">
                  <c:v>651.38358857424214</c:v>
                </c:pt>
                <c:pt idx="29">
                  <c:v>662.45710958000416</c:v>
                </c:pt>
              </c:numCache>
            </c:numRef>
          </c:val>
          <c:smooth val="0"/>
          <c:extLst>
            <c:ext xmlns:c16="http://schemas.microsoft.com/office/drawing/2014/chart" uri="{C3380CC4-5D6E-409C-BE32-E72D297353CC}">
              <c16:uniqueId val="{00000002-5468-4153-828C-236E65374DB3}"/>
            </c:ext>
          </c:extLst>
        </c:ser>
        <c:ser>
          <c:idx val="3"/>
          <c:order val="2"/>
          <c:tx>
            <c:strRef>
              <c:f>★図3!$D$1</c:f>
              <c:strCache>
                <c:ptCount val="1"/>
                <c:pt idx="0">
                  <c:v>実質GDP（ベースラインケース）</c:v>
                </c:pt>
              </c:strCache>
            </c:strRef>
          </c:tx>
          <c:spPr>
            <a:ln w="28575" cap="rnd">
              <a:solidFill>
                <a:schemeClr val="accent2"/>
              </a:solidFill>
              <a:prstDash val="solid"/>
              <a:round/>
            </a:ln>
            <a:effectLst/>
          </c:spPr>
          <c:marker>
            <c:symbol val="none"/>
          </c:marker>
          <c:cat>
            <c:numRef>
              <c:f>★図3!$A$2:$A$31</c:f>
              <c:numCache>
                <c:formatCode>General</c:formatCode>
                <c:ptCount val="3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numCache>
            </c:numRef>
          </c:cat>
          <c:val>
            <c:numRef>
              <c:f>★図3!$D$2:$D$31</c:f>
              <c:numCache>
                <c:formatCode>#,##0_);[Red]\(#,##0\)</c:formatCode>
                <c:ptCount val="30"/>
                <c:pt idx="0">
                  <c:v>486.54559999999998</c:v>
                </c:pt>
                <c:pt idx="1">
                  <c:v>495.92520000000002</c:v>
                </c:pt>
                <c:pt idx="2">
                  <c:v>504.26499999999999</c:v>
                </c:pt>
                <c:pt idx="3">
                  <c:v>515.13760000000002</c:v>
                </c:pt>
                <c:pt idx="4">
                  <c:v>521.7876</c:v>
                </c:pt>
                <c:pt idx="5">
                  <c:v>527.27</c:v>
                </c:pt>
                <c:pt idx="6">
                  <c:v>508.26190000000003</c:v>
                </c:pt>
                <c:pt idx="7">
                  <c:v>495.8775</c:v>
                </c:pt>
                <c:pt idx="8">
                  <c:v>512.06370000000004</c:v>
                </c:pt>
                <c:pt idx="9">
                  <c:v>514.67989999999998</c:v>
                </c:pt>
                <c:pt idx="10">
                  <c:v>517.92279999999994</c:v>
                </c:pt>
                <c:pt idx="11">
                  <c:v>532.08040000000005</c:v>
                </c:pt>
                <c:pt idx="12">
                  <c:v>530.19159999999999</c:v>
                </c:pt>
                <c:pt idx="13">
                  <c:v>539.40930000000003</c:v>
                </c:pt>
                <c:pt idx="14">
                  <c:v>543.46249999999998</c:v>
                </c:pt>
                <c:pt idx="15">
                  <c:v>553.21480000000008</c:v>
                </c:pt>
                <c:pt idx="16">
                  <c:v>554.25930000000005</c:v>
                </c:pt>
                <c:pt idx="17">
                  <c:v>550.62819999999999</c:v>
                </c:pt>
                <c:pt idx="18">
                  <c:v>525.65830000000005</c:v>
                </c:pt>
                <c:pt idx="19">
                  <c:v>539.32541580000009</c:v>
                </c:pt>
                <c:pt idx="20">
                  <c:v>556.5838291056001</c:v>
                </c:pt>
                <c:pt idx="21">
                  <c:v>563.81941888397284</c:v>
                </c:pt>
                <c:pt idx="22">
                  <c:v>574.53198784276833</c:v>
                </c:pt>
                <c:pt idx="23">
                  <c:v>583.72449964825262</c:v>
                </c:pt>
                <c:pt idx="24">
                  <c:v>589.5617446447352</c:v>
                </c:pt>
                <c:pt idx="25">
                  <c:v>594.86780034653771</c:v>
                </c:pt>
                <c:pt idx="26">
                  <c:v>600.22161054965648</c:v>
                </c:pt>
                <c:pt idx="27">
                  <c:v>605.0233834340537</c:v>
                </c:pt>
                <c:pt idx="28">
                  <c:v>609.86357050152617</c:v>
                </c:pt>
                <c:pt idx="29">
                  <c:v>614.74247906553842</c:v>
                </c:pt>
              </c:numCache>
            </c:numRef>
          </c:val>
          <c:smooth val="0"/>
          <c:extLst>
            <c:ext xmlns:c16="http://schemas.microsoft.com/office/drawing/2014/chart" uri="{C3380CC4-5D6E-409C-BE32-E72D297353CC}">
              <c16:uniqueId val="{00000003-5468-4153-828C-236E65374DB3}"/>
            </c:ext>
          </c:extLst>
        </c:ser>
        <c:ser>
          <c:idx val="5"/>
          <c:order val="3"/>
          <c:tx>
            <c:strRef>
              <c:f>★図3!$E$1</c:f>
              <c:strCache>
                <c:ptCount val="1"/>
                <c:pt idx="0">
                  <c:v>潜在GDP（ベースラインケース）</c:v>
                </c:pt>
              </c:strCache>
            </c:strRef>
          </c:tx>
          <c:spPr>
            <a:ln w="28575" cap="rnd">
              <a:solidFill>
                <a:schemeClr val="accent2"/>
              </a:solidFill>
              <a:prstDash val="dash"/>
              <a:round/>
            </a:ln>
            <a:effectLst/>
          </c:spPr>
          <c:marker>
            <c:symbol val="none"/>
          </c:marker>
          <c:cat>
            <c:numRef>
              <c:f>★図3!$A$2:$A$31</c:f>
              <c:numCache>
                <c:formatCode>General</c:formatCode>
                <c:ptCount val="3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numCache>
            </c:numRef>
          </c:cat>
          <c:val>
            <c:numRef>
              <c:f>★図3!$E$2:$E$31</c:f>
              <c:numCache>
                <c:formatCode>#,##0_);[Red]\(#,##0\)</c:formatCode>
                <c:ptCount val="30"/>
                <c:pt idx="0">
                  <c:v>499.53347022587269</c:v>
                </c:pt>
                <c:pt idx="1">
                  <c:v>505.01547861507129</c:v>
                </c:pt>
                <c:pt idx="2">
                  <c:v>510.9067882472138</c:v>
                </c:pt>
                <c:pt idx="3">
                  <c:v>515.13760000000002</c:v>
                </c:pt>
                <c:pt idx="4">
                  <c:v>518.16047666335658</c:v>
                </c:pt>
                <c:pt idx="5">
                  <c:v>518.96653543307082</c:v>
                </c:pt>
                <c:pt idx="6">
                  <c:v>517.57830957230146</c:v>
                </c:pt>
                <c:pt idx="7">
                  <c:v>517.61743215031322</c:v>
                </c:pt>
                <c:pt idx="8">
                  <c:v>518.80820668693013</c:v>
                </c:pt>
                <c:pt idx="9">
                  <c:v>521.98772819472617</c:v>
                </c:pt>
                <c:pt idx="10">
                  <c:v>525.2766734279918</c:v>
                </c:pt>
                <c:pt idx="11">
                  <c:v>529.96055776892433</c:v>
                </c:pt>
                <c:pt idx="12">
                  <c:v>535.00665993945506</c:v>
                </c:pt>
                <c:pt idx="13">
                  <c:v>539.94924924924931</c:v>
                </c:pt>
                <c:pt idx="14">
                  <c:v>544.55160320641278</c:v>
                </c:pt>
                <c:pt idx="15">
                  <c:v>548.82420634920641</c:v>
                </c:pt>
                <c:pt idx="16">
                  <c:v>552.60149551345978</c:v>
                </c:pt>
                <c:pt idx="17">
                  <c:v>555.62885973763878</c:v>
                </c:pt>
                <c:pt idx="18">
                  <c:v>558.02367303609356</c:v>
                </c:pt>
                <c:pt idx="19">
                  <c:v>561.37181507431012</c:v>
                </c:pt>
                <c:pt idx="20">
                  <c:v>566.98553322505325</c:v>
                </c:pt>
                <c:pt idx="21">
                  <c:v>572.65538855730381</c:v>
                </c:pt>
                <c:pt idx="22">
                  <c:v>578.38194244287683</c:v>
                </c:pt>
                <c:pt idx="23">
                  <c:v>583.58737992486272</c:v>
                </c:pt>
                <c:pt idx="24">
                  <c:v>588.83966634418641</c:v>
                </c:pt>
                <c:pt idx="25">
                  <c:v>594.13922334128404</c:v>
                </c:pt>
                <c:pt idx="26">
                  <c:v>599.48647635135558</c:v>
                </c:pt>
                <c:pt idx="27">
                  <c:v>604.28236816216645</c:v>
                </c:pt>
                <c:pt idx="28">
                  <c:v>609.11662710746384</c:v>
                </c:pt>
                <c:pt idx="29">
                  <c:v>613.98956012432359</c:v>
                </c:pt>
              </c:numCache>
            </c:numRef>
          </c:val>
          <c:smooth val="0"/>
          <c:extLst>
            <c:ext xmlns:c16="http://schemas.microsoft.com/office/drawing/2014/chart" uri="{C3380CC4-5D6E-409C-BE32-E72D297353CC}">
              <c16:uniqueId val="{00000005-5468-4153-828C-236E65374DB3}"/>
            </c:ext>
          </c:extLst>
        </c:ser>
        <c:ser>
          <c:idx val="6"/>
          <c:order val="4"/>
          <c:tx>
            <c:strRef>
              <c:f>★図3!$F$1</c:f>
              <c:strCache>
                <c:ptCount val="1"/>
                <c:pt idx="0">
                  <c:v>現実GDP</c:v>
                </c:pt>
              </c:strCache>
            </c:strRef>
          </c:tx>
          <c:spPr>
            <a:ln w="28575" cap="rnd">
              <a:solidFill>
                <a:schemeClr val="tx1"/>
              </a:solidFill>
              <a:round/>
            </a:ln>
            <a:effectLst/>
          </c:spPr>
          <c:marker>
            <c:symbol val="none"/>
          </c:marker>
          <c:cat>
            <c:numRef>
              <c:f>★図3!$A$2:$A$31</c:f>
              <c:numCache>
                <c:formatCode>General</c:formatCode>
                <c:ptCount val="3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numCache>
            </c:numRef>
          </c:cat>
          <c:val>
            <c:numRef>
              <c:f>★図3!$F$2:$F$31</c:f>
              <c:numCache>
                <c:formatCode>#,##0_);[Red]\(#,##0\)</c:formatCode>
                <c:ptCount val="30"/>
                <c:pt idx="0">
                  <c:v>486.54559999999998</c:v>
                </c:pt>
                <c:pt idx="1">
                  <c:v>495.92520000000002</c:v>
                </c:pt>
                <c:pt idx="2">
                  <c:v>504.26499999999999</c:v>
                </c:pt>
                <c:pt idx="3">
                  <c:v>515.13760000000002</c:v>
                </c:pt>
                <c:pt idx="4">
                  <c:v>521.7876</c:v>
                </c:pt>
                <c:pt idx="5">
                  <c:v>527.27</c:v>
                </c:pt>
                <c:pt idx="6">
                  <c:v>508.26190000000003</c:v>
                </c:pt>
                <c:pt idx="7">
                  <c:v>495.8775</c:v>
                </c:pt>
                <c:pt idx="8">
                  <c:v>512.06370000000004</c:v>
                </c:pt>
                <c:pt idx="9">
                  <c:v>514.67989999999998</c:v>
                </c:pt>
                <c:pt idx="10">
                  <c:v>517.92279999999994</c:v>
                </c:pt>
                <c:pt idx="11">
                  <c:v>532.08040000000005</c:v>
                </c:pt>
                <c:pt idx="12">
                  <c:v>530.19159999999999</c:v>
                </c:pt>
                <c:pt idx="13">
                  <c:v>539.40930000000003</c:v>
                </c:pt>
                <c:pt idx="14">
                  <c:v>543.46249999999998</c:v>
                </c:pt>
                <c:pt idx="15">
                  <c:v>553.21480000000008</c:v>
                </c:pt>
                <c:pt idx="16">
                  <c:v>554.25930000000005</c:v>
                </c:pt>
                <c:pt idx="17">
                  <c:v>550.62819999999999</c:v>
                </c:pt>
                <c:pt idx="18">
                  <c:v>525.65830000000005</c:v>
                </c:pt>
                <c:pt idx="19">
                  <c:v>539.32541580000009</c:v>
                </c:pt>
                <c:pt idx="20">
                  <c:v>556.5838291056001</c:v>
                </c:pt>
              </c:numCache>
            </c:numRef>
          </c:val>
          <c:smooth val="0"/>
          <c:extLst>
            <c:ext xmlns:c16="http://schemas.microsoft.com/office/drawing/2014/chart" uri="{C3380CC4-5D6E-409C-BE32-E72D297353CC}">
              <c16:uniqueId val="{00000007-5468-4153-828C-236E65374DB3}"/>
            </c:ext>
          </c:extLst>
        </c:ser>
        <c:ser>
          <c:idx val="7"/>
          <c:order val="5"/>
          <c:tx>
            <c:strRef>
              <c:f>★図3!$G$1</c:f>
              <c:strCache>
                <c:ptCount val="1"/>
                <c:pt idx="0">
                  <c:v>潜在GDP</c:v>
                </c:pt>
              </c:strCache>
            </c:strRef>
          </c:tx>
          <c:spPr>
            <a:ln w="28575" cap="rnd">
              <a:solidFill>
                <a:schemeClr val="tx1"/>
              </a:solidFill>
              <a:prstDash val="dash"/>
              <a:round/>
            </a:ln>
            <a:effectLst/>
          </c:spPr>
          <c:marker>
            <c:symbol val="none"/>
          </c:marker>
          <c:cat>
            <c:numRef>
              <c:f>★図3!$A$2:$A$31</c:f>
              <c:numCache>
                <c:formatCode>General</c:formatCode>
                <c:ptCount val="3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numCache>
            </c:numRef>
          </c:cat>
          <c:val>
            <c:numRef>
              <c:f>★図3!$G$2:$G$31</c:f>
              <c:numCache>
                <c:formatCode>#,##0_);[Red]\(#,##0\)</c:formatCode>
                <c:ptCount val="30"/>
                <c:pt idx="0">
                  <c:v>499.53347022587269</c:v>
                </c:pt>
                <c:pt idx="1">
                  <c:v>505.01547861507129</c:v>
                </c:pt>
                <c:pt idx="2">
                  <c:v>510.9067882472138</c:v>
                </c:pt>
                <c:pt idx="3">
                  <c:v>515.13760000000002</c:v>
                </c:pt>
                <c:pt idx="4">
                  <c:v>518.16047666335658</c:v>
                </c:pt>
                <c:pt idx="5">
                  <c:v>518.96653543307082</c:v>
                </c:pt>
                <c:pt idx="6">
                  <c:v>517.57830957230146</c:v>
                </c:pt>
                <c:pt idx="7">
                  <c:v>517.61743215031322</c:v>
                </c:pt>
                <c:pt idx="8">
                  <c:v>518.80820668693013</c:v>
                </c:pt>
                <c:pt idx="9">
                  <c:v>521.98772819472617</c:v>
                </c:pt>
                <c:pt idx="10">
                  <c:v>525.2766734279918</c:v>
                </c:pt>
                <c:pt idx="11">
                  <c:v>529.96055776892433</c:v>
                </c:pt>
                <c:pt idx="12">
                  <c:v>535.00665993945506</c:v>
                </c:pt>
                <c:pt idx="13">
                  <c:v>539.94924924924931</c:v>
                </c:pt>
                <c:pt idx="14">
                  <c:v>544.55160320641278</c:v>
                </c:pt>
                <c:pt idx="15">
                  <c:v>548.82420634920641</c:v>
                </c:pt>
                <c:pt idx="16">
                  <c:v>552.60149551345978</c:v>
                </c:pt>
                <c:pt idx="17">
                  <c:v>555.62885973763878</c:v>
                </c:pt>
                <c:pt idx="18">
                  <c:v>558.02367303609356</c:v>
                </c:pt>
                <c:pt idx="19">
                  <c:v>561.37181507431012</c:v>
                </c:pt>
                <c:pt idx="20">
                  <c:v>566.98553322505325</c:v>
                </c:pt>
              </c:numCache>
            </c:numRef>
          </c:val>
          <c:smooth val="0"/>
          <c:extLst>
            <c:ext xmlns:c16="http://schemas.microsoft.com/office/drawing/2014/chart" uri="{C3380CC4-5D6E-409C-BE32-E72D297353CC}">
              <c16:uniqueId val="{00000008-5468-4153-828C-236E65374DB3}"/>
            </c:ext>
          </c:extLst>
        </c:ser>
        <c:dLbls>
          <c:showLegendKey val="0"/>
          <c:showVal val="0"/>
          <c:showCatName val="0"/>
          <c:showSerName val="0"/>
          <c:showPercent val="0"/>
          <c:showBubbleSize val="0"/>
        </c:dLbls>
        <c:smooth val="0"/>
        <c:axId val="811729376"/>
        <c:axId val="811723136"/>
        <c:extLst/>
      </c:lineChart>
      <c:catAx>
        <c:axId val="81172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811723136"/>
        <c:crosses val="autoZero"/>
        <c:auto val="1"/>
        <c:lblAlgn val="ctr"/>
        <c:lblOffset val="100"/>
        <c:noMultiLvlLbl val="0"/>
      </c:catAx>
      <c:valAx>
        <c:axId val="811723136"/>
        <c:scaling>
          <c:orientation val="minMax"/>
          <c:min val="45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811729376"/>
        <c:crosses val="autoZero"/>
        <c:crossBetween val="between"/>
      </c:valAx>
      <c:spPr>
        <a:noFill/>
        <a:ln>
          <a:noFill/>
        </a:ln>
        <a:effectLst/>
      </c:spPr>
    </c:plotArea>
    <c:legend>
      <c:legendPos val="b"/>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'★PPT用図表（固定資産）'!$B$1</c:f>
              <c:strCache>
                <c:ptCount val="1"/>
                <c:pt idx="0">
                  <c:v>成長実現ケース</c:v>
                </c:pt>
              </c:strCache>
            </c:strRef>
          </c:tx>
          <c:spPr>
            <a:ln w="28575" cap="rnd">
              <a:solidFill>
                <a:schemeClr val="accent1"/>
              </a:solidFill>
              <a:round/>
            </a:ln>
            <a:effectLst/>
          </c:spPr>
          <c:marker>
            <c:symbol val="none"/>
          </c:marker>
          <c:dLbls>
            <c:dLbl>
              <c:idx val="55"/>
              <c:layout>
                <c:manualLayout>
                  <c:x val="-4.366921088532448E-2"/>
                  <c:y val="-3.9870547344129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44-4CB1-BD36-20F1A3CF2625}"/>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游ゴシック Medium" panose="020B0500000000000000" pitchFamily="50" charset="-128"/>
                    <a:ea typeface="游ゴシック Medium" panose="020B0500000000000000"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'★PPT用図表（固定資産）'!$A$2:$A$57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'★PPT用図表（固定資産）'!$B$2:$B$57</c:f>
              <c:numCache>
                <c:formatCode>#,##0.0;[Red]\-#,##0.0</c:formatCode>
                <c:ptCount val="56"/>
                <c:pt idx="1">
                  <c:v>9.8526778546204401</c:v>
                </c:pt>
                <c:pt idx="2">
                  <c:v>10.446904148254028</c:v>
                </c:pt>
                <c:pt idx="3">
                  <c:v>11.044788524344776</c:v>
                </c:pt>
                <c:pt idx="4">
                  <c:v>11.654536095712126</c:v>
                </c:pt>
                <c:pt idx="5">
                  <c:v>12.288658993537544</c:v>
                </c:pt>
                <c:pt idx="6">
                  <c:v>12.961943110240123</c:v>
                </c:pt>
                <c:pt idx="7">
                  <c:v>13.689437680463289</c:v>
                </c:pt>
                <c:pt idx="8">
                  <c:v>14.480275020691066</c:v>
                </c:pt>
                <c:pt idx="9">
                  <c:v>15.333439689282713</c:v>
                </c:pt>
                <c:pt idx="10">
                  <c:v>16.234671852349866</c:v>
                </c:pt>
                <c:pt idx="11">
                  <c:v>17.156451601659818</c:v>
                </c:pt>
                <c:pt idx="12">
                  <c:v>18.060034349067344</c:v>
                </c:pt>
                <c:pt idx="13">
                  <c:v>18.903781699518596</c:v>
                </c:pt>
                <c:pt idx="14">
                  <c:v>19.650973489993053</c:v>
                </c:pt>
                <c:pt idx="15">
                  <c:v>20.274208306661045</c:v>
                </c:pt>
                <c:pt idx="16">
                  <c:v>20.755929721535818</c:v>
                </c:pt>
                <c:pt idx="17">
                  <c:v>21.087266926400176</c:v>
                </c:pt>
                <c:pt idx="18">
                  <c:v>21.269360958829527</c:v>
                </c:pt>
                <c:pt idx="19">
                  <c:v>21.312011566007278</c:v>
                </c:pt>
                <c:pt idx="20">
                  <c:v>21.230945074512462</c:v>
                </c:pt>
                <c:pt idx="21">
                  <c:v>21.044151100000104</c:v>
                </c:pt>
                <c:pt idx="22">
                  <c:v>20.76979402692827</c:v>
                </c:pt>
                <c:pt idx="23">
                  <c:v>20.428360661762611</c:v>
                </c:pt>
                <c:pt idx="24">
                  <c:v>20.04274114915599</c:v>
                </c:pt>
                <c:pt idx="25">
                  <c:v>19.637522116879168</c:v>
                </c:pt>
                <c:pt idx="26">
                  <c:v>19.235251025515577</c:v>
                </c:pt>
                <c:pt idx="27">
                  <c:v>18.854372257695996</c:v>
                </c:pt>
                <c:pt idx="28">
                  <c:v>18.50826141864372</c:v>
                </c:pt>
                <c:pt idx="29">
                  <c:v>18.204398940621282</c:v>
                </c:pt>
                <c:pt idx="30">
                  <c:v>17.950851725984865</c:v>
                </c:pt>
                <c:pt idx="31">
                  <c:v>17.755961932428193</c:v>
                </c:pt>
                <c:pt idx="32">
                  <c:v>17.624970174353347</c:v>
                </c:pt>
                <c:pt idx="33">
                  <c:v>17.560262562062011</c:v>
                </c:pt>
                <c:pt idx="34">
                  <c:v>17.559672503652493</c:v>
                </c:pt>
                <c:pt idx="35">
                  <c:v>17.615781847406257</c:v>
                </c:pt>
                <c:pt idx="36">
                  <c:v>17.718820882176363</c:v>
                </c:pt>
                <c:pt idx="37">
                  <c:v>17.858580631665912</c:v>
                </c:pt>
                <c:pt idx="38">
                  <c:v>18.025147751116144</c:v>
                </c:pt>
                <c:pt idx="39">
                  <c:v>18.208054840311512</c:v>
                </c:pt>
                <c:pt idx="40">
                  <c:v>18.399319577125539</c:v>
                </c:pt>
                <c:pt idx="41">
                  <c:v>18.593571130704543</c:v>
                </c:pt>
                <c:pt idx="42">
                  <c:v>18.636035230120363</c:v>
                </c:pt>
                <c:pt idx="43">
                  <c:v>18.714898070462098</c:v>
                </c:pt>
                <c:pt idx="44">
                  <c:v>18.828826832677528</c:v>
                </c:pt>
                <c:pt idx="45">
                  <c:v>18.97673925455598</c:v>
                </c:pt>
                <c:pt idx="46">
                  <c:v>19.157776070607472</c:v>
                </c:pt>
                <c:pt idx="47">
                  <c:v>19.370935342861223</c:v>
                </c:pt>
                <c:pt idx="48">
                  <c:v>19.615739007713103</c:v>
                </c:pt>
                <c:pt idx="49">
                  <c:v>19.891869032411908</c:v>
                </c:pt>
                <c:pt idx="50">
                  <c:v>20.199153541746586</c:v>
                </c:pt>
                <c:pt idx="51">
                  <c:v>20.537555077976695</c:v>
                </c:pt>
                <c:pt idx="52">
                  <c:v>20.906422136532345</c:v>
                </c:pt>
                <c:pt idx="53">
                  <c:v>21.305945703502168</c:v>
                </c:pt>
                <c:pt idx="54">
                  <c:v>21.736420086031249</c:v>
                </c:pt>
                <c:pt idx="55">
                  <c:v>22.198237291290894</c:v>
                </c:pt>
              </c:numCache>
            </c:numRef>
          </c:val>
          <c:smooth val="0"/>
          <c:extLst>
            <c:ext xmlns:c16="http://schemas.microsoft.com/office/drawing/2014/chart" uri="{C3380CC4-5D6E-409C-BE32-E72D297353CC}">
              <c16:uniqueId val="{00000000-6EFB-4E82-BE01-85C281DC2AF8}"/>
            </c:ext>
          </c:extLst>
        </c:ser>
        <c:ser>
          <c:idx val="1"/>
          <c:order val="1"/>
          <c:tx>
            <c:strRef>
              <c:f>'★PPT用図表（固定資産）'!$C$1</c:f>
              <c:strCache>
                <c:ptCount val="1"/>
                <c:pt idx="0">
                  <c:v>ベースラインケース</c:v>
                </c:pt>
              </c:strCache>
            </c:strRef>
          </c:tx>
          <c:spPr>
            <a:ln w="28575" cap="rnd">
              <a:solidFill>
                <a:schemeClr val="accent2"/>
              </a:solidFill>
              <a:round/>
            </a:ln>
            <a:effectLst/>
          </c:spPr>
          <c:marker>
            <c:symbol val="none"/>
          </c:marker>
          <c:dLbls>
            <c:dLbl>
              <c:idx val="55"/>
              <c:layout>
                <c:manualLayout>
                  <c:x val="-4.054998153637273E-2"/>
                  <c:y val="7.70830581986507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44-4CB1-BD36-20F1A3CF2625}"/>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游ゴシック Medium" panose="020B0500000000000000" pitchFamily="50" charset="-128"/>
                    <a:ea typeface="游ゴシック Medium" panose="020B0500000000000000"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'★PPT用図表（固定資産）'!$A$2:$A$57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'★PPT用図表（固定資産）'!$C$2:$C$57</c:f>
              <c:numCache>
                <c:formatCode>#,##0.0;[Red]\-#,##0.0</c:formatCode>
                <c:ptCount val="56"/>
                <c:pt idx="1">
                  <c:v>9.8526778546204401</c:v>
                </c:pt>
                <c:pt idx="2">
                  <c:v>10.446904148254028</c:v>
                </c:pt>
                <c:pt idx="3">
                  <c:v>11.044788524344776</c:v>
                </c:pt>
                <c:pt idx="4">
                  <c:v>11.654536095712126</c:v>
                </c:pt>
                <c:pt idx="5">
                  <c:v>12.288658993537544</c:v>
                </c:pt>
                <c:pt idx="6">
                  <c:v>12.961943110240123</c:v>
                </c:pt>
                <c:pt idx="7">
                  <c:v>13.689437680463289</c:v>
                </c:pt>
                <c:pt idx="8">
                  <c:v>14.480275020691066</c:v>
                </c:pt>
                <c:pt idx="9">
                  <c:v>15.333439689282713</c:v>
                </c:pt>
                <c:pt idx="10">
                  <c:v>16.234671852349866</c:v>
                </c:pt>
                <c:pt idx="11">
                  <c:v>17.156451601659818</c:v>
                </c:pt>
                <c:pt idx="12">
                  <c:v>18.060034349067344</c:v>
                </c:pt>
                <c:pt idx="13">
                  <c:v>18.903781699518596</c:v>
                </c:pt>
                <c:pt idx="14">
                  <c:v>19.650973489993053</c:v>
                </c:pt>
                <c:pt idx="15">
                  <c:v>20.274208306661045</c:v>
                </c:pt>
                <c:pt idx="16">
                  <c:v>20.755929721535818</c:v>
                </c:pt>
                <c:pt idx="17">
                  <c:v>21.087266926400176</c:v>
                </c:pt>
                <c:pt idx="18">
                  <c:v>21.269360958829527</c:v>
                </c:pt>
                <c:pt idx="19">
                  <c:v>21.312011566007278</c:v>
                </c:pt>
                <c:pt idx="20">
                  <c:v>21.230945074512462</c:v>
                </c:pt>
                <c:pt idx="21">
                  <c:v>21.044151100000104</c:v>
                </c:pt>
                <c:pt idx="22">
                  <c:v>20.76979402692827</c:v>
                </c:pt>
                <c:pt idx="23">
                  <c:v>20.428360661762611</c:v>
                </c:pt>
                <c:pt idx="24">
                  <c:v>20.04274114915599</c:v>
                </c:pt>
                <c:pt idx="25">
                  <c:v>19.637522116879168</c:v>
                </c:pt>
                <c:pt idx="26">
                  <c:v>19.235251025515577</c:v>
                </c:pt>
                <c:pt idx="27">
                  <c:v>18.854372257695996</c:v>
                </c:pt>
                <c:pt idx="28">
                  <c:v>18.50826141864372</c:v>
                </c:pt>
                <c:pt idx="29">
                  <c:v>18.204398940621282</c:v>
                </c:pt>
                <c:pt idx="30">
                  <c:v>17.950851725984865</c:v>
                </c:pt>
                <c:pt idx="31">
                  <c:v>17.755961932428193</c:v>
                </c:pt>
                <c:pt idx="32">
                  <c:v>17.624970174353347</c:v>
                </c:pt>
                <c:pt idx="33">
                  <c:v>17.560262562062011</c:v>
                </c:pt>
                <c:pt idx="34">
                  <c:v>17.559672503652493</c:v>
                </c:pt>
                <c:pt idx="35">
                  <c:v>17.615781847406257</c:v>
                </c:pt>
                <c:pt idx="36">
                  <c:v>17.718820882176363</c:v>
                </c:pt>
                <c:pt idx="37">
                  <c:v>17.858580631665912</c:v>
                </c:pt>
                <c:pt idx="38">
                  <c:v>18.025147751116144</c:v>
                </c:pt>
                <c:pt idx="39">
                  <c:v>18.208054840311512</c:v>
                </c:pt>
                <c:pt idx="40">
                  <c:v>18.399319577125539</c:v>
                </c:pt>
                <c:pt idx="41">
                  <c:v>18.593571130704543</c:v>
                </c:pt>
                <c:pt idx="42">
                  <c:v>18.644955616980301</c:v>
                </c:pt>
                <c:pt idx="43">
                  <c:v>18.705219674520166</c:v>
                </c:pt>
                <c:pt idx="44">
                  <c:v>18.773902018114622</c:v>
                </c:pt>
                <c:pt idx="45">
                  <c:v>18.850569752279295</c:v>
                </c:pt>
                <c:pt idx="46">
                  <c:v>18.93481525465176</c:v>
                </c:pt>
                <c:pt idx="47">
                  <c:v>19.018443438983059</c:v>
                </c:pt>
                <c:pt idx="48">
                  <c:v>19.101035308061945</c:v>
                </c:pt>
                <c:pt idx="49">
                  <c:v>19.18215975063729</c:v>
                </c:pt>
                <c:pt idx="50">
                  <c:v>19.261371692145499</c:v>
                </c:pt>
                <c:pt idx="51">
                  <c:v>19.338210158234048</c:v>
                </c:pt>
                <c:pt idx="52">
                  <c:v>19.414599648738566</c:v>
                </c:pt>
                <c:pt idx="53">
                  <c:v>19.490092631490889</c:v>
                </c:pt>
                <c:pt idx="54">
                  <c:v>19.564229467257618</c:v>
                </c:pt>
                <c:pt idx="55">
                  <c:v>19.636536451860181</c:v>
                </c:pt>
              </c:numCache>
            </c:numRef>
          </c:val>
          <c:smooth val="0"/>
          <c:extLst>
            <c:ext xmlns:c16="http://schemas.microsoft.com/office/drawing/2014/chart" uri="{C3380CC4-5D6E-409C-BE32-E72D297353CC}">
              <c16:uniqueId val="{00000001-6EFB-4E82-BE01-85C281DC2AF8}"/>
            </c:ext>
          </c:extLst>
        </c:ser>
        <c:ser>
          <c:idx val="2"/>
          <c:order val="2"/>
          <c:tx>
            <c:strRef>
              <c:f>'★PPT用図表（有形固定資産）'!#REF!</c:f>
              <c:strCache>
                <c:ptCount val="1"/>
                <c:pt idx="0">
                  <c:v>#REF!</c:v>
                </c:pt>
              </c:strCache>
            </c:strRef>
          </c:tx>
          <c:spPr>
            <a:ln w="28575" cap="rnd">
              <a:solidFill>
                <a:schemeClr val="accent2"/>
              </a:solidFill>
              <a:prstDash val="sysDash"/>
              <a:round/>
            </a:ln>
            <a:effectLst/>
          </c:spPr>
          <c:marker>
            <c:symbol val="none"/>
          </c:marker>
          <c:cat>
            <c:numRef>
              <c:f>'★PPT用図表（固定資産）'!$A$2:$A$57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'★PPT用図表（有形固定資産）'!#REF!</c:f>
              <c:numCache>
                <c:formatCode>General</c:formatCode>
                <c:ptCount val="1"/>
                <c:pt idx="0">
                  <c:v>1</c:v>
                </c:pt>
              </c:numCache>
            </c:numRef>
          </c:val>
          <c:smooth val="0"/>
          <c:extLst>
            <c:ext xmlns:c16="http://schemas.microsoft.com/office/drawing/2014/chart" uri="{C3380CC4-5D6E-409C-BE32-E72D297353CC}">
              <c16:uniqueId val="{00000002-6EFB-4E82-BE01-85C281DC2AF8}"/>
            </c:ext>
          </c:extLst>
        </c:ser>
        <c:ser>
          <c:idx val="3"/>
          <c:order val="3"/>
          <c:tx>
            <c:strRef>
              <c:f>'★PPT用図表（固定資産）'!$D$1</c:f>
              <c:strCache>
                <c:ptCount val="1"/>
                <c:pt idx="0">
                  <c:v>現実</c:v>
                </c:pt>
              </c:strCache>
            </c:strRef>
          </c:tx>
          <c:spPr>
            <a:ln w="28575" cap="rnd">
              <a:solidFill>
                <a:schemeClr val="tx1"/>
              </a:solidFill>
              <a:round/>
            </a:ln>
            <a:effectLst/>
          </c:spPr>
          <c:marker>
            <c:symbol val="none"/>
          </c:marker>
          <c:cat>
            <c:numRef>
              <c:f>'★PPT用図表（固定資産）'!$A$2:$A$57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'★PPT用図表（固定資産）'!$D$2:$D$57</c:f>
              <c:numCache>
                <c:formatCode>#,##0.0;[Red]\-#,##0.0</c:formatCode>
                <c:ptCount val="56"/>
                <c:pt idx="1">
                  <c:v>9.8526778546204401</c:v>
                </c:pt>
                <c:pt idx="2">
                  <c:v>10.446904148254028</c:v>
                </c:pt>
                <c:pt idx="3">
                  <c:v>11.044788524344776</c:v>
                </c:pt>
                <c:pt idx="4">
                  <c:v>11.654536095712126</c:v>
                </c:pt>
                <c:pt idx="5">
                  <c:v>12.288658993537544</c:v>
                </c:pt>
                <c:pt idx="6">
                  <c:v>12.961943110240123</c:v>
                </c:pt>
                <c:pt idx="7">
                  <c:v>13.689437680463289</c:v>
                </c:pt>
                <c:pt idx="8">
                  <c:v>14.480275020691066</c:v>
                </c:pt>
                <c:pt idx="9">
                  <c:v>15.333439689282713</c:v>
                </c:pt>
                <c:pt idx="10">
                  <c:v>16.234671852349866</c:v>
                </c:pt>
                <c:pt idx="11">
                  <c:v>17.156451601659818</c:v>
                </c:pt>
                <c:pt idx="12">
                  <c:v>18.060034349067344</c:v>
                </c:pt>
                <c:pt idx="13">
                  <c:v>18.903781699518596</c:v>
                </c:pt>
                <c:pt idx="14">
                  <c:v>19.650973489993053</c:v>
                </c:pt>
                <c:pt idx="15">
                  <c:v>20.274208306661045</c:v>
                </c:pt>
                <c:pt idx="16">
                  <c:v>20.755929721535818</c:v>
                </c:pt>
                <c:pt idx="17">
                  <c:v>21.087266926400176</c:v>
                </c:pt>
                <c:pt idx="18">
                  <c:v>21.269360958829527</c:v>
                </c:pt>
                <c:pt idx="19">
                  <c:v>21.312011566007278</c:v>
                </c:pt>
                <c:pt idx="20">
                  <c:v>21.230945074512462</c:v>
                </c:pt>
                <c:pt idx="21">
                  <c:v>21.044151100000104</c:v>
                </c:pt>
                <c:pt idx="22">
                  <c:v>20.76979402692827</c:v>
                </c:pt>
                <c:pt idx="23">
                  <c:v>20.428360661762611</c:v>
                </c:pt>
                <c:pt idx="24">
                  <c:v>20.04274114915599</c:v>
                </c:pt>
                <c:pt idx="25">
                  <c:v>19.637522116879168</c:v>
                </c:pt>
                <c:pt idx="26">
                  <c:v>19.235251025515577</c:v>
                </c:pt>
                <c:pt idx="27">
                  <c:v>18.854372257695996</c:v>
                </c:pt>
                <c:pt idx="28">
                  <c:v>18.50826141864372</c:v>
                </c:pt>
                <c:pt idx="29">
                  <c:v>18.204398940621282</c:v>
                </c:pt>
                <c:pt idx="30">
                  <c:v>17.950851725984865</c:v>
                </c:pt>
                <c:pt idx="31">
                  <c:v>17.755961932428193</c:v>
                </c:pt>
                <c:pt idx="32">
                  <c:v>17.624970174353347</c:v>
                </c:pt>
                <c:pt idx="33">
                  <c:v>17.560262562062011</c:v>
                </c:pt>
                <c:pt idx="34">
                  <c:v>17.559672503652493</c:v>
                </c:pt>
                <c:pt idx="35">
                  <c:v>17.615781847406257</c:v>
                </c:pt>
                <c:pt idx="36">
                  <c:v>17.718820882176363</c:v>
                </c:pt>
                <c:pt idx="37">
                  <c:v>17.858580631665912</c:v>
                </c:pt>
                <c:pt idx="38">
                  <c:v>18.025147751116144</c:v>
                </c:pt>
                <c:pt idx="39">
                  <c:v>18.208054840311512</c:v>
                </c:pt>
                <c:pt idx="40">
                  <c:v>18.399319577125539</c:v>
                </c:pt>
              </c:numCache>
            </c:numRef>
          </c:val>
          <c:smooth val="0"/>
          <c:extLst>
            <c:ext xmlns:c16="http://schemas.microsoft.com/office/drawing/2014/chart" uri="{C3380CC4-5D6E-409C-BE32-E72D297353CC}">
              <c16:uniqueId val="{00000003-6EFB-4E82-BE01-85C281DC2AF8}"/>
            </c:ext>
          </c:extLst>
        </c:ser>
        <c:dLbls>
          <c:showLegendKey val="0"/>
          <c:showVal val="0"/>
          <c:showCatName val="0"/>
          <c:showSerName val="0"/>
          <c:showPercent val="0"/>
          <c:showBubbleSize val="0"/>
        </c:dLbls>
        <c:smooth val="0"/>
        <c:axId val="231813167"/>
        <c:axId val="231797359"/>
      </c:lineChart>
      <c:catAx>
        <c:axId val="231813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797359"/>
        <c:crosses val="autoZero"/>
        <c:auto val="1"/>
        <c:lblAlgn val="ctr"/>
        <c:lblOffset val="100"/>
        <c:noMultiLvlLbl val="0"/>
      </c:catAx>
      <c:valAx>
        <c:axId val="231797359"/>
        <c:scaling>
          <c:orientation val="minMax"/>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813167"/>
        <c:crosses val="autoZero"/>
        <c:crossBetween val="between"/>
      </c:valAx>
      <c:spPr>
        <a:noFill/>
        <a:ln>
          <a:noFill/>
        </a:ln>
        <a:effectLst/>
      </c:spPr>
    </c:plotArea>
    <c:legend>
      <c:legendPos val="b"/>
      <c:legendEntry>
        <c:idx val="2"/>
        <c:delete val="1"/>
      </c:legendEntry>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'★PPT用図表（平均労働時間）'!$B$1</c:f>
              <c:strCache>
                <c:ptCount val="1"/>
                <c:pt idx="0">
                  <c:v>成長実現ケース</c:v>
                </c:pt>
              </c:strCache>
            </c:strRef>
          </c:tx>
          <c:spPr>
            <a:ln w="28575" cap="rnd">
              <a:solidFill>
                <a:schemeClr val="accent1"/>
              </a:solidFill>
              <a:round/>
            </a:ln>
            <a:effectLst/>
          </c:spPr>
          <c:marker>
            <c:symbol val="none"/>
          </c:marker>
          <c:dLbls>
            <c:dLbl>
              <c:idx val="55"/>
              <c:layout>
                <c:manualLayout>
                  <c:x val="-1.402996766724599E-2"/>
                  <c:y val="8.4921732629023458E-2"/>
                </c:manualLayout>
              </c:layout>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游ゴシック Medium" panose="020B0500000000000000" pitchFamily="50" charset="-128"/>
                      <a:ea typeface="游ゴシック Medium" panose="020B0500000000000000"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E19-4147-9597-199DF43E17A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游ゴシック Medium" panose="020B0500000000000000" pitchFamily="50" charset="-128"/>
                    <a:ea typeface="游ゴシック Medium" panose="020B0500000000000000"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'★PPT用図表（平均労働時間）'!$A$2:$A$57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'★PPT用図表（平均労働時間）'!$B$2:$B$57</c:f>
              <c:numCache>
                <c:formatCode>#,##0_);[Red]\(#,##0\)</c:formatCode>
                <c:ptCount val="56"/>
                <c:pt idx="0">
                  <c:v>2278.0755795411901</c:v>
                </c:pt>
                <c:pt idx="1">
                  <c:v>2274.9449153820601</c:v>
                </c:pt>
                <c:pt idx="2">
                  <c:v>2271.8301885385499</c:v>
                </c:pt>
                <c:pt idx="3">
                  <c:v>2268.2678566087998</c:v>
                </c:pt>
                <c:pt idx="4">
                  <c:v>2263.8346519721999</c:v>
                </c:pt>
                <c:pt idx="5">
                  <c:v>2257.95276044208</c:v>
                </c:pt>
                <c:pt idx="6">
                  <c:v>2250.11781597867</c:v>
                </c:pt>
                <c:pt idx="7">
                  <c:v>2239.7688589378299</c:v>
                </c:pt>
                <c:pt idx="8">
                  <c:v>2226.4533188489399</c:v>
                </c:pt>
                <c:pt idx="9">
                  <c:v>2210.02406798533</c:v>
                </c:pt>
                <c:pt idx="10">
                  <c:v>2190.95623943186</c:v>
                </c:pt>
                <c:pt idx="11">
                  <c:v>2170.0852835935302</c:v>
                </c:pt>
                <c:pt idx="12">
                  <c:v>2148.43725181434</c:v>
                </c:pt>
                <c:pt idx="13">
                  <c:v>2127.1221606023701</c:v>
                </c:pt>
                <c:pt idx="14">
                  <c:v>2107.1640872808898</c:v>
                </c:pt>
                <c:pt idx="15">
                  <c:v>2089.2343722338201</c:v>
                </c:pt>
                <c:pt idx="16">
                  <c:v>2073.5635769722398</c:v>
                </c:pt>
                <c:pt idx="17">
                  <c:v>2060.1467712849299</c:v>
                </c:pt>
                <c:pt idx="18">
                  <c:v>2049.1306858575799</c:v>
                </c:pt>
                <c:pt idx="19">
                  <c:v>2040.7763463297299</c:v>
                </c:pt>
                <c:pt idx="20">
                  <c:v>2035.36131414897</c:v>
                </c:pt>
                <c:pt idx="21">
                  <c:v>2033.02065663297</c:v>
                </c:pt>
                <c:pt idx="22">
                  <c:v>2033.7075332912</c:v>
                </c:pt>
                <c:pt idx="23">
                  <c:v>2037.03813773351</c:v>
                </c:pt>
                <c:pt idx="24">
                  <c:v>2042.3853235701399</c:v>
                </c:pt>
                <c:pt idx="25">
                  <c:v>2048.945793034</c:v>
                </c:pt>
                <c:pt idx="26">
                  <c:v>2055.9188024556502</c:v>
                </c:pt>
                <c:pt idx="27">
                  <c:v>2062.49080490195</c:v>
                </c:pt>
                <c:pt idx="28">
                  <c:v>2068.1451740819102</c:v>
                </c:pt>
                <c:pt idx="29">
                  <c:v>2072.65019698881</c:v>
                </c:pt>
                <c:pt idx="30">
                  <c:v>2076.0302528751399</c:v>
                </c:pt>
                <c:pt idx="31">
                  <c:v>2078.1395763568298</c:v>
                </c:pt>
                <c:pt idx="32">
                  <c:v>2078.9576635210501</c:v>
                </c:pt>
                <c:pt idx="33">
                  <c:v>2078.5872380247301</c:v>
                </c:pt>
                <c:pt idx="34">
                  <c:v>2077.2685948896201</c:v>
                </c:pt>
                <c:pt idx="35">
                  <c:v>2075.14073142385</c:v>
                </c:pt>
                <c:pt idx="36">
                  <c:v>2072.0379503200202</c:v>
                </c:pt>
                <c:pt idx="37">
                  <c:v>2067.83168162313</c:v>
                </c:pt>
                <c:pt idx="38">
                  <c:v>2062.6850245416799</c:v>
                </c:pt>
                <c:pt idx="39">
                  <c:v>2056.8695634679102</c:v>
                </c:pt>
                <c:pt idx="40">
                  <c:v>2056.8695634679102</c:v>
                </c:pt>
                <c:pt idx="41">
                  <c:v>1938.48183530548</c:v>
                </c:pt>
                <c:pt idx="42">
                  <c:v>1938.48183530548</c:v>
                </c:pt>
                <c:pt idx="43">
                  <c:v>1938.48183530548</c:v>
                </c:pt>
                <c:pt idx="44">
                  <c:v>1938.48183530548</c:v>
                </c:pt>
                <c:pt idx="45">
                  <c:v>1938.48183530548</c:v>
                </c:pt>
                <c:pt idx="46">
                  <c:v>1938.48183530548</c:v>
                </c:pt>
                <c:pt idx="47">
                  <c:v>1938.48183530548</c:v>
                </c:pt>
                <c:pt idx="48">
                  <c:v>1938.48183530548</c:v>
                </c:pt>
                <c:pt idx="49">
                  <c:v>1938.48183530548</c:v>
                </c:pt>
                <c:pt idx="50">
                  <c:v>1938.48183530548</c:v>
                </c:pt>
                <c:pt idx="51">
                  <c:v>1938.48183530548</c:v>
                </c:pt>
                <c:pt idx="52">
                  <c:v>1938.48183530548</c:v>
                </c:pt>
                <c:pt idx="53">
                  <c:v>1938.48183530548</c:v>
                </c:pt>
                <c:pt idx="54">
                  <c:v>1938.48183530548</c:v>
                </c:pt>
                <c:pt idx="55">
                  <c:v>1938.48183530548</c:v>
                </c:pt>
              </c:numCache>
            </c:numRef>
          </c:val>
          <c:smooth val="0"/>
          <c:extLst>
            <c:ext xmlns:c16="http://schemas.microsoft.com/office/drawing/2014/chart" uri="{C3380CC4-5D6E-409C-BE32-E72D297353CC}">
              <c16:uniqueId val="{00000000-5465-4D3E-9D17-F96FF3DC5410}"/>
            </c:ext>
          </c:extLst>
        </c:ser>
        <c:ser>
          <c:idx val="1"/>
          <c:order val="1"/>
          <c:tx>
            <c:strRef>
              <c:f>'★PPT用図表（平均労働時間）'!$C$1</c:f>
              <c:strCache>
                <c:ptCount val="1"/>
                <c:pt idx="0">
                  <c:v>ベースラインケース</c:v>
                </c:pt>
              </c:strCache>
            </c:strRef>
          </c:tx>
          <c:spPr>
            <a:ln w="28575" cap="rnd">
              <a:solidFill>
                <a:schemeClr val="accent2"/>
              </a:solidFill>
              <a:round/>
            </a:ln>
            <a:effectLst/>
          </c:spPr>
          <c:marker>
            <c:symbol val="none"/>
          </c:marker>
          <c:dLbls>
            <c:dLbl>
              <c:idx val="55"/>
              <c:layout>
                <c:manualLayout>
                  <c:x val="-1.0912197074524659E-2"/>
                  <c:y val="-9.8190753352308424E-2"/>
                </c:manualLayout>
              </c:layout>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游ゴシック Medium" panose="020B0500000000000000" pitchFamily="50" charset="-128"/>
                      <a:ea typeface="游ゴシック Medium" panose="020B0500000000000000"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19-4147-9597-199DF43E17A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游ゴシック Medium" panose="020B0500000000000000" pitchFamily="50" charset="-128"/>
                    <a:ea typeface="游ゴシック Medium" panose="020B0500000000000000"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'★PPT用図表（平均労働時間）'!$A$2:$A$57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'★PPT用図表（平均労働時間）'!$C$2:$C$57</c:f>
              <c:numCache>
                <c:formatCode>#,##0_);[Red]\(#,##0\)</c:formatCode>
                <c:ptCount val="56"/>
                <c:pt idx="0">
                  <c:v>2278.0755795411901</c:v>
                </c:pt>
                <c:pt idx="1">
                  <c:v>2274.9449153820601</c:v>
                </c:pt>
                <c:pt idx="2">
                  <c:v>2271.8301885385499</c:v>
                </c:pt>
                <c:pt idx="3">
                  <c:v>2268.2678566087998</c:v>
                </c:pt>
                <c:pt idx="4">
                  <c:v>2263.8346519721999</c:v>
                </c:pt>
                <c:pt idx="5">
                  <c:v>2257.95276044208</c:v>
                </c:pt>
                <c:pt idx="6">
                  <c:v>2250.11781597867</c:v>
                </c:pt>
                <c:pt idx="7">
                  <c:v>2239.7688589378299</c:v>
                </c:pt>
                <c:pt idx="8">
                  <c:v>2226.4533188489399</c:v>
                </c:pt>
                <c:pt idx="9">
                  <c:v>2210.02406798533</c:v>
                </c:pt>
                <c:pt idx="10">
                  <c:v>2190.95623943186</c:v>
                </c:pt>
                <c:pt idx="11">
                  <c:v>2170.0852835935302</c:v>
                </c:pt>
                <c:pt idx="12">
                  <c:v>2148.43725181434</c:v>
                </c:pt>
                <c:pt idx="13">
                  <c:v>2127.1221606023701</c:v>
                </c:pt>
                <c:pt idx="14">
                  <c:v>2107.1640872808898</c:v>
                </c:pt>
                <c:pt idx="15">
                  <c:v>2089.2343722338201</c:v>
                </c:pt>
                <c:pt idx="16">
                  <c:v>2073.5635769722398</c:v>
                </c:pt>
                <c:pt idx="17">
                  <c:v>2060.1467712849299</c:v>
                </c:pt>
                <c:pt idx="18">
                  <c:v>2049.1306858575799</c:v>
                </c:pt>
                <c:pt idx="19">
                  <c:v>2040.7763463297299</c:v>
                </c:pt>
                <c:pt idx="20">
                  <c:v>2035.36131414897</c:v>
                </c:pt>
                <c:pt idx="21">
                  <c:v>2033.02065663297</c:v>
                </c:pt>
                <c:pt idx="22">
                  <c:v>2033.7075332912</c:v>
                </c:pt>
                <c:pt idx="23">
                  <c:v>2037.03813773351</c:v>
                </c:pt>
                <c:pt idx="24">
                  <c:v>2042.3853235701399</c:v>
                </c:pt>
                <c:pt idx="25">
                  <c:v>2048.945793034</c:v>
                </c:pt>
                <c:pt idx="26">
                  <c:v>2055.9188024556502</c:v>
                </c:pt>
                <c:pt idx="27">
                  <c:v>2062.49080490195</c:v>
                </c:pt>
                <c:pt idx="28">
                  <c:v>2068.1451740819102</c:v>
                </c:pt>
                <c:pt idx="29">
                  <c:v>2072.65019698881</c:v>
                </c:pt>
                <c:pt idx="30">
                  <c:v>2076.0302528751399</c:v>
                </c:pt>
                <c:pt idx="31">
                  <c:v>2078.1395763568298</c:v>
                </c:pt>
                <c:pt idx="32">
                  <c:v>2078.9576635210501</c:v>
                </c:pt>
                <c:pt idx="33">
                  <c:v>2078.5872380247301</c:v>
                </c:pt>
                <c:pt idx="34">
                  <c:v>2077.2685948896201</c:v>
                </c:pt>
                <c:pt idx="35">
                  <c:v>2075.14073142385</c:v>
                </c:pt>
                <c:pt idx="36">
                  <c:v>2072.0379503200202</c:v>
                </c:pt>
                <c:pt idx="37">
                  <c:v>2067.83168162313</c:v>
                </c:pt>
                <c:pt idx="38">
                  <c:v>2062.6850245416799</c:v>
                </c:pt>
                <c:pt idx="39">
                  <c:v>2056.8695634679102</c:v>
                </c:pt>
                <c:pt idx="40">
                  <c:v>2056.8695634679102</c:v>
                </c:pt>
                <c:pt idx="41">
                  <c:v>2056.8695634679102</c:v>
                </c:pt>
                <c:pt idx="42">
                  <c:v>2056.8695634679102</c:v>
                </c:pt>
                <c:pt idx="43">
                  <c:v>2056.8695634679102</c:v>
                </c:pt>
                <c:pt idx="44">
                  <c:v>2056.8695634679102</c:v>
                </c:pt>
                <c:pt idx="45">
                  <c:v>2056.8695634679102</c:v>
                </c:pt>
                <c:pt idx="46">
                  <c:v>2056.8695634679102</c:v>
                </c:pt>
                <c:pt idx="47">
                  <c:v>2056.8695634679102</c:v>
                </c:pt>
                <c:pt idx="48">
                  <c:v>2056.8695634679102</c:v>
                </c:pt>
                <c:pt idx="49">
                  <c:v>2056.8695634679102</c:v>
                </c:pt>
                <c:pt idx="50">
                  <c:v>2056.8695634679102</c:v>
                </c:pt>
                <c:pt idx="51">
                  <c:v>2056.8695634679102</c:v>
                </c:pt>
                <c:pt idx="52">
                  <c:v>2056.8695634679102</c:v>
                </c:pt>
                <c:pt idx="53">
                  <c:v>2056.8695634679102</c:v>
                </c:pt>
                <c:pt idx="54">
                  <c:v>2056.8695634679102</c:v>
                </c:pt>
                <c:pt idx="55">
                  <c:v>2056.8695634679102</c:v>
                </c:pt>
              </c:numCache>
            </c:numRef>
          </c:val>
          <c:smooth val="0"/>
          <c:extLst>
            <c:ext xmlns:c16="http://schemas.microsoft.com/office/drawing/2014/chart" uri="{C3380CC4-5D6E-409C-BE32-E72D297353CC}">
              <c16:uniqueId val="{00000001-5465-4D3E-9D17-F96FF3DC5410}"/>
            </c:ext>
          </c:extLst>
        </c:ser>
        <c:ser>
          <c:idx val="2"/>
          <c:order val="2"/>
          <c:tx>
            <c:strRef>
              <c:f>'★PPT用図表（平均労働時間）'!$D$1</c:f>
              <c:strCache>
                <c:ptCount val="1"/>
                <c:pt idx="0">
                  <c:v>ベースラインケース（建設就業比率維持）</c:v>
                </c:pt>
              </c:strCache>
            </c:strRef>
          </c:tx>
          <c:spPr>
            <a:ln w="28575" cap="rnd">
              <a:solidFill>
                <a:schemeClr val="accent2"/>
              </a:solidFill>
              <a:prstDash val="sysDash"/>
              <a:round/>
            </a:ln>
            <a:effectLst/>
          </c:spPr>
          <c:marker>
            <c:symbol val="none"/>
          </c:marker>
          <c:cat>
            <c:numRef>
              <c:f>'★PPT用図表（平均労働時間）'!$A$2:$A$57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'★PPT用図表（平均労働時間）'!$D$2:$D$57</c:f>
              <c:numCache>
                <c:formatCode>#,##0_);[Red]\(#,##0\)</c:formatCode>
                <c:ptCount val="56"/>
                <c:pt idx="0">
                  <c:v>2278.0755795411901</c:v>
                </c:pt>
                <c:pt idx="1">
                  <c:v>2274.9449153820601</c:v>
                </c:pt>
                <c:pt idx="2">
                  <c:v>2271.8301885385499</c:v>
                </c:pt>
                <c:pt idx="3">
                  <c:v>2268.2678566087998</c:v>
                </c:pt>
                <c:pt idx="4">
                  <c:v>2263.8346519721999</c:v>
                </c:pt>
                <c:pt idx="5">
                  <c:v>2257.95276044208</c:v>
                </c:pt>
                <c:pt idx="6">
                  <c:v>2250.11781597867</c:v>
                </c:pt>
                <c:pt idx="7">
                  <c:v>2239.7688589378299</c:v>
                </c:pt>
                <c:pt idx="8">
                  <c:v>2226.4533188489399</c:v>
                </c:pt>
                <c:pt idx="9">
                  <c:v>2210.02406798533</c:v>
                </c:pt>
                <c:pt idx="10">
                  <c:v>2190.95623943186</c:v>
                </c:pt>
                <c:pt idx="11">
                  <c:v>2170.0852835935302</c:v>
                </c:pt>
                <c:pt idx="12">
                  <c:v>2148.43725181434</c:v>
                </c:pt>
                <c:pt idx="13">
                  <c:v>2127.1221606023701</c:v>
                </c:pt>
                <c:pt idx="14">
                  <c:v>2107.1640872808898</c:v>
                </c:pt>
                <c:pt idx="15">
                  <c:v>2089.2343722338201</c:v>
                </c:pt>
                <c:pt idx="16">
                  <c:v>2073.5635769722398</c:v>
                </c:pt>
                <c:pt idx="17">
                  <c:v>2060.1467712849299</c:v>
                </c:pt>
                <c:pt idx="18">
                  <c:v>2049.1306858575799</c:v>
                </c:pt>
                <c:pt idx="19">
                  <c:v>2040.7763463297299</c:v>
                </c:pt>
                <c:pt idx="20">
                  <c:v>2035.36131414897</c:v>
                </c:pt>
                <c:pt idx="21">
                  <c:v>2033.02065663297</c:v>
                </c:pt>
                <c:pt idx="22">
                  <c:v>2033.7075332912</c:v>
                </c:pt>
                <c:pt idx="23">
                  <c:v>2037.03813773351</c:v>
                </c:pt>
                <c:pt idx="24">
                  <c:v>2042.3853235701399</c:v>
                </c:pt>
                <c:pt idx="25">
                  <c:v>2048.945793034</c:v>
                </c:pt>
                <c:pt idx="26">
                  <c:v>2055.9188024556502</c:v>
                </c:pt>
                <c:pt idx="27">
                  <c:v>2062.49080490195</c:v>
                </c:pt>
                <c:pt idx="28">
                  <c:v>2068.1451740819102</c:v>
                </c:pt>
                <c:pt idx="29">
                  <c:v>2072.65019698881</c:v>
                </c:pt>
                <c:pt idx="30">
                  <c:v>2076.0302528751399</c:v>
                </c:pt>
                <c:pt idx="31">
                  <c:v>2078.1395763568298</c:v>
                </c:pt>
                <c:pt idx="32">
                  <c:v>2078.9576635210501</c:v>
                </c:pt>
                <c:pt idx="33">
                  <c:v>2078.5872380247301</c:v>
                </c:pt>
                <c:pt idx="34">
                  <c:v>2077.2685948896201</c:v>
                </c:pt>
                <c:pt idx="35">
                  <c:v>2075.14073142385</c:v>
                </c:pt>
                <c:pt idx="36">
                  <c:v>2072.0379503200202</c:v>
                </c:pt>
                <c:pt idx="37">
                  <c:v>2067.83168162313</c:v>
                </c:pt>
                <c:pt idx="38">
                  <c:v>2062.6850245416799</c:v>
                </c:pt>
                <c:pt idx="39">
                  <c:v>2056.8695634679102</c:v>
                </c:pt>
                <c:pt idx="40">
                  <c:v>2056.8695634679102</c:v>
                </c:pt>
                <c:pt idx="41">
                  <c:v>2056.8695634679102</c:v>
                </c:pt>
                <c:pt idx="42">
                  <c:v>2056.8695634679102</c:v>
                </c:pt>
              </c:numCache>
            </c:numRef>
          </c:val>
          <c:smooth val="0"/>
          <c:extLst>
            <c:ext xmlns:c16="http://schemas.microsoft.com/office/drawing/2014/chart" uri="{C3380CC4-5D6E-409C-BE32-E72D297353CC}">
              <c16:uniqueId val="{00000002-5465-4D3E-9D17-F96FF3DC5410}"/>
            </c:ext>
          </c:extLst>
        </c:ser>
        <c:ser>
          <c:idx val="3"/>
          <c:order val="3"/>
          <c:tx>
            <c:strRef>
              <c:f>'★PPT用図表（平均労働時間）'!$E$1</c:f>
              <c:strCache>
                <c:ptCount val="1"/>
                <c:pt idx="0">
                  <c:v>現実</c:v>
                </c:pt>
              </c:strCache>
            </c:strRef>
          </c:tx>
          <c:spPr>
            <a:ln w="28575" cap="rnd">
              <a:solidFill>
                <a:schemeClr val="tx1"/>
              </a:solidFill>
              <a:round/>
            </a:ln>
            <a:effectLst/>
          </c:spPr>
          <c:marker>
            <c:symbol val="none"/>
          </c:marker>
          <c:cat>
            <c:numRef>
              <c:f>'★PPT用図表（平均労働時間）'!$A$2:$A$57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'★PPT用図表（平均労働時間）'!$E$2:$E$57</c:f>
              <c:numCache>
                <c:formatCode>General</c:formatCode>
                <c:ptCount val="56"/>
                <c:pt idx="0" formatCode="#,##0_);[Red]\(#,##0\)">
                  <c:v>2278.0755795411901</c:v>
                </c:pt>
                <c:pt idx="1">
                  <c:v>2274.9449153820601</c:v>
                </c:pt>
                <c:pt idx="2">
                  <c:v>2271.8301885385499</c:v>
                </c:pt>
                <c:pt idx="3">
                  <c:v>2268.2678566087998</c:v>
                </c:pt>
                <c:pt idx="4">
                  <c:v>2263.8346519721999</c:v>
                </c:pt>
                <c:pt idx="5">
                  <c:v>2257.95276044208</c:v>
                </c:pt>
                <c:pt idx="6">
                  <c:v>2250.11781597867</c:v>
                </c:pt>
                <c:pt idx="7">
                  <c:v>2239.7688589378299</c:v>
                </c:pt>
                <c:pt idx="8">
                  <c:v>2226.4533188489399</c:v>
                </c:pt>
                <c:pt idx="9">
                  <c:v>2210.02406798533</c:v>
                </c:pt>
                <c:pt idx="10">
                  <c:v>2190.95623943186</c:v>
                </c:pt>
                <c:pt idx="11">
                  <c:v>2170.0852835935302</c:v>
                </c:pt>
                <c:pt idx="12">
                  <c:v>2148.43725181434</c:v>
                </c:pt>
                <c:pt idx="13">
                  <c:v>2127.1221606023701</c:v>
                </c:pt>
                <c:pt idx="14">
                  <c:v>2107.1640872808898</c:v>
                </c:pt>
                <c:pt idx="15">
                  <c:v>2089.2343722338201</c:v>
                </c:pt>
                <c:pt idx="16">
                  <c:v>2073.5635769722398</c:v>
                </c:pt>
                <c:pt idx="17">
                  <c:v>2060.1467712849299</c:v>
                </c:pt>
                <c:pt idx="18">
                  <c:v>2049.1306858575799</c:v>
                </c:pt>
                <c:pt idx="19">
                  <c:v>2040.7763463297299</c:v>
                </c:pt>
                <c:pt idx="20">
                  <c:v>2035.36131414897</c:v>
                </c:pt>
                <c:pt idx="21">
                  <c:v>2033.02065663297</c:v>
                </c:pt>
                <c:pt idx="22">
                  <c:v>2033.7075332912</c:v>
                </c:pt>
                <c:pt idx="23">
                  <c:v>2037.03813773351</c:v>
                </c:pt>
                <c:pt idx="24">
                  <c:v>2042.3853235701399</c:v>
                </c:pt>
                <c:pt idx="25">
                  <c:v>2048.945793034</c:v>
                </c:pt>
                <c:pt idx="26">
                  <c:v>2055.9188024556502</c:v>
                </c:pt>
                <c:pt idx="27">
                  <c:v>2062.49080490195</c:v>
                </c:pt>
                <c:pt idx="28">
                  <c:v>2068.1451740819102</c:v>
                </c:pt>
                <c:pt idx="29">
                  <c:v>2072.65019698881</c:v>
                </c:pt>
                <c:pt idx="30">
                  <c:v>2076.0302528751399</c:v>
                </c:pt>
                <c:pt idx="31">
                  <c:v>2078.1395763568298</c:v>
                </c:pt>
                <c:pt idx="32">
                  <c:v>2078.9576635210501</c:v>
                </c:pt>
                <c:pt idx="33">
                  <c:v>2078.5872380247301</c:v>
                </c:pt>
                <c:pt idx="34">
                  <c:v>2077.2685948896201</c:v>
                </c:pt>
                <c:pt idx="35">
                  <c:v>2075.14073142385</c:v>
                </c:pt>
                <c:pt idx="36">
                  <c:v>2072.0379503200202</c:v>
                </c:pt>
                <c:pt idx="37">
                  <c:v>2067.83168162313</c:v>
                </c:pt>
                <c:pt idx="38">
                  <c:v>2062.6850245416799</c:v>
                </c:pt>
                <c:pt idx="39">
                  <c:v>2056.8695634679102</c:v>
                </c:pt>
                <c:pt idx="40">
                  <c:v>2056.8695634679102</c:v>
                </c:pt>
              </c:numCache>
            </c:numRef>
          </c:val>
          <c:smooth val="0"/>
          <c:extLst>
            <c:ext xmlns:c16="http://schemas.microsoft.com/office/drawing/2014/chart" uri="{C3380CC4-5D6E-409C-BE32-E72D297353CC}">
              <c16:uniqueId val="{00000003-5465-4D3E-9D17-F96FF3DC5410}"/>
            </c:ext>
          </c:extLst>
        </c:ser>
        <c:dLbls>
          <c:showLegendKey val="0"/>
          <c:showVal val="0"/>
          <c:showCatName val="0"/>
          <c:showSerName val="0"/>
          <c:showPercent val="0"/>
          <c:showBubbleSize val="0"/>
        </c:dLbls>
        <c:smooth val="0"/>
        <c:axId val="231813167"/>
        <c:axId val="231797359"/>
      </c:lineChart>
      <c:catAx>
        <c:axId val="231813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797359"/>
        <c:crosses val="autoZero"/>
        <c:auto val="1"/>
        <c:lblAlgn val="ctr"/>
        <c:lblOffset val="100"/>
        <c:noMultiLvlLbl val="0"/>
      </c:catAx>
      <c:valAx>
        <c:axId val="231797359"/>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813167"/>
        <c:crosses val="autoZero"/>
        <c:crossBetween val="between"/>
      </c:valAx>
      <c:spPr>
        <a:noFill/>
        <a:ln>
          <a:noFill/>
        </a:ln>
        <a:effectLst/>
      </c:spPr>
    </c:plotArea>
    <c:legend>
      <c:legendPos val="b"/>
      <c:legendEntry>
        <c:idx val="2"/>
        <c:delete val="1"/>
      </c:legendEntry>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'★PPT用図表（就業者数）'!$B$1</c:f>
              <c:strCache>
                <c:ptCount val="1"/>
                <c:pt idx="0">
                  <c:v>成長実現ケース</c:v>
                </c:pt>
              </c:strCache>
            </c:strRef>
          </c:tx>
          <c:spPr>
            <a:ln w="28575" cap="rnd">
              <a:solidFill>
                <a:schemeClr val="accent1"/>
              </a:solidFill>
              <a:round/>
            </a:ln>
            <a:effectLst/>
          </c:spPr>
          <c:marker>
            <c:symbol val="none"/>
          </c:marker>
          <c:dLbls>
            <c:dLbl>
              <c:idx val="55"/>
              <c:layout>
                <c:manualLayout>
                  <c:x val="-1.0914749300854445E-2"/>
                  <c:y val="-9.5689313625911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2D-40E6-91A8-909CFCB611D0}"/>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游ゴシック Medium" panose="020B0500000000000000" pitchFamily="50" charset="-128"/>
                    <a:ea typeface="游ゴシック Medium" panose="020B0500000000000000"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'★PPT用図表（就業者数）'!$A$2:$A$57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'★PPT用図表（就業者数）'!$B$2:$B$57</c:f>
              <c:numCache>
                <c:formatCode>#,##0_);[Red]\(#,##0\)</c:formatCode>
                <c:ptCount val="56"/>
                <c:pt idx="0">
                  <c:v>518.48900349658425</c:v>
                </c:pt>
                <c:pt idx="1">
                  <c:v>524.43359889640055</c:v>
                </c:pt>
                <c:pt idx="2">
                  <c:v>529.57257648961308</c:v>
                </c:pt>
                <c:pt idx="3">
                  <c:v>534.30866182975149</c:v>
                </c:pt>
                <c:pt idx="4">
                  <c:v>539.14042296064883</c:v>
                </c:pt>
                <c:pt idx="5">
                  <c:v>544.62983686959819</c:v>
                </c:pt>
                <c:pt idx="6">
                  <c:v>551.2211585228124</c:v>
                </c:pt>
                <c:pt idx="7">
                  <c:v>559.20334981775738</c:v>
                </c:pt>
                <c:pt idx="8">
                  <c:v>568.67935713198176</c:v>
                </c:pt>
                <c:pt idx="9">
                  <c:v>579.46861695629184</c:v>
                </c:pt>
                <c:pt idx="10">
                  <c:v>591.2477591083308</c:v>
                </c:pt>
                <c:pt idx="11">
                  <c:v>603.59230671948228</c:v>
                </c:pt>
                <c:pt idx="12">
                  <c:v>615.94584557991163</c:v>
                </c:pt>
                <c:pt idx="13">
                  <c:v>627.64920041157234</c:v>
                </c:pt>
                <c:pt idx="14">
                  <c:v>637.97414735726375</c:v>
                </c:pt>
                <c:pt idx="15">
                  <c:v>646.24321235019727</c:v>
                </c:pt>
                <c:pt idx="16">
                  <c:v>651.90525824423162</c:v>
                </c:pt>
                <c:pt idx="17">
                  <c:v>654.56481487111751</c:v>
                </c:pt>
                <c:pt idx="18">
                  <c:v>654.01277929777166</c:v>
                </c:pt>
                <c:pt idx="19">
                  <c:v>650.34415618213518</c:v>
                </c:pt>
                <c:pt idx="20">
                  <c:v>643.79121932408771</c:v>
                </c:pt>
                <c:pt idx="21">
                  <c:v>634.71887226506226</c:v>
                </c:pt>
                <c:pt idx="22">
                  <c:v>623.65781604113863</c:v>
                </c:pt>
                <c:pt idx="23">
                  <c:v>611.17886817197041</c:v>
                </c:pt>
                <c:pt idx="24">
                  <c:v>597.8688160951657</c:v>
                </c:pt>
                <c:pt idx="25">
                  <c:v>584.31221168739535</c:v>
                </c:pt>
                <c:pt idx="26">
                  <c:v>571.00471020401801</c:v>
                </c:pt>
                <c:pt idx="27">
                  <c:v>558.30637855754571</c:v>
                </c:pt>
                <c:pt idx="28">
                  <c:v>546.48514249556763</c:v>
                </c:pt>
                <c:pt idx="29">
                  <c:v>535.7747682044502</c:v>
                </c:pt>
                <c:pt idx="30">
                  <c:v>526.36473515503474</c:v>
                </c:pt>
                <c:pt idx="31">
                  <c:v>518.35832779131965</c:v>
                </c:pt>
                <c:pt idx="32">
                  <c:v>511.71028248573515</c:v>
                </c:pt>
                <c:pt idx="33">
                  <c:v>506.26093026087557</c:v>
                </c:pt>
                <c:pt idx="34">
                  <c:v>501.80495815177284</c:v>
                </c:pt>
                <c:pt idx="35">
                  <c:v>498.09599846279394</c:v>
                </c:pt>
                <c:pt idx="36">
                  <c:v>494.94285363183678</c:v>
                </c:pt>
                <c:pt idx="37">
                  <c:v>492.18757977883359</c:v>
                </c:pt>
                <c:pt idx="38">
                  <c:v>489.64754390580612</c:v>
                </c:pt>
                <c:pt idx="39">
                  <c:v>487.16278297712057</c:v>
                </c:pt>
                <c:pt idx="40">
                  <c:v>487.16278297712057</c:v>
                </c:pt>
                <c:pt idx="41">
                  <c:v>487.07906236965363</c:v>
                </c:pt>
                <c:pt idx="42">
                  <c:v>485.50463805407617</c:v>
                </c:pt>
                <c:pt idx="43">
                  <c:v>483.93021373849865</c:v>
                </c:pt>
                <c:pt idx="44">
                  <c:v>482.35578942292119</c:v>
                </c:pt>
                <c:pt idx="45">
                  <c:v>480.78136510734385</c:v>
                </c:pt>
                <c:pt idx="46">
                  <c:v>478.95945788782728</c:v>
                </c:pt>
                <c:pt idx="47">
                  <c:v>477.13755066831078</c:v>
                </c:pt>
                <c:pt idx="48">
                  <c:v>475.31564344879428</c:v>
                </c:pt>
                <c:pt idx="49">
                  <c:v>473.49373622927772</c:v>
                </c:pt>
                <c:pt idx="50">
                  <c:v>471.67182900976127</c:v>
                </c:pt>
                <c:pt idx="51">
                  <c:v>469.36505938505093</c:v>
                </c:pt>
                <c:pt idx="52">
                  <c:v>467.05828976034053</c:v>
                </c:pt>
                <c:pt idx="53">
                  <c:v>464.75152013563013</c:v>
                </c:pt>
                <c:pt idx="54">
                  <c:v>462.44475051091973</c:v>
                </c:pt>
                <c:pt idx="55">
                  <c:v>460.13798088620922</c:v>
                </c:pt>
              </c:numCache>
            </c:numRef>
          </c:val>
          <c:smooth val="0"/>
          <c:extLst>
            <c:ext xmlns:c16="http://schemas.microsoft.com/office/drawing/2014/chart" uri="{C3380CC4-5D6E-409C-BE32-E72D297353CC}">
              <c16:uniqueId val="{00000000-402E-48EA-B746-65650829B698}"/>
            </c:ext>
          </c:extLst>
        </c:ser>
        <c:ser>
          <c:idx val="1"/>
          <c:order val="1"/>
          <c:tx>
            <c:strRef>
              <c:f>'★PPT用図表（就業者数）'!$C$1</c:f>
              <c:strCache>
                <c:ptCount val="1"/>
                <c:pt idx="0">
                  <c:v>ベースラインケース</c:v>
                </c:pt>
              </c:strCache>
            </c:strRef>
          </c:tx>
          <c:spPr>
            <a:ln w="28575" cap="rnd">
              <a:solidFill>
                <a:schemeClr val="accent2"/>
              </a:solidFill>
              <a:round/>
            </a:ln>
            <a:effectLst/>
          </c:spPr>
          <c:marker>
            <c:symbol val="none"/>
          </c:marker>
          <c:dLbls>
            <c:dLbl>
              <c:idx val="55"/>
              <c:layout>
                <c:manualLayout>
                  <c:x val="-1.2473999200976508E-2"/>
                  <c:y val="0.108979496073954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2D-40E6-91A8-909CFCB611D0}"/>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游ゴシック Medium" panose="020B0500000000000000" pitchFamily="50" charset="-128"/>
                    <a:ea typeface="游ゴシック Medium" panose="020B0500000000000000"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'★PPT用図表（就業者数）'!$A$2:$A$57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'★PPT用図表（就業者数）'!$C$2:$C$57</c:f>
              <c:numCache>
                <c:formatCode>#,##0_);[Red]\(#,##0\)</c:formatCode>
                <c:ptCount val="56"/>
                <c:pt idx="0">
                  <c:v>518.48900349658425</c:v>
                </c:pt>
                <c:pt idx="1">
                  <c:v>524.43359889640055</c:v>
                </c:pt>
                <c:pt idx="2">
                  <c:v>529.57257648961308</c:v>
                </c:pt>
                <c:pt idx="3">
                  <c:v>534.30866182975149</c:v>
                </c:pt>
                <c:pt idx="4">
                  <c:v>539.14042296064883</c:v>
                </c:pt>
                <c:pt idx="5">
                  <c:v>544.62983686959819</c:v>
                </c:pt>
                <c:pt idx="6">
                  <c:v>551.2211585228124</c:v>
                </c:pt>
                <c:pt idx="7">
                  <c:v>559.20334981775738</c:v>
                </c:pt>
                <c:pt idx="8">
                  <c:v>568.67935713198176</c:v>
                </c:pt>
                <c:pt idx="9">
                  <c:v>579.46861695629184</c:v>
                </c:pt>
                <c:pt idx="10">
                  <c:v>591.2477591083308</c:v>
                </c:pt>
                <c:pt idx="11">
                  <c:v>603.59230671948228</c:v>
                </c:pt>
                <c:pt idx="12">
                  <c:v>615.94584557991163</c:v>
                </c:pt>
                <c:pt idx="13">
                  <c:v>627.64920041157234</c:v>
                </c:pt>
                <c:pt idx="14">
                  <c:v>637.97414735726375</c:v>
                </c:pt>
                <c:pt idx="15">
                  <c:v>646.24321235019727</c:v>
                </c:pt>
                <c:pt idx="16">
                  <c:v>651.90525824423162</c:v>
                </c:pt>
                <c:pt idx="17">
                  <c:v>654.56481487111751</c:v>
                </c:pt>
                <c:pt idx="18">
                  <c:v>654.01277929777166</c:v>
                </c:pt>
                <c:pt idx="19">
                  <c:v>650.34415618213518</c:v>
                </c:pt>
                <c:pt idx="20">
                  <c:v>643.79121932408771</c:v>
                </c:pt>
                <c:pt idx="21">
                  <c:v>634.71887226506226</c:v>
                </c:pt>
                <c:pt idx="22">
                  <c:v>623.65781604113863</c:v>
                </c:pt>
                <c:pt idx="23">
                  <c:v>611.17886817197041</c:v>
                </c:pt>
                <c:pt idx="24">
                  <c:v>597.8688160951657</c:v>
                </c:pt>
                <c:pt idx="25">
                  <c:v>584.31221168739535</c:v>
                </c:pt>
                <c:pt idx="26">
                  <c:v>571.00471020401801</c:v>
                </c:pt>
                <c:pt idx="27">
                  <c:v>558.30637855754571</c:v>
                </c:pt>
                <c:pt idx="28">
                  <c:v>546.48514249556763</c:v>
                </c:pt>
                <c:pt idx="29">
                  <c:v>535.7747682044502</c:v>
                </c:pt>
                <c:pt idx="30">
                  <c:v>526.36473515503474</c:v>
                </c:pt>
                <c:pt idx="31">
                  <c:v>518.35832779131965</c:v>
                </c:pt>
                <c:pt idx="32">
                  <c:v>511.71028248573515</c:v>
                </c:pt>
                <c:pt idx="33">
                  <c:v>506.26093026087557</c:v>
                </c:pt>
                <c:pt idx="34">
                  <c:v>501.80495815177284</c:v>
                </c:pt>
                <c:pt idx="35">
                  <c:v>498.09599846279394</c:v>
                </c:pt>
                <c:pt idx="36">
                  <c:v>494.94285363183678</c:v>
                </c:pt>
                <c:pt idx="37">
                  <c:v>492.18757977883359</c:v>
                </c:pt>
                <c:pt idx="38">
                  <c:v>489.64754390580612</c:v>
                </c:pt>
                <c:pt idx="39">
                  <c:v>487.16278297712057</c:v>
                </c:pt>
                <c:pt idx="40">
                  <c:v>487.16278297712057</c:v>
                </c:pt>
                <c:pt idx="41">
                  <c:v>480.76342476226324</c:v>
                </c:pt>
                <c:pt idx="42">
                  <c:v>474.36406654740591</c:v>
                </c:pt>
                <c:pt idx="43">
                  <c:v>467.96470833254858</c:v>
                </c:pt>
                <c:pt idx="44">
                  <c:v>461.56535011769125</c:v>
                </c:pt>
                <c:pt idx="45">
                  <c:v>455.16599190283404</c:v>
                </c:pt>
                <c:pt idx="46">
                  <c:v>443.41376518218624</c:v>
                </c:pt>
                <c:pt idx="47">
                  <c:v>431.66153846153844</c:v>
                </c:pt>
                <c:pt idx="48">
                  <c:v>419.90931174089064</c:v>
                </c:pt>
                <c:pt idx="49">
                  <c:v>408.15708502024285</c:v>
                </c:pt>
                <c:pt idx="50">
                  <c:v>396.40485829959511</c:v>
                </c:pt>
                <c:pt idx="51">
                  <c:v>386.04696356275298</c:v>
                </c:pt>
                <c:pt idx="52">
                  <c:v>375.68906882591085</c:v>
                </c:pt>
                <c:pt idx="53">
                  <c:v>365.33117408906872</c:v>
                </c:pt>
                <c:pt idx="54">
                  <c:v>354.9732793522266</c:v>
                </c:pt>
                <c:pt idx="55">
                  <c:v>344.61538461538458</c:v>
                </c:pt>
              </c:numCache>
            </c:numRef>
          </c:val>
          <c:smooth val="0"/>
          <c:extLst>
            <c:ext xmlns:c16="http://schemas.microsoft.com/office/drawing/2014/chart" uri="{C3380CC4-5D6E-409C-BE32-E72D297353CC}">
              <c16:uniqueId val="{00000001-402E-48EA-B746-65650829B698}"/>
            </c:ext>
          </c:extLst>
        </c:ser>
        <c:ser>
          <c:idx val="2"/>
          <c:order val="2"/>
          <c:tx>
            <c:strRef>
              <c:f>'★PPT用図表（就業者数）'!$D$1</c:f>
              <c:strCache>
                <c:ptCount val="1"/>
                <c:pt idx="0">
                  <c:v>ベースラインケース（建設就業比率維持）</c:v>
                </c:pt>
              </c:strCache>
            </c:strRef>
          </c:tx>
          <c:spPr>
            <a:ln w="28575" cap="rnd">
              <a:solidFill>
                <a:schemeClr val="accent2"/>
              </a:solidFill>
              <a:prstDash val="sysDash"/>
              <a:round/>
            </a:ln>
            <a:effectLst/>
          </c:spPr>
          <c:marker>
            <c:symbol val="none"/>
          </c:marker>
          <c:dLbls>
            <c:dLbl>
              <c:idx val="55"/>
              <c:layout>
                <c:manualLayout>
                  <c:x val="-0.12006224230939889"/>
                  <c:y val="0.10366342309473728"/>
                </c:manualLayout>
              </c:layout>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游ゴシック Medium" panose="020B0500000000000000" pitchFamily="50" charset="-128"/>
                      <a:ea typeface="游ゴシック Medium" panose="020B0500000000000000"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2D-40E6-91A8-909CFCB611D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'★PPT用図表（就業者数）'!$A$2:$A$57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'★PPT用図表（就業者数）'!$D$2:$D$57</c:f>
              <c:numCache>
                <c:formatCode>#,##0_);[Red]\(#,##0\)</c:formatCode>
                <c:ptCount val="56"/>
                <c:pt idx="0">
                  <c:v>518.48900349658425</c:v>
                </c:pt>
                <c:pt idx="1">
                  <c:v>524.43359889640055</c:v>
                </c:pt>
                <c:pt idx="2">
                  <c:v>529.57257648961308</c:v>
                </c:pt>
                <c:pt idx="3">
                  <c:v>534.30866182975149</c:v>
                </c:pt>
                <c:pt idx="4">
                  <c:v>539.14042296064883</c:v>
                </c:pt>
                <c:pt idx="5">
                  <c:v>544.62983686959819</c:v>
                </c:pt>
                <c:pt idx="6">
                  <c:v>551.2211585228124</c:v>
                </c:pt>
                <c:pt idx="7">
                  <c:v>559.20334981775738</c:v>
                </c:pt>
                <c:pt idx="8">
                  <c:v>568.67935713198176</c:v>
                </c:pt>
                <c:pt idx="9">
                  <c:v>579.46861695629184</c:v>
                </c:pt>
                <c:pt idx="10">
                  <c:v>591.2477591083308</c:v>
                </c:pt>
                <c:pt idx="11">
                  <c:v>603.59230671948228</c:v>
                </c:pt>
                <c:pt idx="12">
                  <c:v>615.94584557991163</c:v>
                </c:pt>
                <c:pt idx="13">
                  <c:v>627.64920041157234</c:v>
                </c:pt>
                <c:pt idx="14">
                  <c:v>637.97414735726375</c:v>
                </c:pt>
                <c:pt idx="15">
                  <c:v>646.24321235019727</c:v>
                </c:pt>
                <c:pt idx="16">
                  <c:v>651.90525824423162</c:v>
                </c:pt>
                <c:pt idx="17">
                  <c:v>654.56481487111751</c:v>
                </c:pt>
                <c:pt idx="18">
                  <c:v>654.01277929777166</c:v>
                </c:pt>
                <c:pt idx="19">
                  <c:v>650.34415618213518</c:v>
                </c:pt>
                <c:pt idx="20">
                  <c:v>643.79121932408771</c:v>
                </c:pt>
                <c:pt idx="21">
                  <c:v>634.71887226506226</c:v>
                </c:pt>
                <c:pt idx="22">
                  <c:v>623.65781604113863</c:v>
                </c:pt>
                <c:pt idx="23">
                  <c:v>611.17886817197041</c:v>
                </c:pt>
                <c:pt idx="24">
                  <c:v>597.8688160951657</c:v>
                </c:pt>
                <c:pt idx="25">
                  <c:v>584.31221168739535</c:v>
                </c:pt>
                <c:pt idx="26">
                  <c:v>571.00471020401801</c:v>
                </c:pt>
                <c:pt idx="27">
                  <c:v>558.30637855754571</c:v>
                </c:pt>
                <c:pt idx="28">
                  <c:v>546.48514249556763</c:v>
                </c:pt>
                <c:pt idx="29">
                  <c:v>535.7747682044502</c:v>
                </c:pt>
                <c:pt idx="30">
                  <c:v>526.36473515503474</c:v>
                </c:pt>
                <c:pt idx="31">
                  <c:v>518.35832779131965</c:v>
                </c:pt>
                <c:pt idx="32">
                  <c:v>511.71028248573515</c:v>
                </c:pt>
                <c:pt idx="33">
                  <c:v>506.26093026087557</c:v>
                </c:pt>
                <c:pt idx="34">
                  <c:v>501.80495815177284</c:v>
                </c:pt>
                <c:pt idx="35">
                  <c:v>498.09599846279394</c:v>
                </c:pt>
                <c:pt idx="36">
                  <c:v>494.94285363183678</c:v>
                </c:pt>
                <c:pt idx="37">
                  <c:v>492.18757977883359</c:v>
                </c:pt>
                <c:pt idx="38">
                  <c:v>489.64754390580612</c:v>
                </c:pt>
                <c:pt idx="39">
                  <c:v>487.16278297712057</c:v>
                </c:pt>
                <c:pt idx="40">
                  <c:v>487.16278297712057</c:v>
                </c:pt>
                <c:pt idx="41">
                  <c:v>484.91922074651717</c:v>
                </c:pt>
                <c:pt idx="42">
                  <c:v>481.18495480780319</c:v>
                </c:pt>
                <c:pt idx="43">
                  <c:v>477.45068886908922</c:v>
                </c:pt>
                <c:pt idx="44">
                  <c:v>473.71642293037524</c:v>
                </c:pt>
                <c:pt idx="45">
                  <c:v>469.98215699166133</c:v>
                </c:pt>
                <c:pt idx="46">
                  <c:v>466.76443375719265</c:v>
                </c:pt>
                <c:pt idx="47">
                  <c:v>463.54671052272391</c:v>
                </c:pt>
                <c:pt idx="48">
                  <c:v>460.32898728825523</c:v>
                </c:pt>
                <c:pt idx="49">
                  <c:v>457.11126405378656</c:v>
                </c:pt>
                <c:pt idx="50">
                  <c:v>453.89354081931793</c:v>
                </c:pt>
                <c:pt idx="51">
                  <c:v>450.49950398296062</c:v>
                </c:pt>
                <c:pt idx="52">
                  <c:v>447.10546714660325</c:v>
                </c:pt>
                <c:pt idx="53">
                  <c:v>443.71143031024593</c:v>
                </c:pt>
                <c:pt idx="54">
                  <c:v>440.31739347388856</c:v>
                </c:pt>
                <c:pt idx="55">
                  <c:v>436.92335663753113</c:v>
                </c:pt>
              </c:numCache>
            </c:numRef>
          </c:val>
          <c:smooth val="0"/>
          <c:extLst>
            <c:ext xmlns:c16="http://schemas.microsoft.com/office/drawing/2014/chart" uri="{C3380CC4-5D6E-409C-BE32-E72D297353CC}">
              <c16:uniqueId val="{00000002-402E-48EA-B746-65650829B698}"/>
            </c:ext>
          </c:extLst>
        </c:ser>
        <c:ser>
          <c:idx val="3"/>
          <c:order val="3"/>
          <c:tx>
            <c:strRef>
              <c:f>'★PPT用図表（就業者数）'!$E$1</c:f>
              <c:strCache>
                <c:ptCount val="1"/>
                <c:pt idx="0">
                  <c:v>現実</c:v>
                </c:pt>
              </c:strCache>
            </c:strRef>
          </c:tx>
          <c:spPr>
            <a:ln w="28575" cap="rnd">
              <a:solidFill>
                <a:schemeClr val="tx1"/>
              </a:solidFill>
              <a:round/>
            </a:ln>
            <a:effectLst/>
          </c:spPr>
          <c:marker>
            <c:symbol val="none"/>
          </c:marker>
          <c:cat>
            <c:numRef>
              <c:f>'★PPT用図表（就業者数）'!$A$2:$A$57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'★PPT用図表（就業者数）'!$E$2:$E$57</c:f>
              <c:numCache>
                <c:formatCode>General</c:formatCode>
                <c:ptCount val="56"/>
                <c:pt idx="0">
                  <c:v>518.48900349658425</c:v>
                </c:pt>
                <c:pt idx="1">
                  <c:v>524.43359889640055</c:v>
                </c:pt>
                <c:pt idx="2">
                  <c:v>529.57257648961308</c:v>
                </c:pt>
                <c:pt idx="3">
                  <c:v>534.30866182975149</c:v>
                </c:pt>
                <c:pt idx="4">
                  <c:v>539.14042296064883</c:v>
                </c:pt>
                <c:pt idx="5">
                  <c:v>544.62983686959819</c:v>
                </c:pt>
                <c:pt idx="6">
                  <c:v>551.2211585228124</c:v>
                </c:pt>
                <c:pt idx="7">
                  <c:v>559.20334981775738</c:v>
                </c:pt>
                <c:pt idx="8">
                  <c:v>568.67935713198176</c:v>
                </c:pt>
                <c:pt idx="9">
                  <c:v>579.46861695629184</c:v>
                </c:pt>
                <c:pt idx="10">
                  <c:v>591.2477591083308</c:v>
                </c:pt>
                <c:pt idx="11">
                  <c:v>603.59230671948228</c:v>
                </c:pt>
                <c:pt idx="12">
                  <c:v>615.94584557991163</c:v>
                </c:pt>
                <c:pt idx="13">
                  <c:v>627.64920041157234</c:v>
                </c:pt>
                <c:pt idx="14">
                  <c:v>637.97414735726375</c:v>
                </c:pt>
                <c:pt idx="15">
                  <c:v>646.24321235019727</c:v>
                </c:pt>
                <c:pt idx="16">
                  <c:v>651.90525824423162</c:v>
                </c:pt>
                <c:pt idx="17">
                  <c:v>654.56481487111751</c:v>
                </c:pt>
                <c:pt idx="18">
                  <c:v>654.01277929777166</c:v>
                </c:pt>
                <c:pt idx="19">
                  <c:v>650.34415618213518</c:v>
                </c:pt>
                <c:pt idx="20">
                  <c:v>643.79121932408771</c:v>
                </c:pt>
                <c:pt idx="21">
                  <c:v>634.71887226506226</c:v>
                </c:pt>
                <c:pt idx="22">
                  <c:v>623.65781604113863</c:v>
                </c:pt>
                <c:pt idx="23">
                  <c:v>611.17886817197041</c:v>
                </c:pt>
                <c:pt idx="24">
                  <c:v>597.8688160951657</c:v>
                </c:pt>
                <c:pt idx="25">
                  <c:v>584.31221168739535</c:v>
                </c:pt>
                <c:pt idx="26">
                  <c:v>571.00471020401801</c:v>
                </c:pt>
                <c:pt idx="27">
                  <c:v>558.30637855754571</c:v>
                </c:pt>
                <c:pt idx="28">
                  <c:v>546.48514249556763</c:v>
                </c:pt>
                <c:pt idx="29">
                  <c:v>535.7747682044502</c:v>
                </c:pt>
                <c:pt idx="30">
                  <c:v>526.36473515503474</c:v>
                </c:pt>
                <c:pt idx="31">
                  <c:v>518.35832779131965</c:v>
                </c:pt>
                <c:pt idx="32">
                  <c:v>511.71028248573515</c:v>
                </c:pt>
                <c:pt idx="33">
                  <c:v>506.26093026087557</c:v>
                </c:pt>
                <c:pt idx="34">
                  <c:v>501.80495815177284</c:v>
                </c:pt>
                <c:pt idx="35">
                  <c:v>498.09599846279394</c:v>
                </c:pt>
                <c:pt idx="36">
                  <c:v>494.94285363183678</c:v>
                </c:pt>
                <c:pt idx="37">
                  <c:v>492.18757977883359</c:v>
                </c:pt>
                <c:pt idx="38">
                  <c:v>489.64754390580612</c:v>
                </c:pt>
                <c:pt idx="39">
                  <c:v>487.16278297712057</c:v>
                </c:pt>
                <c:pt idx="40">
                  <c:v>487.16278297712057</c:v>
                </c:pt>
              </c:numCache>
            </c:numRef>
          </c:val>
          <c:smooth val="0"/>
          <c:extLst>
            <c:ext xmlns:c16="http://schemas.microsoft.com/office/drawing/2014/chart" uri="{C3380CC4-5D6E-409C-BE32-E72D297353CC}">
              <c16:uniqueId val="{00000003-402E-48EA-B746-65650829B698}"/>
            </c:ext>
          </c:extLst>
        </c:ser>
        <c:dLbls>
          <c:showLegendKey val="0"/>
          <c:showVal val="0"/>
          <c:showCatName val="0"/>
          <c:showSerName val="0"/>
          <c:showPercent val="0"/>
          <c:showBubbleSize val="0"/>
        </c:dLbls>
        <c:smooth val="0"/>
        <c:axId val="231813167"/>
        <c:axId val="231797359"/>
      </c:lineChart>
      <c:catAx>
        <c:axId val="231813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797359"/>
        <c:crosses val="autoZero"/>
        <c:auto val="1"/>
        <c:lblAlgn val="ctr"/>
        <c:lblOffset val="100"/>
        <c:noMultiLvlLbl val="0"/>
      </c:catAx>
      <c:valAx>
        <c:axId val="231797359"/>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813167"/>
        <c:crosses val="autoZero"/>
        <c:crossBetween val="between"/>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'★PPT用図表（労働時間）'!$B$1</c:f>
              <c:strCache>
                <c:ptCount val="1"/>
                <c:pt idx="0">
                  <c:v>成長実現ケース</c:v>
                </c:pt>
              </c:strCache>
            </c:strRef>
          </c:tx>
          <c:spPr>
            <a:ln w="28575" cap="rnd">
              <a:solidFill>
                <a:schemeClr val="accent1"/>
              </a:solidFill>
              <a:round/>
            </a:ln>
            <a:effectLst/>
          </c:spPr>
          <c:marker>
            <c:symbol val="none"/>
          </c:marker>
          <c:dLbls>
            <c:dLbl>
              <c:idx val="55"/>
              <c:layout>
                <c:manualLayout>
                  <c:x val="-7.5375648832567824E-2"/>
                  <c:y val="0.112684326997495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ED-40CD-AD8A-9FD63446CB03}"/>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游ゴシック Medium" panose="020B0500000000000000" pitchFamily="50" charset="-128"/>
                    <a:ea typeface="游ゴシック Medium" panose="020B0500000000000000"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'★PPT用図表（労働時間）'!$A$2:$A$57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'★PPT用図表（労働時間）'!$B$2:$B$57</c:f>
              <c:numCache>
                <c:formatCode>#,##0_);[Red]\(#,##0\)</c:formatCode>
                <c:ptCount val="56"/>
                <c:pt idx="0">
                  <c:v>118.11571371262153</c:v>
                </c:pt>
                <c:pt idx="1">
                  <c:v>119.30575492648813</c:v>
                </c:pt>
                <c:pt idx="2">
                  <c:v>120.30989662912434</c:v>
                </c:pt>
                <c:pt idx="3">
                  <c:v>121.19551631360865</c:v>
                </c:pt>
                <c:pt idx="4">
                  <c:v>122.05247717772653</c:v>
                </c:pt>
                <c:pt idx="5">
                  <c:v>122.9748443578829</c:v>
                </c:pt>
                <c:pt idx="6">
                  <c:v>124.03125493365829</c:v>
                </c:pt>
                <c:pt idx="7">
                  <c:v>125.24862487355306</c:v>
                </c:pt>
                <c:pt idx="8">
                  <c:v>126.61380420473823</c:v>
                </c:pt>
                <c:pt idx="9">
                  <c:v>128.0639590115577</c:v>
                </c:pt>
                <c:pt idx="10">
                  <c:v>129.53979668685028</c:v>
                </c:pt>
                <c:pt idx="11">
                  <c:v>130.98467821022206</c:v>
                </c:pt>
                <c:pt idx="12">
                  <c:v>132.33209997441654</c:v>
                </c:pt>
                <c:pt idx="13">
                  <c:v>133.50865232798139</c:v>
                </c:pt>
                <c:pt idx="14">
                  <c:v>134.43162119248726</c:v>
                </c:pt>
                <c:pt idx="15">
                  <c:v>135.01535320648316</c:v>
                </c:pt>
                <c:pt idx="16">
                  <c:v>135.17669991319207</c:v>
                </c:pt>
                <c:pt idx="17">
                  <c:v>134.84995899534505</c:v>
                </c:pt>
                <c:pt idx="18">
                  <c:v>134.01576550020647</c:v>
                </c:pt>
                <c:pt idx="19">
                  <c:v>132.72069709102692</c:v>
                </c:pt>
                <c:pt idx="20">
                  <c:v>131.03477422010428</c:v>
                </c:pt>
                <c:pt idx="21">
                  <c:v>129.0396578469655</c:v>
                </c:pt>
                <c:pt idx="22">
                  <c:v>126.8337598678801</c:v>
                </c:pt>
                <c:pt idx="23">
                  <c:v>124.49946634431051</c:v>
                </c:pt>
                <c:pt idx="24">
                  <c:v>122.10784954130214</c:v>
                </c:pt>
                <c:pt idx="25">
                  <c:v>119.72240479552806</c:v>
                </c:pt>
                <c:pt idx="26">
                  <c:v>117.39393199991802</c:v>
                </c:pt>
                <c:pt idx="27">
                  <c:v>115.15017720930453</c:v>
                </c:pt>
                <c:pt idx="28">
                  <c:v>113.02106101596732</c:v>
                </c:pt>
                <c:pt idx="29">
                  <c:v>111.04736788605878</c:v>
                </c:pt>
                <c:pt idx="30">
                  <c:v>109.27491142284627</c:v>
                </c:pt>
                <c:pt idx="31">
                  <c:v>107.72209557172877</c:v>
                </c:pt>
                <c:pt idx="32">
                  <c:v>106.38240132762405</c:v>
                </c:pt>
                <c:pt idx="33">
                  <c:v>105.2307508750784</c:v>
                </c:pt>
                <c:pt idx="34">
                  <c:v>104.23836803285778</c:v>
                </c:pt>
                <c:pt idx="35">
                  <c:v>103.36192945693752</c:v>
                </c:pt>
                <c:pt idx="36">
                  <c:v>102.55403759648529</c:v>
                </c:pt>
                <c:pt idx="37">
                  <c:v>101.77610707680839</c:v>
                </c:pt>
                <c:pt idx="38">
                  <c:v>100.99886561181209</c:v>
                </c:pt>
                <c:pt idx="39">
                  <c:v>100.20303007599622</c:v>
                </c:pt>
                <c:pt idx="40">
                  <c:v>100.20303007599622</c:v>
                </c:pt>
                <c:pt idx="41">
                  <c:v>94.419391476119856</c:v>
                </c:pt>
                <c:pt idx="42">
                  <c:v>94.114192182438828</c:v>
                </c:pt>
                <c:pt idx="43">
                  <c:v>93.808992888757814</c:v>
                </c:pt>
                <c:pt idx="44">
                  <c:v>93.5037935950768</c:v>
                </c:pt>
                <c:pt idx="45">
                  <c:v>93.198594301395786</c:v>
                </c:pt>
                <c:pt idx="46">
                  <c:v>92.845420896331319</c:v>
                </c:pt>
                <c:pt idx="47">
                  <c:v>92.492247491266852</c:v>
                </c:pt>
                <c:pt idx="48">
                  <c:v>92.139074086202385</c:v>
                </c:pt>
                <c:pt idx="49">
                  <c:v>91.785900681137917</c:v>
                </c:pt>
                <c:pt idx="50">
                  <c:v>91.43272727607345</c:v>
                </c:pt>
                <c:pt idx="51">
                  <c:v>90.985564174499913</c:v>
                </c:pt>
                <c:pt idx="52">
                  <c:v>90.538401072926348</c:v>
                </c:pt>
                <c:pt idx="53">
                  <c:v>90.091237971352811</c:v>
                </c:pt>
                <c:pt idx="54">
                  <c:v>89.64407486977926</c:v>
                </c:pt>
                <c:pt idx="55">
                  <c:v>89.19691176820568</c:v>
                </c:pt>
              </c:numCache>
            </c:numRef>
          </c:val>
          <c:smooth val="0"/>
          <c:extLst>
            <c:ext xmlns:c16="http://schemas.microsoft.com/office/drawing/2014/chart" uri="{C3380CC4-5D6E-409C-BE32-E72D297353CC}">
              <c16:uniqueId val="{00000000-D175-45A6-863B-FE8EF62E87E6}"/>
            </c:ext>
          </c:extLst>
        </c:ser>
        <c:ser>
          <c:idx val="1"/>
          <c:order val="1"/>
          <c:tx>
            <c:strRef>
              <c:f>'★PPT用図表（労働時間）'!$C$1</c:f>
              <c:strCache>
                <c:ptCount val="1"/>
                <c:pt idx="0">
                  <c:v>ベースラインケース</c:v>
                </c:pt>
              </c:strCache>
            </c:strRef>
          </c:tx>
          <c:spPr>
            <a:ln w="28575" cap="rnd">
              <a:solidFill>
                <a:schemeClr val="accent2"/>
              </a:solidFill>
              <a:round/>
            </a:ln>
            <a:effectLst/>
          </c:spPr>
          <c:marker>
            <c:symbol val="none"/>
          </c:marker>
          <c:dLbls>
            <c:dLbl>
              <c:idx val="55"/>
              <c:layout>
                <c:manualLayout>
                  <c:x val="-3.0765570952068565E-2"/>
                  <c:y val="0.11524533442925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ED-40CD-AD8A-9FD63446CB03}"/>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游ゴシック Medium" panose="020B0500000000000000" pitchFamily="50" charset="-128"/>
                    <a:ea typeface="游ゴシック Medium" panose="020B0500000000000000"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'★PPT用図表（労働時間）'!$A$2:$A$57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'★PPT用図表（労働時間）'!$C$2:$C$57</c:f>
              <c:numCache>
                <c:formatCode>#,##0_);[Red]\(#,##0\)</c:formatCode>
                <c:ptCount val="56"/>
                <c:pt idx="0">
                  <c:v>118.11571371262153</c:v>
                </c:pt>
                <c:pt idx="1">
                  <c:v>119.30575492648813</c:v>
                </c:pt>
                <c:pt idx="2">
                  <c:v>120.30989662912434</c:v>
                </c:pt>
                <c:pt idx="3">
                  <c:v>121.19551631360865</c:v>
                </c:pt>
                <c:pt idx="4">
                  <c:v>122.05247717772653</c:v>
                </c:pt>
                <c:pt idx="5">
                  <c:v>122.9748443578829</c:v>
                </c:pt>
                <c:pt idx="6">
                  <c:v>124.03125493365829</c:v>
                </c:pt>
                <c:pt idx="7">
                  <c:v>125.24862487355306</c:v>
                </c:pt>
                <c:pt idx="8">
                  <c:v>126.61380420473823</c:v>
                </c:pt>
                <c:pt idx="9">
                  <c:v>128.0639590115577</c:v>
                </c:pt>
                <c:pt idx="10">
                  <c:v>129.53979668685028</c:v>
                </c:pt>
                <c:pt idx="11">
                  <c:v>130.98467821022206</c:v>
                </c:pt>
                <c:pt idx="12">
                  <c:v>132.33209997441654</c:v>
                </c:pt>
                <c:pt idx="13">
                  <c:v>133.50865232798139</c:v>
                </c:pt>
                <c:pt idx="14">
                  <c:v>134.43162119248726</c:v>
                </c:pt>
                <c:pt idx="15">
                  <c:v>135.01535320648316</c:v>
                </c:pt>
                <c:pt idx="16">
                  <c:v>135.17669991319207</c:v>
                </c:pt>
                <c:pt idx="17">
                  <c:v>134.84995899534505</c:v>
                </c:pt>
                <c:pt idx="18">
                  <c:v>134.01576550020647</c:v>
                </c:pt>
                <c:pt idx="19">
                  <c:v>132.72069709102692</c:v>
                </c:pt>
                <c:pt idx="20">
                  <c:v>131.03477422010428</c:v>
                </c:pt>
                <c:pt idx="21">
                  <c:v>129.0396578469655</c:v>
                </c:pt>
                <c:pt idx="22">
                  <c:v>126.8337598678801</c:v>
                </c:pt>
                <c:pt idx="23">
                  <c:v>124.49946634431051</c:v>
                </c:pt>
                <c:pt idx="24">
                  <c:v>122.10784954130214</c:v>
                </c:pt>
                <c:pt idx="25">
                  <c:v>119.72240479552806</c:v>
                </c:pt>
                <c:pt idx="26">
                  <c:v>117.39393199991802</c:v>
                </c:pt>
                <c:pt idx="27">
                  <c:v>115.15017720930453</c:v>
                </c:pt>
                <c:pt idx="28">
                  <c:v>113.02106101596732</c:v>
                </c:pt>
                <c:pt idx="29">
                  <c:v>111.04736788605878</c:v>
                </c:pt>
                <c:pt idx="30">
                  <c:v>109.27491142284627</c:v>
                </c:pt>
                <c:pt idx="31">
                  <c:v>107.72209557172877</c:v>
                </c:pt>
                <c:pt idx="32">
                  <c:v>106.38240132762405</c:v>
                </c:pt>
                <c:pt idx="33">
                  <c:v>105.2307508750784</c:v>
                </c:pt>
                <c:pt idx="34">
                  <c:v>104.23836803285778</c:v>
                </c:pt>
                <c:pt idx="35">
                  <c:v>103.36192945693752</c:v>
                </c:pt>
                <c:pt idx="36">
                  <c:v>102.55403759648529</c:v>
                </c:pt>
                <c:pt idx="37">
                  <c:v>101.77610707680839</c:v>
                </c:pt>
                <c:pt idx="38">
                  <c:v>100.99886561181209</c:v>
                </c:pt>
                <c:pt idx="39">
                  <c:v>100.20303007599622</c:v>
                </c:pt>
                <c:pt idx="40">
                  <c:v>100.20303007599622</c:v>
                </c:pt>
                <c:pt idx="41">
                  <c:v>98.886765562209391</c:v>
                </c:pt>
                <c:pt idx="42">
                  <c:v>97.570501048422543</c:v>
                </c:pt>
                <c:pt idx="43">
                  <c:v>96.254236534635709</c:v>
                </c:pt>
                <c:pt idx="44">
                  <c:v>94.937972020848875</c:v>
                </c:pt>
                <c:pt idx="45">
                  <c:v>93.621707507062069</c:v>
                </c:pt>
                <c:pt idx="46">
                  <c:v>91.204427762594591</c:v>
                </c:pt>
                <c:pt idx="47">
                  <c:v>88.787148018127112</c:v>
                </c:pt>
                <c:pt idx="48">
                  <c:v>86.369868273659634</c:v>
                </c:pt>
                <c:pt idx="49">
                  <c:v>83.95258852919217</c:v>
                </c:pt>
                <c:pt idx="50">
                  <c:v>81.535308784724705</c:v>
                </c:pt>
                <c:pt idx="51">
                  <c:v>79.404824942143193</c:v>
                </c:pt>
                <c:pt idx="52">
                  <c:v>77.274341099561696</c:v>
                </c:pt>
                <c:pt idx="53">
                  <c:v>75.143857256980198</c:v>
                </c:pt>
                <c:pt idx="54">
                  <c:v>73.013373414398686</c:v>
                </c:pt>
                <c:pt idx="55">
                  <c:v>70.882889571817202</c:v>
                </c:pt>
              </c:numCache>
            </c:numRef>
          </c:val>
          <c:smooth val="0"/>
          <c:extLst>
            <c:ext xmlns:c16="http://schemas.microsoft.com/office/drawing/2014/chart" uri="{C3380CC4-5D6E-409C-BE32-E72D297353CC}">
              <c16:uniqueId val="{00000001-D175-45A6-863B-FE8EF62E87E6}"/>
            </c:ext>
          </c:extLst>
        </c:ser>
        <c:ser>
          <c:idx val="2"/>
          <c:order val="2"/>
          <c:tx>
            <c:strRef>
              <c:f>'★PPT用図表（労働時間）'!$D$1</c:f>
              <c:strCache>
                <c:ptCount val="1"/>
                <c:pt idx="0">
                  <c:v>ベースラインケース（建設就業比率維持）</c:v>
                </c:pt>
              </c:strCache>
            </c:strRef>
          </c:tx>
          <c:spPr>
            <a:ln w="28575" cap="rnd">
              <a:solidFill>
                <a:schemeClr val="accent2"/>
              </a:solidFill>
              <a:prstDash val="sysDash"/>
              <a:round/>
            </a:ln>
            <a:effectLst/>
          </c:spPr>
          <c:marker>
            <c:symbol val="none"/>
          </c:marker>
          <c:dLbls>
            <c:dLbl>
              <c:idx val="55"/>
              <c:layout>
                <c:manualLayout>
                  <c:x val="-1.6921064023637761E-2"/>
                  <c:y val="-8.45132452481212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ED-40CD-AD8A-9FD63446CB03}"/>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游ゴシック Medium" panose="020B0500000000000000" pitchFamily="50" charset="-128"/>
                    <a:ea typeface="游ゴシック Medium" panose="020B0500000000000000"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'★PPT用図表（労働時間）'!$A$2:$A$57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'★PPT用図表（労働時間）'!$D$2:$D$57</c:f>
              <c:numCache>
                <c:formatCode>#,##0_);[Red]\(#,##0\)</c:formatCode>
                <c:ptCount val="56"/>
                <c:pt idx="0">
                  <c:v>118.11571371262153</c:v>
                </c:pt>
                <c:pt idx="1">
                  <c:v>119.30575492648813</c:v>
                </c:pt>
                <c:pt idx="2">
                  <c:v>120.30989662912434</c:v>
                </c:pt>
                <c:pt idx="3">
                  <c:v>121.19551631360865</c:v>
                </c:pt>
                <c:pt idx="4">
                  <c:v>122.05247717772653</c:v>
                </c:pt>
                <c:pt idx="5">
                  <c:v>122.9748443578829</c:v>
                </c:pt>
                <c:pt idx="6">
                  <c:v>124.03125493365829</c:v>
                </c:pt>
                <c:pt idx="7">
                  <c:v>125.24862487355306</c:v>
                </c:pt>
                <c:pt idx="8">
                  <c:v>126.61380420473823</c:v>
                </c:pt>
                <c:pt idx="9">
                  <c:v>128.0639590115577</c:v>
                </c:pt>
                <c:pt idx="10">
                  <c:v>129.53979668685028</c:v>
                </c:pt>
                <c:pt idx="11">
                  <c:v>130.98467821022206</c:v>
                </c:pt>
                <c:pt idx="12">
                  <c:v>132.33209997441654</c:v>
                </c:pt>
                <c:pt idx="13">
                  <c:v>133.50865232798139</c:v>
                </c:pt>
                <c:pt idx="14">
                  <c:v>134.43162119248726</c:v>
                </c:pt>
                <c:pt idx="15">
                  <c:v>135.01535320648316</c:v>
                </c:pt>
                <c:pt idx="16">
                  <c:v>135.17669991319207</c:v>
                </c:pt>
                <c:pt idx="17">
                  <c:v>134.84995899534505</c:v>
                </c:pt>
                <c:pt idx="18">
                  <c:v>134.01576550020647</c:v>
                </c:pt>
                <c:pt idx="19">
                  <c:v>132.72069709102692</c:v>
                </c:pt>
                <c:pt idx="20">
                  <c:v>131.03477422010428</c:v>
                </c:pt>
                <c:pt idx="21">
                  <c:v>129.0396578469655</c:v>
                </c:pt>
                <c:pt idx="22">
                  <c:v>126.8337598678801</c:v>
                </c:pt>
                <c:pt idx="23">
                  <c:v>124.49946634431051</c:v>
                </c:pt>
                <c:pt idx="24">
                  <c:v>122.10784954130214</c:v>
                </c:pt>
                <c:pt idx="25">
                  <c:v>119.72240479552806</c:v>
                </c:pt>
                <c:pt idx="26">
                  <c:v>117.39393199991802</c:v>
                </c:pt>
                <c:pt idx="27">
                  <c:v>115.15017720930453</c:v>
                </c:pt>
                <c:pt idx="28">
                  <c:v>113.02106101596732</c:v>
                </c:pt>
                <c:pt idx="29">
                  <c:v>111.04736788605878</c:v>
                </c:pt>
                <c:pt idx="30">
                  <c:v>109.27491142284627</c:v>
                </c:pt>
                <c:pt idx="31">
                  <c:v>107.72209557172877</c:v>
                </c:pt>
                <c:pt idx="32">
                  <c:v>106.38240132762405</c:v>
                </c:pt>
                <c:pt idx="33">
                  <c:v>105.2307508750784</c:v>
                </c:pt>
                <c:pt idx="34">
                  <c:v>104.23836803285778</c:v>
                </c:pt>
                <c:pt idx="35">
                  <c:v>103.36192945693752</c:v>
                </c:pt>
                <c:pt idx="36">
                  <c:v>102.55403759648529</c:v>
                </c:pt>
                <c:pt idx="37">
                  <c:v>101.77610707680839</c:v>
                </c:pt>
                <c:pt idx="38">
                  <c:v>100.99886561181209</c:v>
                </c:pt>
                <c:pt idx="39">
                  <c:v>100.20303007599622</c:v>
                </c:pt>
                <c:pt idx="40">
                  <c:v>100.20303007599622</c:v>
                </c:pt>
                <c:pt idx="41">
                  <c:v>99.741558589408797</c:v>
                </c:pt>
                <c:pt idx="42">
                  <c:v>98.973468794285225</c:v>
                </c:pt>
                <c:pt idx="43">
                  <c:v>98.205378999161653</c:v>
                </c:pt>
                <c:pt idx="44">
                  <c:v>97.43728920403808</c:v>
                </c:pt>
                <c:pt idx="45">
                  <c:v>96.669199408914537</c:v>
                </c:pt>
                <c:pt idx="46">
                  <c:v>96.007355710450312</c:v>
                </c:pt>
                <c:pt idx="47">
                  <c:v>95.345512011986088</c:v>
                </c:pt>
                <c:pt idx="48">
                  <c:v>94.683668313521864</c:v>
                </c:pt>
                <c:pt idx="49">
                  <c:v>94.021824615057668</c:v>
                </c:pt>
                <c:pt idx="50">
                  <c:v>93.359980916593457</c:v>
                </c:pt>
                <c:pt idx="51">
                  <c:v>92.661871809994238</c:v>
                </c:pt>
                <c:pt idx="52">
                  <c:v>91.963762703394991</c:v>
                </c:pt>
                <c:pt idx="53">
                  <c:v>91.265653596795758</c:v>
                </c:pt>
                <c:pt idx="54">
                  <c:v>90.567544490196525</c:v>
                </c:pt>
                <c:pt idx="55">
                  <c:v>89.869435383597278</c:v>
                </c:pt>
              </c:numCache>
            </c:numRef>
          </c:val>
          <c:smooth val="0"/>
          <c:extLst>
            <c:ext xmlns:c16="http://schemas.microsoft.com/office/drawing/2014/chart" uri="{C3380CC4-5D6E-409C-BE32-E72D297353CC}">
              <c16:uniqueId val="{00000002-D175-45A6-863B-FE8EF62E87E6}"/>
            </c:ext>
          </c:extLst>
        </c:ser>
        <c:ser>
          <c:idx val="3"/>
          <c:order val="3"/>
          <c:tx>
            <c:strRef>
              <c:f>'★PPT用図表（労働時間）'!$E$1</c:f>
              <c:strCache>
                <c:ptCount val="1"/>
                <c:pt idx="0">
                  <c:v>現実</c:v>
                </c:pt>
              </c:strCache>
            </c:strRef>
          </c:tx>
          <c:spPr>
            <a:ln w="28575" cap="rnd">
              <a:solidFill>
                <a:schemeClr val="tx1"/>
              </a:solidFill>
              <a:round/>
            </a:ln>
            <a:effectLst/>
          </c:spPr>
          <c:marker>
            <c:symbol val="none"/>
          </c:marker>
          <c:cat>
            <c:numRef>
              <c:f>'★PPT用図表（労働時間）'!$A$2:$A$57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'★PPT用図表（労働時間）'!$E$2:$E$57</c:f>
              <c:numCache>
                <c:formatCode>#,##0_);[Red]\(#,##0\)</c:formatCode>
                <c:ptCount val="56"/>
                <c:pt idx="0">
                  <c:v>118.11571371262153</c:v>
                </c:pt>
                <c:pt idx="1">
                  <c:v>119.30575492648813</c:v>
                </c:pt>
                <c:pt idx="2">
                  <c:v>120.30989662912434</c:v>
                </c:pt>
                <c:pt idx="3">
                  <c:v>121.19551631360865</c:v>
                </c:pt>
                <c:pt idx="4">
                  <c:v>122.05247717772653</c:v>
                </c:pt>
                <c:pt idx="5">
                  <c:v>122.9748443578829</c:v>
                </c:pt>
                <c:pt idx="6">
                  <c:v>124.03125493365829</c:v>
                </c:pt>
                <c:pt idx="7">
                  <c:v>125.24862487355306</c:v>
                </c:pt>
                <c:pt idx="8">
                  <c:v>126.61380420473823</c:v>
                </c:pt>
                <c:pt idx="9">
                  <c:v>128.0639590115577</c:v>
                </c:pt>
                <c:pt idx="10">
                  <c:v>129.53979668685028</c:v>
                </c:pt>
                <c:pt idx="11">
                  <c:v>130.98467821022206</c:v>
                </c:pt>
                <c:pt idx="12">
                  <c:v>132.33209997441654</c:v>
                </c:pt>
                <c:pt idx="13">
                  <c:v>133.50865232798139</c:v>
                </c:pt>
                <c:pt idx="14">
                  <c:v>134.43162119248726</c:v>
                </c:pt>
                <c:pt idx="15">
                  <c:v>135.01535320648316</c:v>
                </c:pt>
                <c:pt idx="16">
                  <c:v>135.17669991319207</c:v>
                </c:pt>
                <c:pt idx="17">
                  <c:v>134.84995899534505</c:v>
                </c:pt>
                <c:pt idx="18">
                  <c:v>134.01576550020647</c:v>
                </c:pt>
                <c:pt idx="19">
                  <c:v>132.72069709102692</c:v>
                </c:pt>
                <c:pt idx="20">
                  <c:v>131.03477422010428</c:v>
                </c:pt>
                <c:pt idx="21">
                  <c:v>129.0396578469655</c:v>
                </c:pt>
                <c:pt idx="22">
                  <c:v>126.8337598678801</c:v>
                </c:pt>
                <c:pt idx="23">
                  <c:v>124.49946634431051</c:v>
                </c:pt>
                <c:pt idx="24">
                  <c:v>122.10784954130214</c:v>
                </c:pt>
                <c:pt idx="25">
                  <c:v>119.72240479552806</c:v>
                </c:pt>
                <c:pt idx="26">
                  <c:v>117.39393199991802</c:v>
                </c:pt>
                <c:pt idx="27">
                  <c:v>115.15017720930453</c:v>
                </c:pt>
                <c:pt idx="28">
                  <c:v>113.02106101596732</c:v>
                </c:pt>
                <c:pt idx="29">
                  <c:v>111.04736788605878</c:v>
                </c:pt>
                <c:pt idx="30">
                  <c:v>109.27491142284627</c:v>
                </c:pt>
                <c:pt idx="31">
                  <c:v>107.72209557172877</c:v>
                </c:pt>
                <c:pt idx="32">
                  <c:v>106.38240132762405</c:v>
                </c:pt>
                <c:pt idx="33">
                  <c:v>105.2307508750784</c:v>
                </c:pt>
                <c:pt idx="34">
                  <c:v>104.23836803285778</c:v>
                </c:pt>
                <c:pt idx="35">
                  <c:v>103.36192945693752</c:v>
                </c:pt>
                <c:pt idx="36">
                  <c:v>102.55403759648529</c:v>
                </c:pt>
                <c:pt idx="37">
                  <c:v>101.77610707680839</c:v>
                </c:pt>
                <c:pt idx="38">
                  <c:v>100.99886561181209</c:v>
                </c:pt>
                <c:pt idx="39">
                  <c:v>100.20303007599622</c:v>
                </c:pt>
                <c:pt idx="40">
                  <c:v>100.20303007599622</c:v>
                </c:pt>
              </c:numCache>
            </c:numRef>
          </c:val>
          <c:smooth val="0"/>
          <c:extLst>
            <c:ext xmlns:c16="http://schemas.microsoft.com/office/drawing/2014/chart" uri="{C3380CC4-5D6E-409C-BE32-E72D297353CC}">
              <c16:uniqueId val="{00000003-D175-45A6-863B-FE8EF62E87E6}"/>
            </c:ext>
          </c:extLst>
        </c:ser>
        <c:dLbls>
          <c:showLegendKey val="0"/>
          <c:showVal val="0"/>
          <c:showCatName val="0"/>
          <c:showSerName val="0"/>
          <c:showPercent val="0"/>
          <c:showBubbleSize val="0"/>
        </c:dLbls>
        <c:smooth val="0"/>
        <c:axId val="231813167"/>
        <c:axId val="231797359"/>
      </c:lineChart>
      <c:catAx>
        <c:axId val="231813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797359"/>
        <c:crosses val="autoZero"/>
        <c:auto val="1"/>
        <c:lblAlgn val="ctr"/>
        <c:lblOffset val="100"/>
        <c:noMultiLvlLbl val="0"/>
      </c:catAx>
      <c:valAx>
        <c:axId val="231797359"/>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813167"/>
        <c:crosses val="autoZero"/>
        <c:crossBetween val="between"/>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'★PPT用図表（供給側予測）'!$B$1</c:f>
              <c:strCache>
                <c:ptCount val="1"/>
                <c:pt idx="0">
                  <c:v>成長実現ケース</c:v>
                </c:pt>
              </c:strCache>
            </c:strRef>
          </c:tx>
          <c:spPr>
            <a:ln w="28575" cap="rnd">
              <a:solidFill>
                <a:schemeClr val="accent1"/>
              </a:solidFill>
              <a:round/>
            </a:ln>
            <a:effectLst/>
          </c:spPr>
          <c:marker>
            <c:symbol val="none"/>
          </c:marker>
          <c:dLbls>
            <c:dLbl>
              <c:idx val="45"/>
              <c:layout>
                <c:manualLayout>
                  <c:x val="-4.2023148623557507E-2"/>
                  <c:y val="-9.0377461915244747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游ゴシック Medium" panose="020B0500000000000000" pitchFamily="50" charset="-128"/>
                      <a:ea typeface="游ゴシック Medium" panose="020B0500000000000000"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683-4D5E-8CDE-E08FE5546BC2}"/>
                </c:ext>
              </c:extLst>
            </c:dLbl>
            <c:dLbl>
              <c:idx val="50"/>
              <c:layout>
                <c:manualLayout>
                  <c:x val="-4.674141139094673E-2"/>
                  <c:y val="-8.5061362320139333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游ゴシック Medium" panose="020B0500000000000000" pitchFamily="50" charset="-128"/>
                      <a:ea typeface="游ゴシック Medium" panose="020B0500000000000000"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683-4D5E-8CDE-E08FE5546BC2}"/>
                </c:ext>
              </c:extLst>
            </c:dLbl>
            <c:dLbl>
              <c:idx val="55"/>
              <c:layout>
                <c:manualLayout>
                  <c:x val="-2.6503193904729709E-2"/>
                  <c:y val="-5.050273677580968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游ゴシック Medium" panose="020B0500000000000000" pitchFamily="50" charset="-128"/>
                      <a:ea typeface="游ゴシック Medium" panose="020B0500000000000000"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83-4D5E-8CDE-E08FE5546BC2}"/>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dk1">
                        <a:lumMod val="65000"/>
                        <a:lumOff val="35000"/>
                      </a:schemeClr>
                    </a:solidFill>
                    <a:latin typeface="游ゴシック Medium" panose="020B0500000000000000" pitchFamily="50" charset="-128"/>
                    <a:ea typeface="游ゴシック Medium" panose="020B0500000000000000"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'★PPT用図表（供給側予測）'!$A$2:$A$57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'★PPT用図表（供給側予測）'!$B$2:$B$57</c:f>
              <c:numCache>
                <c:formatCode>#,##0.0;[Red]\-#,##0.0</c:formatCode>
                <c:ptCount val="56"/>
                <c:pt idx="0">
                  <c:v>67.561164047159934</c:v>
                </c:pt>
                <c:pt idx="1">
                  <c:v>65.624971464099985</c:v>
                </c:pt>
                <c:pt idx="2">
                  <c:v>66.156322702856116</c:v>
                </c:pt>
                <c:pt idx="3">
                  <c:v>63.142281931843861</c:v>
                </c:pt>
                <c:pt idx="4">
                  <c:v>63.05966532765612</c:v>
                </c:pt>
                <c:pt idx="5">
                  <c:v>63.683949725459222</c:v>
                </c:pt>
                <c:pt idx="6">
                  <c:v>68.292115114852692</c:v>
                </c:pt>
                <c:pt idx="7">
                  <c:v>75.574779202608468</c:v>
                </c:pt>
                <c:pt idx="8">
                  <c:v>83.081255366915329</c:v>
                </c:pt>
                <c:pt idx="9">
                  <c:v>86.253728205168557</c:v>
                </c:pt>
                <c:pt idx="10">
                  <c:v>93.001869481936907</c:v>
                </c:pt>
                <c:pt idx="11">
                  <c:v>93.007407912184632</c:v>
                </c:pt>
                <c:pt idx="12">
                  <c:v>93.624337829754367</c:v>
                </c:pt>
                <c:pt idx="13">
                  <c:v>91.15208117216828</c:v>
                </c:pt>
                <c:pt idx="14">
                  <c:v>87.92687013193536</c:v>
                </c:pt>
                <c:pt idx="15">
                  <c:v>85.291185695646433</c:v>
                </c:pt>
                <c:pt idx="16">
                  <c:v>91.379542875690703</c:v>
                </c:pt>
                <c:pt idx="17">
                  <c:v>84.214724991048442</c:v>
                </c:pt>
                <c:pt idx="18">
                  <c:v>79.212836784281521</c:v>
                </c:pt>
                <c:pt idx="19">
                  <c:v>77.995531695557034</c:v>
                </c:pt>
                <c:pt idx="20">
                  <c:v>73.537797712155438</c:v>
                </c:pt>
                <c:pt idx="21">
                  <c:v>71.218682389267883</c:v>
                </c:pt>
                <c:pt idx="22">
                  <c:v>66.639352951853184</c:v>
                </c:pt>
                <c:pt idx="23">
                  <c:v>62.460839192366635</c:v>
                </c:pt>
                <c:pt idx="24">
                  <c:v>59.792852910741175</c:v>
                </c:pt>
                <c:pt idx="25">
                  <c:v>57.899793350860477</c:v>
                </c:pt>
                <c:pt idx="26">
                  <c:v>56.504847532275413</c:v>
                </c:pt>
                <c:pt idx="27">
                  <c:v>52.375461380397788</c:v>
                </c:pt>
                <c:pt idx="28">
                  <c:v>49.893397362326738</c:v>
                </c:pt>
                <c:pt idx="29">
                  <c:v>46.274517776524192</c:v>
                </c:pt>
                <c:pt idx="30">
                  <c:v>44.697776782772671</c:v>
                </c:pt>
                <c:pt idx="31">
                  <c:v>44.606994860838995</c:v>
                </c:pt>
                <c:pt idx="32">
                  <c:v>44.968161798681095</c:v>
                </c:pt>
                <c:pt idx="33">
                  <c:v>48.819848128962548</c:v>
                </c:pt>
                <c:pt idx="34">
                  <c:v>48.559379057289568</c:v>
                </c:pt>
                <c:pt idx="35">
                  <c:v>53.957338020544512</c:v>
                </c:pt>
                <c:pt idx="36">
                  <c:v>58.1088236980126</c:v>
                </c:pt>
                <c:pt idx="37">
                  <c:v>59.917292942574221</c:v>
                </c:pt>
                <c:pt idx="38">
                  <c:v>58.832847782626693</c:v>
                </c:pt>
                <c:pt idx="39">
                  <c:v>58.327032016486555</c:v>
                </c:pt>
                <c:pt idx="40">
                  <c:v>56.566115425904549</c:v>
                </c:pt>
                <c:pt idx="41">
                  <c:v>56.763666163192902</c:v>
                </c:pt>
                <c:pt idx="42">
                  <c:v>57.458868916883702</c:v>
                </c:pt>
                <c:pt idx="43">
                  <c:v>58.042768393034059</c:v>
                </c:pt>
                <c:pt idx="44">
                  <c:v>60.205181867849952</c:v>
                </c:pt>
                <c:pt idx="45">
                  <c:v>62.465431417205473</c:v>
                </c:pt>
                <c:pt idx="46">
                  <c:v>64.799516402449726</c:v>
                </c:pt>
                <c:pt idx="47">
                  <c:v>67.237168962413904</c:v>
                </c:pt>
                <c:pt idx="48">
                  <c:v>69.782613955719071</c:v>
                </c:pt>
                <c:pt idx="49">
                  <c:v>72.440260673150462</c:v>
                </c:pt>
                <c:pt idx="50">
                  <c:v>75.214709908079413</c:v>
                </c:pt>
                <c:pt idx="51">
                  <c:v>78.043256131113978</c:v>
                </c:pt>
                <c:pt idx="52">
                  <c:v>80.992163332322505</c:v>
                </c:pt>
                <c:pt idx="53">
                  <c:v>84.066205136473499</c:v>
                </c:pt>
                <c:pt idx="54">
                  <c:v>87.27035002023166</c:v>
                </c:pt>
                <c:pt idx="55">
                  <c:v>90.609768438297777</c:v>
                </c:pt>
              </c:numCache>
            </c:numRef>
          </c:val>
          <c:smooth val="0"/>
          <c:extLst>
            <c:ext xmlns:c16="http://schemas.microsoft.com/office/drawing/2014/chart" uri="{C3380CC4-5D6E-409C-BE32-E72D297353CC}">
              <c16:uniqueId val="{00000000-4683-4D5E-8CDE-E08FE5546BC2}"/>
            </c:ext>
          </c:extLst>
        </c:ser>
        <c:ser>
          <c:idx val="1"/>
          <c:order val="1"/>
          <c:tx>
            <c:strRef>
              <c:f>'★PPT用図表（供給側予測）'!$C$1</c:f>
              <c:strCache>
                <c:ptCount val="1"/>
                <c:pt idx="0">
                  <c:v>ベースラインケース</c:v>
                </c:pt>
              </c:strCache>
            </c:strRef>
          </c:tx>
          <c:spPr>
            <a:ln w="28575" cap="rnd">
              <a:solidFill>
                <a:schemeClr val="accent2"/>
              </a:solidFill>
              <a:round/>
            </a:ln>
            <a:effectLst/>
          </c:spPr>
          <c:marker>
            <c:symbol val="none"/>
          </c:marker>
          <c:dLbls>
            <c:dLbl>
              <c:idx val="45"/>
              <c:layout>
                <c:manualLayout>
                  <c:x val="-1.247983695633482E-2"/>
                  <c:y val="8.24319972663648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683-4D5E-8CDE-E08FE5546BC2}"/>
                </c:ext>
              </c:extLst>
            </c:dLbl>
            <c:dLbl>
              <c:idx val="50"/>
              <c:layout>
                <c:manualLayout>
                  <c:x val="-1.7159775814960376E-2"/>
                  <c:y val="7.7113803894341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683-4D5E-8CDE-E08FE5546BC2}"/>
                </c:ext>
              </c:extLst>
            </c:dLbl>
            <c:dLbl>
              <c:idx val="55"/>
              <c:layout>
                <c:manualLayout>
                  <c:x val="-1.0919857336792967E-2"/>
                  <c:y val="7.17956105223177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683-4D5E-8CDE-E08FE5546BC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游ゴシック Medium" panose="020B0500000000000000" pitchFamily="50" charset="-128"/>
                    <a:ea typeface="游ゴシック Medium" panose="020B0500000000000000"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'★PPT用図表（供給側予測）'!$A$2:$A$57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'★PPT用図表（供給側予測）'!$C$2:$C$57</c:f>
              <c:numCache>
                <c:formatCode>#,##0.0;[Red]\-#,##0.0</c:formatCode>
                <c:ptCount val="56"/>
                <c:pt idx="0">
                  <c:v>67.561164047159934</c:v>
                </c:pt>
                <c:pt idx="1">
                  <c:v>65.624971464099985</c:v>
                </c:pt>
                <c:pt idx="2">
                  <c:v>66.156322702856116</c:v>
                </c:pt>
                <c:pt idx="3">
                  <c:v>63.142281931843861</c:v>
                </c:pt>
                <c:pt idx="4">
                  <c:v>63.05966532765612</c:v>
                </c:pt>
                <c:pt idx="5">
                  <c:v>63.683949725459222</c:v>
                </c:pt>
                <c:pt idx="6">
                  <c:v>68.292115114852692</c:v>
                </c:pt>
                <c:pt idx="7">
                  <c:v>75.574779202608468</c:v>
                </c:pt>
                <c:pt idx="8">
                  <c:v>83.081255366915329</c:v>
                </c:pt>
                <c:pt idx="9">
                  <c:v>86.253728205168557</c:v>
                </c:pt>
                <c:pt idx="10">
                  <c:v>93.001869481936907</c:v>
                </c:pt>
                <c:pt idx="11">
                  <c:v>93.007407912184632</c:v>
                </c:pt>
                <c:pt idx="12">
                  <c:v>93.624337829754367</c:v>
                </c:pt>
                <c:pt idx="13">
                  <c:v>91.15208117216828</c:v>
                </c:pt>
                <c:pt idx="14">
                  <c:v>87.92687013193536</c:v>
                </c:pt>
                <c:pt idx="15">
                  <c:v>85.291185695646433</c:v>
                </c:pt>
                <c:pt idx="16">
                  <c:v>91.379542875690703</c:v>
                </c:pt>
                <c:pt idx="17">
                  <c:v>84.214724991048442</c:v>
                </c:pt>
                <c:pt idx="18">
                  <c:v>79.212836784281521</c:v>
                </c:pt>
                <c:pt idx="19">
                  <c:v>77.995531695557034</c:v>
                </c:pt>
                <c:pt idx="20">
                  <c:v>73.537797712155438</c:v>
                </c:pt>
                <c:pt idx="21">
                  <c:v>71.218682389267883</c:v>
                </c:pt>
                <c:pt idx="22">
                  <c:v>66.639352951853184</c:v>
                </c:pt>
                <c:pt idx="23">
                  <c:v>62.460839192366635</c:v>
                </c:pt>
                <c:pt idx="24">
                  <c:v>59.792852910741175</c:v>
                </c:pt>
                <c:pt idx="25">
                  <c:v>57.899793350860477</c:v>
                </c:pt>
                <c:pt idx="26">
                  <c:v>56.504847532275413</c:v>
                </c:pt>
                <c:pt idx="27">
                  <c:v>52.375461380397788</c:v>
                </c:pt>
                <c:pt idx="28">
                  <c:v>49.893397362326738</c:v>
                </c:pt>
                <c:pt idx="29">
                  <c:v>46.274517776524192</c:v>
                </c:pt>
                <c:pt idx="30">
                  <c:v>44.697776782772671</c:v>
                </c:pt>
                <c:pt idx="31">
                  <c:v>44.606994860838995</c:v>
                </c:pt>
                <c:pt idx="32">
                  <c:v>44.968161798681095</c:v>
                </c:pt>
                <c:pt idx="33">
                  <c:v>48.819848128962548</c:v>
                </c:pt>
                <c:pt idx="34">
                  <c:v>48.559379057289568</c:v>
                </c:pt>
                <c:pt idx="35">
                  <c:v>53.957338020544512</c:v>
                </c:pt>
                <c:pt idx="36">
                  <c:v>58.1088236980126</c:v>
                </c:pt>
                <c:pt idx="37">
                  <c:v>59.917292942574221</c:v>
                </c:pt>
                <c:pt idx="38">
                  <c:v>58.832847782626693</c:v>
                </c:pt>
                <c:pt idx="39">
                  <c:v>58.327032016486555</c:v>
                </c:pt>
                <c:pt idx="40">
                  <c:v>56.566115425904549</c:v>
                </c:pt>
                <c:pt idx="41">
                  <c:v>56.763666163192902</c:v>
                </c:pt>
                <c:pt idx="42">
                  <c:v>57.458868916883702</c:v>
                </c:pt>
                <c:pt idx="43">
                  <c:v>56.014261845727745</c:v>
                </c:pt>
                <c:pt idx="44">
                  <c:v>56.485257580918571</c:v>
                </c:pt>
                <c:pt idx="45">
                  <c:v>56.954844718869786</c:v>
                </c:pt>
                <c:pt idx="46">
                  <c:v>56.848294817577695</c:v>
                </c:pt>
                <c:pt idx="47">
                  <c:v>56.708082765638721</c:v>
                </c:pt>
                <c:pt idx="48">
                  <c:v>56.532425858752035</c:v>
                </c:pt>
                <c:pt idx="49">
                  <c:v>56.319472271824921</c:v>
                </c:pt>
                <c:pt idx="50">
                  <c:v>56.067297439117709</c:v>
                </c:pt>
                <c:pt idx="51">
                  <c:v>55.943151221501935</c:v>
                </c:pt>
                <c:pt idx="52">
                  <c:v>55.785275516979212</c:v>
                </c:pt>
                <c:pt idx="53">
                  <c:v>55.591878819111571</c:v>
                </c:pt>
                <c:pt idx="54">
                  <c:v>55.361100173429932</c:v>
                </c:pt>
                <c:pt idx="55">
                  <c:v>55.091005515889577</c:v>
                </c:pt>
              </c:numCache>
            </c:numRef>
          </c:val>
          <c:smooth val="0"/>
          <c:extLst>
            <c:ext xmlns:c16="http://schemas.microsoft.com/office/drawing/2014/chart" uri="{C3380CC4-5D6E-409C-BE32-E72D297353CC}">
              <c16:uniqueId val="{00000001-4683-4D5E-8CDE-E08FE5546BC2}"/>
            </c:ext>
          </c:extLst>
        </c:ser>
        <c:ser>
          <c:idx val="2"/>
          <c:order val="2"/>
          <c:tx>
            <c:strRef>
              <c:f>'★PPT用図表（供給側予測）'!$D$1</c:f>
              <c:strCache>
                <c:ptCount val="1"/>
                <c:pt idx="0">
                  <c:v>ベースラインケース（建設就業比率維持）</c:v>
                </c:pt>
              </c:strCache>
            </c:strRef>
          </c:tx>
          <c:spPr>
            <a:ln w="28575" cap="rnd">
              <a:solidFill>
                <a:schemeClr val="accent2"/>
              </a:solidFill>
              <a:prstDash val="sysDash"/>
              <a:round/>
            </a:ln>
            <a:effectLst/>
          </c:spPr>
          <c:marker>
            <c:symbol val="none"/>
          </c:marker>
          <c:dLbls>
            <c:dLbl>
              <c:idx val="45"/>
              <c:layout>
                <c:manualLayout>
                  <c:x val="3.27595720103789E-2"/>
                  <c:y val="-5.8500127092258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683-4D5E-8CDE-E08FE5546BC2}"/>
                </c:ext>
              </c:extLst>
            </c:dLbl>
            <c:dLbl>
              <c:idx val="50"/>
              <c:layout>
                <c:manualLayout>
                  <c:x val="-3.1199592390837049E-3"/>
                  <c:y val="-6.3818320464282513E-2"/>
                </c:manualLayout>
              </c:layout>
              <c:tx>
                <c:rich>
                  <a:bodyPr/>
                  <a:lstStyle/>
                  <a:p>
                    <a:fld id="{FC7FF9D6-3CBF-4281-8A5C-251CFCEC0730}" type="VALUE">
                      <a:rPr lang="en-US" altLang="ja-JP" sz="1200">
                        <a:latin typeface="游ゴシック Medium" panose="020B0500000000000000" pitchFamily="50" charset="-128"/>
                        <a:ea typeface="游ゴシック Medium" panose="020B0500000000000000" pitchFamily="50" charset="-128"/>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4683-4D5E-8CDE-E08FE5546BC2}"/>
                </c:ext>
              </c:extLst>
            </c:dLbl>
            <c:dLbl>
              <c:idx val="55"/>
              <c:layout>
                <c:manualLayout>
                  <c:x val="-7.7998980977093766E-3"/>
                  <c:y val="-8.3761545609370769E-2"/>
                </c:manualLayout>
              </c:layout>
              <c:tx>
                <c:rich>
                  <a:bodyPr rot="0" spcFirstLastPara="1" vertOverflow="ellipsis" vert="horz" wrap="square" lIns="38100" tIns="19050" rIns="38100" bIns="19050" anchor="ctr" anchorCtr="1">
                    <a:noAutofit/>
                  </a:bodyPr>
                  <a:lstStyle/>
                  <a:p>
                    <a:pPr>
                      <a:defRPr sz="1200" b="0" i="0" u="none" strike="noStrike" kern="1200" baseline="0">
                        <a:solidFill>
                          <a:schemeClr val="tx1">
                            <a:lumMod val="75000"/>
                            <a:lumOff val="25000"/>
                          </a:schemeClr>
                        </a:solidFill>
                        <a:latin typeface="游ゴシック Medium" panose="020B0500000000000000" pitchFamily="50" charset="-128"/>
                        <a:ea typeface="游ゴシック Medium" panose="020B0500000000000000" pitchFamily="50" charset="-128"/>
                        <a:cs typeface="+mn-cs"/>
                      </a:defRPr>
                    </a:pPr>
                    <a:fld id="{2F042ED3-9367-48D0-9E23-C20DC2B37450}" type="VALUE">
                      <a:rPr lang="en-US" altLang="ja-JP" sz="1200">
                        <a:latin typeface="游ゴシック Medium" panose="020B0500000000000000" pitchFamily="50" charset="-128"/>
                        <a:ea typeface="游ゴシック Medium" panose="020B0500000000000000" pitchFamily="50" charset="-128"/>
                      </a:rPr>
                      <a:pPr>
                        <a:defRPr sz="1200">
                          <a:latin typeface="游ゴシック Medium" panose="020B0500000000000000" pitchFamily="50" charset="-128"/>
                          <a:ea typeface="游ゴシック Medium" panose="020B0500000000000000" pitchFamily="50" charset="-128"/>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tx1">
                          <a:lumMod val="75000"/>
                          <a:lumOff val="25000"/>
                        </a:schemeClr>
                      </a:solidFill>
                      <a:latin typeface="游ゴシック Medium" panose="020B0500000000000000" pitchFamily="50" charset="-128"/>
                      <a:ea typeface="游ゴシック Medium" panose="020B0500000000000000"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6.4091824085397459E-2"/>
                      <c:h val="6.9375832538047064E-2"/>
                    </c:manualLayout>
                  </c15:layout>
                  <c15:dlblFieldTable/>
                  <c15:showDataLabelsRange val="0"/>
                </c:ext>
                <c:ext xmlns:c16="http://schemas.microsoft.com/office/drawing/2014/chart" uri="{C3380CC4-5D6E-409C-BE32-E72D297353CC}">
                  <c16:uniqueId val="{0000000B-4683-4D5E-8CDE-E08FE5546BC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游ゴシック Medium" panose="020B0500000000000000" pitchFamily="50" charset="-128"/>
                    <a:ea typeface="游ゴシック Medium" panose="020B0500000000000000"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'★PPT用図表（供給側予測）'!$A$2:$A$57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'★PPT用図表（供給側予測）'!$D$2:$D$57</c:f>
              <c:numCache>
                <c:formatCode>#,##0.0;[Red]\-#,##0.0</c:formatCode>
                <c:ptCount val="56"/>
                <c:pt idx="0">
                  <c:v>67.561164047159934</c:v>
                </c:pt>
                <c:pt idx="1">
                  <c:v>65.624971464099985</c:v>
                </c:pt>
                <c:pt idx="2">
                  <c:v>66.156322702856116</c:v>
                </c:pt>
                <c:pt idx="3">
                  <c:v>63.142281931843861</c:v>
                </c:pt>
                <c:pt idx="4">
                  <c:v>63.05966532765612</c:v>
                </c:pt>
                <c:pt idx="5">
                  <c:v>63.683949725459222</c:v>
                </c:pt>
                <c:pt idx="6">
                  <c:v>68.292115114852692</c:v>
                </c:pt>
                <c:pt idx="7">
                  <c:v>75.574779202608468</c:v>
                </c:pt>
                <c:pt idx="8">
                  <c:v>83.081255366915329</c:v>
                </c:pt>
                <c:pt idx="9">
                  <c:v>86.253728205168557</c:v>
                </c:pt>
                <c:pt idx="10">
                  <c:v>93.001869481936907</c:v>
                </c:pt>
                <c:pt idx="11">
                  <c:v>93.007407912184632</c:v>
                </c:pt>
                <c:pt idx="12">
                  <c:v>93.624337829754367</c:v>
                </c:pt>
                <c:pt idx="13">
                  <c:v>91.15208117216828</c:v>
                </c:pt>
                <c:pt idx="14">
                  <c:v>87.92687013193536</c:v>
                </c:pt>
                <c:pt idx="15">
                  <c:v>85.291185695646433</c:v>
                </c:pt>
                <c:pt idx="16">
                  <c:v>91.379542875690703</c:v>
                </c:pt>
                <c:pt idx="17">
                  <c:v>84.214724991048442</c:v>
                </c:pt>
                <c:pt idx="18">
                  <c:v>79.212836784281521</c:v>
                </c:pt>
                <c:pt idx="19">
                  <c:v>77.995531695557034</c:v>
                </c:pt>
                <c:pt idx="20">
                  <c:v>73.537797712155438</c:v>
                </c:pt>
                <c:pt idx="21">
                  <c:v>71.218682389267883</c:v>
                </c:pt>
                <c:pt idx="22">
                  <c:v>66.639352951853184</c:v>
                </c:pt>
                <c:pt idx="23">
                  <c:v>62.460839192366635</c:v>
                </c:pt>
                <c:pt idx="24">
                  <c:v>59.792852910741175</c:v>
                </c:pt>
                <c:pt idx="25">
                  <c:v>57.899793350860477</c:v>
                </c:pt>
                <c:pt idx="26">
                  <c:v>56.504847532275413</c:v>
                </c:pt>
                <c:pt idx="27">
                  <c:v>52.375461380397788</c:v>
                </c:pt>
                <c:pt idx="28">
                  <c:v>49.893397362326738</c:v>
                </c:pt>
                <c:pt idx="29">
                  <c:v>46.274517776524192</c:v>
                </c:pt>
                <c:pt idx="30">
                  <c:v>44.697776782772671</c:v>
                </c:pt>
                <c:pt idx="31">
                  <c:v>44.606994860838995</c:v>
                </c:pt>
                <c:pt idx="32">
                  <c:v>44.968161798681095</c:v>
                </c:pt>
                <c:pt idx="33">
                  <c:v>48.819848128962548</c:v>
                </c:pt>
                <c:pt idx="34">
                  <c:v>48.559379057289568</c:v>
                </c:pt>
                <c:pt idx="35">
                  <c:v>53.957338020544512</c:v>
                </c:pt>
                <c:pt idx="36">
                  <c:v>58.1088236980126</c:v>
                </c:pt>
                <c:pt idx="37">
                  <c:v>59.917292942574221</c:v>
                </c:pt>
                <c:pt idx="38">
                  <c:v>58.832847782626693</c:v>
                </c:pt>
                <c:pt idx="39">
                  <c:v>58.327032016486555</c:v>
                </c:pt>
                <c:pt idx="40">
                  <c:v>56.566115425904549</c:v>
                </c:pt>
                <c:pt idx="41">
                  <c:v>56.763666163192902</c:v>
                </c:pt>
                <c:pt idx="42">
                  <c:v>57.458868916883702</c:v>
                </c:pt>
                <c:pt idx="43">
                  <c:v>56.970646246295878</c:v>
                </c:pt>
                <c:pt idx="44">
                  <c:v>57.741150054689136</c:v>
                </c:pt>
                <c:pt idx="45">
                  <c:v>58.524558345073416</c:v>
                </c:pt>
                <c:pt idx="46">
                  <c:v>59.37579851607159</c:v>
                </c:pt>
                <c:pt idx="47">
                  <c:v>60.242502919215056</c:v>
                </c:pt>
                <c:pt idx="48">
                  <c:v>61.124666109846011</c:v>
                </c:pt>
                <c:pt idx="49">
                  <c:v>62.022284439877815</c:v>
                </c:pt>
                <c:pt idx="50">
                  <c:v>62.935355610930827</c:v>
                </c:pt>
                <c:pt idx="51">
                  <c:v>63.842955364158691</c:v>
                </c:pt>
                <c:pt idx="52">
                  <c:v>64.764939419511407</c:v>
                </c:pt>
                <c:pt idx="53">
                  <c:v>65.701270126918814</c:v>
                </c:pt>
                <c:pt idx="54">
                  <c:v>66.651908257156151</c:v>
                </c:pt>
                <c:pt idx="55">
                  <c:v>67.61681256429506</c:v>
                </c:pt>
              </c:numCache>
            </c:numRef>
          </c:val>
          <c:smooth val="0"/>
          <c:extLst>
            <c:ext xmlns:c16="http://schemas.microsoft.com/office/drawing/2014/chart" uri="{C3380CC4-5D6E-409C-BE32-E72D297353CC}">
              <c16:uniqueId val="{00000002-4683-4D5E-8CDE-E08FE5546BC2}"/>
            </c:ext>
          </c:extLst>
        </c:ser>
        <c:ser>
          <c:idx val="3"/>
          <c:order val="3"/>
          <c:tx>
            <c:strRef>
              <c:f>'★PPT用図表（供給側予測）'!$E$1</c:f>
              <c:strCache>
                <c:ptCount val="1"/>
                <c:pt idx="0">
                  <c:v>現実</c:v>
                </c:pt>
              </c:strCache>
            </c:strRef>
          </c:tx>
          <c:spPr>
            <a:ln w="28575" cap="rnd">
              <a:solidFill>
                <a:schemeClr val="tx1"/>
              </a:solidFill>
              <a:round/>
            </a:ln>
            <a:effectLst/>
          </c:spPr>
          <c:marker>
            <c:symbol val="none"/>
          </c:marker>
          <c:cat>
            <c:numRef>
              <c:f>'★PPT用図表（供給側予測）'!$A$2:$A$57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'★PPT用図表（供給側予測）'!$E$2:$E$57</c:f>
              <c:numCache>
                <c:formatCode>#,##0.0;[Red]\-#,##0.0</c:formatCode>
                <c:ptCount val="56"/>
                <c:pt idx="0">
                  <c:v>67.561164047159934</c:v>
                </c:pt>
                <c:pt idx="1">
                  <c:v>65.624971464099985</c:v>
                </c:pt>
                <c:pt idx="2">
                  <c:v>66.156322702856116</c:v>
                </c:pt>
                <c:pt idx="3">
                  <c:v>63.142281931843861</c:v>
                </c:pt>
                <c:pt idx="4">
                  <c:v>63.05966532765612</c:v>
                </c:pt>
                <c:pt idx="5">
                  <c:v>63.683949725459222</c:v>
                </c:pt>
                <c:pt idx="6">
                  <c:v>68.292115114852692</c:v>
                </c:pt>
                <c:pt idx="7">
                  <c:v>75.574779202608468</c:v>
                </c:pt>
                <c:pt idx="8">
                  <c:v>83.081255366915329</c:v>
                </c:pt>
                <c:pt idx="9">
                  <c:v>86.253728205168557</c:v>
                </c:pt>
                <c:pt idx="10">
                  <c:v>93.001869481936907</c:v>
                </c:pt>
                <c:pt idx="11">
                  <c:v>93.007407912184632</c:v>
                </c:pt>
                <c:pt idx="12">
                  <c:v>93.624337829754367</c:v>
                </c:pt>
                <c:pt idx="13">
                  <c:v>91.15208117216828</c:v>
                </c:pt>
                <c:pt idx="14">
                  <c:v>87.92687013193536</c:v>
                </c:pt>
                <c:pt idx="15">
                  <c:v>85.291185695646433</c:v>
                </c:pt>
                <c:pt idx="16">
                  <c:v>91.379542875690703</c:v>
                </c:pt>
                <c:pt idx="17">
                  <c:v>84.214724991048442</c:v>
                </c:pt>
                <c:pt idx="18">
                  <c:v>79.212836784281521</c:v>
                </c:pt>
                <c:pt idx="19">
                  <c:v>77.995531695557034</c:v>
                </c:pt>
                <c:pt idx="20">
                  <c:v>73.537797712155438</c:v>
                </c:pt>
                <c:pt idx="21">
                  <c:v>71.218682389267883</c:v>
                </c:pt>
                <c:pt idx="22">
                  <c:v>66.639352951853184</c:v>
                </c:pt>
                <c:pt idx="23">
                  <c:v>62.460839192366635</c:v>
                </c:pt>
                <c:pt idx="24">
                  <c:v>59.792852910741175</c:v>
                </c:pt>
                <c:pt idx="25">
                  <c:v>57.899793350860477</c:v>
                </c:pt>
                <c:pt idx="26">
                  <c:v>56.504847532275413</c:v>
                </c:pt>
                <c:pt idx="27">
                  <c:v>52.375461380397788</c:v>
                </c:pt>
                <c:pt idx="28">
                  <c:v>49.893397362326738</c:v>
                </c:pt>
                <c:pt idx="29">
                  <c:v>46.274517776524192</c:v>
                </c:pt>
                <c:pt idx="30">
                  <c:v>44.697776782772671</c:v>
                </c:pt>
                <c:pt idx="31">
                  <c:v>44.606994860838995</c:v>
                </c:pt>
                <c:pt idx="32">
                  <c:v>44.968161798681095</c:v>
                </c:pt>
                <c:pt idx="33">
                  <c:v>48.819848128962548</c:v>
                </c:pt>
                <c:pt idx="34">
                  <c:v>48.559379057289568</c:v>
                </c:pt>
                <c:pt idx="35">
                  <c:v>53.957338020544512</c:v>
                </c:pt>
                <c:pt idx="36">
                  <c:v>58.1088236980126</c:v>
                </c:pt>
                <c:pt idx="37">
                  <c:v>59.917292942574221</c:v>
                </c:pt>
                <c:pt idx="38">
                  <c:v>58.832847782626693</c:v>
                </c:pt>
                <c:pt idx="39">
                  <c:v>58.327032016486555</c:v>
                </c:pt>
                <c:pt idx="40">
                  <c:v>56.566115425904549</c:v>
                </c:pt>
                <c:pt idx="41">
                  <c:v>56.763666163192902</c:v>
                </c:pt>
                <c:pt idx="42">
                  <c:v>57.458868916883702</c:v>
                </c:pt>
              </c:numCache>
            </c:numRef>
          </c:val>
          <c:smooth val="0"/>
          <c:extLst>
            <c:ext xmlns:c16="http://schemas.microsoft.com/office/drawing/2014/chart" uri="{C3380CC4-5D6E-409C-BE32-E72D297353CC}">
              <c16:uniqueId val="{00000003-4683-4D5E-8CDE-E08FE5546BC2}"/>
            </c:ext>
          </c:extLst>
        </c:ser>
        <c:dLbls>
          <c:showLegendKey val="0"/>
          <c:showVal val="0"/>
          <c:showCatName val="0"/>
          <c:showSerName val="0"/>
          <c:showPercent val="0"/>
          <c:showBubbleSize val="0"/>
        </c:dLbls>
        <c:smooth val="0"/>
        <c:axId val="231813167"/>
        <c:axId val="231797359"/>
      </c:lineChart>
      <c:catAx>
        <c:axId val="231813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797359"/>
        <c:crosses val="autoZero"/>
        <c:auto val="1"/>
        <c:lblAlgn val="ctr"/>
        <c:lblOffset val="100"/>
        <c:noMultiLvlLbl val="0"/>
      </c:catAx>
      <c:valAx>
        <c:axId val="231797359"/>
        <c:scaling>
          <c:orientation val="minMax"/>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813167"/>
        <c:crosses val="autoZero"/>
        <c:crossBetween val="between"/>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★図7!$B$1</c:f>
              <c:strCache>
                <c:ptCount val="1"/>
                <c:pt idx="0">
                  <c:v>成長実現ケース</c:v>
                </c:pt>
              </c:strCache>
            </c:strRef>
          </c:tx>
          <c:spPr>
            <a:ln w="28575" cap="rnd">
              <a:solidFill>
                <a:schemeClr val="accent1"/>
              </a:solidFill>
              <a:round/>
            </a:ln>
            <a:effectLst/>
          </c:spPr>
          <c:marker>
            <c:symbol val="none"/>
          </c:marker>
          <c:cat>
            <c:numRef>
              <c:f>★図7!$A$2:$A$57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★図7!$B$2:$B$57</c:f>
              <c:numCache>
                <c:formatCode>#,##0_);[Red]\(#,##0\)</c:formatCode>
                <c:ptCount val="56"/>
                <c:pt idx="0">
                  <c:v>675611.6404715993</c:v>
                </c:pt>
                <c:pt idx="1">
                  <c:v>656249.71464099991</c:v>
                </c:pt>
                <c:pt idx="2">
                  <c:v>661563.22702856117</c:v>
                </c:pt>
                <c:pt idx="3">
                  <c:v>631422.81931843865</c:v>
                </c:pt>
                <c:pt idx="4">
                  <c:v>630596.65327656118</c:v>
                </c:pt>
                <c:pt idx="5">
                  <c:v>636839.49725459225</c:v>
                </c:pt>
                <c:pt idx="6">
                  <c:v>682921.15114852693</c:v>
                </c:pt>
                <c:pt idx="7">
                  <c:v>755747.79202608461</c:v>
                </c:pt>
                <c:pt idx="8">
                  <c:v>830812.55366915325</c:v>
                </c:pt>
                <c:pt idx="9">
                  <c:v>862537.2820516855</c:v>
                </c:pt>
                <c:pt idx="10">
                  <c:v>930018.694819369</c:v>
                </c:pt>
                <c:pt idx="11">
                  <c:v>930074.07912184636</c:v>
                </c:pt>
                <c:pt idx="12">
                  <c:v>936243.37829754362</c:v>
                </c:pt>
                <c:pt idx="13">
                  <c:v>911520.81172168278</c:v>
                </c:pt>
                <c:pt idx="14">
                  <c:v>879268.70131935354</c:v>
                </c:pt>
                <c:pt idx="15">
                  <c:v>852911.85695646435</c:v>
                </c:pt>
                <c:pt idx="16">
                  <c:v>913795.428756907</c:v>
                </c:pt>
                <c:pt idx="17">
                  <c:v>842147.24991048442</c:v>
                </c:pt>
                <c:pt idx="18">
                  <c:v>792128.36784281523</c:v>
                </c:pt>
                <c:pt idx="19">
                  <c:v>779955.31695557036</c:v>
                </c:pt>
                <c:pt idx="20">
                  <c:v>735377.97712155432</c:v>
                </c:pt>
                <c:pt idx="21">
                  <c:v>712186.82389267883</c:v>
                </c:pt>
                <c:pt idx="22">
                  <c:v>666393.52951853187</c:v>
                </c:pt>
                <c:pt idx="23">
                  <c:v>624608.39192366635</c:v>
                </c:pt>
                <c:pt idx="24">
                  <c:v>597928.52910741174</c:v>
                </c:pt>
                <c:pt idx="25">
                  <c:v>578997.93350860476</c:v>
                </c:pt>
                <c:pt idx="26">
                  <c:v>565048.47532275412</c:v>
                </c:pt>
                <c:pt idx="27">
                  <c:v>523754.61380397785</c:v>
                </c:pt>
                <c:pt idx="28">
                  <c:v>498933.97362326737</c:v>
                </c:pt>
                <c:pt idx="29">
                  <c:v>462745.17776524194</c:v>
                </c:pt>
                <c:pt idx="30">
                  <c:v>446977.76782772673</c:v>
                </c:pt>
                <c:pt idx="31">
                  <c:v>446069.94860838994</c:v>
                </c:pt>
                <c:pt idx="32">
                  <c:v>449681.61798681098</c:v>
                </c:pt>
                <c:pt idx="33">
                  <c:v>488198.48128962546</c:v>
                </c:pt>
                <c:pt idx="34">
                  <c:v>485593.79057289567</c:v>
                </c:pt>
                <c:pt idx="35">
                  <c:v>539573.38020544511</c:v>
                </c:pt>
                <c:pt idx="36">
                  <c:v>581088.23698012601</c:v>
                </c:pt>
                <c:pt idx="37">
                  <c:v>599172.92942574224</c:v>
                </c:pt>
                <c:pt idx="38">
                  <c:v>588328.4778262669</c:v>
                </c:pt>
                <c:pt idx="39">
                  <c:v>583270.32016486558</c:v>
                </c:pt>
                <c:pt idx="40">
                  <c:v>565661.15425904549</c:v>
                </c:pt>
                <c:pt idx="41">
                  <c:v>567636.66163192899</c:v>
                </c:pt>
                <c:pt idx="42">
                  <c:v>574588.68916883704</c:v>
                </c:pt>
                <c:pt idx="43">
                  <c:v>580427.68393034057</c:v>
                </c:pt>
                <c:pt idx="44">
                  <c:v>602051.81867849955</c:v>
                </c:pt>
                <c:pt idx="45">
                  <c:v>624654.31417205476</c:v>
                </c:pt>
                <c:pt idx="46">
                  <c:v>647995.16402449727</c:v>
                </c:pt>
                <c:pt idx="47">
                  <c:v>672371.68962413899</c:v>
                </c:pt>
                <c:pt idx="48">
                  <c:v>697826.13955719071</c:v>
                </c:pt>
                <c:pt idx="49">
                  <c:v>724402.60673150455</c:v>
                </c:pt>
                <c:pt idx="50">
                  <c:v>752147.09908079414</c:v>
                </c:pt>
                <c:pt idx="51">
                  <c:v>780432.56131113984</c:v>
                </c:pt>
                <c:pt idx="52">
                  <c:v>809921.63332322508</c:v>
                </c:pt>
                <c:pt idx="53">
                  <c:v>840662.051364735</c:v>
                </c:pt>
                <c:pt idx="54">
                  <c:v>872703.50020231667</c:v>
                </c:pt>
                <c:pt idx="55">
                  <c:v>906097.68438297778</c:v>
                </c:pt>
              </c:numCache>
            </c:numRef>
          </c:val>
          <c:smooth val="0"/>
          <c:extLst>
            <c:ext xmlns:c16="http://schemas.microsoft.com/office/drawing/2014/chart" uri="{C3380CC4-5D6E-409C-BE32-E72D297353CC}">
              <c16:uniqueId val="{00000000-77F9-4921-A4F0-B4E71D74D288}"/>
            </c:ext>
          </c:extLst>
        </c:ser>
        <c:ser>
          <c:idx val="1"/>
          <c:order val="1"/>
          <c:tx>
            <c:strRef>
              <c:f>★図7!$C$1</c:f>
              <c:strCache>
                <c:ptCount val="1"/>
                <c:pt idx="0">
                  <c:v>ベースラインケース</c:v>
                </c:pt>
              </c:strCache>
            </c:strRef>
          </c:tx>
          <c:spPr>
            <a:ln w="28575" cap="rnd">
              <a:solidFill>
                <a:schemeClr val="accent2"/>
              </a:solidFill>
              <a:round/>
            </a:ln>
            <a:effectLst/>
          </c:spPr>
          <c:marker>
            <c:symbol val="none"/>
          </c:marker>
          <c:cat>
            <c:numRef>
              <c:f>★図7!$A$2:$A$57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★図7!$C$2:$C$57</c:f>
              <c:numCache>
                <c:formatCode>#,##0_);[Red]\(#,##0\)</c:formatCode>
                <c:ptCount val="56"/>
                <c:pt idx="0">
                  <c:v>675611.6404715993</c:v>
                </c:pt>
                <c:pt idx="1">
                  <c:v>656249.71464099991</c:v>
                </c:pt>
                <c:pt idx="2">
                  <c:v>661563.22702856117</c:v>
                </c:pt>
                <c:pt idx="3">
                  <c:v>631422.81931843865</c:v>
                </c:pt>
                <c:pt idx="4">
                  <c:v>630596.65327656118</c:v>
                </c:pt>
                <c:pt idx="5">
                  <c:v>636839.49725459225</c:v>
                </c:pt>
                <c:pt idx="6">
                  <c:v>682921.15114852693</c:v>
                </c:pt>
                <c:pt idx="7">
                  <c:v>755747.79202608461</c:v>
                </c:pt>
                <c:pt idx="8">
                  <c:v>830812.55366915325</c:v>
                </c:pt>
                <c:pt idx="9">
                  <c:v>862537.2820516855</c:v>
                </c:pt>
                <c:pt idx="10">
                  <c:v>930018.694819369</c:v>
                </c:pt>
                <c:pt idx="11">
                  <c:v>930074.07912184636</c:v>
                </c:pt>
                <c:pt idx="12">
                  <c:v>936243.37829754362</c:v>
                </c:pt>
                <c:pt idx="13">
                  <c:v>911520.81172168278</c:v>
                </c:pt>
                <c:pt idx="14">
                  <c:v>879268.70131935354</c:v>
                </c:pt>
                <c:pt idx="15">
                  <c:v>852911.85695646435</c:v>
                </c:pt>
                <c:pt idx="16">
                  <c:v>913795.428756907</c:v>
                </c:pt>
                <c:pt idx="17">
                  <c:v>842147.24991048442</c:v>
                </c:pt>
                <c:pt idx="18">
                  <c:v>792128.36784281523</c:v>
                </c:pt>
                <c:pt idx="19">
                  <c:v>779955.31695557036</c:v>
                </c:pt>
                <c:pt idx="20">
                  <c:v>735377.97712155432</c:v>
                </c:pt>
                <c:pt idx="21">
                  <c:v>712186.82389267883</c:v>
                </c:pt>
                <c:pt idx="22">
                  <c:v>666393.52951853187</c:v>
                </c:pt>
                <c:pt idx="23">
                  <c:v>624608.39192366635</c:v>
                </c:pt>
                <c:pt idx="24">
                  <c:v>597928.52910741174</c:v>
                </c:pt>
                <c:pt idx="25">
                  <c:v>578997.93350860476</c:v>
                </c:pt>
                <c:pt idx="26">
                  <c:v>565048.47532275412</c:v>
                </c:pt>
                <c:pt idx="27">
                  <c:v>523754.61380397785</c:v>
                </c:pt>
                <c:pt idx="28">
                  <c:v>498933.97362326737</c:v>
                </c:pt>
                <c:pt idx="29">
                  <c:v>462745.17776524194</c:v>
                </c:pt>
                <c:pt idx="30">
                  <c:v>446977.76782772673</c:v>
                </c:pt>
                <c:pt idx="31">
                  <c:v>446069.94860838994</c:v>
                </c:pt>
                <c:pt idx="32">
                  <c:v>449681.61798681098</c:v>
                </c:pt>
                <c:pt idx="33">
                  <c:v>488198.48128962546</c:v>
                </c:pt>
                <c:pt idx="34">
                  <c:v>485593.79057289567</c:v>
                </c:pt>
                <c:pt idx="35">
                  <c:v>539573.38020544511</c:v>
                </c:pt>
                <c:pt idx="36">
                  <c:v>581088.23698012601</c:v>
                </c:pt>
                <c:pt idx="37">
                  <c:v>599172.92942574224</c:v>
                </c:pt>
                <c:pt idx="38">
                  <c:v>588328.4778262669</c:v>
                </c:pt>
                <c:pt idx="39">
                  <c:v>583270.32016486558</c:v>
                </c:pt>
                <c:pt idx="40">
                  <c:v>565661.15425904549</c:v>
                </c:pt>
                <c:pt idx="41">
                  <c:v>567636.66163192899</c:v>
                </c:pt>
                <c:pt idx="42">
                  <c:v>574588.68916883704</c:v>
                </c:pt>
                <c:pt idx="43">
                  <c:v>560142.61845727742</c:v>
                </c:pt>
                <c:pt idx="44">
                  <c:v>564852.57580918574</c:v>
                </c:pt>
                <c:pt idx="45">
                  <c:v>569548.44718869787</c:v>
                </c:pt>
                <c:pt idx="46">
                  <c:v>568482.94817577698</c:v>
                </c:pt>
                <c:pt idx="47">
                  <c:v>567080.82765638724</c:v>
                </c:pt>
                <c:pt idx="48">
                  <c:v>565324.25858752034</c:v>
                </c:pt>
                <c:pt idx="49">
                  <c:v>563194.72271824919</c:v>
                </c:pt>
                <c:pt idx="50">
                  <c:v>560672.97439117706</c:v>
                </c:pt>
                <c:pt idx="51">
                  <c:v>559431.51221501932</c:v>
                </c:pt>
                <c:pt idx="52">
                  <c:v>557852.7551697921</c:v>
                </c:pt>
                <c:pt idx="53">
                  <c:v>555918.78819111572</c:v>
                </c:pt>
                <c:pt idx="54">
                  <c:v>553611.00173429935</c:v>
                </c:pt>
                <c:pt idx="55">
                  <c:v>550910.05515889579</c:v>
                </c:pt>
              </c:numCache>
            </c:numRef>
          </c:val>
          <c:smooth val="0"/>
          <c:extLst>
            <c:ext xmlns:c16="http://schemas.microsoft.com/office/drawing/2014/chart" uri="{C3380CC4-5D6E-409C-BE32-E72D297353CC}">
              <c16:uniqueId val="{00000001-77F9-4921-A4F0-B4E71D74D288}"/>
            </c:ext>
          </c:extLst>
        </c:ser>
        <c:ser>
          <c:idx val="2"/>
          <c:order val="2"/>
          <c:tx>
            <c:strRef>
              <c:f>★図7!$D$1</c:f>
              <c:strCache>
                <c:ptCount val="1"/>
                <c:pt idx="0">
                  <c:v>ベースラインケース（建設就業比率維持）</c:v>
                </c:pt>
              </c:strCache>
            </c:strRef>
          </c:tx>
          <c:spPr>
            <a:ln w="28575" cap="rnd">
              <a:solidFill>
                <a:schemeClr val="accent2"/>
              </a:solidFill>
              <a:prstDash val="sysDash"/>
              <a:round/>
            </a:ln>
            <a:effectLst/>
          </c:spPr>
          <c:marker>
            <c:symbol val="none"/>
          </c:marker>
          <c:cat>
            <c:numRef>
              <c:f>★図7!$A$2:$A$57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★図7!$D$2:$D$57</c:f>
              <c:numCache>
                <c:formatCode>#,##0_);[Red]\(#,##0\)</c:formatCode>
                <c:ptCount val="56"/>
                <c:pt idx="0">
                  <c:v>675611.6404715993</c:v>
                </c:pt>
                <c:pt idx="1">
                  <c:v>656249.71464099991</c:v>
                </c:pt>
                <c:pt idx="2">
                  <c:v>661563.22702856117</c:v>
                </c:pt>
                <c:pt idx="3">
                  <c:v>631422.81931843865</c:v>
                </c:pt>
                <c:pt idx="4">
                  <c:v>630596.65327656118</c:v>
                </c:pt>
                <c:pt idx="5">
                  <c:v>636839.49725459225</c:v>
                </c:pt>
                <c:pt idx="6">
                  <c:v>682921.15114852693</c:v>
                </c:pt>
                <c:pt idx="7">
                  <c:v>755747.79202608461</c:v>
                </c:pt>
                <c:pt idx="8">
                  <c:v>830812.55366915325</c:v>
                </c:pt>
                <c:pt idx="9">
                  <c:v>862537.2820516855</c:v>
                </c:pt>
                <c:pt idx="10">
                  <c:v>930018.694819369</c:v>
                </c:pt>
                <c:pt idx="11">
                  <c:v>930074.07912184636</c:v>
                </c:pt>
                <c:pt idx="12">
                  <c:v>936243.37829754362</c:v>
                </c:pt>
                <c:pt idx="13">
                  <c:v>911520.81172168278</c:v>
                </c:pt>
                <c:pt idx="14">
                  <c:v>879268.70131935354</c:v>
                </c:pt>
                <c:pt idx="15">
                  <c:v>852911.85695646435</c:v>
                </c:pt>
                <c:pt idx="16">
                  <c:v>913795.428756907</c:v>
                </c:pt>
                <c:pt idx="17">
                  <c:v>842147.24991048442</c:v>
                </c:pt>
                <c:pt idx="18">
                  <c:v>792128.36784281523</c:v>
                </c:pt>
                <c:pt idx="19">
                  <c:v>779955.31695557036</c:v>
                </c:pt>
                <c:pt idx="20">
                  <c:v>735377.97712155432</c:v>
                </c:pt>
                <c:pt idx="21">
                  <c:v>712186.82389267883</c:v>
                </c:pt>
                <c:pt idx="22">
                  <c:v>666393.52951853187</c:v>
                </c:pt>
                <c:pt idx="23">
                  <c:v>624608.39192366635</c:v>
                </c:pt>
                <c:pt idx="24">
                  <c:v>597928.52910741174</c:v>
                </c:pt>
                <c:pt idx="25">
                  <c:v>578997.93350860476</c:v>
                </c:pt>
                <c:pt idx="26">
                  <c:v>565048.47532275412</c:v>
                </c:pt>
                <c:pt idx="27">
                  <c:v>523754.61380397785</c:v>
                </c:pt>
                <c:pt idx="28">
                  <c:v>498933.97362326737</c:v>
                </c:pt>
                <c:pt idx="29">
                  <c:v>462745.17776524194</c:v>
                </c:pt>
                <c:pt idx="30">
                  <c:v>446977.76782772673</c:v>
                </c:pt>
                <c:pt idx="31">
                  <c:v>446069.94860838994</c:v>
                </c:pt>
                <c:pt idx="32">
                  <c:v>449681.61798681098</c:v>
                </c:pt>
                <c:pt idx="33">
                  <c:v>488198.48128962546</c:v>
                </c:pt>
                <c:pt idx="34">
                  <c:v>485593.79057289567</c:v>
                </c:pt>
                <c:pt idx="35">
                  <c:v>539573.38020544511</c:v>
                </c:pt>
                <c:pt idx="36">
                  <c:v>581088.23698012601</c:v>
                </c:pt>
                <c:pt idx="37">
                  <c:v>599172.92942574224</c:v>
                </c:pt>
                <c:pt idx="38">
                  <c:v>588328.4778262669</c:v>
                </c:pt>
                <c:pt idx="39">
                  <c:v>583270.32016486558</c:v>
                </c:pt>
                <c:pt idx="40">
                  <c:v>565661.15425904549</c:v>
                </c:pt>
                <c:pt idx="41">
                  <c:v>567636.66163192899</c:v>
                </c:pt>
                <c:pt idx="42">
                  <c:v>574588.68916883704</c:v>
                </c:pt>
                <c:pt idx="43">
                  <c:v>569706.46246295876</c:v>
                </c:pt>
                <c:pt idx="44">
                  <c:v>577411.50054689136</c:v>
                </c:pt>
                <c:pt idx="45">
                  <c:v>585245.58345073415</c:v>
                </c:pt>
                <c:pt idx="46">
                  <c:v>593757.98516071588</c:v>
                </c:pt>
                <c:pt idx="47">
                  <c:v>602425.02919215057</c:v>
                </c:pt>
                <c:pt idx="48">
                  <c:v>611246.66109846008</c:v>
                </c:pt>
                <c:pt idx="49">
                  <c:v>620222.84439877816</c:v>
                </c:pt>
                <c:pt idx="50">
                  <c:v>629353.55610930827</c:v>
                </c:pt>
                <c:pt idx="51">
                  <c:v>638429.55364158691</c:v>
                </c:pt>
                <c:pt idx="52">
                  <c:v>647649.39419511403</c:v>
                </c:pt>
                <c:pt idx="53">
                  <c:v>657012.70126918808</c:v>
                </c:pt>
                <c:pt idx="54">
                  <c:v>666519.08257156145</c:v>
                </c:pt>
                <c:pt idx="55">
                  <c:v>676168.12564295053</c:v>
                </c:pt>
              </c:numCache>
            </c:numRef>
          </c:val>
          <c:smooth val="0"/>
          <c:extLst>
            <c:ext xmlns:c16="http://schemas.microsoft.com/office/drawing/2014/chart" uri="{C3380CC4-5D6E-409C-BE32-E72D297353CC}">
              <c16:uniqueId val="{00000002-77F9-4921-A4F0-B4E71D74D288}"/>
            </c:ext>
          </c:extLst>
        </c:ser>
        <c:ser>
          <c:idx val="3"/>
          <c:order val="3"/>
          <c:tx>
            <c:strRef>
              <c:f>★図7!$E$1</c:f>
              <c:strCache>
                <c:ptCount val="1"/>
                <c:pt idx="0">
                  <c:v>現実</c:v>
                </c:pt>
              </c:strCache>
            </c:strRef>
          </c:tx>
          <c:spPr>
            <a:ln w="28575" cap="rnd">
              <a:solidFill>
                <a:schemeClr val="tx1"/>
              </a:solidFill>
              <a:round/>
            </a:ln>
            <a:effectLst/>
          </c:spPr>
          <c:marker>
            <c:symbol val="none"/>
          </c:marker>
          <c:cat>
            <c:numRef>
              <c:f>★図7!$A$2:$A$57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★図7!$E$2:$E$57</c:f>
              <c:numCache>
                <c:formatCode>General</c:formatCode>
                <c:ptCount val="56"/>
                <c:pt idx="0">
                  <c:v>675611.6404715993</c:v>
                </c:pt>
                <c:pt idx="1">
                  <c:v>656249.71464099991</c:v>
                </c:pt>
                <c:pt idx="2">
                  <c:v>661563.22702856117</c:v>
                </c:pt>
                <c:pt idx="3">
                  <c:v>631422.81931843865</c:v>
                </c:pt>
                <c:pt idx="4">
                  <c:v>630596.65327656118</c:v>
                </c:pt>
                <c:pt idx="5">
                  <c:v>636839.49725459225</c:v>
                </c:pt>
                <c:pt idx="6">
                  <c:v>682921.15114852693</c:v>
                </c:pt>
                <c:pt idx="7">
                  <c:v>755747.79202608461</c:v>
                </c:pt>
                <c:pt idx="8">
                  <c:v>830812.55366915325</c:v>
                </c:pt>
                <c:pt idx="9">
                  <c:v>862537.2820516855</c:v>
                </c:pt>
                <c:pt idx="10">
                  <c:v>930018.694819369</c:v>
                </c:pt>
                <c:pt idx="11">
                  <c:v>930074.07912184636</c:v>
                </c:pt>
                <c:pt idx="12">
                  <c:v>936243.37829754362</c:v>
                </c:pt>
                <c:pt idx="13">
                  <c:v>911520.81172168278</c:v>
                </c:pt>
                <c:pt idx="14">
                  <c:v>879268.70131935354</c:v>
                </c:pt>
                <c:pt idx="15">
                  <c:v>852911.85695646435</c:v>
                </c:pt>
                <c:pt idx="16">
                  <c:v>913795.428756907</c:v>
                </c:pt>
                <c:pt idx="17">
                  <c:v>842147.24991048442</c:v>
                </c:pt>
                <c:pt idx="18">
                  <c:v>792128.36784281523</c:v>
                </c:pt>
                <c:pt idx="19">
                  <c:v>779955.31695557036</c:v>
                </c:pt>
                <c:pt idx="20">
                  <c:v>735377.97712155432</c:v>
                </c:pt>
                <c:pt idx="21">
                  <c:v>712186.82389267883</c:v>
                </c:pt>
                <c:pt idx="22">
                  <c:v>666393.52951853187</c:v>
                </c:pt>
                <c:pt idx="23">
                  <c:v>624608.39192366635</c:v>
                </c:pt>
                <c:pt idx="24">
                  <c:v>597928.52910741174</c:v>
                </c:pt>
                <c:pt idx="25">
                  <c:v>578997.93350860476</c:v>
                </c:pt>
                <c:pt idx="26">
                  <c:v>565048.47532275412</c:v>
                </c:pt>
                <c:pt idx="27">
                  <c:v>523754.61380397785</c:v>
                </c:pt>
                <c:pt idx="28">
                  <c:v>498933.97362326737</c:v>
                </c:pt>
                <c:pt idx="29">
                  <c:v>462745.17776524194</c:v>
                </c:pt>
                <c:pt idx="30">
                  <c:v>446977.76782772673</c:v>
                </c:pt>
                <c:pt idx="31">
                  <c:v>446069.94860838994</c:v>
                </c:pt>
                <c:pt idx="32">
                  <c:v>449681.61798681098</c:v>
                </c:pt>
                <c:pt idx="33">
                  <c:v>488198.48128962546</c:v>
                </c:pt>
                <c:pt idx="34">
                  <c:v>485593.79057289567</c:v>
                </c:pt>
                <c:pt idx="35">
                  <c:v>539573.38020544511</c:v>
                </c:pt>
                <c:pt idx="36">
                  <c:v>581088.23698012601</c:v>
                </c:pt>
                <c:pt idx="37">
                  <c:v>599172.92942574224</c:v>
                </c:pt>
                <c:pt idx="38">
                  <c:v>588328.4778262669</c:v>
                </c:pt>
                <c:pt idx="39">
                  <c:v>583270.32016486558</c:v>
                </c:pt>
                <c:pt idx="40">
                  <c:v>565661.15425904549</c:v>
                </c:pt>
                <c:pt idx="41" formatCode="#,##0_);[Red]\(#,##0\)">
                  <c:v>567636.66163192899</c:v>
                </c:pt>
                <c:pt idx="42" formatCode="#,##0_);[Red]\(#,##0\)">
                  <c:v>574588.68916883704</c:v>
                </c:pt>
              </c:numCache>
            </c:numRef>
          </c:val>
          <c:smooth val="0"/>
          <c:extLst>
            <c:ext xmlns:c16="http://schemas.microsoft.com/office/drawing/2014/chart" uri="{C3380CC4-5D6E-409C-BE32-E72D297353CC}">
              <c16:uniqueId val="{00000004-77F9-4921-A4F0-B4E71D74D288}"/>
            </c:ext>
          </c:extLst>
        </c:ser>
        <c:dLbls>
          <c:showLegendKey val="0"/>
          <c:showVal val="0"/>
          <c:showCatName val="0"/>
          <c:showSerName val="0"/>
          <c:showPercent val="0"/>
          <c:showBubbleSize val="0"/>
        </c:dLbls>
        <c:smooth val="0"/>
        <c:axId val="231813167"/>
        <c:axId val="231797359"/>
      </c:lineChart>
      <c:catAx>
        <c:axId val="231813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797359"/>
        <c:crosses val="autoZero"/>
        <c:auto val="1"/>
        <c:lblAlgn val="ctr"/>
        <c:lblOffset val="100"/>
        <c:noMultiLvlLbl val="0"/>
      </c:catAx>
      <c:valAx>
        <c:axId val="231797359"/>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813167"/>
        <c:crosses val="autoZero"/>
        <c:crossBetween val="between"/>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'★固定資本ストック（建物・構築物）図9-12'!$BN$4</c:f>
              <c:strCache>
                <c:ptCount val="1"/>
                <c:pt idx="0">
                  <c:v>民間住宅</c:v>
                </c:pt>
              </c:strCache>
            </c:strRef>
          </c:tx>
          <c:spPr>
            <a:ln w="28575" cap="rnd">
              <a:solidFill>
                <a:schemeClr val="accent1"/>
              </a:solidFill>
              <a:round/>
            </a:ln>
            <a:effectLst/>
          </c:spPr>
          <c:marker>
            <c:symbol val="none"/>
          </c:marker>
          <c:cat>
            <c:numRef>
              <c:f>'★固定資本ストック（建物・構築物）図9-12'!$BM$6:$BM$46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'★固定資本ストック（建物・構築物）図9-12'!$BN$6:$BN$46</c:f>
              <c:numCache>
                <c:formatCode>#,##0_);[Red]\(#,##0\)</c:formatCode>
                <c:ptCount val="41"/>
                <c:pt idx="0">
                  <c:v>18532.920977638012</c:v>
                </c:pt>
                <c:pt idx="1">
                  <c:v>17933.037749316081</c:v>
                </c:pt>
                <c:pt idx="2">
                  <c:v>18126.85146371759</c:v>
                </c:pt>
                <c:pt idx="3">
                  <c:v>17349.649305198531</c:v>
                </c:pt>
                <c:pt idx="4">
                  <c:v>17292.032107595718</c:v>
                </c:pt>
                <c:pt idx="5">
                  <c:v>18062.819627813074</c:v>
                </c:pt>
                <c:pt idx="6">
                  <c:v>19162.586455217861</c:v>
                </c:pt>
                <c:pt idx="7">
                  <c:v>23694.528415372319</c:v>
                </c:pt>
                <c:pt idx="8">
                  <c:v>27220.173991946831</c:v>
                </c:pt>
                <c:pt idx="9">
                  <c:v>28524.407415218462</c:v>
                </c:pt>
                <c:pt idx="10">
                  <c:v>30013.0616896641</c:v>
                </c:pt>
                <c:pt idx="11">
                  <c:v>29358.195847327555</c:v>
                </c:pt>
                <c:pt idx="12">
                  <c:v>28090.388405840607</c:v>
                </c:pt>
                <c:pt idx="13">
                  <c:v>28679.046017134558</c:v>
                </c:pt>
                <c:pt idx="14">
                  <c:v>30524.400000000001</c:v>
                </c:pt>
                <c:pt idx="15">
                  <c:v>29031.8</c:v>
                </c:pt>
                <c:pt idx="16">
                  <c:v>32313.1</c:v>
                </c:pt>
                <c:pt idx="17">
                  <c:v>29648.3</c:v>
                </c:pt>
                <c:pt idx="18">
                  <c:v>25188.1</c:v>
                </c:pt>
                <c:pt idx="19">
                  <c:v>24877</c:v>
                </c:pt>
                <c:pt idx="20">
                  <c:v>25163.8</c:v>
                </c:pt>
                <c:pt idx="21">
                  <c:v>24082.799999999999</c:v>
                </c:pt>
                <c:pt idx="22">
                  <c:v>23184.6</c:v>
                </c:pt>
                <c:pt idx="23">
                  <c:v>23019.200000000001</c:v>
                </c:pt>
                <c:pt idx="24">
                  <c:v>23727.8</c:v>
                </c:pt>
                <c:pt idx="25">
                  <c:v>23758</c:v>
                </c:pt>
                <c:pt idx="26">
                  <c:v>24180.799999999999</c:v>
                </c:pt>
                <c:pt idx="27">
                  <c:v>22294.1</c:v>
                </c:pt>
                <c:pt idx="28">
                  <c:v>21446.6</c:v>
                </c:pt>
                <c:pt idx="29">
                  <c:v>17262.400000000001</c:v>
                </c:pt>
                <c:pt idx="30">
                  <c:v>16867.8</c:v>
                </c:pt>
                <c:pt idx="31">
                  <c:v>18034.099999999999</c:v>
                </c:pt>
                <c:pt idx="32">
                  <c:v>18316.900000000001</c:v>
                </c:pt>
                <c:pt idx="33">
                  <c:v>20171.5</c:v>
                </c:pt>
                <c:pt idx="34">
                  <c:v>20204.5</c:v>
                </c:pt>
                <c:pt idx="35">
                  <c:v>20306.099999999999</c:v>
                </c:pt>
                <c:pt idx="36">
                  <c:v>20990.2</c:v>
                </c:pt>
                <c:pt idx="37">
                  <c:v>21455.7</c:v>
                </c:pt>
                <c:pt idx="38">
                  <c:v>20411.8</c:v>
                </c:pt>
                <c:pt idx="39">
                  <c:v>21511.4</c:v>
                </c:pt>
                <c:pt idx="40">
                  <c:v>20021.3</c:v>
                </c:pt>
              </c:numCache>
            </c:numRef>
          </c:val>
          <c:smooth val="0"/>
          <c:extLst>
            <c:ext xmlns:c16="http://schemas.microsoft.com/office/drawing/2014/chart" uri="{C3380CC4-5D6E-409C-BE32-E72D297353CC}">
              <c16:uniqueId val="{00000000-7285-4AC0-B425-08C724B838B5}"/>
            </c:ext>
          </c:extLst>
        </c:ser>
        <c:ser>
          <c:idx val="1"/>
          <c:order val="1"/>
          <c:tx>
            <c:strRef>
              <c:f>'★固定資本ストック（建物・構築物）図9-12'!$BO$4</c:f>
              <c:strCache>
                <c:ptCount val="1"/>
                <c:pt idx="0">
                  <c:v>公的住宅</c:v>
                </c:pt>
              </c:strCache>
            </c:strRef>
          </c:tx>
          <c:spPr>
            <a:ln w="28575" cap="rnd">
              <a:solidFill>
                <a:schemeClr val="accent2"/>
              </a:solidFill>
              <a:round/>
            </a:ln>
            <a:effectLst/>
          </c:spPr>
          <c:marker>
            <c:symbol val="none"/>
          </c:marker>
          <c:cat>
            <c:numRef>
              <c:f>'★固定資本ストック（建物・構築物）図9-12'!$BM$6:$BM$46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'★固定資本ストック（建物・構築物）図9-12'!$BO$6:$BO$46</c:f>
              <c:numCache>
                <c:formatCode>#,##0_);[Red]\(#,##0\)</c:formatCode>
                <c:ptCount val="41"/>
                <c:pt idx="0">
                  <c:v>885.53040096174254</c:v>
                </c:pt>
                <c:pt idx="1">
                  <c:v>885.62960893854768</c:v>
                </c:pt>
                <c:pt idx="2">
                  <c:v>872.53415600028302</c:v>
                </c:pt>
                <c:pt idx="3">
                  <c:v>905.07437239233445</c:v>
                </c:pt>
                <c:pt idx="4">
                  <c:v>865.58959762393044</c:v>
                </c:pt>
                <c:pt idx="5">
                  <c:v>826.10482285552666</c:v>
                </c:pt>
                <c:pt idx="6">
                  <c:v>845.74800226292359</c:v>
                </c:pt>
                <c:pt idx="7">
                  <c:v>781.85806520048095</c:v>
                </c:pt>
                <c:pt idx="8">
                  <c:v>810.92600240435615</c:v>
                </c:pt>
                <c:pt idx="9">
                  <c:v>940.09478820451181</c:v>
                </c:pt>
                <c:pt idx="10">
                  <c:v>1190.6941376140303</c:v>
                </c:pt>
                <c:pt idx="11">
                  <c:v>1157.1618414539284</c:v>
                </c:pt>
                <c:pt idx="12">
                  <c:v>1228.5915847535537</c:v>
                </c:pt>
                <c:pt idx="13">
                  <c:v>1400.1221766494593</c:v>
                </c:pt>
                <c:pt idx="14">
                  <c:v>1402.9</c:v>
                </c:pt>
                <c:pt idx="15">
                  <c:v>1528</c:v>
                </c:pt>
                <c:pt idx="16">
                  <c:v>1557.4</c:v>
                </c:pt>
                <c:pt idx="17">
                  <c:v>1593.8</c:v>
                </c:pt>
                <c:pt idx="18">
                  <c:v>1367.7</c:v>
                </c:pt>
                <c:pt idx="19">
                  <c:v>1277.2</c:v>
                </c:pt>
                <c:pt idx="20">
                  <c:v>1090.9000000000001</c:v>
                </c:pt>
                <c:pt idx="21">
                  <c:v>1039.4000000000001</c:v>
                </c:pt>
                <c:pt idx="22">
                  <c:v>940.8</c:v>
                </c:pt>
                <c:pt idx="23">
                  <c:v>826</c:v>
                </c:pt>
                <c:pt idx="24">
                  <c:v>775.2</c:v>
                </c:pt>
                <c:pt idx="25">
                  <c:v>678.3</c:v>
                </c:pt>
                <c:pt idx="26">
                  <c:v>609.20000000000005</c:v>
                </c:pt>
                <c:pt idx="27">
                  <c:v>560.20000000000005</c:v>
                </c:pt>
                <c:pt idx="28">
                  <c:v>518</c:v>
                </c:pt>
                <c:pt idx="29">
                  <c:v>535.1</c:v>
                </c:pt>
                <c:pt idx="30">
                  <c:v>500.8</c:v>
                </c:pt>
                <c:pt idx="31">
                  <c:v>469.1</c:v>
                </c:pt>
                <c:pt idx="32">
                  <c:v>449.6</c:v>
                </c:pt>
                <c:pt idx="33">
                  <c:v>588.6</c:v>
                </c:pt>
                <c:pt idx="34">
                  <c:v>753.9</c:v>
                </c:pt>
                <c:pt idx="35">
                  <c:v>799.2</c:v>
                </c:pt>
                <c:pt idx="36">
                  <c:v>803.9</c:v>
                </c:pt>
                <c:pt idx="37">
                  <c:v>673</c:v>
                </c:pt>
                <c:pt idx="38">
                  <c:v>638.4</c:v>
                </c:pt>
                <c:pt idx="39">
                  <c:v>579.79999999999995</c:v>
                </c:pt>
                <c:pt idx="40">
                  <c:v>564.20000000000005</c:v>
                </c:pt>
              </c:numCache>
            </c:numRef>
          </c:val>
          <c:smooth val="0"/>
          <c:extLst>
            <c:ext xmlns:c16="http://schemas.microsoft.com/office/drawing/2014/chart" uri="{C3380CC4-5D6E-409C-BE32-E72D297353CC}">
              <c16:uniqueId val="{00000001-7285-4AC0-B425-08C724B838B5}"/>
            </c:ext>
          </c:extLst>
        </c:ser>
        <c:ser>
          <c:idx val="2"/>
          <c:order val="2"/>
          <c:tx>
            <c:strRef>
              <c:f>'★固定資本ストック（建物・構築物）図9-12'!$BP$4</c:f>
              <c:strCache>
                <c:ptCount val="1"/>
                <c:pt idx="0">
                  <c:v>民間非住宅</c:v>
                </c:pt>
              </c:strCache>
            </c:strRef>
          </c:tx>
          <c:spPr>
            <a:ln w="28575" cap="rnd">
              <a:solidFill>
                <a:schemeClr val="accent3"/>
              </a:solidFill>
              <a:round/>
            </a:ln>
            <a:effectLst/>
          </c:spPr>
          <c:marker>
            <c:symbol val="none"/>
          </c:marker>
          <c:cat>
            <c:numRef>
              <c:f>'★固定資本ストック（建物・構築物）図9-12'!$BM$6:$BM$46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'★固定資本ストック（建物・構築物）図9-12'!$BP$6:$BP$46</c:f>
              <c:numCache>
                <c:formatCode>#,##0_);[Red]\(#,##0\)</c:formatCode>
                <c:ptCount val="41"/>
                <c:pt idx="0">
                  <c:v>12992.532461173214</c:v>
                </c:pt>
                <c:pt idx="1">
                  <c:v>12715.665149866456</c:v>
                </c:pt>
                <c:pt idx="2">
                  <c:v>12084.377707982985</c:v>
                </c:pt>
                <c:pt idx="3">
                  <c:v>12579.666727668415</c:v>
                </c:pt>
                <c:pt idx="4">
                  <c:v>13549.514061727175</c:v>
                </c:pt>
                <c:pt idx="5">
                  <c:v>14150.329864477198</c:v>
                </c:pt>
                <c:pt idx="6">
                  <c:v>15210.218394499949</c:v>
                </c:pt>
                <c:pt idx="7">
                  <c:v>16573.574478187755</c:v>
                </c:pt>
                <c:pt idx="8">
                  <c:v>20516.030116727667</c:v>
                </c:pt>
                <c:pt idx="9">
                  <c:v>23246.363913344547</c:v>
                </c:pt>
                <c:pt idx="10">
                  <c:v>27139.240696409139</c:v>
                </c:pt>
                <c:pt idx="11">
                  <c:v>27459.317791077261</c:v>
                </c:pt>
                <c:pt idx="12">
                  <c:v>25090.647383519638</c:v>
                </c:pt>
                <c:pt idx="13">
                  <c:v>17958.035918488476</c:v>
                </c:pt>
                <c:pt idx="14">
                  <c:v>15149.4</c:v>
                </c:pt>
                <c:pt idx="15">
                  <c:v>14312.3</c:v>
                </c:pt>
                <c:pt idx="16">
                  <c:v>15300.8</c:v>
                </c:pt>
                <c:pt idx="17">
                  <c:v>15312.8</c:v>
                </c:pt>
                <c:pt idx="18">
                  <c:v>15010.5</c:v>
                </c:pt>
                <c:pt idx="19">
                  <c:v>14186</c:v>
                </c:pt>
                <c:pt idx="20">
                  <c:v>14498.5</c:v>
                </c:pt>
                <c:pt idx="21">
                  <c:v>13524.4</c:v>
                </c:pt>
                <c:pt idx="22">
                  <c:v>12459.8</c:v>
                </c:pt>
                <c:pt idx="23">
                  <c:v>12348.1</c:v>
                </c:pt>
                <c:pt idx="24">
                  <c:v>12049.8</c:v>
                </c:pt>
                <c:pt idx="25">
                  <c:v>12695.3</c:v>
                </c:pt>
                <c:pt idx="26">
                  <c:v>13757.7</c:v>
                </c:pt>
                <c:pt idx="27">
                  <c:v>13354.7</c:v>
                </c:pt>
                <c:pt idx="28">
                  <c:v>12953.1</c:v>
                </c:pt>
                <c:pt idx="29">
                  <c:v>11338.5</c:v>
                </c:pt>
                <c:pt idx="30">
                  <c:v>10433.200000000001</c:v>
                </c:pt>
                <c:pt idx="31">
                  <c:v>11060.3</c:v>
                </c:pt>
                <c:pt idx="32">
                  <c:v>12007.3</c:v>
                </c:pt>
                <c:pt idx="33">
                  <c:v>12848.8</c:v>
                </c:pt>
                <c:pt idx="34">
                  <c:v>13007.2</c:v>
                </c:pt>
                <c:pt idx="35">
                  <c:v>13733.5</c:v>
                </c:pt>
                <c:pt idx="36">
                  <c:v>14394.1</c:v>
                </c:pt>
                <c:pt idx="37">
                  <c:v>15586.2</c:v>
                </c:pt>
                <c:pt idx="38">
                  <c:v>16256.8</c:v>
                </c:pt>
                <c:pt idx="39">
                  <c:v>15757.3</c:v>
                </c:pt>
                <c:pt idx="40">
                  <c:v>15025.3</c:v>
                </c:pt>
              </c:numCache>
            </c:numRef>
          </c:val>
          <c:smooth val="0"/>
          <c:extLst>
            <c:ext xmlns:c16="http://schemas.microsoft.com/office/drawing/2014/chart" uri="{C3380CC4-5D6E-409C-BE32-E72D297353CC}">
              <c16:uniqueId val="{00000002-7285-4AC0-B425-08C724B838B5}"/>
            </c:ext>
          </c:extLst>
        </c:ser>
        <c:ser>
          <c:idx val="3"/>
          <c:order val="3"/>
          <c:tx>
            <c:strRef>
              <c:f>'★固定資本ストック（建物・構築物）図9-12'!$BQ$4</c:f>
              <c:strCache>
                <c:ptCount val="1"/>
                <c:pt idx="0">
                  <c:v>公的非住宅</c:v>
                </c:pt>
              </c:strCache>
            </c:strRef>
          </c:tx>
          <c:spPr>
            <a:ln w="28575" cap="rnd">
              <a:solidFill>
                <a:schemeClr val="accent4"/>
              </a:solidFill>
              <a:round/>
            </a:ln>
            <a:effectLst/>
          </c:spPr>
          <c:marker>
            <c:symbol val="none"/>
          </c:marker>
          <c:cat>
            <c:numRef>
              <c:f>'★固定資本ストック（建物・構築物）図9-12'!$BM$6:$BM$46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'★固定資本ストック（建物・構築物）図9-12'!$BQ$6:$BQ$46</c:f>
              <c:numCache>
                <c:formatCode>#,##0_);[Red]\(#,##0\)</c:formatCode>
                <c:ptCount val="41"/>
                <c:pt idx="0">
                  <c:v>3237.8996475752765</c:v>
                </c:pt>
                <c:pt idx="1">
                  <c:v>3546.7407390614367</c:v>
                </c:pt>
                <c:pt idx="2">
                  <c:v>3227.3784464458686</c:v>
                </c:pt>
                <c:pt idx="3">
                  <c:v>2984.6236495538014</c:v>
                </c:pt>
                <c:pt idx="4">
                  <c:v>3162.2785144576574</c:v>
                </c:pt>
                <c:pt idx="5">
                  <c:v>2847.9576307165967</c:v>
                </c:pt>
                <c:pt idx="6">
                  <c:v>2774.3092228107412</c:v>
                </c:pt>
                <c:pt idx="7">
                  <c:v>2871.6303332577645</c:v>
                </c:pt>
                <c:pt idx="8">
                  <c:v>2519.3892871127964</c:v>
                </c:pt>
                <c:pt idx="9">
                  <c:v>2990.8706127243872</c:v>
                </c:pt>
                <c:pt idx="10">
                  <c:v>3049.8331773871109</c:v>
                </c:pt>
                <c:pt idx="11">
                  <c:v>4124.420438572989</c:v>
                </c:pt>
                <c:pt idx="12">
                  <c:v>5105.8512314255677</c:v>
                </c:pt>
                <c:pt idx="13">
                  <c:v>5805.9494899115853</c:v>
                </c:pt>
                <c:pt idx="14">
                  <c:v>5317.7</c:v>
                </c:pt>
                <c:pt idx="15">
                  <c:v>5133.5</c:v>
                </c:pt>
                <c:pt idx="16">
                  <c:v>4671.3999999999996</c:v>
                </c:pt>
                <c:pt idx="17">
                  <c:v>4337.6000000000004</c:v>
                </c:pt>
                <c:pt idx="18">
                  <c:v>3870.5</c:v>
                </c:pt>
                <c:pt idx="19">
                  <c:v>3890.6</c:v>
                </c:pt>
                <c:pt idx="20">
                  <c:v>3413.8</c:v>
                </c:pt>
                <c:pt idx="21">
                  <c:v>3123.2</c:v>
                </c:pt>
                <c:pt idx="22">
                  <c:v>3065.5</c:v>
                </c:pt>
                <c:pt idx="23">
                  <c:v>2944.7</c:v>
                </c:pt>
                <c:pt idx="24">
                  <c:v>2670</c:v>
                </c:pt>
                <c:pt idx="25">
                  <c:v>2593</c:v>
                </c:pt>
                <c:pt idx="26">
                  <c:v>2414.6</c:v>
                </c:pt>
                <c:pt idx="27">
                  <c:v>2265.1</c:v>
                </c:pt>
                <c:pt idx="28">
                  <c:v>2272.1999999999998</c:v>
                </c:pt>
                <c:pt idx="29">
                  <c:v>2913.6</c:v>
                </c:pt>
                <c:pt idx="30">
                  <c:v>2936.5</c:v>
                </c:pt>
                <c:pt idx="31">
                  <c:v>2869.2</c:v>
                </c:pt>
                <c:pt idx="32">
                  <c:v>2710.4</c:v>
                </c:pt>
                <c:pt idx="33">
                  <c:v>3424.4</c:v>
                </c:pt>
                <c:pt idx="34">
                  <c:v>3685.9</c:v>
                </c:pt>
                <c:pt idx="35">
                  <c:v>3845.7</c:v>
                </c:pt>
                <c:pt idx="36">
                  <c:v>4070.2</c:v>
                </c:pt>
                <c:pt idx="37">
                  <c:v>3803.7</c:v>
                </c:pt>
                <c:pt idx="38">
                  <c:v>3896.1</c:v>
                </c:pt>
                <c:pt idx="39">
                  <c:v>3901.6</c:v>
                </c:pt>
                <c:pt idx="40">
                  <c:v>4089.3</c:v>
                </c:pt>
              </c:numCache>
            </c:numRef>
          </c:val>
          <c:smooth val="0"/>
          <c:extLst>
            <c:ext xmlns:c16="http://schemas.microsoft.com/office/drawing/2014/chart" uri="{C3380CC4-5D6E-409C-BE32-E72D297353CC}">
              <c16:uniqueId val="{00000003-7285-4AC0-B425-08C724B838B5}"/>
            </c:ext>
          </c:extLst>
        </c:ser>
        <c:ser>
          <c:idx val="4"/>
          <c:order val="4"/>
          <c:tx>
            <c:strRef>
              <c:f>'★固定資本ストック（建物・構築物）図9-12'!$BR$4</c:f>
              <c:strCache>
                <c:ptCount val="1"/>
                <c:pt idx="0">
                  <c:v>民間土木</c:v>
                </c:pt>
              </c:strCache>
            </c:strRef>
          </c:tx>
          <c:spPr>
            <a:ln w="28575" cap="rnd">
              <a:solidFill>
                <a:schemeClr val="accent5"/>
              </a:solidFill>
              <a:round/>
            </a:ln>
            <a:effectLst/>
          </c:spPr>
          <c:marker>
            <c:symbol val="none"/>
          </c:marker>
          <c:cat>
            <c:numRef>
              <c:f>'★固定資本ストック（建物・構築物）図9-12'!$BM$6:$BM$46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'★固定資本ストック（建物・構築物）図9-12'!$BR$6:$BR$46</c:f>
              <c:numCache>
                <c:formatCode>#,##0_);[Red]\(#,##0\)</c:formatCode>
                <c:ptCount val="41"/>
                <c:pt idx="0">
                  <c:v>6439.5705119909826</c:v>
                </c:pt>
                <c:pt idx="1">
                  <c:v>6250.7262006637293</c:v>
                </c:pt>
                <c:pt idx="2">
                  <c:v>5625.4485379140488</c:v>
                </c:pt>
                <c:pt idx="3">
                  <c:v>3856.1352236438393</c:v>
                </c:pt>
                <c:pt idx="4">
                  <c:v>3887.4042328484061</c:v>
                </c:pt>
                <c:pt idx="5">
                  <c:v>4648.8302373150209</c:v>
                </c:pt>
                <c:pt idx="6">
                  <c:v>5312.6559245267263</c:v>
                </c:pt>
                <c:pt idx="7">
                  <c:v>6061.5743253115143</c:v>
                </c:pt>
                <c:pt idx="8">
                  <c:v>6117.8585418797338</c:v>
                </c:pt>
                <c:pt idx="9">
                  <c:v>8382.0423723153344</c:v>
                </c:pt>
                <c:pt idx="10">
                  <c:v>9468.1534658011715</c:v>
                </c:pt>
                <c:pt idx="11">
                  <c:v>11940.558141136687</c:v>
                </c:pt>
                <c:pt idx="12">
                  <c:v>11485.875990899793</c:v>
                </c:pt>
                <c:pt idx="13">
                  <c:v>11460.040612802903</c:v>
                </c:pt>
                <c:pt idx="14">
                  <c:v>9823.7999999999993</c:v>
                </c:pt>
                <c:pt idx="15">
                  <c:v>10821</c:v>
                </c:pt>
                <c:pt idx="16">
                  <c:v>8898.7999999999993</c:v>
                </c:pt>
                <c:pt idx="17">
                  <c:v>9309.7999999999993</c:v>
                </c:pt>
                <c:pt idx="18">
                  <c:v>9876.5</c:v>
                </c:pt>
                <c:pt idx="19">
                  <c:v>6941.1</c:v>
                </c:pt>
                <c:pt idx="20">
                  <c:v>8937.1</c:v>
                </c:pt>
                <c:pt idx="21">
                  <c:v>7608.2</c:v>
                </c:pt>
                <c:pt idx="22">
                  <c:v>6567</c:v>
                </c:pt>
                <c:pt idx="23">
                  <c:v>6296</c:v>
                </c:pt>
                <c:pt idx="24">
                  <c:v>6682.5</c:v>
                </c:pt>
                <c:pt idx="25">
                  <c:v>7446.9</c:v>
                </c:pt>
                <c:pt idx="26">
                  <c:v>6327.7</c:v>
                </c:pt>
                <c:pt idx="27">
                  <c:v>5838.4</c:v>
                </c:pt>
                <c:pt idx="28">
                  <c:v>5877.8</c:v>
                </c:pt>
                <c:pt idx="29">
                  <c:v>5473.4</c:v>
                </c:pt>
                <c:pt idx="30">
                  <c:v>5582</c:v>
                </c:pt>
                <c:pt idx="31">
                  <c:v>6715.6</c:v>
                </c:pt>
                <c:pt idx="32">
                  <c:v>4813.3999999999996</c:v>
                </c:pt>
                <c:pt idx="33">
                  <c:v>5485.5</c:v>
                </c:pt>
                <c:pt idx="34">
                  <c:v>5466.7</c:v>
                </c:pt>
                <c:pt idx="35">
                  <c:v>6435.7</c:v>
                </c:pt>
                <c:pt idx="36">
                  <c:v>6604.7</c:v>
                </c:pt>
                <c:pt idx="37">
                  <c:v>6326.3</c:v>
                </c:pt>
                <c:pt idx="38">
                  <c:v>6333.8</c:v>
                </c:pt>
                <c:pt idx="39">
                  <c:v>7234.1</c:v>
                </c:pt>
                <c:pt idx="40">
                  <c:v>7292.9</c:v>
                </c:pt>
              </c:numCache>
            </c:numRef>
          </c:val>
          <c:smooth val="0"/>
          <c:extLst>
            <c:ext xmlns:c16="http://schemas.microsoft.com/office/drawing/2014/chart" uri="{C3380CC4-5D6E-409C-BE32-E72D297353CC}">
              <c16:uniqueId val="{00000004-7285-4AC0-B425-08C724B838B5}"/>
            </c:ext>
          </c:extLst>
        </c:ser>
        <c:ser>
          <c:idx val="5"/>
          <c:order val="5"/>
          <c:tx>
            <c:strRef>
              <c:f>'★固定資本ストック（建物・構築物）図9-12'!$BS$4</c:f>
              <c:strCache>
                <c:ptCount val="1"/>
                <c:pt idx="0">
                  <c:v>公的土木</c:v>
                </c:pt>
              </c:strCache>
            </c:strRef>
          </c:tx>
          <c:spPr>
            <a:ln w="28575" cap="rnd">
              <a:solidFill>
                <a:schemeClr val="accent6"/>
              </a:solidFill>
              <a:round/>
            </a:ln>
            <a:effectLst/>
          </c:spPr>
          <c:marker>
            <c:symbol val="none"/>
          </c:marker>
          <c:cat>
            <c:numRef>
              <c:f>'★固定資本ストック（建物・構築物）図9-12'!$BM$6:$BM$46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'★固定資本ストック（建物・構築物）図9-12'!$BS$6:$BS$46</c:f>
              <c:numCache>
                <c:formatCode>#,##0_);[Red]\(#,##0\)</c:formatCode>
                <c:ptCount val="41"/>
                <c:pt idx="0">
                  <c:v>14377.4020322822</c:v>
                </c:pt>
                <c:pt idx="1">
                  <c:v>14780.03708888544</c:v>
                </c:pt>
                <c:pt idx="2">
                  <c:v>15279.81206559483</c:v>
                </c:pt>
                <c:pt idx="3">
                  <c:v>15520.481173776185</c:v>
                </c:pt>
                <c:pt idx="4">
                  <c:v>15145.699502427869</c:v>
                </c:pt>
                <c:pt idx="5">
                  <c:v>15013.76763134493</c:v>
                </c:pt>
                <c:pt idx="6">
                  <c:v>16038.692910832255</c:v>
                </c:pt>
                <c:pt idx="7">
                  <c:v>17487.168066455877</c:v>
                </c:pt>
                <c:pt idx="8">
                  <c:v>19262.846157049295</c:v>
                </c:pt>
                <c:pt idx="9">
                  <c:v>19332.43005900288</c:v>
                </c:pt>
                <c:pt idx="10">
                  <c:v>21479.519660451133</c:v>
                </c:pt>
                <c:pt idx="11">
                  <c:v>21587.662163344816</c:v>
                </c:pt>
                <c:pt idx="12">
                  <c:v>25149.624437849361</c:v>
                </c:pt>
                <c:pt idx="13">
                  <c:v>26741.232292078374</c:v>
                </c:pt>
                <c:pt idx="14">
                  <c:v>28088.9</c:v>
                </c:pt>
                <c:pt idx="15">
                  <c:v>28372</c:v>
                </c:pt>
                <c:pt idx="16">
                  <c:v>30465.3</c:v>
                </c:pt>
                <c:pt idx="17">
                  <c:v>27928.9</c:v>
                </c:pt>
                <c:pt idx="18">
                  <c:v>27454.400000000001</c:v>
                </c:pt>
                <c:pt idx="19">
                  <c:v>28399.4</c:v>
                </c:pt>
                <c:pt idx="20">
                  <c:v>25016.1</c:v>
                </c:pt>
                <c:pt idx="21">
                  <c:v>24589.200000000001</c:v>
                </c:pt>
                <c:pt idx="22">
                  <c:v>22757.7</c:v>
                </c:pt>
                <c:pt idx="23">
                  <c:v>20861.2</c:v>
                </c:pt>
                <c:pt idx="24">
                  <c:v>18684.2</c:v>
                </c:pt>
                <c:pt idx="25">
                  <c:v>16949.900000000001</c:v>
                </c:pt>
                <c:pt idx="26">
                  <c:v>16434.5</c:v>
                </c:pt>
                <c:pt idx="27">
                  <c:v>15557.3</c:v>
                </c:pt>
                <c:pt idx="28">
                  <c:v>14751.2</c:v>
                </c:pt>
                <c:pt idx="29">
                  <c:v>15060.6</c:v>
                </c:pt>
                <c:pt idx="30">
                  <c:v>14334.6</c:v>
                </c:pt>
                <c:pt idx="31">
                  <c:v>13606.7</c:v>
                </c:pt>
                <c:pt idx="32">
                  <c:v>14384.2</c:v>
                </c:pt>
                <c:pt idx="33">
                  <c:v>15008.2</c:v>
                </c:pt>
                <c:pt idx="34">
                  <c:v>15181.2</c:v>
                </c:pt>
                <c:pt idx="35">
                  <c:v>14036.3</c:v>
                </c:pt>
                <c:pt idx="36">
                  <c:v>14600.8</c:v>
                </c:pt>
                <c:pt idx="37">
                  <c:v>15256.2</c:v>
                </c:pt>
                <c:pt idx="38">
                  <c:v>15458.7</c:v>
                </c:pt>
                <c:pt idx="39">
                  <c:v>16389.400000000001</c:v>
                </c:pt>
                <c:pt idx="40">
                  <c:v>17562.5</c:v>
                </c:pt>
              </c:numCache>
            </c:numRef>
          </c:val>
          <c:smooth val="0"/>
          <c:extLst>
            <c:ext xmlns:c16="http://schemas.microsoft.com/office/drawing/2014/chart" uri="{C3380CC4-5D6E-409C-BE32-E72D297353CC}">
              <c16:uniqueId val="{00000005-7285-4AC0-B425-08C724B838B5}"/>
            </c:ext>
          </c:extLst>
        </c:ser>
        <c:dLbls>
          <c:showLegendKey val="0"/>
          <c:showVal val="0"/>
          <c:showCatName val="0"/>
          <c:showSerName val="0"/>
          <c:showPercent val="0"/>
          <c:showBubbleSize val="0"/>
        </c:dLbls>
        <c:smooth val="0"/>
        <c:axId val="611510416"/>
        <c:axId val="611509168"/>
      </c:lineChart>
      <c:catAx>
        <c:axId val="61151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11509168"/>
        <c:crosses val="autoZero"/>
        <c:auto val="1"/>
        <c:lblAlgn val="ctr"/>
        <c:lblOffset val="100"/>
        <c:noMultiLvlLbl val="0"/>
      </c:catAx>
      <c:valAx>
        <c:axId val="61150916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11510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'★固定資本ストック（建物・構築物）図9-12'!$EG$4</c:f>
              <c:strCache>
                <c:ptCount val="1"/>
                <c:pt idx="0">
                  <c:v>民間住宅</c:v>
                </c:pt>
              </c:strCache>
            </c:strRef>
          </c:tx>
          <c:spPr>
            <a:ln w="28575" cap="rnd">
              <a:solidFill>
                <a:schemeClr val="accent1"/>
              </a:solidFill>
              <a:round/>
            </a:ln>
            <a:effectLst/>
          </c:spPr>
          <c:marker>
            <c:symbol val="none"/>
          </c:marker>
          <c:cat>
            <c:numRef>
              <c:f>'★固定資本ストック（建物・構築物）図9-12'!$EF$6:$EF$46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'★固定資本ストック（建物・構築物）図9-12'!$EG$6:$EG$46</c:f>
              <c:numCache>
                <c:formatCode>0.0%</c:formatCode>
                <c:ptCount val="41"/>
                <c:pt idx="0">
                  <c:v>7.23727651748486E-2</c:v>
                </c:pt>
                <c:pt idx="1">
                  <c:v>6.5302255802799761E-2</c:v>
                </c:pt>
                <c:pt idx="2">
                  <c:v>6.280677399742074E-2</c:v>
                </c:pt>
                <c:pt idx="3">
                  <c:v>5.7478841909444418E-2</c:v>
                </c:pt>
                <c:pt idx="4">
                  <c:v>5.4094467144822619E-2</c:v>
                </c:pt>
                <c:pt idx="5">
                  <c:v>5.3064245093316725E-2</c:v>
                </c:pt>
                <c:pt idx="6">
                  <c:v>5.3635231842314286E-2</c:v>
                </c:pt>
                <c:pt idx="7">
                  <c:v>6.3477745283940484E-2</c:v>
                </c:pt>
                <c:pt idx="8">
                  <c:v>6.7954126993385697E-2</c:v>
                </c:pt>
                <c:pt idx="9">
                  <c:v>6.6491374625474955E-2</c:v>
                </c:pt>
                <c:pt idx="10">
                  <c:v>6.5062606755771094E-2</c:v>
                </c:pt>
                <c:pt idx="11">
                  <c:v>5.9741690535971559E-2</c:v>
                </c:pt>
                <c:pt idx="12">
                  <c:v>5.5717077009973408E-2</c:v>
                </c:pt>
                <c:pt idx="13">
                  <c:v>5.6846721664860697E-2</c:v>
                </c:pt>
                <c:pt idx="14">
                  <c:v>5.974444727813432E-2</c:v>
                </c:pt>
                <c:pt idx="15">
                  <c:v>5.5657685240125113E-2</c:v>
                </c:pt>
                <c:pt idx="16">
                  <c:v>6.0334926612618779E-2</c:v>
                </c:pt>
                <c:pt idx="17">
                  <c:v>5.4546133588840966E-2</c:v>
                </c:pt>
                <c:pt idx="18">
                  <c:v>4.694915576478096E-2</c:v>
                </c:pt>
                <c:pt idx="19">
                  <c:v>4.7109293674947199E-2</c:v>
                </c:pt>
                <c:pt idx="20">
                  <c:v>4.6998446259808001E-2</c:v>
                </c:pt>
                <c:pt idx="21">
                  <c:v>4.5297890225201018E-2</c:v>
                </c:pt>
                <c:pt idx="22">
                  <c:v>4.4205036353239892E-2</c:v>
                </c:pt>
                <c:pt idx="23">
                  <c:v>4.3932403582962798E-2</c:v>
                </c:pt>
                <c:pt idx="24">
                  <c:v>4.4820097585780448E-2</c:v>
                </c:pt>
                <c:pt idx="25">
                  <c:v>4.4614655420423366E-2</c:v>
                </c:pt>
                <c:pt idx="26">
                  <c:v>4.5183382781776714E-2</c:v>
                </c:pt>
                <c:pt idx="27">
                  <c:v>4.1340360705731348E-2</c:v>
                </c:pt>
                <c:pt idx="28">
                  <c:v>4.06321200370275E-2</c:v>
                </c:pt>
                <c:pt idx="29">
                  <c:v>3.4877875711401662E-2</c:v>
                </c:pt>
                <c:pt idx="30">
                  <c:v>3.3366526180611027E-2</c:v>
                </c:pt>
                <c:pt idx="31">
                  <c:v>3.6253170928712469E-2</c:v>
                </c:pt>
                <c:pt idx="32">
                  <c:v>3.6599052859215463E-2</c:v>
                </c:pt>
                <c:pt idx="33">
                  <c:v>3.9652990383734557E-2</c:v>
                </c:pt>
                <c:pt idx="34">
                  <c:v>3.8943854313035001E-2</c:v>
                </c:pt>
                <c:pt idx="35">
                  <c:v>3.7741414409506638E-2</c:v>
                </c:pt>
                <c:pt idx="36">
                  <c:v>3.8559083379044123E-2</c:v>
                </c:pt>
                <c:pt idx="37">
                  <c:v>3.8793613139675956E-2</c:v>
                </c:pt>
                <c:pt idx="38">
                  <c:v>3.6692481562800083E-2</c:v>
                </c:pt>
                <c:pt idx="39">
                  <c:v>3.851699006179507E-2</c:v>
                </c:pt>
                <c:pt idx="40">
                  <c:v>3.7203566107484938E-2</c:v>
                </c:pt>
              </c:numCache>
            </c:numRef>
          </c:val>
          <c:smooth val="0"/>
          <c:extLst>
            <c:ext xmlns:c16="http://schemas.microsoft.com/office/drawing/2014/chart" uri="{C3380CC4-5D6E-409C-BE32-E72D297353CC}">
              <c16:uniqueId val="{00000000-94B8-4CCA-96C1-4E9B0E5981CD}"/>
            </c:ext>
          </c:extLst>
        </c:ser>
        <c:ser>
          <c:idx val="1"/>
          <c:order val="1"/>
          <c:tx>
            <c:strRef>
              <c:f>'★固定資本ストック（建物・構築物）図9-12'!$EH$4</c:f>
              <c:strCache>
                <c:ptCount val="1"/>
                <c:pt idx="0">
                  <c:v>公的住宅</c:v>
                </c:pt>
              </c:strCache>
            </c:strRef>
          </c:tx>
          <c:spPr>
            <a:ln w="28575" cap="rnd">
              <a:solidFill>
                <a:schemeClr val="accent2"/>
              </a:solidFill>
              <a:round/>
            </a:ln>
            <a:effectLst/>
          </c:spPr>
          <c:marker>
            <c:symbol val="none"/>
          </c:marker>
          <c:cat>
            <c:numRef>
              <c:f>'★固定資本ストック（建物・構築物）図9-12'!$EF$6:$EF$46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'★固定資本ストック（建物・構築物）図9-12'!$EH$6:$EH$46</c:f>
              <c:numCache>
                <c:formatCode>0.0%</c:formatCode>
                <c:ptCount val="41"/>
                <c:pt idx="0">
                  <c:v>3.4580778627029819E-3</c:v>
                </c:pt>
                <c:pt idx="1">
                  <c:v>3.2249757167685761E-3</c:v>
                </c:pt>
                <c:pt idx="2">
                  <c:v>3.0231976937985573E-3</c:v>
                </c:pt>
                <c:pt idx="3">
                  <c:v>2.9984829002532585E-3</c:v>
                </c:pt>
                <c:pt idx="4">
                  <c:v>2.7078140821286205E-3</c:v>
                </c:pt>
                <c:pt idx="5">
                  <c:v>2.4268984408877758E-3</c:v>
                </c:pt>
                <c:pt idx="6">
                  <c:v>2.367211247164094E-3</c:v>
                </c:pt>
                <c:pt idx="7">
                  <c:v>2.0946011771558106E-3</c:v>
                </c:pt>
                <c:pt idx="8">
                  <c:v>2.0244458601156412E-3</c:v>
                </c:pt>
                <c:pt idx="9">
                  <c:v>2.1913932807106481E-3</c:v>
                </c:pt>
                <c:pt idx="10">
                  <c:v>2.5811983210184334E-3</c:v>
                </c:pt>
                <c:pt idx="11">
                  <c:v>2.3547361354110076E-3</c:v>
                </c:pt>
                <c:pt idx="12">
                  <c:v>2.436902293856714E-3</c:v>
                </c:pt>
                <c:pt idx="13">
                  <c:v>2.7752790530493083E-3</c:v>
                </c:pt>
                <c:pt idx="14">
                  <c:v>2.7458520097526778E-3</c:v>
                </c:pt>
                <c:pt idx="15">
                  <c:v>2.9293720350412711E-3</c:v>
                </c:pt>
                <c:pt idx="16">
                  <c:v>2.9079727635693419E-3</c:v>
                </c:pt>
                <c:pt idx="17">
                  <c:v>2.9322297640638666E-3</c:v>
                </c:pt>
                <c:pt idx="18">
                  <c:v>2.549313379710694E-3</c:v>
                </c:pt>
                <c:pt idx="19">
                  <c:v>2.4186192017382549E-3</c:v>
                </c:pt>
                <c:pt idx="20">
                  <c:v>2.0374746669749623E-3</c:v>
                </c:pt>
                <c:pt idx="21">
                  <c:v>1.9550312712838182E-3</c:v>
                </c:pt>
                <c:pt idx="22">
                  <c:v>1.7937811392531289E-3</c:v>
                </c:pt>
                <c:pt idx="23">
                  <c:v>1.5764303433450021E-3</c:v>
                </c:pt>
                <c:pt idx="24">
                  <c:v>1.4642967172892982E-3</c:v>
                </c:pt>
                <c:pt idx="25">
                  <c:v>1.2737655009543382E-3</c:v>
                </c:pt>
                <c:pt idx="26">
                  <c:v>1.1383294510793017E-3</c:v>
                </c:pt>
                <c:pt idx="27">
                  <c:v>1.0387891893976749E-3</c:v>
                </c:pt>
                <c:pt idx="28">
                  <c:v>9.8138810716758115E-4</c:v>
                </c:pt>
                <c:pt idx="29">
                  <c:v>1.0811446434546199E-3</c:v>
                </c:pt>
                <c:pt idx="30">
                  <c:v>9.9064230731037844E-4</c:v>
                </c:pt>
                <c:pt idx="31">
                  <c:v>9.4301143293311135E-4</c:v>
                </c:pt>
                <c:pt idx="32">
                  <c:v>8.9834710925447382E-4</c:v>
                </c:pt>
                <c:pt idx="33">
                  <c:v>1.1570656688826395E-3</c:v>
                </c:pt>
                <c:pt idx="34">
                  <c:v>1.4531303306984625E-3</c:v>
                </c:pt>
                <c:pt idx="35">
                  <c:v>1.485412678755532E-3</c:v>
                </c:pt>
                <c:pt idx="36">
                  <c:v>1.4767675928963786E-3</c:v>
                </c:pt>
                <c:pt idx="37">
                  <c:v>1.2168375603220552E-3</c:v>
                </c:pt>
                <c:pt idx="38">
                  <c:v>1.147595029820573E-3</c:v>
                </c:pt>
                <c:pt idx="39">
                  <c:v>1.0381542269600667E-3</c:v>
                </c:pt>
                <c:pt idx="40">
                  <c:v>1.0483960580902839E-3</c:v>
                </c:pt>
              </c:numCache>
            </c:numRef>
          </c:val>
          <c:smooth val="0"/>
          <c:extLst>
            <c:ext xmlns:c16="http://schemas.microsoft.com/office/drawing/2014/chart" uri="{C3380CC4-5D6E-409C-BE32-E72D297353CC}">
              <c16:uniqueId val="{00000001-94B8-4CCA-96C1-4E9B0E5981CD}"/>
            </c:ext>
          </c:extLst>
        </c:ser>
        <c:ser>
          <c:idx val="2"/>
          <c:order val="2"/>
          <c:tx>
            <c:strRef>
              <c:f>'★固定資本ストック（建物・構築物）図9-12'!$EI$4</c:f>
              <c:strCache>
                <c:ptCount val="1"/>
                <c:pt idx="0">
                  <c:v>民間非住宅</c:v>
                </c:pt>
              </c:strCache>
            </c:strRef>
          </c:tx>
          <c:spPr>
            <a:ln w="28575" cap="rnd">
              <a:solidFill>
                <a:schemeClr val="accent3"/>
              </a:solidFill>
              <a:round/>
            </a:ln>
            <a:effectLst/>
          </c:spPr>
          <c:marker>
            <c:symbol val="none"/>
          </c:marker>
          <c:cat>
            <c:numRef>
              <c:f>'★固定資本ストック（建物・構築物）図9-12'!$EF$6:$EF$46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'★固定資本ストック（建物・構築物）図9-12'!$EI$6:$EI$46</c:f>
              <c:numCache>
                <c:formatCode>0.0%</c:formatCode>
                <c:ptCount val="41"/>
                <c:pt idx="0">
                  <c:v>5.0737037187697918E-2</c:v>
                </c:pt>
                <c:pt idx="1">
                  <c:v>4.6303455662496072E-2</c:v>
                </c:pt>
                <c:pt idx="2">
                  <c:v>4.1870524570906321E-2</c:v>
                </c:pt>
                <c:pt idx="3">
                  <c:v>4.1676039808856348E-2</c:v>
                </c:pt>
                <c:pt idx="4">
                  <c:v>4.2386790556469912E-2</c:v>
                </c:pt>
                <c:pt idx="5">
                  <c:v>4.1570285678084275E-2</c:v>
                </c:pt>
                <c:pt idx="6">
                  <c:v>4.2572728471061874E-2</c:v>
                </c:pt>
                <c:pt idx="7">
                  <c:v>4.4400678533373039E-2</c:v>
                </c:pt>
                <c:pt idx="8">
                  <c:v>5.1217487307931998E-2</c:v>
                </c:pt>
                <c:pt idx="9">
                  <c:v>5.4188073713238825E-2</c:v>
                </c:pt>
                <c:pt idx="10">
                  <c:v>5.8832709682823732E-2</c:v>
                </c:pt>
                <c:pt idx="11">
                  <c:v>5.5877618445438829E-2</c:v>
                </c:pt>
                <c:pt idx="12">
                  <c:v>4.9767112946255361E-2</c:v>
                </c:pt>
                <c:pt idx="13">
                  <c:v>3.5595865667775908E-2</c:v>
                </c:pt>
                <c:pt idx="14">
                  <c:v>2.9651443749766353E-2</c:v>
                </c:pt>
                <c:pt idx="15">
                  <c:v>2.7438515299163076E-2</c:v>
                </c:pt>
                <c:pt idx="16">
                  <c:v>2.8569609387968268E-2</c:v>
                </c:pt>
                <c:pt idx="17">
                  <c:v>2.8172071734946149E-2</c:v>
                </c:pt>
                <c:pt idx="18">
                  <c:v>2.7978700362760376E-2</c:v>
                </c:pt>
                <c:pt idx="19">
                  <c:v>2.6863867832648668E-2</c:v>
                </c:pt>
                <c:pt idx="20">
                  <c:v>2.7078858244693818E-2</c:v>
                </c:pt>
                <c:pt idx="21">
                  <c:v>2.5438353786175552E-2</c:v>
                </c:pt>
                <c:pt idx="22">
                  <c:v>2.3756541495393427E-2</c:v>
                </c:pt>
                <c:pt idx="23">
                  <c:v>2.3566488526220848E-2</c:v>
                </c:pt>
                <c:pt idx="24">
                  <c:v>2.2761200443746882E-2</c:v>
                </c:pt>
                <c:pt idx="25">
                  <c:v>2.384024054882148E-2</c:v>
                </c:pt>
                <c:pt idx="26">
                  <c:v>2.5707148865912195E-2</c:v>
                </c:pt>
                <c:pt idx="27">
                  <c:v>2.4763866454211227E-2</c:v>
                </c:pt>
                <c:pt idx="28">
                  <c:v>2.4540575851259454E-2</c:v>
                </c:pt>
                <c:pt idx="29">
                  <c:v>2.2908911492824157E-2</c:v>
                </c:pt>
                <c:pt idx="30">
                  <c:v>2.0638117653016458E-2</c:v>
                </c:pt>
                <c:pt idx="31">
                  <c:v>2.2234042531805775E-2</c:v>
                </c:pt>
                <c:pt idx="32">
                  <c:v>2.399182216403746E-2</c:v>
                </c:pt>
                <c:pt idx="33">
                  <c:v>2.5258079113726226E-2</c:v>
                </c:pt>
                <c:pt idx="34">
                  <c:v>2.507117235370877E-2</c:v>
                </c:pt>
                <c:pt idx="35">
                  <c:v>2.5525419198810181E-2</c:v>
                </c:pt>
                <c:pt idx="36">
                  <c:v>2.6442020660417672E-2</c:v>
                </c:pt>
                <c:pt idx="37">
                  <c:v>2.8181090018858272E-2</c:v>
                </c:pt>
                <c:pt idx="38">
                  <c:v>2.9223406768150207E-2</c:v>
                </c:pt>
                <c:pt idx="39">
                  <c:v>2.8214052432697239E-2</c:v>
                </c:pt>
                <c:pt idx="40">
                  <c:v>2.7920002289301565E-2</c:v>
                </c:pt>
              </c:numCache>
            </c:numRef>
          </c:val>
          <c:smooth val="0"/>
          <c:extLst>
            <c:ext xmlns:c16="http://schemas.microsoft.com/office/drawing/2014/chart" uri="{C3380CC4-5D6E-409C-BE32-E72D297353CC}">
              <c16:uniqueId val="{00000002-94B8-4CCA-96C1-4E9B0E5981CD}"/>
            </c:ext>
          </c:extLst>
        </c:ser>
        <c:ser>
          <c:idx val="3"/>
          <c:order val="3"/>
          <c:tx>
            <c:strRef>
              <c:f>'★固定資本ストック（建物・構築物）図9-12'!$EJ$4</c:f>
              <c:strCache>
                <c:ptCount val="1"/>
                <c:pt idx="0">
                  <c:v>公的非住宅</c:v>
                </c:pt>
              </c:strCache>
            </c:strRef>
          </c:tx>
          <c:spPr>
            <a:ln w="28575" cap="rnd">
              <a:solidFill>
                <a:schemeClr val="accent4"/>
              </a:solidFill>
              <a:round/>
            </a:ln>
            <a:effectLst/>
          </c:spPr>
          <c:marker>
            <c:symbol val="none"/>
          </c:marker>
          <c:cat>
            <c:numRef>
              <c:f>'★固定資本ストック（建物・構築物）図9-12'!$EF$6:$EF$46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'★固定資本ストック（建物・構築物）図9-12'!$EJ$6:$EJ$46</c:f>
              <c:numCache>
                <c:formatCode>0.0%</c:formatCode>
                <c:ptCount val="41"/>
                <c:pt idx="0">
                  <c:v>1.2644296661947793E-2</c:v>
                </c:pt>
                <c:pt idx="1">
                  <c:v>1.2915278172390732E-2</c:v>
                </c:pt>
                <c:pt idx="2">
                  <c:v>1.1182373789281386E-2</c:v>
                </c:pt>
                <c:pt idx="3">
                  <c:v>9.8879641826817282E-3</c:v>
                </c:pt>
                <c:pt idx="4">
                  <c:v>9.8925198691926682E-3</c:v>
                </c:pt>
                <c:pt idx="5">
                  <c:v>8.3666185482484529E-3</c:v>
                </c:pt>
                <c:pt idx="6">
                  <c:v>7.7651687946961503E-3</c:v>
                </c:pt>
                <c:pt idx="7">
                  <c:v>7.6931102256465496E-3</c:v>
                </c:pt>
                <c:pt idx="8">
                  <c:v>6.2895593398076483E-3</c:v>
                </c:pt>
                <c:pt idx="9">
                  <c:v>6.9718222528570616E-3</c:v>
                </c:pt>
                <c:pt idx="10">
                  <c:v>6.6114579959490379E-3</c:v>
                </c:pt>
                <c:pt idx="11">
                  <c:v>8.3928811825776106E-3</c:v>
                </c:pt>
                <c:pt idx="12">
                  <c:v>1.0127418038963665E-2</c:v>
                </c:pt>
                <c:pt idx="13">
                  <c:v>1.1508374248433957E-2</c:v>
                </c:pt>
                <c:pt idx="14">
                  <c:v>1.0408166820344867E-2</c:v>
                </c:pt>
                <c:pt idx="15">
                  <c:v>9.841578103327463E-3</c:v>
                </c:pt>
                <c:pt idx="16">
                  <c:v>8.7224245330280083E-3</c:v>
                </c:pt>
                <c:pt idx="17">
                  <c:v>7.9801981582403245E-3</c:v>
                </c:pt>
                <c:pt idx="18">
                  <c:v>7.2143872458654973E-3</c:v>
                </c:pt>
                <c:pt idx="19">
                  <c:v>7.3675852382421338E-3</c:v>
                </c:pt>
                <c:pt idx="20">
                  <c:v>6.3759565662472508E-3</c:v>
                </c:pt>
                <c:pt idx="21">
                  <c:v>5.8744984283948627E-3</c:v>
                </c:pt>
                <c:pt idx="22">
                  <c:v>5.844851278040462E-3</c:v>
                </c:pt>
                <c:pt idx="23">
                  <c:v>5.6199932591380472E-3</c:v>
                </c:pt>
                <c:pt idx="24">
                  <c:v>5.0434368358648427E-3</c:v>
                </c:pt>
                <c:pt idx="25">
                  <c:v>4.8693409169609306E-3</c:v>
                </c:pt>
                <c:pt idx="26">
                  <c:v>4.5118356739594244E-3</c:v>
                </c:pt>
                <c:pt idx="27">
                  <c:v>4.2002166956527547E-3</c:v>
                </c:pt>
                <c:pt idx="28">
                  <c:v>4.3048456700891463E-3</c:v>
                </c:pt>
                <c:pt idx="29">
                  <c:v>5.8867931847680433E-3</c:v>
                </c:pt>
                <c:pt idx="30">
                  <c:v>5.8087482735960988E-3</c:v>
                </c:pt>
                <c:pt idx="31">
                  <c:v>5.76782861516027E-3</c:v>
                </c:pt>
                <c:pt idx="32">
                  <c:v>5.4156583739397813E-3</c:v>
                </c:pt>
                <c:pt idx="33">
                  <c:v>6.7316610202543502E-3</c:v>
                </c:pt>
                <c:pt idx="34">
                  <c:v>7.1045139752241183E-3</c:v>
                </c:pt>
                <c:pt idx="35">
                  <c:v>7.1477121354981835E-3</c:v>
                </c:pt>
                <c:pt idx="36">
                  <c:v>7.4769740721567857E-3</c:v>
                </c:pt>
                <c:pt idx="37">
                  <c:v>6.8773923153001501E-3</c:v>
                </c:pt>
                <c:pt idx="38">
                  <c:v>7.0036732388532811E-3</c:v>
                </c:pt>
                <c:pt idx="39">
                  <c:v>6.9859650429586004E-3</c:v>
                </c:pt>
                <c:pt idx="40">
                  <c:v>7.5987344919329989E-3</c:v>
                </c:pt>
              </c:numCache>
            </c:numRef>
          </c:val>
          <c:smooth val="0"/>
          <c:extLst>
            <c:ext xmlns:c16="http://schemas.microsoft.com/office/drawing/2014/chart" uri="{C3380CC4-5D6E-409C-BE32-E72D297353CC}">
              <c16:uniqueId val="{00000003-94B8-4CCA-96C1-4E9B0E5981CD}"/>
            </c:ext>
          </c:extLst>
        </c:ser>
        <c:ser>
          <c:idx val="4"/>
          <c:order val="4"/>
          <c:tx>
            <c:strRef>
              <c:f>'★固定資本ストック（建物・構築物）図9-12'!$EK$4</c:f>
              <c:strCache>
                <c:ptCount val="1"/>
                <c:pt idx="0">
                  <c:v>民間土木</c:v>
                </c:pt>
              </c:strCache>
            </c:strRef>
          </c:tx>
          <c:spPr>
            <a:ln w="28575" cap="rnd">
              <a:solidFill>
                <a:schemeClr val="accent5"/>
              </a:solidFill>
              <a:round/>
            </a:ln>
            <a:effectLst/>
          </c:spPr>
          <c:marker>
            <c:symbol val="none"/>
          </c:marker>
          <c:cat>
            <c:numRef>
              <c:f>'★固定資本ストック（建物・構築物）図9-12'!$EF$6:$EF$46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'★固定資本ストック（建物・構築物）図9-12'!$EK$6:$EK$46</c:f>
              <c:numCache>
                <c:formatCode>0.0%</c:formatCode>
                <c:ptCount val="41"/>
                <c:pt idx="0">
                  <c:v>2.5147116585320924E-2</c:v>
                </c:pt>
                <c:pt idx="1">
                  <c:v>2.2761705351597373E-2</c:v>
                </c:pt>
                <c:pt idx="2">
                  <c:v>1.9491320688652447E-2</c:v>
                </c:pt>
                <c:pt idx="3">
                  <c:v>1.2775254588855107E-2</c:v>
                </c:pt>
                <c:pt idx="4">
                  <c:v>1.2160922397321455E-2</c:v>
                </c:pt>
                <c:pt idx="5">
                  <c:v>1.3657151662537706E-2</c:v>
                </c:pt>
                <c:pt idx="6">
                  <c:v>1.4869888930512639E-2</c:v>
                </c:pt>
                <c:pt idx="7">
                  <c:v>1.6238984135770639E-2</c:v>
                </c:pt>
                <c:pt idx="8">
                  <c:v>1.5273000694465104E-2</c:v>
                </c:pt>
                <c:pt idx="9">
                  <c:v>1.9538829024257756E-2</c:v>
                </c:pt>
                <c:pt idx="10">
                  <c:v>2.0525155081424391E-2</c:v>
                </c:pt>
                <c:pt idx="11">
                  <c:v>2.4298125572982006E-2</c:v>
                </c:pt>
                <c:pt idx="12">
                  <c:v>2.2782149818152988E-2</c:v>
                </c:pt>
                <c:pt idx="13">
                  <c:v>2.2715739519187008E-2</c:v>
                </c:pt>
                <c:pt idx="14">
                  <c:v>1.9227814508096339E-2</c:v>
                </c:pt>
                <c:pt idx="15">
                  <c:v>2.0745245282186908E-2</c:v>
                </c:pt>
                <c:pt idx="16">
                  <c:v>1.6615813553647652E-2</c:v>
                </c:pt>
                <c:pt idx="17">
                  <c:v>1.7127916085758428E-2</c:v>
                </c:pt>
                <c:pt idx="18">
                  <c:v>1.8409222486446344E-2</c:v>
                </c:pt>
                <c:pt idx="19">
                  <c:v>1.3144282603496241E-2</c:v>
                </c:pt>
                <c:pt idx="20">
                  <c:v>1.6691827707601001E-2</c:v>
                </c:pt>
                <c:pt idx="21">
                  <c:v>1.4310437673832542E-2</c:v>
                </c:pt>
                <c:pt idx="22">
                  <c:v>1.2521004189493302E-2</c:v>
                </c:pt>
                <c:pt idx="23">
                  <c:v>1.201598721755464E-2</c:v>
                </c:pt>
                <c:pt idx="24">
                  <c:v>1.2622759047066221E-2</c:v>
                </c:pt>
                <c:pt idx="25">
                  <c:v>1.398437904917715E-2</c:v>
                </c:pt>
                <c:pt idx="26">
                  <c:v>1.1823715147069102E-2</c:v>
                </c:pt>
                <c:pt idx="27">
                  <c:v>1.0826252772901435E-2</c:v>
                </c:pt>
                <c:pt idx="28">
                  <c:v>1.1135913158898858E-2</c:v>
                </c:pt>
                <c:pt idx="29">
                  <c:v>1.1058749937365941E-2</c:v>
                </c:pt>
                <c:pt idx="30">
                  <c:v>1.1041863736834131E-2</c:v>
                </c:pt>
                <c:pt idx="31">
                  <c:v>1.3500080108730767E-2</c:v>
                </c:pt>
                <c:pt idx="32">
                  <c:v>9.6176689850655771E-3</c:v>
                </c:pt>
                <c:pt idx="33">
                  <c:v>1.0783356654189124E-2</c:v>
                </c:pt>
                <c:pt idx="34">
                  <c:v>1.0536977820439428E-2</c:v>
                </c:pt>
                <c:pt idx="35">
                  <c:v>1.1961549520354074E-2</c:v>
                </c:pt>
                <c:pt idx="36">
                  <c:v>1.2132860953853354E-2</c:v>
                </c:pt>
                <c:pt idx="37">
                  <c:v>1.1438453874985762E-2</c:v>
                </c:pt>
                <c:pt idx="38">
                  <c:v>1.1385710212840768E-2</c:v>
                </c:pt>
                <c:pt idx="39">
                  <c:v>1.2952934620993135E-2</c:v>
                </c:pt>
                <c:pt idx="40">
                  <c:v>1.3551661843400623E-2</c:v>
                </c:pt>
              </c:numCache>
            </c:numRef>
          </c:val>
          <c:smooth val="0"/>
          <c:extLst>
            <c:ext xmlns:c16="http://schemas.microsoft.com/office/drawing/2014/chart" uri="{C3380CC4-5D6E-409C-BE32-E72D297353CC}">
              <c16:uniqueId val="{00000004-94B8-4CCA-96C1-4E9B0E5981CD}"/>
            </c:ext>
          </c:extLst>
        </c:ser>
        <c:ser>
          <c:idx val="5"/>
          <c:order val="5"/>
          <c:tx>
            <c:strRef>
              <c:f>'★固定資本ストック（建物・構築物）図9-12'!$EL$4</c:f>
              <c:strCache>
                <c:ptCount val="1"/>
                <c:pt idx="0">
                  <c:v>公的土木</c:v>
                </c:pt>
              </c:strCache>
            </c:strRef>
          </c:tx>
          <c:spPr>
            <a:ln w="28575" cap="rnd">
              <a:solidFill>
                <a:schemeClr val="accent6"/>
              </a:solidFill>
              <a:round/>
            </a:ln>
            <a:effectLst/>
          </c:spPr>
          <c:marker>
            <c:symbol val="none"/>
          </c:marker>
          <c:cat>
            <c:numRef>
              <c:f>'★固定資本ストック（建物・構築物）図9-12'!$EF$6:$EF$46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'★固定資本ストック（建物・構築物）図9-12'!$EL$6:$EL$46</c:f>
              <c:numCache>
                <c:formatCode>0.0%</c:formatCode>
                <c:ptCount val="41"/>
                <c:pt idx="0">
                  <c:v>5.6145080549486304E-2</c:v>
                </c:pt>
                <c:pt idx="1">
                  <c:v>5.3820762340729134E-2</c:v>
                </c:pt>
                <c:pt idx="2">
                  <c:v>5.2942216967339757E-2</c:v>
                </c:pt>
                <c:pt idx="3">
                  <c:v>5.1418865479816188E-2</c:v>
                </c:pt>
                <c:pt idx="4">
                  <c:v>4.7380119295496487E-2</c:v>
                </c:pt>
                <c:pt idx="5">
                  <c:v>4.4106859381856711E-2</c:v>
                </c:pt>
                <c:pt idx="6">
                  <c:v>4.4891591995188752E-2</c:v>
                </c:pt>
                <c:pt idx="7">
                  <c:v>4.6848199753145491E-2</c:v>
                </c:pt>
                <c:pt idx="8">
                  <c:v>4.8088961312203513E-2</c:v>
                </c:pt>
                <c:pt idx="9">
                  <c:v>4.5064559300472616E-2</c:v>
                </c:pt>
                <c:pt idx="10">
                  <c:v>4.6563511427828164E-2</c:v>
                </c:pt>
                <c:pt idx="11">
                  <c:v>4.3929246846925944E-2</c:v>
                </c:pt>
                <c:pt idx="12">
                  <c:v>4.9884093495987714E-2</c:v>
                </c:pt>
                <c:pt idx="13">
                  <c:v>5.3005646986128335E-2</c:v>
                </c:pt>
                <c:pt idx="14">
                  <c:v>5.4977519792388616E-2</c:v>
                </c:pt>
                <c:pt idx="15">
                  <c:v>5.4392763990962656E-2</c:v>
                </c:pt>
                <c:pt idx="16">
                  <c:v>5.6884719811203965E-2</c:v>
                </c:pt>
                <c:pt idx="17">
                  <c:v>5.1382828370914374E-2</c:v>
                </c:pt>
                <c:pt idx="18">
                  <c:v>5.1173407364136343E-2</c:v>
                </c:pt>
                <c:pt idx="19">
                  <c:v>5.3779622735550731E-2</c:v>
                </c:pt>
                <c:pt idx="20">
                  <c:v>4.6722586870026901E-2</c:v>
                </c:pt>
                <c:pt idx="21">
                  <c:v>4.6250389586157459E-2</c:v>
                </c:pt>
                <c:pt idx="22">
                  <c:v>4.3391085281442324E-2</c:v>
                </c:pt>
                <c:pt idx="23">
                  <c:v>3.9813836172625613E-2</c:v>
                </c:pt>
                <c:pt idx="24">
                  <c:v>3.5293102070661386E-2</c:v>
                </c:pt>
                <c:pt idx="25">
                  <c:v>3.1829865641494828E-2</c:v>
                </c:pt>
                <c:pt idx="26">
                  <c:v>3.0708922133556766E-2</c:v>
                </c:pt>
                <c:pt idx="27">
                  <c:v>2.8848188247440995E-2</c:v>
                </c:pt>
                <c:pt idx="28">
                  <c:v>2.7947205108977653E-2</c:v>
                </c:pt>
                <c:pt idx="29">
                  <c:v>3.0429241295482426E-2</c:v>
                </c:pt>
                <c:pt idx="30">
                  <c:v>2.8355553551061004E-2</c:v>
                </c:pt>
                <c:pt idx="31">
                  <c:v>2.735296027390954E-2</c:v>
                </c:pt>
                <c:pt idx="32">
                  <c:v>2.8741113187140128E-2</c:v>
                </c:pt>
                <c:pt idx="33">
                  <c:v>2.9503012184377217E-2</c:v>
                </c:pt>
                <c:pt idx="34">
                  <c:v>2.9261522982357738E-2</c:v>
                </c:pt>
                <c:pt idx="35">
                  <c:v>2.6088210689209548E-2</c:v>
                </c:pt>
                <c:pt idx="36">
                  <c:v>2.682172940709223E-2</c:v>
                </c:pt>
                <c:pt idx="37">
                  <c:v>2.7584423755996044E-2</c:v>
                </c:pt>
                <c:pt idx="38">
                  <c:v>2.7788733219748268E-2</c:v>
                </c:pt>
                <c:pt idx="39">
                  <c:v>2.9345851823627665E-2</c:v>
                </c:pt>
                <c:pt idx="40">
                  <c:v>3.2634625611858578E-2</c:v>
                </c:pt>
              </c:numCache>
            </c:numRef>
          </c:val>
          <c:smooth val="0"/>
          <c:extLst>
            <c:ext xmlns:c16="http://schemas.microsoft.com/office/drawing/2014/chart" uri="{C3380CC4-5D6E-409C-BE32-E72D297353CC}">
              <c16:uniqueId val="{00000005-94B8-4CCA-96C1-4E9B0E5981CD}"/>
            </c:ext>
          </c:extLst>
        </c:ser>
        <c:dLbls>
          <c:showLegendKey val="0"/>
          <c:showVal val="0"/>
          <c:showCatName val="0"/>
          <c:showSerName val="0"/>
          <c:showPercent val="0"/>
          <c:showBubbleSize val="0"/>
        </c:dLbls>
        <c:smooth val="0"/>
        <c:axId val="988626736"/>
        <c:axId val="988641296"/>
      </c:lineChart>
      <c:catAx>
        <c:axId val="98862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88641296"/>
        <c:crosses val="autoZero"/>
        <c:auto val="1"/>
        <c:lblAlgn val="ctr"/>
        <c:lblOffset val="100"/>
        <c:noMultiLvlLbl val="0"/>
      </c:catAx>
      <c:valAx>
        <c:axId val="9886412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88626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'★固定資本ストック（建物・構築物）図9-12'!$R$4</c:f>
              <c:strCache>
                <c:ptCount val="1"/>
                <c:pt idx="0">
                  <c:v>民間住宅</c:v>
                </c:pt>
              </c:strCache>
            </c:strRef>
          </c:tx>
          <c:spPr>
            <a:ln w="28575" cap="rnd">
              <a:solidFill>
                <a:schemeClr val="accent1"/>
              </a:solidFill>
              <a:round/>
            </a:ln>
            <a:effectLst/>
          </c:spPr>
          <c:marker>
            <c:symbol val="none"/>
          </c:marker>
          <c:cat>
            <c:numRef>
              <c:f>'★固定資本ストック（建物・構築物）図9-12'!$Q$6:$Q$46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'★固定資本ストック（建物・構築物）図9-12'!$R$6:$R$46</c:f>
              <c:numCache>
                <c:formatCode>#,##0_);[Red]\(#,##0\)</c:formatCode>
                <c:ptCount val="41"/>
                <c:pt idx="0">
                  <c:v>177527.28272116708</c:v>
                </c:pt>
                <c:pt idx="1">
                  <c:v>185857.94164167196</c:v>
                </c:pt>
                <c:pt idx="2">
                  <c:v>195767.08297448594</c:v>
                </c:pt>
                <c:pt idx="3">
                  <c:v>199324.3094840011</c:v>
                </c:pt>
                <c:pt idx="4">
                  <c:v>207373.31117354729</c:v>
                </c:pt>
                <c:pt idx="5">
                  <c:v>212980.94336238041</c:v>
                </c:pt>
                <c:pt idx="6">
                  <c:v>216001.72850327013</c:v>
                </c:pt>
                <c:pt idx="7">
                  <c:v>232881.31935941498</c:v>
                </c:pt>
                <c:pt idx="8">
                  <c:v>247788.96943311117</c:v>
                </c:pt>
                <c:pt idx="9">
                  <c:v>278568.41267021431</c:v>
                </c:pt>
                <c:pt idx="10">
                  <c:v>305860.24998548697</c:v>
                </c:pt>
                <c:pt idx="11">
                  <c:v>323256.21243172267</c:v>
                </c:pt>
                <c:pt idx="12">
                  <c:v>335447.07214560808</c:v>
                </c:pt>
                <c:pt idx="13">
                  <c:v>348288.32875030633</c:v>
                </c:pt>
                <c:pt idx="14">
                  <c:v>360954.4</c:v>
                </c:pt>
                <c:pt idx="15">
                  <c:v>362515.8</c:v>
                </c:pt>
                <c:pt idx="16">
                  <c:v>379462.2</c:v>
                </c:pt>
                <c:pt idx="17">
                  <c:v>385610.1</c:v>
                </c:pt>
                <c:pt idx="18">
                  <c:v>381653.1</c:v>
                </c:pt>
                <c:pt idx="19">
                  <c:v>380830.8</c:v>
                </c:pt>
                <c:pt idx="20">
                  <c:v>383484.8</c:v>
                </c:pt>
                <c:pt idx="21">
                  <c:v>380328.1</c:v>
                </c:pt>
                <c:pt idx="22">
                  <c:v>378123</c:v>
                </c:pt>
                <c:pt idx="23">
                  <c:v>380660</c:v>
                </c:pt>
                <c:pt idx="24">
                  <c:v>384698.7</c:v>
                </c:pt>
                <c:pt idx="25">
                  <c:v>388113.7</c:v>
                </c:pt>
                <c:pt idx="26">
                  <c:v>397962.8</c:v>
                </c:pt>
                <c:pt idx="27">
                  <c:v>403714.8</c:v>
                </c:pt>
                <c:pt idx="28">
                  <c:v>408286.1</c:v>
                </c:pt>
                <c:pt idx="29">
                  <c:v>390828</c:v>
                </c:pt>
                <c:pt idx="30">
                  <c:v>387549.7</c:v>
                </c:pt>
                <c:pt idx="31">
                  <c:v>381362.3</c:v>
                </c:pt>
                <c:pt idx="32">
                  <c:v>376279.6</c:v>
                </c:pt>
                <c:pt idx="33">
                  <c:v>387618.7</c:v>
                </c:pt>
                <c:pt idx="34">
                  <c:v>397074.1</c:v>
                </c:pt>
                <c:pt idx="35">
                  <c:v>396088.2</c:v>
                </c:pt>
                <c:pt idx="36">
                  <c:v>395649.9</c:v>
                </c:pt>
                <c:pt idx="37">
                  <c:v>402402.8</c:v>
                </c:pt>
                <c:pt idx="38">
                  <c:v>405214.7</c:v>
                </c:pt>
                <c:pt idx="39">
                  <c:v>414491.5</c:v>
                </c:pt>
                <c:pt idx="40">
                  <c:v>409718.4</c:v>
                </c:pt>
              </c:numCache>
            </c:numRef>
          </c:val>
          <c:smooth val="0"/>
          <c:extLst>
            <c:ext xmlns:c16="http://schemas.microsoft.com/office/drawing/2014/chart" uri="{C3380CC4-5D6E-409C-BE32-E72D297353CC}">
              <c16:uniqueId val="{00000000-E475-4C68-BB89-DC2B137F98EC}"/>
            </c:ext>
          </c:extLst>
        </c:ser>
        <c:ser>
          <c:idx val="1"/>
          <c:order val="1"/>
          <c:tx>
            <c:strRef>
              <c:f>'★固定資本ストック（建物・構築物）図9-12'!$S$4</c:f>
              <c:strCache>
                <c:ptCount val="1"/>
                <c:pt idx="0">
                  <c:v>公的住宅</c:v>
                </c:pt>
              </c:strCache>
            </c:strRef>
          </c:tx>
          <c:spPr>
            <a:ln w="28575" cap="rnd">
              <a:solidFill>
                <a:schemeClr val="accent2"/>
              </a:solidFill>
              <a:round/>
            </a:ln>
            <a:effectLst/>
          </c:spPr>
          <c:marker>
            <c:symbol val="none"/>
          </c:marker>
          <c:cat>
            <c:numRef>
              <c:f>'★固定資本ストック（建物・構築物）図9-12'!$Q$6:$Q$46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'★固定資本ストック（建物・構築物）図9-12'!$S$6:$S$46</c:f>
              <c:numCache>
                <c:formatCode>#,##0_);[Red]\(#,##0\)</c:formatCode>
                <c:ptCount val="41"/>
                <c:pt idx="0">
                  <c:v>10426.971661664134</c:v>
                </c:pt>
                <c:pt idx="1">
                  <c:v>10881.887111340064</c:v>
                </c:pt>
                <c:pt idx="2">
                  <c:v>11414.9372498515</c:v>
                </c:pt>
                <c:pt idx="3">
                  <c:v>11702.860781025773</c:v>
                </c:pt>
                <c:pt idx="4">
                  <c:v>12146.587492443634</c:v>
                </c:pt>
                <c:pt idx="5">
                  <c:v>12360.758590600144</c:v>
                </c:pt>
                <c:pt idx="6">
                  <c:v>12322.716880522716</c:v>
                </c:pt>
                <c:pt idx="7">
                  <c:v>12753.669782429284</c:v>
                </c:pt>
                <c:pt idx="8">
                  <c:v>13062.665437322918</c:v>
                </c:pt>
                <c:pt idx="9">
                  <c:v>14162.238689634509</c:v>
                </c:pt>
                <c:pt idx="10">
                  <c:v>15364.375375978385</c:v>
                </c:pt>
                <c:pt idx="11">
                  <c:v>16051.177426052764</c:v>
                </c:pt>
                <c:pt idx="12">
                  <c:v>16512.619639712568</c:v>
                </c:pt>
                <c:pt idx="13">
                  <c:v>17141.333490330482</c:v>
                </c:pt>
                <c:pt idx="14">
                  <c:v>17737.599999999999</c:v>
                </c:pt>
                <c:pt idx="15">
                  <c:v>18129.8</c:v>
                </c:pt>
                <c:pt idx="16">
                  <c:v>19011.2</c:v>
                </c:pt>
                <c:pt idx="17">
                  <c:v>19651</c:v>
                </c:pt>
                <c:pt idx="18">
                  <c:v>19631.400000000001</c:v>
                </c:pt>
                <c:pt idx="19">
                  <c:v>19685.8</c:v>
                </c:pt>
                <c:pt idx="20">
                  <c:v>19774.7</c:v>
                </c:pt>
                <c:pt idx="21">
                  <c:v>19504.599999999999</c:v>
                </c:pt>
                <c:pt idx="22">
                  <c:v>19257.099999999999</c:v>
                </c:pt>
                <c:pt idx="23">
                  <c:v>19201.400000000001</c:v>
                </c:pt>
                <c:pt idx="24">
                  <c:v>19171.2</c:v>
                </c:pt>
                <c:pt idx="25">
                  <c:v>18962.8</c:v>
                </c:pt>
                <c:pt idx="26">
                  <c:v>18909.3</c:v>
                </c:pt>
                <c:pt idx="27">
                  <c:v>18765.5</c:v>
                </c:pt>
                <c:pt idx="28">
                  <c:v>18612.8</c:v>
                </c:pt>
                <c:pt idx="29">
                  <c:v>17545.5</c:v>
                </c:pt>
                <c:pt idx="30">
                  <c:v>17260</c:v>
                </c:pt>
                <c:pt idx="31">
                  <c:v>16810.099999999999</c:v>
                </c:pt>
                <c:pt idx="32">
                  <c:v>16258</c:v>
                </c:pt>
                <c:pt idx="33">
                  <c:v>16462.5</c:v>
                </c:pt>
                <c:pt idx="34">
                  <c:v>16811.900000000001</c:v>
                </c:pt>
                <c:pt idx="35">
                  <c:v>16738.099999999999</c:v>
                </c:pt>
                <c:pt idx="36">
                  <c:v>16677.599999999999</c:v>
                </c:pt>
                <c:pt idx="37">
                  <c:v>16761.7</c:v>
                </c:pt>
                <c:pt idx="38">
                  <c:v>16738.099999999999</c:v>
                </c:pt>
                <c:pt idx="39">
                  <c:v>16878.099999999999</c:v>
                </c:pt>
                <c:pt idx="40">
                  <c:v>16441.900000000001</c:v>
                </c:pt>
              </c:numCache>
            </c:numRef>
          </c:val>
          <c:smooth val="0"/>
          <c:extLst>
            <c:ext xmlns:c16="http://schemas.microsoft.com/office/drawing/2014/chart" uri="{C3380CC4-5D6E-409C-BE32-E72D297353CC}">
              <c16:uniqueId val="{00000001-E475-4C68-BB89-DC2B137F98EC}"/>
            </c:ext>
          </c:extLst>
        </c:ser>
        <c:ser>
          <c:idx val="2"/>
          <c:order val="2"/>
          <c:tx>
            <c:strRef>
              <c:f>'★固定資本ストック（建物・構築物）図9-12'!$T$4</c:f>
              <c:strCache>
                <c:ptCount val="1"/>
                <c:pt idx="0">
                  <c:v>民間非住宅</c:v>
                </c:pt>
              </c:strCache>
            </c:strRef>
          </c:tx>
          <c:spPr>
            <a:ln w="28575" cap="rnd">
              <a:solidFill>
                <a:schemeClr val="accent3"/>
              </a:solidFill>
              <a:round/>
            </a:ln>
            <a:effectLst/>
          </c:spPr>
          <c:marker>
            <c:symbol val="none"/>
          </c:marker>
          <c:cat>
            <c:numRef>
              <c:f>'★固定資本ストック（建物・構築物）図9-12'!$Q$6:$Q$46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'★固定資本ストック（建物・構築物）図9-12'!$T$6:$T$46</c:f>
              <c:numCache>
                <c:formatCode>#,##0_);[Red]\(#,##0\)</c:formatCode>
                <c:ptCount val="41"/>
                <c:pt idx="0">
                  <c:v>100162.53411091551</c:v>
                </c:pt>
                <c:pt idx="1">
                  <c:v>105374.11945003347</c:v>
                </c:pt>
                <c:pt idx="2">
                  <c:v>110434.84787695341</c:v>
                </c:pt>
                <c:pt idx="3">
                  <c:v>113020.59424511671</c:v>
                </c:pt>
                <c:pt idx="4">
                  <c:v>118513.50733941483</c:v>
                </c:pt>
                <c:pt idx="5">
                  <c:v>122354.58254752042</c:v>
                </c:pt>
                <c:pt idx="6">
                  <c:v>124349.24616436119</c:v>
                </c:pt>
                <c:pt idx="7">
                  <c:v>132205.35770454846</c:v>
                </c:pt>
                <c:pt idx="8">
                  <c:v>142739.29269219111</c:v>
                </c:pt>
                <c:pt idx="9">
                  <c:v>158471.44881802122</c:v>
                </c:pt>
                <c:pt idx="10">
                  <c:v>179829.02748805322</c:v>
                </c:pt>
                <c:pt idx="11">
                  <c:v>195160.03107408946</c:v>
                </c:pt>
                <c:pt idx="12">
                  <c:v>202870.83524314302</c:v>
                </c:pt>
                <c:pt idx="13">
                  <c:v>202744.89463776446</c:v>
                </c:pt>
                <c:pt idx="14">
                  <c:v>200668.79999999999</c:v>
                </c:pt>
                <c:pt idx="15">
                  <c:v>198031.1</c:v>
                </c:pt>
                <c:pt idx="16">
                  <c:v>201130</c:v>
                </c:pt>
                <c:pt idx="17">
                  <c:v>199331.7</c:v>
                </c:pt>
                <c:pt idx="18">
                  <c:v>195249.3</c:v>
                </c:pt>
                <c:pt idx="19">
                  <c:v>192072.1</c:v>
                </c:pt>
                <c:pt idx="20">
                  <c:v>192225</c:v>
                </c:pt>
                <c:pt idx="21">
                  <c:v>188057.60000000001</c:v>
                </c:pt>
                <c:pt idx="22">
                  <c:v>184406.39999999999</c:v>
                </c:pt>
                <c:pt idx="23">
                  <c:v>183528.8</c:v>
                </c:pt>
                <c:pt idx="24">
                  <c:v>182984.9</c:v>
                </c:pt>
                <c:pt idx="25">
                  <c:v>183492.3</c:v>
                </c:pt>
                <c:pt idx="26">
                  <c:v>185962.4</c:v>
                </c:pt>
                <c:pt idx="27">
                  <c:v>187429</c:v>
                </c:pt>
                <c:pt idx="28">
                  <c:v>188355.20000000001</c:v>
                </c:pt>
                <c:pt idx="29">
                  <c:v>179002.9</c:v>
                </c:pt>
                <c:pt idx="30">
                  <c:v>176439.6</c:v>
                </c:pt>
                <c:pt idx="31">
                  <c:v>173821.6</c:v>
                </c:pt>
                <c:pt idx="32">
                  <c:v>171280.5</c:v>
                </c:pt>
                <c:pt idx="33">
                  <c:v>174727.8</c:v>
                </c:pt>
                <c:pt idx="34">
                  <c:v>175450.4</c:v>
                </c:pt>
                <c:pt idx="35">
                  <c:v>176466.6</c:v>
                </c:pt>
                <c:pt idx="36">
                  <c:v>176968.4</c:v>
                </c:pt>
                <c:pt idx="37">
                  <c:v>181151.3</c:v>
                </c:pt>
                <c:pt idx="38">
                  <c:v>185494.39999999999</c:v>
                </c:pt>
                <c:pt idx="39">
                  <c:v>189073.6</c:v>
                </c:pt>
                <c:pt idx="40">
                  <c:v>187890.6</c:v>
                </c:pt>
              </c:numCache>
            </c:numRef>
          </c:val>
          <c:smooth val="0"/>
          <c:extLst>
            <c:ext xmlns:c16="http://schemas.microsoft.com/office/drawing/2014/chart" uri="{C3380CC4-5D6E-409C-BE32-E72D297353CC}">
              <c16:uniqueId val="{00000002-E475-4C68-BB89-DC2B137F98EC}"/>
            </c:ext>
          </c:extLst>
        </c:ser>
        <c:ser>
          <c:idx val="3"/>
          <c:order val="3"/>
          <c:tx>
            <c:strRef>
              <c:f>'★固定資本ストック（建物・構築物）図9-12'!$U$4</c:f>
              <c:strCache>
                <c:ptCount val="1"/>
                <c:pt idx="0">
                  <c:v>公的非住宅</c:v>
                </c:pt>
              </c:strCache>
            </c:strRef>
          </c:tx>
          <c:spPr>
            <a:ln w="28575" cap="rnd">
              <a:solidFill>
                <a:schemeClr val="accent4"/>
              </a:solidFill>
              <a:round/>
            </a:ln>
            <a:effectLst/>
          </c:spPr>
          <c:marker>
            <c:symbol val="none"/>
          </c:marker>
          <c:cat>
            <c:numRef>
              <c:f>'★固定資本ストック（建物・構築物）図9-12'!$Q$6:$Q$46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'★固定資本ストック（建物・構築物）図9-12'!$U$6:$U$46</c:f>
              <c:numCache>
                <c:formatCode>#,##0_);[Red]\(#,##0\)</c:formatCode>
                <c:ptCount val="41"/>
                <c:pt idx="0">
                  <c:v>26366.23704940977</c:v>
                </c:pt>
                <c:pt idx="1">
                  <c:v>28304.887816716433</c:v>
                </c:pt>
                <c:pt idx="2">
                  <c:v>30003.787253559916</c:v>
                </c:pt>
                <c:pt idx="3">
                  <c:v>30657.753275031733</c:v>
                </c:pt>
                <c:pt idx="4">
                  <c:v>32014.243924553099</c:v>
                </c:pt>
                <c:pt idx="5">
                  <c:v>32466.371263650395</c:v>
                </c:pt>
                <c:pt idx="6">
                  <c:v>32129.61135226125</c:v>
                </c:pt>
                <c:pt idx="7">
                  <c:v>33122.72719417078</c:v>
                </c:pt>
                <c:pt idx="8">
                  <c:v>33632.972776040078</c:v>
                </c:pt>
                <c:pt idx="9">
                  <c:v>35836.794815508314</c:v>
                </c:pt>
                <c:pt idx="10">
                  <c:v>38115.790357776968</c:v>
                </c:pt>
                <c:pt idx="11">
                  <c:v>40210.437006617438</c:v>
                </c:pt>
                <c:pt idx="12">
                  <c:v>42174.833612310948</c:v>
                </c:pt>
                <c:pt idx="13">
                  <c:v>44081.111975232459</c:v>
                </c:pt>
                <c:pt idx="14">
                  <c:v>45948.5</c:v>
                </c:pt>
                <c:pt idx="15">
                  <c:v>47307.7</c:v>
                </c:pt>
                <c:pt idx="16">
                  <c:v>48914.6</c:v>
                </c:pt>
                <c:pt idx="17">
                  <c:v>49428.5</c:v>
                </c:pt>
                <c:pt idx="18">
                  <c:v>48635.6</c:v>
                </c:pt>
                <c:pt idx="19">
                  <c:v>48092.9</c:v>
                </c:pt>
                <c:pt idx="20">
                  <c:v>47993.4</c:v>
                </c:pt>
                <c:pt idx="21">
                  <c:v>46802.2</c:v>
                </c:pt>
                <c:pt idx="22">
                  <c:v>45936.3</c:v>
                </c:pt>
                <c:pt idx="23">
                  <c:v>45683</c:v>
                </c:pt>
                <c:pt idx="24">
                  <c:v>45355.4</c:v>
                </c:pt>
                <c:pt idx="25">
                  <c:v>44786.400000000001</c:v>
                </c:pt>
                <c:pt idx="26">
                  <c:v>44498.5</c:v>
                </c:pt>
                <c:pt idx="27">
                  <c:v>44088.2</c:v>
                </c:pt>
                <c:pt idx="28">
                  <c:v>43608.3</c:v>
                </c:pt>
                <c:pt idx="29">
                  <c:v>41787.699999999997</c:v>
                </c:pt>
                <c:pt idx="30">
                  <c:v>41754</c:v>
                </c:pt>
                <c:pt idx="31">
                  <c:v>41475.9</c:v>
                </c:pt>
                <c:pt idx="32">
                  <c:v>40765</c:v>
                </c:pt>
                <c:pt idx="33">
                  <c:v>42010.9</c:v>
                </c:pt>
                <c:pt idx="34">
                  <c:v>43468.6</c:v>
                </c:pt>
                <c:pt idx="35">
                  <c:v>44223.1</c:v>
                </c:pt>
                <c:pt idx="36">
                  <c:v>44790.6</c:v>
                </c:pt>
                <c:pt idx="37">
                  <c:v>45781.3</c:v>
                </c:pt>
                <c:pt idx="38">
                  <c:v>46707.4</c:v>
                </c:pt>
                <c:pt idx="39">
                  <c:v>48166.7</c:v>
                </c:pt>
                <c:pt idx="40">
                  <c:v>48187</c:v>
                </c:pt>
              </c:numCache>
            </c:numRef>
          </c:val>
          <c:smooth val="0"/>
          <c:extLst>
            <c:ext xmlns:c16="http://schemas.microsoft.com/office/drawing/2014/chart" uri="{C3380CC4-5D6E-409C-BE32-E72D297353CC}">
              <c16:uniqueId val="{00000003-E475-4C68-BB89-DC2B137F98EC}"/>
            </c:ext>
          </c:extLst>
        </c:ser>
        <c:ser>
          <c:idx val="4"/>
          <c:order val="4"/>
          <c:tx>
            <c:strRef>
              <c:f>'★固定資本ストック（建物・構築物）図9-12'!$V$4</c:f>
              <c:strCache>
                <c:ptCount val="1"/>
                <c:pt idx="0">
                  <c:v>民間土木</c:v>
                </c:pt>
              </c:strCache>
            </c:strRef>
          </c:tx>
          <c:spPr>
            <a:ln w="28575" cap="rnd">
              <a:solidFill>
                <a:schemeClr val="accent5"/>
              </a:solidFill>
              <a:round/>
            </a:ln>
            <a:effectLst/>
          </c:spPr>
          <c:marker>
            <c:symbol val="none"/>
          </c:marker>
          <c:cat>
            <c:numRef>
              <c:f>'★固定資本ストック（建物・構築物）図9-12'!$Q$6:$Q$46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'★固定資本ストック（建物・構築物）図9-12'!$V$6:$V$46</c:f>
              <c:numCache>
                <c:formatCode>#,##0_);[Red]\(#,##0\)</c:formatCode>
                <c:ptCount val="41"/>
                <c:pt idx="0">
                  <c:v>82566.007793900644</c:v>
                </c:pt>
                <c:pt idx="1">
                  <c:v>88271.070624739717</c:v>
                </c:pt>
                <c:pt idx="2">
                  <c:v>93153.692786955871</c:v>
                </c:pt>
                <c:pt idx="3">
                  <c:v>93949.181183064895</c:v>
                </c:pt>
                <c:pt idx="4">
                  <c:v>96760.937377383423</c:v>
                </c:pt>
                <c:pt idx="5">
                  <c:v>98689.709379159947</c:v>
                </c:pt>
                <c:pt idx="6">
                  <c:v>99306.341702152771</c:v>
                </c:pt>
                <c:pt idx="7">
                  <c:v>104098.09903387165</c:v>
                </c:pt>
                <c:pt idx="8">
                  <c:v>109058.40715803968</c:v>
                </c:pt>
                <c:pt idx="9">
                  <c:v>116955.12573690305</c:v>
                </c:pt>
                <c:pt idx="10">
                  <c:v>129598.61513380402</c:v>
                </c:pt>
                <c:pt idx="11">
                  <c:v>140086.3190865411</c:v>
                </c:pt>
                <c:pt idx="12">
                  <c:v>147019.09756608357</c:v>
                </c:pt>
                <c:pt idx="13">
                  <c:v>159835.10132492101</c:v>
                </c:pt>
                <c:pt idx="14">
                  <c:v>164655</c:v>
                </c:pt>
                <c:pt idx="15">
                  <c:v>169493.9</c:v>
                </c:pt>
                <c:pt idx="16">
                  <c:v>177547.1</c:v>
                </c:pt>
                <c:pt idx="17">
                  <c:v>181383.4</c:v>
                </c:pt>
                <c:pt idx="18">
                  <c:v>181776</c:v>
                </c:pt>
                <c:pt idx="19">
                  <c:v>182668.79999999999</c:v>
                </c:pt>
                <c:pt idx="20">
                  <c:v>186384.7</c:v>
                </c:pt>
                <c:pt idx="21">
                  <c:v>185254.8</c:v>
                </c:pt>
                <c:pt idx="22">
                  <c:v>184519.5</c:v>
                </c:pt>
                <c:pt idx="23">
                  <c:v>186334.4</c:v>
                </c:pt>
                <c:pt idx="24">
                  <c:v>190237.4</c:v>
                </c:pt>
                <c:pt idx="25">
                  <c:v>194431.4</c:v>
                </c:pt>
                <c:pt idx="26">
                  <c:v>198541.4</c:v>
                </c:pt>
                <c:pt idx="27">
                  <c:v>202436.4</c:v>
                </c:pt>
                <c:pt idx="28">
                  <c:v>207094.8</c:v>
                </c:pt>
                <c:pt idx="29">
                  <c:v>199450.4</c:v>
                </c:pt>
                <c:pt idx="30">
                  <c:v>199453</c:v>
                </c:pt>
                <c:pt idx="31">
                  <c:v>200335.3</c:v>
                </c:pt>
                <c:pt idx="32">
                  <c:v>197991.2</c:v>
                </c:pt>
                <c:pt idx="33">
                  <c:v>201142.6</c:v>
                </c:pt>
                <c:pt idx="34">
                  <c:v>201805</c:v>
                </c:pt>
                <c:pt idx="35">
                  <c:v>203187.6</c:v>
                </c:pt>
                <c:pt idx="36">
                  <c:v>203913.5</c:v>
                </c:pt>
                <c:pt idx="37">
                  <c:v>206241.2</c:v>
                </c:pt>
                <c:pt idx="38">
                  <c:v>209695.9</c:v>
                </c:pt>
                <c:pt idx="39">
                  <c:v>212358.5</c:v>
                </c:pt>
                <c:pt idx="40">
                  <c:v>212032.9</c:v>
                </c:pt>
              </c:numCache>
            </c:numRef>
          </c:val>
          <c:smooth val="0"/>
          <c:extLst>
            <c:ext xmlns:c16="http://schemas.microsoft.com/office/drawing/2014/chart" uri="{C3380CC4-5D6E-409C-BE32-E72D297353CC}">
              <c16:uniqueId val="{00000004-E475-4C68-BB89-DC2B137F98EC}"/>
            </c:ext>
          </c:extLst>
        </c:ser>
        <c:ser>
          <c:idx val="5"/>
          <c:order val="5"/>
          <c:tx>
            <c:strRef>
              <c:f>'★固定資本ストック（建物・構築物）図9-12'!$W$4</c:f>
              <c:strCache>
                <c:ptCount val="1"/>
                <c:pt idx="0">
                  <c:v>公的土木</c:v>
                </c:pt>
              </c:strCache>
            </c:strRef>
          </c:tx>
          <c:spPr>
            <a:ln w="28575" cap="rnd">
              <a:solidFill>
                <a:schemeClr val="accent6"/>
              </a:solidFill>
              <a:round/>
            </a:ln>
            <a:effectLst/>
          </c:spPr>
          <c:marker>
            <c:symbol val="none"/>
          </c:marker>
          <c:cat>
            <c:numRef>
              <c:f>'★固定資本ストック（建物・構築物）図9-12'!$Q$6:$Q$46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'★固定資本ストック（建物・構築物）図9-12'!$W$6:$W$46</c:f>
              <c:numCache>
                <c:formatCode>#,##0_);[Red]\(#,##0\)</c:formatCode>
                <c:ptCount val="41"/>
                <c:pt idx="0">
                  <c:v>185477.15843367641</c:v>
                </c:pt>
                <c:pt idx="1">
                  <c:v>200861.99865735619</c:v>
                </c:pt>
                <c:pt idx="2">
                  <c:v>216215.01355665911</c:v>
                </c:pt>
                <c:pt idx="3">
                  <c:v>226855.17633565899</c:v>
                </c:pt>
                <c:pt idx="4">
                  <c:v>240542.97793889075</c:v>
                </c:pt>
                <c:pt idx="5">
                  <c:v>249829.21237560999</c:v>
                </c:pt>
                <c:pt idx="6">
                  <c:v>256750.49239727939</c:v>
                </c:pt>
                <c:pt idx="7">
                  <c:v>273886.66150063829</c:v>
                </c:pt>
                <c:pt idx="8">
                  <c:v>291760.22128972242</c:v>
                </c:pt>
                <c:pt idx="9">
                  <c:v>319289.33488435659</c:v>
                </c:pt>
                <c:pt idx="10">
                  <c:v>353891.15880227013</c:v>
                </c:pt>
                <c:pt idx="11">
                  <c:v>376934.98174632859</c:v>
                </c:pt>
                <c:pt idx="12">
                  <c:v>394441.19824881444</c:v>
                </c:pt>
                <c:pt idx="13">
                  <c:v>402717.34265171667</c:v>
                </c:pt>
                <c:pt idx="14">
                  <c:v>426972.4</c:v>
                </c:pt>
                <c:pt idx="15">
                  <c:v>445087.9</c:v>
                </c:pt>
                <c:pt idx="16">
                  <c:v>468772.8</c:v>
                </c:pt>
                <c:pt idx="17">
                  <c:v>485926.3</c:v>
                </c:pt>
                <c:pt idx="18">
                  <c:v>494359</c:v>
                </c:pt>
                <c:pt idx="19">
                  <c:v>504783.2</c:v>
                </c:pt>
                <c:pt idx="20">
                  <c:v>520876.5</c:v>
                </c:pt>
                <c:pt idx="21">
                  <c:v>526198.4</c:v>
                </c:pt>
                <c:pt idx="22">
                  <c:v>533665</c:v>
                </c:pt>
                <c:pt idx="23">
                  <c:v>548938.30000000005</c:v>
                </c:pt>
                <c:pt idx="24">
                  <c:v>563249.19999999995</c:v>
                </c:pt>
                <c:pt idx="25">
                  <c:v>576320.6</c:v>
                </c:pt>
                <c:pt idx="26">
                  <c:v>588222.4</c:v>
                </c:pt>
                <c:pt idx="27">
                  <c:v>606659.1</c:v>
                </c:pt>
                <c:pt idx="28">
                  <c:v>621474.5</c:v>
                </c:pt>
                <c:pt idx="29">
                  <c:v>606961.6</c:v>
                </c:pt>
                <c:pt idx="30">
                  <c:v>614506.5</c:v>
                </c:pt>
                <c:pt idx="31">
                  <c:v>619486.6</c:v>
                </c:pt>
                <c:pt idx="32">
                  <c:v>619843.9</c:v>
                </c:pt>
                <c:pt idx="33">
                  <c:v>637446</c:v>
                </c:pt>
                <c:pt idx="34">
                  <c:v>656684.1</c:v>
                </c:pt>
                <c:pt idx="35">
                  <c:v>662351.19999999995</c:v>
                </c:pt>
                <c:pt idx="36">
                  <c:v>667259.69999999995</c:v>
                </c:pt>
                <c:pt idx="37">
                  <c:v>680584.1</c:v>
                </c:pt>
                <c:pt idx="38">
                  <c:v>693402.8</c:v>
                </c:pt>
                <c:pt idx="39">
                  <c:v>717992.6</c:v>
                </c:pt>
                <c:pt idx="40">
                  <c:v>718087</c:v>
                </c:pt>
              </c:numCache>
            </c:numRef>
          </c:val>
          <c:smooth val="0"/>
          <c:extLst>
            <c:ext xmlns:c16="http://schemas.microsoft.com/office/drawing/2014/chart" uri="{C3380CC4-5D6E-409C-BE32-E72D297353CC}">
              <c16:uniqueId val="{00000005-E475-4C68-BB89-DC2B137F98EC}"/>
            </c:ext>
          </c:extLst>
        </c:ser>
        <c:dLbls>
          <c:showLegendKey val="0"/>
          <c:showVal val="0"/>
          <c:showCatName val="0"/>
          <c:showSerName val="0"/>
          <c:showPercent val="0"/>
          <c:showBubbleSize val="0"/>
        </c:dLbls>
        <c:smooth val="0"/>
        <c:axId val="1197532736"/>
        <c:axId val="1197519840"/>
      </c:lineChart>
      <c:catAx>
        <c:axId val="1197532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197519840"/>
        <c:crosses val="autoZero"/>
        <c:auto val="1"/>
        <c:lblAlgn val="ctr"/>
        <c:lblOffset val="100"/>
        <c:noMultiLvlLbl val="0"/>
      </c:catAx>
      <c:valAx>
        <c:axId val="119751984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197532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'★固定資本ストック（建物・構築物）図9-12'!$DR$4</c:f>
              <c:strCache>
                <c:ptCount val="1"/>
                <c:pt idx="0">
                  <c:v>民間住宅</c:v>
                </c:pt>
              </c:strCache>
            </c:strRef>
          </c:tx>
          <c:spPr>
            <a:ln w="28575" cap="rnd">
              <a:solidFill>
                <a:schemeClr val="accent1"/>
              </a:solidFill>
              <a:round/>
            </a:ln>
            <a:effectLst/>
          </c:spPr>
          <c:marker>
            <c:symbol val="none"/>
          </c:marker>
          <c:cat>
            <c:numRef>
              <c:f>'★固定資本ストック（建物・構築物）図9-12'!$DQ$7:$DQ$46</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'★固定資本ストック（建物・構築物）図9-12'!$DR$7:$DR$46</c:f>
              <c:numCache>
                <c:formatCode>0.0%</c:formatCode>
                <c:ptCount val="40"/>
                <c:pt idx="0">
                  <c:v>6.7176377409059018E-2</c:v>
                </c:pt>
                <c:pt idx="1">
                  <c:v>6.6493832763886276E-2</c:v>
                </c:pt>
                <c:pt idx="2">
                  <c:v>6.5845062749538497E-2</c:v>
                </c:pt>
                <c:pt idx="3">
                  <c:v>6.5119044445582391E-2</c:v>
                </c:pt>
                <c:pt idx="4">
                  <c:v>6.455948557656864E-2</c:v>
                </c:pt>
                <c:pt idx="5">
                  <c:v>6.3938102503632605E-2</c:v>
                </c:pt>
                <c:pt idx="6">
                  <c:v>6.3366381853562026E-2</c:v>
                </c:pt>
                <c:pt idx="7">
                  <c:v>6.277524496570934E-2</c:v>
                </c:pt>
                <c:pt idx="8">
                  <c:v>6.1693696675348027E-2</c:v>
                </c:pt>
                <c:pt idx="9">
                  <c:v>6.0591385530528036E-2</c:v>
                </c:pt>
                <c:pt idx="10">
                  <c:v>6.0102156575655895E-2</c:v>
                </c:pt>
                <c:pt idx="11">
                  <c:v>5.929938447064672E-2</c:v>
                </c:pt>
                <c:pt idx="12">
                  <c:v>5.8766692234675427E-2</c:v>
                </c:pt>
                <c:pt idx="13">
                  <c:v>5.8231978724943657E-2</c:v>
                </c:pt>
                <c:pt idx="14">
                  <c:v>6.7309934763864043E-2</c:v>
                </c:pt>
                <c:pt idx="15">
                  <c:v>5.9273775580987412E-2</c:v>
                </c:pt>
                <c:pt idx="16">
                  <c:v>5.8817471790130742E-2</c:v>
                </c:pt>
                <c:pt idx="17">
                  <c:v>5.8461414712192378E-2</c:v>
                </c:pt>
                <c:pt idx="18">
                  <c:v>5.8099220865391897E-2</c:v>
                </c:pt>
                <c:pt idx="19">
                  <c:v>5.7682309847271802E-2</c:v>
                </c:pt>
                <c:pt idx="20">
                  <c:v>5.7279998035833703E-2</c:v>
                </c:pt>
                <c:pt idx="21">
                  <c:v>5.696081591952868E-2</c:v>
                </c:pt>
                <c:pt idx="22">
                  <c:v>5.664357853980153E-2</c:v>
                </c:pt>
                <c:pt idx="23">
                  <c:v>5.6364066591953019E-2</c:v>
                </c:pt>
                <c:pt idx="24">
                  <c:v>5.6113827512644723E-2</c:v>
                </c:pt>
                <c:pt idx="25">
                  <c:v>5.5878093029962307E-2</c:v>
                </c:pt>
                <c:pt idx="26">
                  <c:v>5.5730236009973545E-2</c:v>
                </c:pt>
                <c:pt idx="27">
                  <c:v>5.5511518607420138E-2</c:v>
                </c:pt>
                <c:pt idx="28">
                  <c:v>5.5352874815505923E-2</c:v>
                </c:pt>
                <c:pt idx="29">
                  <c:v>5.520841585784593E-2</c:v>
                </c:pt>
                <c:pt idx="30">
                  <c:v>6.1989079996156174E-2</c:v>
                </c:pt>
                <c:pt idx="31">
                  <c:v>5.4955186320887112E-2</c:v>
                </c:pt>
                <c:pt idx="32">
                  <c:v>5.485136275807994E-2</c:v>
                </c:pt>
                <c:pt idx="33">
                  <c:v>5.4864894461287991E-2</c:v>
                </c:pt>
                <c:pt idx="34">
                  <c:v>5.4788173674722503E-2</c:v>
                </c:pt>
                <c:pt idx="35">
                  <c:v>5.5639122801436743E-2</c:v>
                </c:pt>
                <c:pt idx="36">
                  <c:v>5.4658242366173546E-2</c:v>
                </c:pt>
                <c:pt idx="37">
                  <c:v>5.4568687376374131E-2</c:v>
                </c:pt>
                <c:pt idx="38">
                  <c:v>5.4486477354463325E-2</c:v>
                </c:pt>
                <c:pt idx="39">
                  <c:v>5.442814023208857E-2</c:v>
                </c:pt>
              </c:numCache>
            </c:numRef>
          </c:val>
          <c:smooth val="0"/>
          <c:extLst>
            <c:ext xmlns:c16="http://schemas.microsoft.com/office/drawing/2014/chart" uri="{C3380CC4-5D6E-409C-BE32-E72D297353CC}">
              <c16:uniqueId val="{00000000-0414-4E34-9550-5BB0FAB4527F}"/>
            </c:ext>
          </c:extLst>
        </c:ser>
        <c:ser>
          <c:idx val="1"/>
          <c:order val="1"/>
          <c:tx>
            <c:strRef>
              <c:f>'★固定資本ストック（建物・構築物）図9-12'!$DS$4</c:f>
              <c:strCache>
                <c:ptCount val="1"/>
                <c:pt idx="0">
                  <c:v>公的住宅</c:v>
                </c:pt>
              </c:strCache>
            </c:strRef>
          </c:tx>
          <c:spPr>
            <a:ln w="28575" cap="rnd">
              <a:solidFill>
                <a:schemeClr val="accent2"/>
              </a:solidFill>
              <a:round/>
            </a:ln>
            <a:effectLst/>
          </c:spPr>
          <c:marker>
            <c:symbol val="none"/>
          </c:marker>
          <c:cat>
            <c:numRef>
              <c:f>'★固定資本ストック（建物・構築物）図9-12'!$DQ$7:$DQ$46</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'★固定資本ストック（建物・構築物）図9-12'!$DS$7:$DS$46</c:f>
              <c:numCache>
                <c:formatCode>0.0%</c:formatCode>
                <c:ptCount val="40"/>
                <c:pt idx="0">
                  <c:v>5.5747886060988835E-2</c:v>
                </c:pt>
                <c:pt idx="1">
                  <c:v>5.5190894699400278E-2</c:v>
                </c:pt>
                <c:pt idx="2">
                  <c:v>5.5064675981717735E-2</c:v>
                </c:pt>
                <c:pt idx="3">
                  <c:v>5.4403768931519984E-2</c:v>
                </c:pt>
                <c:pt idx="4">
                  <c:v>5.3872672131760641E-2</c:v>
                </c:pt>
                <c:pt idx="5">
                  <c:v>5.3764086158244441E-2</c:v>
                </c:pt>
                <c:pt idx="6">
                  <c:v>5.3112256394089154E-2</c:v>
                </c:pt>
                <c:pt idx="7">
                  <c:v>5.2918101544799818E-2</c:v>
                </c:pt>
                <c:pt idx="8">
                  <c:v>5.3067262470544531E-2</c:v>
                </c:pt>
                <c:pt idx="9">
                  <c:v>5.3608093592266377E-2</c:v>
                </c:pt>
                <c:pt idx="10">
                  <c:v>5.2847891060700029E-2</c:v>
                </c:pt>
                <c:pt idx="11">
                  <c:v>5.2659774521034458E-2</c:v>
                </c:pt>
                <c:pt idx="12">
                  <c:v>5.2853028824003973E-2</c:v>
                </c:pt>
                <c:pt idx="13">
                  <c:v>5.2352623784869615E-2</c:v>
                </c:pt>
                <c:pt idx="14">
                  <c:v>6.1883171657528428E-2</c:v>
                </c:pt>
                <c:pt idx="15">
                  <c:v>5.3798753192823484E-2</c:v>
                </c:pt>
                <c:pt idx="16">
                  <c:v>5.3660284224354052E-2</c:v>
                </c:pt>
                <c:pt idx="17">
                  <c:v>5.3432276629233076E-2</c:v>
                </c:pt>
                <c:pt idx="18">
                  <c:v>5.3173526593877807E-2</c:v>
                </c:pt>
                <c:pt idx="19">
                  <c:v>5.2920553639048622E-2</c:v>
                </c:pt>
                <c:pt idx="20">
                  <c:v>5.277330533193323E-2</c:v>
                </c:pt>
                <c:pt idx="21">
                  <c:v>5.276802491758642E-2</c:v>
                </c:pt>
                <c:pt idx="22">
                  <c:v>5.2765818045675747E-2</c:v>
                </c:pt>
                <c:pt idx="23">
                  <c:v>5.2761397142209114E-2</c:v>
                </c:pt>
                <c:pt idx="24">
                  <c:v>5.2722463251649102E-2</c:v>
                </c:pt>
                <c:pt idx="25">
                  <c:v>5.2681526182596847E-2</c:v>
                </c:pt>
                <c:pt idx="26">
                  <c:v>5.2663486384416577E-2</c:v>
                </c:pt>
                <c:pt idx="27">
                  <c:v>5.265861933902042E-2</c:v>
                </c:pt>
                <c:pt idx="28">
                  <c:v>5.2598334768877486E-2</c:v>
                </c:pt>
                <c:pt idx="29">
                  <c:v>5.2388306143495968E-2</c:v>
                </c:pt>
                <c:pt idx="30">
                  <c:v>5.8180086172443433E-2</c:v>
                </c:pt>
                <c:pt idx="31">
                  <c:v>5.2406459413951785E-2</c:v>
                </c:pt>
                <c:pt idx="32">
                  <c:v>5.2495173157537746E-2</c:v>
                </c:pt>
                <c:pt idx="33">
                  <c:v>5.2628475048063755E-2</c:v>
                </c:pt>
                <c:pt idx="34">
                  <c:v>5.2648784227950704E-2</c:v>
                </c:pt>
                <c:pt idx="35">
                  <c:v>5.3279643448181056E-2</c:v>
                </c:pt>
                <c:pt idx="36">
                  <c:v>5.2651169492339507E-2</c:v>
                </c:pt>
                <c:pt idx="37">
                  <c:v>5.2737177460541247E-2</c:v>
                </c:pt>
                <c:pt idx="38">
                  <c:v>5.280633972325427E-2</c:v>
                </c:pt>
                <c:pt idx="39">
                  <c:v>5.2959560326233973E-2</c:v>
                </c:pt>
              </c:numCache>
            </c:numRef>
          </c:val>
          <c:smooth val="0"/>
          <c:extLst>
            <c:ext xmlns:c16="http://schemas.microsoft.com/office/drawing/2014/chart" uri="{C3380CC4-5D6E-409C-BE32-E72D297353CC}">
              <c16:uniqueId val="{00000001-0414-4E34-9550-5BB0FAB4527F}"/>
            </c:ext>
          </c:extLst>
        </c:ser>
        <c:ser>
          <c:idx val="2"/>
          <c:order val="2"/>
          <c:tx>
            <c:strRef>
              <c:f>'★固定資本ストック（建物・構築物）図9-12'!$DT$4</c:f>
              <c:strCache>
                <c:ptCount val="1"/>
                <c:pt idx="0">
                  <c:v>民間非住宅</c:v>
                </c:pt>
              </c:strCache>
            </c:strRef>
          </c:tx>
          <c:spPr>
            <a:ln w="28575" cap="rnd">
              <a:solidFill>
                <a:schemeClr val="accent3"/>
              </a:solidFill>
              <a:round/>
            </a:ln>
            <a:effectLst/>
          </c:spPr>
          <c:marker>
            <c:symbol val="none"/>
          </c:marker>
          <c:cat>
            <c:numRef>
              <c:f>'★固定資本ストック（建物・構築物）図9-12'!$DQ$7:$DQ$46</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'★固定資本ストック（建物・構築物）図9-12'!$DT$7:$DT$46</c:f>
              <c:numCache>
                <c:formatCode>0.0%</c:formatCode>
                <c:ptCount val="40"/>
                <c:pt idx="0">
                  <c:v>9.1266779846848042E-2</c:v>
                </c:pt>
                <c:pt idx="1">
                  <c:v>8.9936165639628279E-2</c:v>
                </c:pt>
                <c:pt idx="2">
                  <c:v>8.9964189085448218E-2</c:v>
                </c:pt>
                <c:pt idx="3">
                  <c:v>9.009098089776621E-2</c:v>
                </c:pt>
                <c:pt idx="4">
                  <c:v>8.9977895239317401E-2</c:v>
                </c:pt>
                <c:pt idx="5">
                  <c:v>9.0393723591106617E-2</c:v>
                </c:pt>
                <c:pt idx="6">
                  <c:v>9.0798777778701295E-2</c:v>
                </c:pt>
                <c:pt idx="7">
                  <c:v>9.2587715985963354E-2</c:v>
                </c:pt>
                <c:pt idx="8">
                  <c:v>9.2741830223716196E-2</c:v>
                </c:pt>
                <c:pt idx="9">
                  <c:v>9.320621355264129E-2</c:v>
                </c:pt>
                <c:pt idx="10">
                  <c:v>9.1551892275867741E-2</c:v>
                </c:pt>
                <c:pt idx="11">
                  <c:v>8.9213513674577846E-2</c:v>
                </c:pt>
                <c:pt idx="12">
                  <c:v>8.3700468677823575E-2</c:v>
                </c:pt>
                <c:pt idx="13">
                  <c:v>8.4265093060075527E-2</c:v>
                </c:pt>
                <c:pt idx="14">
                  <c:v>8.1080417102814661E-2</c:v>
                </c:pt>
                <c:pt idx="15">
                  <c:v>7.5917077794249888E-2</c:v>
                </c:pt>
                <c:pt idx="16">
                  <c:v>7.5908002358416118E-2</c:v>
                </c:pt>
                <c:pt idx="17">
                  <c:v>7.7277235834631752E-2</c:v>
                </c:pt>
                <c:pt idx="18">
                  <c:v>7.6645511236821562E-2</c:v>
                </c:pt>
                <c:pt idx="19">
                  <c:v>7.7506266425815457E-2</c:v>
                </c:pt>
                <c:pt idx="20">
                  <c:v>7.7645955136139061E-2</c:v>
                </c:pt>
                <c:pt idx="21">
                  <c:v>7.7801424104519942E-2</c:v>
                </c:pt>
                <c:pt idx="22">
                  <c:v>7.7948606185485367E-2</c:v>
                </c:pt>
                <c:pt idx="23">
                  <c:v>7.798425594257552E-2</c:v>
                </c:pt>
                <c:pt idx="24">
                  <c:v>7.7815152711546695E-2</c:v>
                </c:pt>
                <c:pt idx="25">
                  <c:v>7.8203966298171043E-2</c:v>
                </c:pt>
                <c:pt idx="26">
                  <c:v>7.833704226956123E-2</c:v>
                </c:pt>
                <c:pt idx="27">
                  <c:v>7.8466370116962017E-2</c:v>
                </c:pt>
                <c:pt idx="28">
                  <c:v>7.8605772995661571E-2</c:v>
                </c:pt>
                <c:pt idx="29">
                  <c:v>7.8686891059911057E-2</c:v>
                </c:pt>
                <c:pt idx="30">
                  <c:v>8.4137288361754214E-2</c:v>
                </c:pt>
                <c:pt idx="31">
                  <c:v>7.887472648369781E-2</c:v>
                </c:pt>
                <c:pt idx="32">
                  <c:v>7.9004623486505124E-2</c:v>
                </c:pt>
                <c:pt idx="33">
                  <c:v>7.9128941801710845E-2</c:v>
                </c:pt>
                <c:pt idx="34">
                  <c:v>7.9236334646206136E-2</c:v>
                </c:pt>
                <c:pt idx="35">
                  <c:v>7.8854015434082242E-2</c:v>
                </c:pt>
                <c:pt idx="36">
                  <c:v>7.944668206359505E-2</c:v>
                </c:pt>
                <c:pt idx="37">
                  <c:v>7.9197300573476792E-2</c:v>
                </c:pt>
                <c:pt idx="38">
                  <c:v>7.9545460852191538E-2</c:v>
                </c:pt>
                <c:pt idx="39">
                  <c:v>7.9618451984674057E-2</c:v>
                </c:pt>
              </c:numCache>
            </c:numRef>
          </c:val>
          <c:smooth val="0"/>
          <c:extLst>
            <c:ext xmlns:c16="http://schemas.microsoft.com/office/drawing/2014/chart" uri="{C3380CC4-5D6E-409C-BE32-E72D297353CC}">
              <c16:uniqueId val="{00000002-0414-4E34-9550-5BB0FAB4527F}"/>
            </c:ext>
          </c:extLst>
        </c:ser>
        <c:ser>
          <c:idx val="3"/>
          <c:order val="3"/>
          <c:tx>
            <c:strRef>
              <c:f>'★固定資本ストック（建物・構築物）図9-12'!$DU$4</c:f>
              <c:strCache>
                <c:ptCount val="1"/>
                <c:pt idx="0">
                  <c:v>公的非住宅</c:v>
                </c:pt>
              </c:strCache>
            </c:strRef>
          </c:tx>
          <c:spPr>
            <a:ln w="28575" cap="rnd">
              <a:solidFill>
                <a:schemeClr val="accent4"/>
              </a:solidFill>
              <a:round/>
            </a:ln>
            <a:effectLst/>
          </c:spPr>
          <c:marker>
            <c:symbol val="none"/>
          </c:marker>
          <c:cat>
            <c:numRef>
              <c:f>'★固定資本ストック（建物・構築物）図9-12'!$DQ$7:$DQ$46</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'★固定資本ストック（建物・構築物）図9-12'!$DU$7:$DU$46</c:f>
              <c:numCache>
                <c:formatCode>0.0%</c:formatCode>
                <c:ptCount val="40"/>
                <c:pt idx="0">
                  <c:v>9.8614775676655372E-2</c:v>
                </c:pt>
                <c:pt idx="1">
                  <c:v>9.5205262268062543E-2</c:v>
                </c:pt>
                <c:pt idx="2">
                  <c:v>9.3271274414957014E-2</c:v>
                </c:pt>
                <c:pt idx="3">
                  <c:v>9.3502132766136226E-2</c:v>
                </c:pt>
                <c:pt idx="4">
                  <c:v>9.1349702564741828E-2</c:v>
                </c:pt>
                <c:pt idx="5">
                  <c:v>9.0942419534101385E-2</c:v>
                </c:pt>
                <c:pt idx="6">
                  <c:v>9.1253455304448478E-2</c:v>
                </c:pt>
                <c:pt idx="7">
                  <c:v>8.9152103741788516E-2</c:v>
                </c:pt>
                <c:pt idx="8">
                  <c:v>9.0641852560912561E-2</c:v>
                </c:pt>
                <c:pt idx="9">
                  <c:v>9.0033533760010317E-2</c:v>
                </c:pt>
                <c:pt idx="10">
                  <c:v>9.3920848188273898E-2</c:v>
                </c:pt>
                <c:pt idx="11">
                  <c:v>9.7421094365672034E-2</c:v>
                </c:pt>
                <c:pt idx="12">
                  <c:v>0.1075745189562911</c:v>
                </c:pt>
                <c:pt idx="13">
                  <c:v>9.6115671341781561E-2</c:v>
                </c:pt>
                <c:pt idx="14">
                  <c:v>9.6543757789464127E-2</c:v>
                </c:pt>
                <c:pt idx="15">
                  <c:v>9.2106764001368802E-2</c:v>
                </c:pt>
                <c:pt idx="16">
                  <c:v>9.1889191311074092E-2</c:v>
                </c:pt>
                <c:pt idx="17">
                  <c:v>8.5731616774716968E-2</c:v>
                </c:pt>
                <c:pt idx="18">
                  <c:v>8.906183023594752E-2</c:v>
                </c:pt>
                <c:pt idx="19">
                  <c:v>8.4720132524810296E-2</c:v>
                </c:pt>
                <c:pt idx="20">
                  <c:v>8.4189150760645426E-2</c:v>
                </c:pt>
                <c:pt idx="21">
                  <c:v>8.4283943979016174E-2</c:v>
                </c:pt>
                <c:pt idx="22">
                  <c:v>8.4201206460400788E-2</c:v>
                </c:pt>
                <c:pt idx="23">
                  <c:v>8.3596556178713213E-2</c:v>
                </c:pt>
                <c:pt idx="24">
                  <c:v>8.4620737927009609E-2</c:v>
                </c:pt>
                <c:pt idx="25">
                  <c:v>8.3017809276714455E-2</c:v>
                </c:pt>
                <c:pt idx="26">
                  <c:v>8.2711148188361755E-2</c:v>
                </c:pt>
                <c:pt idx="27">
                  <c:v>8.2764053359505124E-2</c:v>
                </c:pt>
                <c:pt idx="28">
                  <c:v>8.4863368892936566E-2</c:v>
                </c:pt>
                <c:pt idx="29">
                  <c:v>8.5173888420667671E-2</c:v>
                </c:pt>
                <c:pt idx="30">
                  <c:v>8.4873989207736547E-2</c:v>
                </c:pt>
                <c:pt idx="31">
                  <c:v>7.7955706362272489E-2</c:v>
                </c:pt>
                <c:pt idx="32">
                  <c:v>7.8063168016568762E-2</c:v>
                </c:pt>
                <c:pt idx="33">
                  <c:v>7.8199106637654586E-2</c:v>
                </c:pt>
                <c:pt idx="34">
                  <c:v>7.8269921312328641E-2</c:v>
                </c:pt>
                <c:pt idx="35">
                  <c:v>8.0087103798693382E-2</c:v>
                </c:pt>
                <c:pt idx="36">
                  <c:v>7.7785028516260526E-2</c:v>
                </c:pt>
                <c:pt idx="37">
                  <c:v>7.895146131525041E-2</c:v>
                </c:pt>
                <c:pt idx="38">
                  <c:v>7.7625409183402605E-2</c:v>
                </c:pt>
                <c:pt idx="39">
                  <c:v>7.7538286635865469E-2</c:v>
                </c:pt>
              </c:numCache>
            </c:numRef>
          </c:val>
          <c:smooth val="0"/>
          <c:extLst>
            <c:ext xmlns:c16="http://schemas.microsoft.com/office/drawing/2014/chart" uri="{C3380CC4-5D6E-409C-BE32-E72D297353CC}">
              <c16:uniqueId val="{00000003-0414-4E34-9550-5BB0FAB4527F}"/>
            </c:ext>
          </c:extLst>
        </c:ser>
        <c:ser>
          <c:idx val="4"/>
          <c:order val="4"/>
          <c:tx>
            <c:strRef>
              <c:f>'★固定資本ストック（建物・構築物）図9-12'!$DV$4</c:f>
              <c:strCache>
                <c:ptCount val="1"/>
                <c:pt idx="0">
                  <c:v>民間土木</c:v>
                </c:pt>
              </c:strCache>
            </c:strRef>
          </c:tx>
          <c:spPr>
            <a:ln w="28575" cap="rnd">
              <a:solidFill>
                <a:schemeClr val="accent5"/>
              </a:solidFill>
              <a:round/>
            </a:ln>
            <a:effectLst/>
          </c:spPr>
          <c:marker>
            <c:symbol val="none"/>
          </c:marker>
          <c:cat>
            <c:numRef>
              <c:f>'★固定資本ストック（建物・構築物）図9-12'!$DQ$7:$DQ$46</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'★固定資本ストック（建物・構築物）図9-12'!$DV$7:$DV$46</c:f>
              <c:numCache>
                <c:formatCode>0.0%</c:formatCode>
                <c:ptCount val="40"/>
                <c:pt idx="0">
                  <c:v>3.0879630340097979E-2</c:v>
                </c:pt>
                <c:pt idx="1">
                  <c:v>3.0518773535519808E-2</c:v>
                </c:pt>
                <c:pt idx="2">
                  <c:v>2.9834027080733017E-2</c:v>
                </c:pt>
                <c:pt idx="3">
                  <c:v>3.0036739301081264E-2</c:v>
                </c:pt>
                <c:pt idx="4">
                  <c:v>3.0533153118177118E-2</c:v>
                </c:pt>
                <c:pt idx="5">
                  <c:v>3.0748096792599964E-2</c:v>
                </c:pt>
                <c:pt idx="6">
                  <c:v>3.1007070183194711E-2</c:v>
                </c:pt>
                <c:pt idx="7">
                  <c:v>3.0432509134689534E-2</c:v>
                </c:pt>
                <c:pt idx="8">
                  <c:v>3.173528036954338E-2</c:v>
                </c:pt>
                <c:pt idx="9">
                  <c:v>3.1915668024254336E-2</c:v>
                </c:pt>
                <c:pt idx="10">
                  <c:v>3.2588949708049986E-2</c:v>
                </c:pt>
                <c:pt idx="11">
                  <c:v>3.0716857287511289E-2</c:v>
                </c:pt>
                <c:pt idx="12">
                  <c:v>-2.489095261437747E-2</c:v>
                </c:pt>
                <c:pt idx="13">
                  <c:v>3.238712778389017E-2</c:v>
                </c:pt>
                <c:pt idx="14">
                  <c:v>3.4061366520202974E-2</c:v>
                </c:pt>
                <c:pt idx="15">
                  <c:v>1.3747784334402834E-2</c:v>
                </c:pt>
                <c:pt idx="16">
                  <c:v>2.0182317668838112E-2</c:v>
                </c:pt>
                <c:pt idx="17">
                  <c:v>3.1191757438197305E-2</c:v>
                </c:pt>
                <c:pt idx="18">
                  <c:v>2.0161228626190551E-2</c:v>
                </c:pt>
                <c:pt idx="19">
                  <c:v>3.1114724846018422E-2</c:v>
                </c:pt>
                <c:pt idx="20">
                  <c:v>3.1240531681730747E-2</c:v>
                </c:pt>
                <c:pt idx="21">
                  <c:v>3.1122093730979943E-2</c:v>
                </c:pt>
                <c:pt idx="22">
                  <c:v>3.1207517487346941E-2</c:v>
                </c:pt>
                <c:pt idx="23">
                  <c:v>2.7209290076671572E-2</c:v>
                </c:pt>
                <c:pt idx="24">
                  <c:v>3.1486704772562192E-2</c:v>
                </c:pt>
                <c:pt idx="25">
                  <c:v>3.1613498898419835E-2</c:v>
                </c:pt>
                <c:pt idx="26">
                  <c:v>3.1607492984057316E-2</c:v>
                </c:pt>
                <c:pt idx="27">
                  <c:v>3.1587548982772641E-2</c:v>
                </c:pt>
                <c:pt idx="28">
                  <c:v>3.1492232549938048E-2</c:v>
                </c:pt>
                <c:pt idx="29">
                  <c:v>3.1718534070819558E-2</c:v>
                </c:pt>
                <c:pt idx="30">
                  <c:v>3.779428912852828E-2</c:v>
                </c:pt>
                <c:pt idx="31">
                  <c:v>3.1727004225331069E-2</c:v>
                </c:pt>
                <c:pt idx="32">
                  <c:v>3.1735605059789791E-2</c:v>
                </c:pt>
                <c:pt idx="33">
                  <c:v>3.1789682372542975E-2</c:v>
                </c:pt>
                <c:pt idx="34">
                  <c:v>3.178375941818027E-2</c:v>
                </c:pt>
                <c:pt idx="35">
                  <c:v>2.7517427244575919E-2</c:v>
                </c:pt>
                <c:pt idx="36">
                  <c:v>3.1854710796235704E-2</c:v>
                </c:pt>
                <c:pt idx="37">
                  <c:v>2.7546407231109415E-2</c:v>
                </c:pt>
                <c:pt idx="38">
                  <c:v>3.2062954333484682E-2</c:v>
                </c:pt>
                <c:pt idx="39">
                  <c:v>3.2082986014633663E-2</c:v>
                </c:pt>
              </c:numCache>
            </c:numRef>
          </c:val>
          <c:smooth val="0"/>
          <c:extLst>
            <c:ext xmlns:c16="http://schemas.microsoft.com/office/drawing/2014/chart" uri="{C3380CC4-5D6E-409C-BE32-E72D297353CC}">
              <c16:uniqueId val="{00000004-0414-4E34-9550-5BB0FAB4527F}"/>
            </c:ext>
          </c:extLst>
        </c:ser>
        <c:ser>
          <c:idx val="5"/>
          <c:order val="5"/>
          <c:tx>
            <c:strRef>
              <c:f>'★固定資本ストック（建物・構築物）図9-12'!$DW$4</c:f>
              <c:strCache>
                <c:ptCount val="1"/>
                <c:pt idx="0">
                  <c:v>公的土木</c:v>
                </c:pt>
              </c:strCache>
            </c:strRef>
          </c:tx>
          <c:spPr>
            <a:ln w="28575" cap="rnd">
              <a:solidFill>
                <a:schemeClr val="accent6"/>
              </a:solidFill>
              <a:round/>
            </a:ln>
            <a:effectLst/>
          </c:spPr>
          <c:marker>
            <c:symbol val="none"/>
          </c:marker>
          <c:cat>
            <c:numRef>
              <c:f>'★固定資本ストック（建物・構築物）図9-12'!$DQ$7:$DQ$46</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'★固定資本ストック（建物・構築物）図9-12'!$DW$7:$DW$46</c:f>
              <c:numCache>
                <c:formatCode>0.0%</c:formatCode>
                <c:ptCount val="40"/>
                <c:pt idx="0">
                  <c:v>2.3351243568580822E-2</c:v>
                </c:pt>
                <c:pt idx="1">
                  <c:v>2.3340347419774993E-2</c:v>
                </c:pt>
                <c:pt idx="2">
                  <c:v>2.3224627619545631E-2</c:v>
                </c:pt>
                <c:pt idx="3">
                  <c:v>2.3289348824125106E-2</c:v>
                </c:pt>
                <c:pt idx="4">
                  <c:v>2.3289473547462802E-2</c:v>
                </c:pt>
                <c:pt idx="5">
                  <c:v>2.2953132853941363E-2</c:v>
                </c:pt>
                <c:pt idx="6">
                  <c:v>2.2646328579460046E-2</c:v>
                </c:pt>
                <c:pt idx="7">
                  <c:v>2.2592787434800001E-2</c:v>
                </c:pt>
                <c:pt idx="8">
                  <c:v>2.2470089515126E-2</c:v>
                </c:pt>
                <c:pt idx="9">
                  <c:v>2.212755667772924E-2</c:v>
                </c:pt>
                <c:pt idx="10">
                  <c:v>2.2145642052592202E-2</c:v>
                </c:pt>
                <c:pt idx="11">
                  <c:v>2.2337041208286966E-2</c:v>
                </c:pt>
                <c:pt idx="12">
                  <c:v>4.4025995364453202E-2</c:v>
                </c:pt>
                <c:pt idx="13">
                  <c:v>2.0933453332304591E-2</c:v>
                </c:pt>
                <c:pt idx="14">
                  <c:v>2.3755713461986201E-2</c:v>
                </c:pt>
                <c:pt idx="15">
                  <c:v>2.7686250347022309E-2</c:v>
                </c:pt>
                <c:pt idx="16">
                  <c:v>2.5123643595089871E-2</c:v>
                </c:pt>
                <c:pt idx="17">
                  <c:v>2.0743232848347906E-2</c:v>
                </c:pt>
                <c:pt idx="18">
                  <c:v>2.4710060260361561E-2</c:v>
                </c:pt>
                <c:pt idx="19">
                  <c:v>2.0417159187027797E-2</c:v>
                </c:pt>
                <c:pt idx="20">
                  <c:v>2.0315572006869287E-2</c:v>
                </c:pt>
                <c:pt idx="21">
                  <c:v>2.0214678249788575E-2</c:v>
                </c:pt>
                <c:pt idx="22">
                  <c:v>2.0120018463369315E-2</c:v>
                </c:pt>
                <c:pt idx="23">
                  <c:v>2.1446076064126279E-2</c:v>
                </c:pt>
                <c:pt idx="24">
                  <c:v>1.9933861565700168E-2</c:v>
                </c:pt>
                <c:pt idx="25">
                  <c:v>1.9854096065324865E-2</c:v>
                </c:pt>
                <c:pt idx="26">
                  <c:v>1.9777872750595466E-2</c:v>
                </c:pt>
                <c:pt idx="27">
                  <c:v>1.970478143299563E-2</c:v>
                </c:pt>
                <c:pt idx="28">
                  <c:v>1.9621689894556704E-2</c:v>
                </c:pt>
                <c:pt idx="29">
                  <c:v>1.954291975238549E-2</c:v>
                </c:pt>
                <c:pt idx="30">
                  <c:v>2.4231300177784916E-2</c:v>
                </c:pt>
                <c:pt idx="31">
                  <c:v>1.9407119558682635E-2</c:v>
                </c:pt>
                <c:pt idx="32">
                  <c:v>1.9363682758315483E-2</c:v>
                </c:pt>
                <c:pt idx="33">
                  <c:v>1.9353521872621886E-2</c:v>
                </c:pt>
                <c:pt idx="34">
                  <c:v>1.930338104898404E-2</c:v>
                </c:pt>
                <c:pt idx="35">
                  <c:v>2.0861138320576619E-2</c:v>
                </c:pt>
                <c:pt idx="36">
                  <c:v>1.9138237981153178E-2</c:v>
                </c:pt>
                <c:pt idx="37">
                  <c:v>2.0442529584431907E-2</c:v>
                </c:pt>
                <c:pt idx="38">
                  <c:v>1.9003051271863004E-2</c:v>
                </c:pt>
                <c:pt idx="39">
                  <c:v>1.8976693327050816E-2</c:v>
                </c:pt>
              </c:numCache>
            </c:numRef>
          </c:val>
          <c:smooth val="0"/>
          <c:extLst>
            <c:ext xmlns:c16="http://schemas.microsoft.com/office/drawing/2014/chart" uri="{C3380CC4-5D6E-409C-BE32-E72D297353CC}">
              <c16:uniqueId val="{00000005-0414-4E34-9550-5BB0FAB4527F}"/>
            </c:ext>
          </c:extLst>
        </c:ser>
        <c:dLbls>
          <c:showLegendKey val="0"/>
          <c:showVal val="0"/>
          <c:showCatName val="0"/>
          <c:showSerName val="0"/>
          <c:showPercent val="0"/>
          <c:showBubbleSize val="0"/>
        </c:dLbls>
        <c:smooth val="0"/>
        <c:axId val="582510816"/>
        <c:axId val="582509984"/>
      </c:lineChart>
      <c:catAx>
        <c:axId val="5825108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82509984"/>
        <c:crosses val="autoZero"/>
        <c:auto val="1"/>
        <c:lblAlgn val="ctr"/>
        <c:lblOffset val="100"/>
        <c:noMultiLvlLbl val="0"/>
      </c:catAx>
      <c:valAx>
        <c:axId val="5825099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82510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★図4!$B$1</c:f>
              <c:strCache>
                <c:ptCount val="1"/>
                <c:pt idx="0">
                  <c:v>CPI上昇率（成長実現ケース）</c:v>
                </c:pt>
              </c:strCache>
            </c:strRef>
          </c:tx>
          <c:spPr>
            <a:ln w="28575" cap="rnd">
              <a:solidFill>
                <a:schemeClr val="accent1"/>
              </a:solidFill>
              <a:round/>
            </a:ln>
            <a:effectLst/>
          </c:spPr>
          <c:marker>
            <c:symbol val="none"/>
          </c:marker>
          <c:cat>
            <c:numRef>
              <c:f>★図4!$A$2:$A$31</c:f>
              <c:numCache>
                <c:formatCode>General</c:formatCode>
                <c:ptCount val="3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numCache>
            </c:numRef>
          </c:cat>
          <c:val>
            <c:numRef>
              <c:f>★図4!$B$2:$B$31</c:f>
              <c:numCache>
                <c:formatCode>#,##0.0;[Red]\-#,##0.0</c:formatCode>
                <c:ptCount val="30"/>
                <c:pt idx="0">
                  <c:v>-0.6</c:v>
                </c:pt>
                <c:pt idx="1">
                  <c:v>-0.2</c:v>
                </c:pt>
                <c:pt idx="2">
                  <c:v>-0.1</c:v>
                </c:pt>
                <c:pt idx="3">
                  <c:v>-0.1</c:v>
                </c:pt>
                <c:pt idx="4">
                  <c:v>0.2</c:v>
                </c:pt>
                <c:pt idx="5">
                  <c:v>0.4</c:v>
                </c:pt>
                <c:pt idx="6">
                  <c:v>1.1000000000000001</c:v>
                </c:pt>
                <c:pt idx="7">
                  <c:v>-1.7</c:v>
                </c:pt>
                <c:pt idx="8">
                  <c:v>-0.4</c:v>
                </c:pt>
                <c:pt idx="9">
                  <c:v>-0.1</c:v>
                </c:pt>
                <c:pt idx="10">
                  <c:v>-0.3</c:v>
                </c:pt>
                <c:pt idx="11">
                  <c:v>0.9</c:v>
                </c:pt>
                <c:pt idx="12">
                  <c:v>2.9</c:v>
                </c:pt>
                <c:pt idx="13">
                  <c:v>0.2</c:v>
                </c:pt>
                <c:pt idx="14">
                  <c:v>-0.1</c:v>
                </c:pt>
                <c:pt idx="15">
                  <c:v>0.7</c:v>
                </c:pt>
                <c:pt idx="16">
                  <c:v>0.7</c:v>
                </c:pt>
                <c:pt idx="17">
                  <c:v>0.5</c:v>
                </c:pt>
                <c:pt idx="18">
                  <c:v>-0.2</c:v>
                </c:pt>
                <c:pt idx="19">
                  <c:v>-0.1</c:v>
                </c:pt>
                <c:pt idx="20">
                  <c:v>0.9</c:v>
                </c:pt>
                <c:pt idx="21">
                  <c:v>1.1000000000000001</c:v>
                </c:pt>
                <c:pt idx="22">
                  <c:v>1.6</c:v>
                </c:pt>
                <c:pt idx="23">
                  <c:v>1.9</c:v>
                </c:pt>
                <c:pt idx="24">
                  <c:v>2</c:v>
                </c:pt>
                <c:pt idx="25">
                  <c:v>2</c:v>
                </c:pt>
                <c:pt idx="26">
                  <c:v>2</c:v>
                </c:pt>
                <c:pt idx="27">
                  <c:v>2</c:v>
                </c:pt>
                <c:pt idx="28">
                  <c:v>2</c:v>
                </c:pt>
                <c:pt idx="29">
                  <c:v>2</c:v>
                </c:pt>
              </c:numCache>
            </c:numRef>
          </c:val>
          <c:smooth val="0"/>
          <c:extLst>
            <c:ext xmlns:c16="http://schemas.microsoft.com/office/drawing/2014/chart" uri="{C3380CC4-5D6E-409C-BE32-E72D297353CC}">
              <c16:uniqueId val="{00000000-7D9C-4046-A2AC-A34D9BC4C8E6}"/>
            </c:ext>
          </c:extLst>
        </c:ser>
        <c:ser>
          <c:idx val="3"/>
          <c:order val="1"/>
          <c:tx>
            <c:strRef>
              <c:f>★図4!$C$1</c:f>
              <c:strCache>
                <c:ptCount val="1"/>
                <c:pt idx="0">
                  <c:v>CPI上昇率（ベースラインケース）</c:v>
                </c:pt>
              </c:strCache>
            </c:strRef>
          </c:tx>
          <c:spPr>
            <a:ln w="28575" cap="rnd">
              <a:solidFill>
                <a:schemeClr val="accent2"/>
              </a:solidFill>
              <a:prstDash val="solid"/>
              <a:round/>
            </a:ln>
            <a:effectLst/>
          </c:spPr>
          <c:marker>
            <c:symbol val="none"/>
          </c:marker>
          <c:cat>
            <c:numRef>
              <c:f>★図4!$A$2:$A$31</c:f>
              <c:numCache>
                <c:formatCode>General</c:formatCode>
                <c:ptCount val="3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numCache>
            </c:numRef>
          </c:cat>
          <c:val>
            <c:numRef>
              <c:f>★図4!$C$2:$C$31</c:f>
              <c:numCache>
                <c:formatCode>#,##0.0;[Red]\-#,##0.0</c:formatCode>
                <c:ptCount val="30"/>
                <c:pt idx="0">
                  <c:v>-0.6</c:v>
                </c:pt>
                <c:pt idx="1">
                  <c:v>-0.2</c:v>
                </c:pt>
                <c:pt idx="2">
                  <c:v>-0.1</c:v>
                </c:pt>
                <c:pt idx="3">
                  <c:v>-0.1</c:v>
                </c:pt>
                <c:pt idx="4">
                  <c:v>0.2</c:v>
                </c:pt>
                <c:pt idx="5">
                  <c:v>0.4</c:v>
                </c:pt>
                <c:pt idx="6">
                  <c:v>1.1000000000000001</c:v>
                </c:pt>
                <c:pt idx="7">
                  <c:v>-1.7</c:v>
                </c:pt>
                <c:pt idx="8">
                  <c:v>-0.4</c:v>
                </c:pt>
                <c:pt idx="9">
                  <c:v>-0.1</c:v>
                </c:pt>
                <c:pt idx="10">
                  <c:v>-0.3</c:v>
                </c:pt>
                <c:pt idx="11">
                  <c:v>0.9</c:v>
                </c:pt>
                <c:pt idx="12">
                  <c:v>2.9</c:v>
                </c:pt>
                <c:pt idx="13">
                  <c:v>0.2</c:v>
                </c:pt>
                <c:pt idx="14">
                  <c:v>-0.1</c:v>
                </c:pt>
                <c:pt idx="15">
                  <c:v>0.7</c:v>
                </c:pt>
                <c:pt idx="16">
                  <c:v>0.7</c:v>
                </c:pt>
                <c:pt idx="17">
                  <c:v>0.5</c:v>
                </c:pt>
                <c:pt idx="18">
                  <c:v>-0.2</c:v>
                </c:pt>
                <c:pt idx="19">
                  <c:v>-0.1</c:v>
                </c:pt>
                <c:pt idx="20">
                  <c:v>0.9</c:v>
                </c:pt>
                <c:pt idx="21">
                  <c:v>0.6</c:v>
                </c:pt>
                <c:pt idx="22">
                  <c:v>0.6</c:v>
                </c:pt>
                <c:pt idx="23">
                  <c:v>0.7</c:v>
                </c:pt>
                <c:pt idx="24">
                  <c:v>0.7</c:v>
                </c:pt>
                <c:pt idx="25">
                  <c:v>0.7</c:v>
                </c:pt>
                <c:pt idx="26">
                  <c:v>0.7</c:v>
                </c:pt>
                <c:pt idx="27">
                  <c:v>0.7</c:v>
                </c:pt>
                <c:pt idx="28">
                  <c:v>0.7</c:v>
                </c:pt>
                <c:pt idx="29">
                  <c:v>0.7</c:v>
                </c:pt>
              </c:numCache>
            </c:numRef>
          </c:val>
          <c:smooth val="0"/>
          <c:extLst>
            <c:ext xmlns:c16="http://schemas.microsoft.com/office/drawing/2014/chart" uri="{C3380CC4-5D6E-409C-BE32-E72D297353CC}">
              <c16:uniqueId val="{00000002-7D9C-4046-A2AC-A34D9BC4C8E6}"/>
            </c:ext>
          </c:extLst>
        </c:ser>
        <c:ser>
          <c:idx val="6"/>
          <c:order val="2"/>
          <c:tx>
            <c:strRef>
              <c:f>★図4!$D$1</c:f>
              <c:strCache>
                <c:ptCount val="1"/>
                <c:pt idx="0">
                  <c:v>現実CPI上昇率</c:v>
                </c:pt>
              </c:strCache>
            </c:strRef>
          </c:tx>
          <c:spPr>
            <a:ln w="28575" cap="rnd">
              <a:solidFill>
                <a:schemeClr val="tx1"/>
              </a:solidFill>
              <a:round/>
            </a:ln>
            <a:effectLst/>
          </c:spPr>
          <c:marker>
            <c:symbol val="none"/>
          </c:marker>
          <c:cat>
            <c:numRef>
              <c:f>★図4!$A$2:$A$31</c:f>
              <c:numCache>
                <c:formatCode>General</c:formatCode>
                <c:ptCount val="3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numCache>
            </c:numRef>
          </c:cat>
          <c:val>
            <c:numRef>
              <c:f>★図4!$D$2:$D$31</c:f>
              <c:numCache>
                <c:formatCode>#,##0.0;[Red]\-#,##0.0</c:formatCode>
                <c:ptCount val="30"/>
                <c:pt idx="0">
                  <c:v>-0.6</c:v>
                </c:pt>
                <c:pt idx="1">
                  <c:v>-0.2</c:v>
                </c:pt>
                <c:pt idx="2">
                  <c:v>-0.1</c:v>
                </c:pt>
                <c:pt idx="3">
                  <c:v>-0.1</c:v>
                </c:pt>
                <c:pt idx="4">
                  <c:v>0.2</c:v>
                </c:pt>
                <c:pt idx="5">
                  <c:v>0.4</c:v>
                </c:pt>
                <c:pt idx="6">
                  <c:v>1.1000000000000001</c:v>
                </c:pt>
                <c:pt idx="7">
                  <c:v>-1.7</c:v>
                </c:pt>
                <c:pt idx="8">
                  <c:v>-0.4</c:v>
                </c:pt>
                <c:pt idx="9">
                  <c:v>-0.1</c:v>
                </c:pt>
                <c:pt idx="10">
                  <c:v>-0.3</c:v>
                </c:pt>
                <c:pt idx="11">
                  <c:v>0.9</c:v>
                </c:pt>
                <c:pt idx="12">
                  <c:v>2.9</c:v>
                </c:pt>
                <c:pt idx="13">
                  <c:v>0.2</c:v>
                </c:pt>
                <c:pt idx="14">
                  <c:v>-0.1</c:v>
                </c:pt>
                <c:pt idx="15">
                  <c:v>0.7</c:v>
                </c:pt>
                <c:pt idx="16">
                  <c:v>0.7</c:v>
                </c:pt>
                <c:pt idx="17">
                  <c:v>0.5</c:v>
                </c:pt>
                <c:pt idx="18">
                  <c:v>-0.2</c:v>
                </c:pt>
                <c:pt idx="19">
                  <c:v>-0.1</c:v>
                </c:pt>
                <c:pt idx="20">
                  <c:v>0.9</c:v>
                </c:pt>
              </c:numCache>
            </c:numRef>
          </c:val>
          <c:smooth val="0"/>
          <c:extLst>
            <c:ext xmlns:c16="http://schemas.microsoft.com/office/drawing/2014/chart" uri="{C3380CC4-5D6E-409C-BE32-E72D297353CC}">
              <c16:uniqueId val="{00000004-7D9C-4046-A2AC-A34D9BC4C8E6}"/>
            </c:ext>
          </c:extLst>
        </c:ser>
        <c:dLbls>
          <c:showLegendKey val="0"/>
          <c:showVal val="0"/>
          <c:showCatName val="0"/>
          <c:showSerName val="0"/>
          <c:showPercent val="0"/>
          <c:showBubbleSize val="0"/>
        </c:dLbls>
        <c:smooth val="0"/>
        <c:axId val="811729376"/>
        <c:axId val="811723136"/>
        <c:extLst/>
      </c:lineChart>
      <c:catAx>
        <c:axId val="8117293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811723136"/>
        <c:crosses val="autoZero"/>
        <c:auto val="1"/>
        <c:lblAlgn val="ctr"/>
        <c:lblOffset val="100"/>
        <c:noMultiLvlLbl val="0"/>
      </c:catAx>
      <c:valAx>
        <c:axId val="811723136"/>
        <c:scaling>
          <c:orientation val="minMax"/>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811729376"/>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'★固定資本ストック（建物・構築物）図9-12'!$EW$4:$EW$5</c:f>
              <c:strCache>
                <c:ptCount val="2"/>
                <c:pt idx="0">
                  <c:v>民間住宅</c:v>
                </c:pt>
                <c:pt idx="1">
                  <c:v>%</c:v>
                </c:pt>
              </c:strCache>
            </c:strRef>
          </c:tx>
          <c:spPr>
            <a:ln w="28575" cap="rnd">
              <a:solidFill>
                <a:schemeClr val="accent1"/>
              </a:solidFill>
              <a:round/>
            </a:ln>
            <a:effectLst/>
          </c:spPr>
          <c:marker>
            <c:symbol val="none"/>
          </c:marker>
          <c:cat>
            <c:numRef>
              <c:f>'★固定資本ストック（建物・構築物）図9-12'!$EV$6:$EV$46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'★固定資本ストック（建物・構築物）図9-12'!$EW$6:$EW$46</c:f>
              <c:numCache>
                <c:formatCode>0.0%</c:formatCode>
                <c:ptCount val="41"/>
                <c:pt idx="0">
                  <c:v>0.68632780317849285</c:v>
                </c:pt>
                <c:pt idx="1">
                  <c:v>0.6734083930808944</c:v>
                </c:pt>
                <c:pt idx="2">
                  <c:v>0.67219833904819104</c:v>
                </c:pt>
                <c:pt idx="3">
                  <c:v>0.65243089982607949</c:v>
                </c:pt>
                <c:pt idx="4">
                  <c:v>0.64418250309178926</c:v>
                </c:pt>
                <c:pt idx="5">
                  <c:v>0.62631277313682887</c:v>
                </c:pt>
                <c:pt idx="6">
                  <c:v>0.59853349053641547</c:v>
                </c:pt>
                <c:pt idx="7">
                  <c:v>0.61765117264259894</c:v>
                </c:pt>
                <c:pt idx="8">
                  <c:v>0.62540027170711143</c:v>
                </c:pt>
                <c:pt idx="9">
                  <c:v>0.65844348546424614</c:v>
                </c:pt>
                <c:pt idx="10">
                  <c:v>0.67829689874259047</c:v>
                </c:pt>
                <c:pt idx="11">
                  <c:v>0.67358899205969491</c:v>
                </c:pt>
                <c:pt idx="12">
                  <c:v>0.67067963326565583</c:v>
                </c:pt>
                <c:pt idx="13">
                  <c:v>0.67863016877685323</c:v>
                </c:pt>
                <c:pt idx="14">
                  <c:v>0.68952905261744546</c:v>
                </c:pt>
                <c:pt idx="15">
                  <c:v>0.685259447464454</c:v>
                </c:pt>
                <c:pt idx="16">
                  <c:v>0.71136484228439623</c:v>
                </c:pt>
                <c:pt idx="17">
                  <c:v>0.71156324807458571</c:v>
                </c:pt>
                <c:pt idx="18">
                  <c:v>0.69786301126529215</c:v>
                </c:pt>
                <c:pt idx="19">
                  <c:v>0.69953973138783332</c:v>
                </c:pt>
                <c:pt idx="20">
                  <c:v>0.70764000218894518</c:v>
                </c:pt>
                <c:pt idx="21">
                  <c:v>0.70320658289161408</c:v>
                </c:pt>
                <c:pt idx="22">
                  <c:v>0.70148450070517632</c:v>
                </c:pt>
                <c:pt idx="23">
                  <c:v>0.71051104970794055</c:v>
                </c:pt>
                <c:pt idx="24">
                  <c:v>0.71794799668833209</c:v>
                </c:pt>
                <c:pt idx="25">
                  <c:v>0.72591534445188088</c:v>
                </c:pt>
                <c:pt idx="26">
                  <c:v>0.7458499901526654</c:v>
                </c:pt>
                <c:pt idx="27">
                  <c:v>0.76059365040571569</c:v>
                </c:pt>
                <c:pt idx="28">
                  <c:v>0.77662137326888236</c:v>
                </c:pt>
                <c:pt idx="29">
                  <c:v>0.748587993980665</c:v>
                </c:pt>
                <c:pt idx="30">
                  <c:v>0.75512037154625267</c:v>
                </c:pt>
                <c:pt idx="31">
                  <c:v>0.75207004438043779</c:v>
                </c:pt>
                <c:pt idx="32">
                  <c:v>0.7428232532034087</c:v>
                </c:pt>
                <c:pt idx="33">
                  <c:v>0.76121608918880779</c:v>
                </c:pt>
                <c:pt idx="34">
                  <c:v>0.75999657158387146</c:v>
                </c:pt>
                <c:pt idx="35">
                  <c:v>0.73617922195377483</c:v>
                </c:pt>
                <c:pt idx="36">
                  <c:v>0.72535686596813975</c:v>
                </c:pt>
                <c:pt idx="37">
                  <c:v>0.73266932140965102</c:v>
                </c:pt>
                <c:pt idx="38">
                  <c:v>0.73206060089111169</c:v>
                </c:pt>
                <c:pt idx="39">
                  <c:v>0.74067866602016297</c:v>
                </c:pt>
                <c:pt idx="40">
                  <c:v>0.72022617704848813</c:v>
                </c:pt>
              </c:numCache>
            </c:numRef>
          </c:val>
          <c:smooth val="0"/>
          <c:extLst>
            <c:ext xmlns:c16="http://schemas.microsoft.com/office/drawing/2014/chart" uri="{C3380CC4-5D6E-409C-BE32-E72D297353CC}">
              <c16:uniqueId val="{00000000-94B8-4C16-8AFD-253451F25453}"/>
            </c:ext>
          </c:extLst>
        </c:ser>
        <c:ser>
          <c:idx val="1"/>
          <c:order val="1"/>
          <c:tx>
            <c:strRef>
              <c:f>'★固定資本ストック（建物・構築物）図9-12'!$EX$4:$EX$5</c:f>
              <c:strCache>
                <c:ptCount val="2"/>
                <c:pt idx="0">
                  <c:v>公的住宅</c:v>
                </c:pt>
                <c:pt idx="1">
                  <c:v>%</c:v>
                </c:pt>
              </c:strCache>
            </c:strRef>
          </c:tx>
          <c:spPr>
            <a:ln w="28575" cap="rnd">
              <a:solidFill>
                <a:schemeClr val="accent2"/>
              </a:solidFill>
              <a:round/>
            </a:ln>
            <a:effectLst/>
          </c:spPr>
          <c:marker>
            <c:symbol val="none"/>
          </c:marker>
          <c:cat>
            <c:numRef>
              <c:f>'★固定資本ストック（建物・構築物）図9-12'!$EV$6:$EV$46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'★固定資本ストック（建物・構築物）図9-12'!$EX$6:$EX$46</c:f>
              <c:numCache>
                <c:formatCode>0.0%</c:formatCode>
                <c:ptCount val="41"/>
                <c:pt idx="0">
                  <c:v>4.0311102860704551E-2</c:v>
                </c:pt>
                <c:pt idx="1">
                  <c:v>3.9427715859800407E-2</c:v>
                </c:pt>
                <c:pt idx="2">
                  <c:v>3.9195056406339412E-2</c:v>
                </c:pt>
                <c:pt idx="3">
                  <c:v>3.8305954801347665E-2</c:v>
                </c:pt>
                <c:pt idx="4">
                  <c:v>3.7732045124926734E-2</c:v>
                </c:pt>
                <c:pt idx="5">
                  <c:v>3.634926613026309E-2</c:v>
                </c:pt>
                <c:pt idx="6">
                  <c:v>3.4145832065781867E-2</c:v>
                </c:pt>
                <c:pt idx="7">
                  <c:v>3.3825465770642375E-2</c:v>
                </c:pt>
                <c:pt idx="8">
                  <c:v>3.2969161348911924E-2</c:v>
                </c:pt>
                <c:pt idx="9">
                  <c:v>3.3474842733942946E-2</c:v>
                </c:pt>
                <c:pt idx="10">
                  <c:v>3.4073104200816107E-2</c:v>
                </c:pt>
                <c:pt idx="11">
                  <c:v>3.3446832598986384E-2</c:v>
                </c:pt>
                <c:pt idx="12">
                  <c:v>3.3014679822307366E-2</c:v>
                </c:pt>
                <c:pt idx="13">
                  <c:v>3.3399413874539916E-2</c:v>
                </c:pt>
                <c:pt idx="14">
                  <c:v>3.3884032231515114E-2</c:v>
                </c:pt>
                <c:pt idx="15">
                  <c:v>3.42705524301039E-2</c:v>
                </c:pt>
                <c:pt idx="16">
                  <c:v>3.5639648137909687E-2</c:v>
                </c:pt>
                <c:pt idx="17">
                  <c:v>3.6261833878090032E-2</c:v>
                </c:pt>
                <c:pt idx="18">
                  <c:v>3.589654563097603E-2</c:v>
                </c:pt>
                <c:pt idx="19">
                  <c:v>3.6160413611910087E-2</c:v>
                </c:pt>
                <c:pt idx="20">
                  <c:v>3.6490021902525822E-2</c:v>
                </c:pt>
                <c:pt idx="21">
                  <c:v>3.6062975932274734E-2</c:v>
                </c:pt>
                <c:pt idx="22">
                  <c:v>3.5725298853890537E-2</c:v>
                </c:pt>
                <c:pt idx="23">
                  <c:v>3.5839875137555953E-2</c:v>
                </c:pt>
                <c:pt idx="24">
                  <c:v>3.5778453720044678E-2</c:v>
                </c:pt>
                <c:pt idx="25">
                  <c:v>3.546740940547094E-2</c:v>
                </c:pt>
                <c:pt idx="26">
                  <c:v>3.543924512239284E-2</c:v>
                </c:pt>
                <c:pt idx="27">
                  <c:v>3.5353968065298717E-2</c:v>
                </c:pt>
                <c:pt idx="28">
                  <c:v>3.5404336068210633E-2</c:v>
                </c:pt>
                <c:pt idx="29">
                  <c:v>3.36064730479591E-2</c:v>
                </c:pt>
                <c:pt idx="30">
                  <c:v>3.3630209526386734E-2</c:v>
                </c:pt>
                <c:pt idx="31">
                  <c:v>3.3150556971781417E-2</c:v>
                </c:pt>
                <c:pt idx="32">
                  <c:v>3.2095336687349034E-2</c:v>
                </c:pt>
                <c:pt idx="33">
                  <c:v>3.232950285492095E-2</c:v>
                </c:pt>
                <c:pt idx="34">
                  <c:v>3.2177838750527647E-2</c:v>
                </c:pt>
                <c:pt idx="35">
                  <c:v>3.1109842290137593E-2</c:v>
                </c:pt>
                <c:pt idx="36">
                  <c:v>3.0575545874952186E-2</c:v>
                </c:pt>
                <c:pt idx="37">
                  <c:v>3.0518632983349392E-2</c:v>
                </c:pt>
                <c:pt idx="38">
                  <c:v>3.0239040054014614E-2</c:v>
                </c:pt>
                <c:pt idx="39">
                  <c:v>3.0160446216520514E-2</c:v>
                </c:pt>
                <c:pt idx="40">
                  <c:v>2.8902501768076655E-2</c:v>
                </c:pt>
              </c:numCache>
            </c:numRef>
          </c:val>
          <c:smooth val="0"/>
          <c:extLst>
            <c:ext xmlns:c16="http://schemas.microsoft.com/office/drawing/2014/chart" uri="{C3380CC4-5D6E-409C-BE32-E72D297353CC}">
              <c16:uniqueId val="{00000001-94B8-4C16-8AFD-253451F25453}"/>
            </c:ext>
          </c:extLst>
        </c:ser>
        <c:ser>
          <c:idx val="2"/>
          <c:order val="2"/>
          <c:tx>
            <c:strRef>
              <c:f>'★固定資本ストック（建物・構築物）図9-12'!$EY$4:$EY$5</c:f>
              <c:strCache>
                <c:ptCount val="2"/>
                <c:pt idx="0">
                  <c:v>民間非住宅</c:v>
                </c:pt>
                <c:pt idx="1">
                  <c:v>%</c:v>
                </c:pt>
              </c:strCache>
            </c:strRef>
          </c:tx>
          <c:spPr>
            <a:ln w="28575" cap="rnd">
              <a:solidFill>
                <a:schemeClr val="accent3"/>
              </a:solidFill>
              <a:round/>
            </a:ln>
            <a:effectLst/>
          </c:spPr>
          <c:marker>
            <c:symbol val="none"/>
          </c:marker>
          <c:cat>
            <c:numRef>
              <c:f>'★固定資本ストック（建物・構築物）図9-12'!$EV$6:$EV$46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'★固定資本ストック（建物・構築物）図9-12'!$EY$6:$EY$46</c:f>
              <c:numCache>
                <c:formatCode>0.0%</c:formatCode>
                <c:ptCount val="41"/>
                <c:pt idx="0">
                  <c:v>0.38723249149883437</c:v>
                </c:pt>
                <c:pt idx="1">
                  <c:v>0.38179598797004577</c:v>
                </c:pt>
                <c:pt idx="2">
                  <c:v>0.37919613546881403</c:v>
                </c:pt>
                <c:pt idx="3">
                  <c:v>0.36994046633402916</c:v>
                </c:pt>
                <c:pt idx="4">
                  <c:v>0.36814924435575064</c:v>
                </c:pt>
                <c:pt idx="5">
                  <c:v>0.35980795601486842</c:v>
                </c:pt>
                <c:pt idx="6">
                  <c:v>0.34456755910265918</c:v>
                </c:pt>
                <c:pt idx="7">
                  <c:v>0.35063694434771059</c:v>
                </c:pt>
                <c:pt idx="8">
                  <c:v>0.36026297957171499</c:v>
                </c:pt>
                <c:pt idx="9">
                  <c:v>0.37457403050874949</c:v>
                </c:pt>
                <c:pt idx="10">
                  <c:v>0.39880132071699537</c:v>
                </c:pt>
                <c:pt idx="11">
                  <c:v>0.40666704479593196</c:v>
                </c:pt>
                <c:pt idx="12">
                  <c:v>0.40561193904863796</c:v>
                </c:pt>
                <c:pt idx="13">
                  <c:v>0.39504281570489003</c:v>
                </c:pt>
                <c:pt idx="14">
                  <c:v>0.3833364202067619</c:v>
                </c:pt>
                <c:pt idx="15">
                  <c:v>0.37433591078451767</c:v>
                </c:pt>
                <c:pt idx="16">
                  <c:v>0.37705155013769648</c:v>
                </c:pt>
                <c:pt idx="17">
                  <c:v>0.36782519933017549</c:v>
                </c:pt>
                <c:pt idx="18">
                  <c:v>0.35701862357580855</c:v>
                </c:pt>
                <c:pt idx="19">
                  <c:v>0.35281302153370225</c:v>
                </c:pt>
                <c:pt idx="20">
                  <c:v>0.35471053721234841</c:v>
                </c:pt>
                <c:pt idx="21">
                  <c:v>0.3477085765758513</c:v>
                </c:pt>
                <c:pt idx="22">
                  <c:v>0.34210622318885398</c:v>
                </c:pt>
                <c:pt idx="23">
                  <c:v>0.34256092139872502</c:v>
                </c:pt>
                <c:pt idx="24">
                  <c:v>0.34149749499859178</c:v>
                </c:pt>
                <c:pt idx="25">
                  <c:v>0.34319807870417318</c:v>
                </c:pt>
                <c:pt idx="26">
                  <c:v>0.3485251742342903</c:v>
                </c:pt>
                <c:pt idx="27">
                  <c:v>0.35311389947035104</c:v>
                </c:pt>
                <c:pt idx="28">
                  <c:v>0.3582798289883859</c:v>
                </c:pt>
                <c:pt idx="29">
                  <c:v>0.34286034221632428</c:v>
                </c:pt>
                <c:pt idx="30">
                  <c:v>0.34378335554761674</c:v>
                </c:pt>
                <c:pt idx="31">
                  <c:v>0.34278694675975763</c:v>
                </c:pt>
                <c:pt idx="32">
                  <c:v>0.33812924809186157</c:v>
                </c:pt>
                <c:pt idx="33">
                  <c:v>0.34313518049713326</c:v>
                </c:pt>
                <c:pt idx="34">
                  <c:v>0.33581062699133207</c:v>
                </c:pt>
                <c:pt idx="35">
                  <c:v>0.32798514141251367</c:v>
                </c:pt>
                <c:pt idx="36">
                  <c:v>0.32444149233803959</c:v>
                </c:pt>
                <c:pt idx="37">
                  <c:v>0.32982871899369515</c:v>
                </c:pt>
                <c:pt idx="38">
                  <c:v>0.33511405663697841</c:v>
                </c:pt>
                <c:pt idx="39">
                  <c:v>0.33786647452994789</c:v>
                </c:pt>
                <c:pt idx="40">
                  <c:v>0.33028472370620082</c:v>
                </c:pt>
              </c:numCache>
            </c:numRef>
          </c:val>
          <c:smooth val="0"/>
          <c:extLst>
            <c:ext xmlns:c16="http://schemas.microsoft.com/office/drawing/2014/chart" uri="{C3380CC4-5D6E-409C-BE32-E72D297353CC}">
              <c16:uniqueId val="{00000002-94B8-4C16-8AFD-253451F25453}"/>
            </c:ext>
          </c:extLst>
        </c:ser>
        <c:ser>
          <c:idx val="3"/>
          <c:order val="3"/>
          <c:tx>
            <c:strRef>
              <c:f>'★固定資本ストック（建物・構築物）図9-12'!$EZ$4:$EZ$5</c:f>
              <c:strCache>
                <c:ptCount val="2"/>
                <c:pt idx="0">
                  <c:v>公的非住宅</c:v>
                </c:pt>
                <c:pt idx="1">
                  <c:v>%</c:v>
                </c:pt>
              </c:strCache>
            </c:strRef>
          </c:tx>
          <c:spPr>
            <a:ln w="28575" cap="rnd">
              <a:solidFill>
                <a:schemeClr val="accent4"/>
              </a:solidFill>
              <a:round/>
            </a:ln>
            <a:effectLst/>
          </c:spPr>
          <c:marker>
            <c:symbol val="none"/>
          </c:marker>
          <c:cat>
            <c:numRef>
              <c:f>'★固定資本ストック（建物・構築物）図9-12'!$EV$6:$EV$46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'★固定資本ストック（建物・構築物）図9-12'!$EZ$6:$EZ$46</c:f>
              <c:numCache>
                <c:formatCode>0.0%</c:formatCode>
                <c:ptCount val="41"/>
                <c:pt idx="0">
                  <c:v>0.10193296080933689</c:v>
                </c:pt>
                <c:pt idx="1">
                  <c:v>0.10255547248951299</c:v>
                </c:pt>
                <c:pt idx="2">
                  <c:v>0.10302291708369989</c:v>
                </c:pt>
                <c:pt idx="3">
                  <c:v>0.10034935331096867</c:v>
                </c:pt>
                <c:pt idx="4">
                  <c:v>9.9448746172792993E-2</c:v>
                </c:pt>
                <c:pt idx="5">
                  <c:v>9.547381422397444E-2</c:v>
                </c:pt>
                <c:pt idx="6">
                  <c:v>8.9030067330948356E-2</c:v>
                </c:pt>
                <c:pt idx="7">
                  <c:v>8.7848571748369353E-2</c:v>
                </c:pt>
                <c:pt idx="8">
                  <c:v>8.4887032544567503E-2</c:v>
                </c:pt>
                <c:pt idx="9">
                  <c:v>8.4706316340773524E-2</c:v>
                </c:pt>
                <c:pt idx="10">
                  <c:v>8.4528219649430136E-2</c:v>
                </c:pt>
                <c:pt idx="11">
                  <c:v>8.3788978191063179E-2</c:v>
                </c:pt>
                <c:pt idx="12">
                  <c:v>8.4322697346026293E-2</c:v>
                </c:pt>
                <c:pt idx="13">
                  <c:v>8.5890826623334152E-2</c:v>
                </c:pt>
                <c:pt idx="14">
                  <c:v>8.7775147426358266E-2</c:v>
                </c:pt>
                <c:pt idx="15">
                  <c:v>8.9425201226578682E-2</c:v>
                </c:pt>
                <c:pt idx="16">
                  <c:v>9.1698532065655883E-2</c:v>
                </c:pt>
                <c:pt idx="17">
                  <c:v>9.1210017599265836E-2</c:v>
                </c:pt>
                <c:pt idx="18">
                  <c:v>8.8931509453727076E-2</c:v>
                </c:pt>
                <c:pt idx="19">
                  <c:v>8.8340791626260087E-2</c:v>
                </c:pt>
                <c:pt idx="20">
                  <c:v>8.8561657935477295E-2</c:v>
                </c:pt>
                <c:pt idx="21">
                  <c:v>8.6534797544041323E-2</c:v>
                </c:pt>
                <c:pt idx="22">
                  <c:v>8.5219895297940607E-2</c:v>
                </c:pt>
                <c:pt idx="23">
                  <c:v>8.5268418756391129E-2</c:v>
                </c:pt>
                <c:pt idx="24">
                  <c:v>8.4644992481123477E-2</c:v>
                </c:pt>
                <c:pt idx="25">
                  <c:v>8.3767037810723297E-2</c:v>
                </c:pt>
                <c:pt idx="26">
                  <c:v>8.3397759254906195E-2</c:v>
                </c:pt>
                <c:pt idx="27">
                  <c:v>8.3061619187152103E-2</c:v>
                </c:pt>
                <c:pt idx="28">
                  <c:v>8.2949524443573772E-2</c:v>
                </c:pt>
                <c:pt idx="29">
                  <c:v>8.0039737470359931E-2</c:v>
                </c:pt>
                <c:pt idx="30">
                  <c:v>8.1355490646856987E-2</c:v>
                </c:pt>
                <c:pt idx="31">
                  <c:v>8.1793040249963367E-2</c:v>
                </c:pt>
                <c:pt idx="32">
                  <c:v>8.0475236810172421E-2</c:v>
                </c:pt>
                <c:pt idx="33">
                  <c:v>8.2502141927884506E-2</c:v>
                </c:pt>
                <c:pt idx="34">
                  <c:v>8.3198543978443007E-2</c:v>
                </c:pt>
                <c:pt idx="35">
                  <c:v>8.2194135928270462E-2</c:v>
                </c:pt>
                <c:pt idx="36">
                  <c:v>8.2115954637755645E-2</c:v>
                </c:pt>
                <c:pt idx="37">
                  <c:v>8.3355667515861376E-2</c:v>
                </c:pt>
                <c:pt idx="38">
                  <c:v>8.4381557011780448E-2</c:v>
                </c:pt>
                <c:pt idx="39">
                  <c:v>8.6071842492773387E-2</c:v>
                </c:pt>
                <c:pt idx="40">
                  <c:v>8.4705834039758759E-2</c:v>
                </c:pt>
              </c:numCache>
            </c:numRef>
          </c:val>
          <c:smooth val="0"/>
          <c:extLst>
            <c:ext xmlns:c16="http://schemas.microsoft.com/office/drawing/2014/chart" uri="{C3380CC4-5D6E-409C-BE32-E72D297353CC}">
              <c16:uniqueId val="{00000003-94B8-4C16-8AFD-253451F25453}"/>
            </c:ext>
          </c:extLst>
        </c:ser>
        <c:ser>
          <c:idx val="4"/>
          <c:order val="4"/>
          <c:tx>
            <c:strRef>
              <c:f>'★固定資本ストック（建物・構築物）図9-12'!$FA$4:$FA$5</c:f>
              <c:strCache>
                <c:ptCount val="2"/>
                <c:pt idx="0">
                  <c:v>民間土木</c:v>
                </c:pt>
                <c:pt idx="1">
                  <c:v>%</c:v>
                </c:pt>
              </c:strCache>
            </c:strRef>
          </c:tx>
          <c:spPr>
            <a:ln w="28575" cap="rnd">
              <a:solidFill>
                <a:schemeClr val="accent5"/>
              </a:solidFill>
              <a:round/>
            </a:ln>
            <a:effectLst/>
          </c:spPr>
          <c:marker>
            <c:symbol val="none"/>
          </c:marker>
          <c:cat>
            <c:numRef>
              <c:f>'★固定資本ストック（建物・構築物）図9-12'!$EV$6:$EV$46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'★固定資本ストック（建物・構築物）図9-12'!$FA$6:$FA$46</c:f>
              <c:numCache>
                <c:formatCode>0.0%</c:formatCode>
                <c:ptCount val="41"/>
                <c:pt idx="0">
                  <c:v>0.31920359438729545</c:v>
                </c:pt>
                <c:pt idx="1">
                  <c:v>0.31982749459013848</c:v>
                </c:pt>
                <c:pt idx="2">
                  <c:v>0.31985845943139518</c:v>
                </c:pt>
                <c:pt idx="3">
                  <c:v>0.30751567119870199</c:v>
                </c:pt>
                <c:pt idx="4">
                  <c:v>0.30057726564970721</c:v>
                </c:pt>
                <c:pt idx="5">
                  <c:v>0.29021669537898764</c:v>
                </c:pt>
                <c:pt idx="6">
                  <c:v>0.27517451708953172</c:v>
                </c:pt>
                <c:pt idx="7">
                  <c:v>0.27609047009436238</c:v>
                </c:pt>
                <c:pt idx="8">
                  <c:v>0.27525501891638604</c:v>
                </c:pt>
                <c:pt idx="9">
                  <c:v>0.27644319000475692</c:v>
                </c:pt>
                <c:pt idx="10">
                  <c:v>0.28740687529930736</c:v>
                </c:pt>
                <c:pt idx="11">
                  <c:v>0.29190653990845306</c:v>
                </c:pt>
                <c:pt idx="12">
                  <c:v>0.29394417965248465</c:v>
                </c:pt>
                <c:pt idx="13">
                  <c:v>0.31143427107590432</c:v>
                </c:pt>
                <c:pt idx="14">
                  <c:v>0.31453947135351579</c:v>
                </c:pt>
                <c:pt idx="15">
                  <c:v>0.32039236982938518</c:v>
                </c:pt>
                <c:pt idx="16">
                  <c:v>0.33284149195770202</c:v>
                </c:pt>
                <c:pt idx="17">
                  <c:v>0.33470534420859777</c:v>
                </c:pt>
                <c:pt idx="18">
                  <c:v>0.33238233027783548</c:v>
                </c:pt>
                <c:pt idx="19">
                  <c:v>0.33554030631172121</c:v>
                </c:pt>
                <c:pt idx="20">
                  <c:v>0.34393350014390639</c:v>
                </c:pt>
                <c:pt idx="21">
                  <c:v>0.34252634730978171</c:v>
                </c:pt>
                <c:pt idx="22">
                  <c:v>0.34231604353046174</c:v>
                </c:pt>
                <c:pt idx="23">
                  <c:v>0.34779764130904028</c:v>
                </c:pt>
                <c:pt idx="24">
                  <c:v>0.3550325494346534</c:v>
                </c:pt>
                <c:pt idx="25">
                  <c:v>0.36365821846345914</c:v>
                </c:pt>
                <c:pt idx="26">
                  <c:v>0.37210036022185095</c:v>
                </c:pt>
                <c:pt idx="27">
                  <c:v>0.38138765398492108</c:v>
                </c:pt>
                <c:pt idx="28">
                  <c:v>0.39392535766670611</c:v>
                </c:pt>
                <c:pt idx="29">
                  <c:v>0.38202527668089603</c:v>
                </c:pt>
                <c:pt idx="30">
                  <c:v>0.38862376481265432</c:v>
                </c:pt>
                <c:pt idx="31">
                  <c:v>0.39507360313793033</c:v>
                </c:pt>
                <c:pt idx="32">
                  <c:v>0.39085952916301264</c:v>
                </c:pt>
                <c:pt idx="33">
                  <c:v>0.39500927932854812</c:v>
                </c:pt>
                <c:pt idx="34">
                  <c:v>0.38625311529632178</c:v>
                </c:pt>
                <c:pt idx="35">
                  <c:v>0.37764944595333771</c:v>
                </c:pt>
                <c:pt idx="36">
                  <c:v>0.37384075489111523</c:v>
                </c:pt>
                <c:pt idx="37">
                  <c:v>0.37551080671086817</c:v>
                </c:pt>
                <c:pt idx="38">
                  <c:v>0.37883647004514509</c:v>
                </c:pt>
                <c:pt idx="39">
                  <c:v>0.37947559961553562</c:v>
                </c:pt>
                <c:pt idx="40">
                  <c:v>0.37272342412619097</c:v>
                </c:pt>
              </c:numCache>
            </c:numRef>
          </c:val>
          <c:smooth val="0"/>
          <c:extLst>
            <c:ext xmlns:c16="http://schemas.microsoft.com/office/drawing/2014/chart" uri="{C3380CC4-5D6E-409C-BE32-E72D297353CC}">
              <c16:uniqueId val="{00000004-94B8-4C16-8AFD-253451F25453}"/>
            </c:ext>
          </c:extLst>
        </c:ser>
        <c:ser>
          <c:idx val="5"/>
          <c:order val="5"/>
          <c:tx>
            <c:strRef>
              <c:f>'★固定資本ストック（建物・構築物）図9-12'!$FB$4:$FB$5</c:f>
              <c:strCache>
                <c:ptCount val="2"/>
                <c:pt idx="0">
                  <c:v>公的土木</c:v>
                </c:pt>
                <c:pt idx="1">
                  <c:v>%</c:v>
                </c:pt>
              </c:strCache>
            </c:strRef>
          </c:tx>
          <c:spPr>
            <a:ln w="28575" cap="rnd">
              <a:solidFill>
                <a:schemeClr val="accent6"/>
              </a:solidFill>
              <a:round/>
            </a:ln>
            <a:effectLst/>
          </c:spPr>
          <c:marker>
            <c:symbol val="none"/>
          </c:marker>
          <c:cat>
            <c:numRef>
              <c:f>'★固定資本ストック（建物・構築物）図9-12'!$EV$6:$EV$46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'★固定資本ストック（建物・構築物）図9-12'!$FB$6:$FB$46</c:f>
              <c:numCache>
                <c:formatCode>0.0%</c:formatCode>
                <c:ptCount val="41"/>
                <c:pt idx="0">
                  <c:v>0.71706235084730596</c:v>
                </c:pt>
                <c:pt idx="1">
                  <c:v>0.7277717301294987</c:v>
                </c:pt>
                <c:pt idx="2">
                  <c:v>0.7424096573427017</c:v>
                </c:pt>
                <c:pt idx="3">
                  <c:v>0.74254528817900078</c:v>
                </c:pt>
                <c:pt idx="4">
                  <c:v>0.74722044390827902</c:v>
                </c:pt>
                <c:pt idx="5">
                  <c:v>0.73467242816803169</c:v>
                </c:pt>
                <c:pt idx="6">
                  <c:v>0.71144693830151695</c:v>
                </c:pt>
                <c:pt idx="7">
                  <c:v>0.72640612871981602</c:v>
                </c:pt>
                <c:pt idx="8">
                  <c:v>0.73638032429516598</c:v>
                </c:pt>
                <c:pt idx="9">
                  <c:v>0.75469426169902476</c:v>
                </c:pt>
                <c:pt idx="10">
                  <c:v>0.78481357260183848</c:v>
                </c:pt>
                <c:pt idx="11">
                  <c:v>0.78544276849799732</c:v>
                </c:pt>
                <c:pt idx="12">
                  <c:v>0.7886301600258111</c:v>
                </c:pt>
                <c:pt idx="13">
                  <c:v>0.78468359589801484</c:v>
                </c:pt>
                <c:pt idx="14">
                  <c:v>0.81564284703496337</c:v>
                </c:pt>
                <c:pt idx="15">
                  <c:v>0.84134453843698453</c:v>
                </c:pt>
                <c:pt idx="16">
                  <c:v>0.8787923775786225</c:v>
                </c:pt>
                <c:pt idx="17">
                  <c:v>0.89667593341788909</c:v>
                </c:pt>
                <c:pt idx="18">
                  <c:v>0.90394879639677661</c:v>
                </c:pt>
                <c:pt idx="19">
                  <c:v>0.92722517227359491</c:v>
                </c:pt>
                <c:pt idx="20">
                  <c:v>0.96116729424522207</c:v>
                </c:pt>
                <c:pt idx="21">
                  <c:v>0.97291306844546788</c:v>
                </c:pt>
                <c:pt idx="22">
                  <c:v>0.99004219809117122</c:v>
                </c:pt>
                <c:pt idx="23">
                  <c:v>1.0246065458884368</c:v>
                </c:pt>
                <c:pt idx="24">
                  <c:v>1.0511697460280101</c:v>
                </c:pt>
                <c:pt idx="25">
                  <c:v>1.0779314589093729</c:v>
                </c:pt>
                <c:pt idx="26">
                  <c:v>1.1024288482430451</c:v>
                </c:pt>
                <c:pt idx="27">
                  <c:v>1.1429381816590476</c:v>
                </c:pt>
                <c:pt idx="28">
                  <c:v>1.1821376717002907</c:v>
                </c:pt>
                <c:pt idx="29">
                  <c:v>1.1625681030204971</c:v>
                </c:pt>
                <c:pt idx="30">
                  <c:v>1.197333855754726</c:v>
                </c:pt>
                <c:pt idx="31">
                  <c:v>1.2216658929188504</c:v>
                </c:pt>
                <c:pt idx="32">
                  <c:v>1.2236498132672842</c:v>
                </c:pt>
                <c:pt idx="33">
                  <c:v>1.2518336994294876</c:v>
                </c:pt>
                <c:pt idx="34">
                  <c:v>1.25688798290707</c:v>
                </c:pt>
                <c:pt idx="35">
                  <c:v>1.2310621499861623</c:v>
                </c:pt>
                <c:pt idx="36">
                  <c:v>1.2233072844927828</c:v>
                </c:pt>
                <c:pt idx="37">
                  <c:v>1.2391640682152263</c:v>
                </c:pt>
                <c:pt idx="38">
                  <c:v>1.2527010259686515</c:v>
                </c:pt>
                <c:pt idx="39">
                  <c:v>1.2830222119883001</c:v>
                </c:pt>
                <c:pt idx="40">
                  <c:v>1.2622939433479621</c:v>
                </c:pt>
              </c:numCache>
            </c:numRef>
          </c:val>
          <c:smooth val="0"/>
          <c:extLst>
            <c:ext xmlns:c16="http://schemas.microsoft.com/office/drawing/2014/chart" uri="{C3380CC4-5D6E-409C-BE32-E72D297353CC}">
              <c16:uniqueId val="{00000005-94B8-4C16-8AFD-253451F25453}"/>
            </c:ext>
          </c:extLst>
        </c:ser>
        <c:dLbls>
          <c:showLegendKey val="0"/>
          <c:showVal val="0"/>
          <c:showCatName val="0"/>
          <c:showSerName val="0"/>
          <c:showPercent val="0"/>
          <c:showBubbleSize val="0"/>
        </c:dLbls>
        <c:smooth val="0"/>
        <c:axId val="834430703"/>
        <c:axId val="834428623"/>
      </c:lineChart>
      <c:catAx>
        <c:axId val="8344307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34428623"/>
        <c:crosses val="autoZero"/>
        <c:auto val="1"/>
        <c:lblAlgn val="ctr"/>
        <c:lblOffset val="100"/>
        <c:noMultiLvlLbl val="0"/>
      </c:catAx>
      <c:valAx>
        <c:axId val="83442862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344307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'★固定資本ストック（建物・構築物）図9-12'!$FE$4:$FE$5</c:f>
              <c:strCache>
                <c:ptCount val="2"/>
                <c:pt idx="0">
                  <c:v>民間住宅</c:v>
                </c:pt>
                <c:pt idx="1">
                  <c:v>%</c:v>
                </c:pt>
              </c:strCache>
            </c:strRef>
          </c:tx>
          <c:spPr>
            <a:ln w="28575" cap="rnd">
              <a:solidFill>
                <a:schemeClr val="accent1"/>
              </a:solidFill>
              <a:round/>
            </a:ln>
            <a:effectLst/>
          </c:spPr>
          <c:marker>
            <c:symbol val="none"/>
          </c:marker>
          <c:cat>
            <c:numRef>
              <c:f>'★固定資本ストック（建物・構築物）図9-12'!$FD$6:$FD$46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'★固定資本ストック（建物・構築物）図9-12'!$FE$6:$FE$46</c:f>
              <c:numCache>
                <c:formatCode>0.0%</c:formatCode>
                <c:ptCount val="41"/>
                <c:pt idx="0">
                  <c:v>0.84888657429957715</c:v>
                </c:pt>
                <c:pt idx="1">
                  <c:v>0.84735807875491898</c:v>
                </c:pt>
                <c:pt idx="2">
                  <c:v>0.84275624344859346</c:v>
                </c:pt>
                <c:pt idx="3">
                  <c:v>0.83111582395957018</c:v>
                </c:pt>
                <c:pt idx="4">
                  <c:v>0.81750612637422992</c:v>
                </c:pt>
                <c:pt idx="5">
                  <c:v>0.80215319595109635</c:v>
                </c:pt>
                <c:pt idx="6">
                  <c:v>0.78979216408565811</c:v>
                </c:pt>
                <c:pt idx="7">
                  <c:v>0.78936894385113343</c:v>
                </c:pt>
                <c:pt idx="8">
                  <c:v>0.79689950664427356</c:v>
                </c:pt>
                <c:pt idx="9">
                  <c:v>0.79872968006536504</c:v>
                </c:pt>
                <c:pt idx="10">
                  <c:v>0.80229290911476003</c:v>
                </c:pt>
                <c:pt idx="11">
                  <c:v>0.80280202057280725</c:v>
                </c:pt>
                <c:pt idx="12">
                  <c:v>0.8044981687729198</c:v>
                </c:pt>
                <c:pt idx="13">
                  <c:v>0.80851531537930954</c:v>
                </c:pt>
                <c:pt idx="14">
                  <c:v>0.81727054438266578</c:v>
                </c:pt>
                <c:pt idx="15">
                  <c:v>0.81574357753491777</c:v>
                </c:pt>
                <c:pt idx="16">
                  <c:v>0.8292503633377265</c:v>
                </c:pt>
                <c:pt idx="17">
                  <c:v>0.83604751508319708</c:v>
                </c:pt>
                <c:pt idx="18">
                  <c:v>0.83461590627126192</c:v>
                </c:pt>
                <c:pt idx="19">
                  <c:v>0.83430065725776148</c:v>
                </c:pt>
                <c:pt idx="20">
                  <c:v>0.83380837550619868</c:v>
                </c:pt>
                <c:pt idx="21">
                  <c:v>0.83140627769721043</c:v>
                </c:pt>
                <c:pt idx="22">
                  <c:v>0.82624986243600207</c:v>
                </c:pt>
                <c:pt idx="23">
                  <c:v>0.82137500629922533</c:v>
                </c:pt>
                <c:pt idx="24">
                  <c:v>0.81688592800225257</c:v>
                </c:pt>
                <c:pt idx="25">
                  <c:v>0.81359185426656577</c:v>
                </c:pt>
                <c:pt idx="26">
                  <c:v>0.81300852172059901</c:v>
                </c:pt>
                <c:pt idx="27">
                  <c:v>0.81137527293550638</c:v>
                </c:pt>
                <c:pt idx="28">
                  <c:v>0.80899052290213758</c:v>
                </c:pt>
                <c:pt idx="29">
                  <c:v>0.79999478858167816</c:v>
                </c:pt>
                <c:pt idx="30">
                  <c:v>0.78873269403978696</c:v>
                </c:pt>
                <c:pt idx="31">
                  <c:v>0.7731805134898958</c:v>
                </c:pt>
                <c:pt idx="32">
                  <c:v>0.76304560962290502</c:v>
                </c:pt>
                <c:pt idx="33">
                  <c:v>0.75468901430975333</c:v>
                </c:pt>
                <c:pt idx="34">
                  <c:v>0.74513290864244885</c:v>
                </c:pt>
                <c:pt idx="35">
                  <c:v>0.73611231910722774</c:v>
                </c:pt>
                <c:pt idx="36">
                  <c:v>0.72740289601861075</c:v>
                </c:pt>
                <c:pt idx="37">
                  <c:v>0.72113198795399291</c:v>
                </c:pt>
                <c:pt idx="38">
                  <c:v>0.71242843718746585</c:v>
                </c:pt>
                <c:pt idx="39">
                  <c:v>0.70778265828902143</c:v>
                </c:pt>
                <c:pt idx="40">
                  <c:v>0.69838741418863937</c:v>
                </c:pt>
              </c:numCache>
            </c:numRef>
          </c:val>
          <c:smooth val="0"/>
          <c:extLst>
            <c:ext xmlns:c16="http://schemas.microsoft.com/office/drawing/2014/chart" uri="{C3380CC4-5D6E-409C-BE32-E72D297353CC}">
              <c16:uniqueId val="{00000000-914D-4282-8E7A-952F79D82D81}"/>
            </c:ext>
          </c:extLst>
        </c:ser>
        <c:ser>
          <c:idx val="1"/>
          <c:order val="1"/>
          <c:tx>
            <c:strRef>
              <c:f>'★固定資本ストック（建物・構築物）図9-12'!$FF$4:$FF$5</c:f>
              <c:strCache>
                <c:ptCount val="2"/>
                <c:pt idx="0">
                  <c:v>公的住宅</c:v>
                </c:pt>
                <c:pt idx="1">
                  <c:v>%</c:v>
                </c:pt>
              </c:strCache>
            </c:strRef>
          </c:tx>
          <c:spPr>
            <a:ln w="28575" cap="rnd">
              <a:solidFill>
                <a:schemeClr val="accent2"/>
              </a:solidFill>
              <a:round/>
            </a:ln>
            <a:effectLst/>
          </c:spPr>
          <c:marker>
            <c:symbol val="none"/>
          </c:marker>
          <c:cat>
            <c:numRef>
              <c:f>'★固定資本ストック（建物・構築物）図9-12'!$FD$6:$FD$46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'★固定資本ストック（建物・構築物）図9-12'!$FF$6:$FF$46</c:f>
              <c:numCache>
                <c:formatCode>0.0%</c:formatCode>
                <c:ptCount val="41"/>
                <c:pt idx="0">
                  <c:v>5.0445705574972972E-2</c:v>
                </c:pt>
                <c:pt idx="1">
                  <c:v>5.0116637803277346E-2</c:v>
                </c:pt>
                <c:pt idx="2">
                  <c:v>4.9562564429867992E-2</c:v>
                </c:pt>
                <c:pt idx="3">
                  <c:v>4.8949256103133061E-2</c:v>
                </c:pt>
                <c:pt idx="4">
                  <c:v>4.8071571175648177E-2</c:v>
                </c:pt>
                <c:pt idx="5">
                  <c:v>4.679664578122282E-2</c:v>
                </c:pt>
                <c:pt idx="6">
                  <c:v>4.557235648148579E-2</c:v>
                </c:pt>
                <c:pt idx="7">
                  <c:v>4.4023504678552282E-2</c:v>
                </c:pt>
                <c:pt idx="8">
                  <c:v>4.2622654847665059E-2</c:v>
                </c:pt>
                <c:pt idx="9">
                  <c:v>4.1423152986390467E-2</c:v>
                </c:pt>
                <c:pt idx="10">
                  <c:v>4.1007565128752053E-2</c:v>
                </c:pt>
                <c:pt idx="11">
                  <c:v>4.0535832806561388E-2</c:v>
                </c:pt>
                <c:pt idx="12">
                  <c:v>4.0512334084953826E-2</c:v>
                </c:pt>
                <c:pt idx="13">
                  <c:v>4.0970766314223334E-2</c:v>
                </c:pt>
                <c:pt idx="14">
                  <c:v>4.1459895731971286E-2</c:v>
                </c:pt>
                <c:pt idx="15">
                  <c:v>4.1864576866534886E-2</c:v>
                </c:pt>
                <c:pt idx="16">
                  <c:v>4.2691124318946727E-2</c:v>
                </c:pt>
                <c:pt idx="17">
                  <c:v>4.3527475776264771E-2</c:v>
                </c:pt>
                <c:pt idx="18">
                  <c:v>4.3894138579553002E-2</c:v>
                </c:pt>
                <c:pt idx="19">
                  <c:v>4.4126312647042976E-2</c:v>
                </c:pt>
                <c:pt idx="20">
                  <c:v>4.3865795803212815E-2</c:v>
                </c:pt>
                <c:pt idx="21">
                  <c:v>4.3514897203229361E-2</c:v>
                </c:pt>
                <c:pt idx="22">
                  <c:v>4.2896166261075522E-2</c:v>
                </c:pt>
                <c:pt idx="23">
                  <c:v>4.2057712283895932E-2</c:v>
                </c:pt>
                <c:pt idx="24">
                  <c:v>4.1072886225487312E-2</c:v>
                </c:pt>
                <c:pt idx="25">
                  <c:v>3.997588064081551E-2</c:v>
                </c:pt>
                <c:pt idx="26">
                  <c:v>3.8892411398750278E-2</c:v>
                </c:pt>
                <c:pt idx="27">
                  <c:v>3.7922825420766873E-2</c:v>
                </c:pt>
                <c:pt idx="28">
                  <c:v>3.6970208162456407E-2</c:v>
                </c:pt>
                <c:pt idx="29">
                  <c:v>3.6160669363961555E-2</c:v>
                </c:pt>
                <c:pt idx="30">
                  <c:v>3.5228137727130328E-2</c:v>
                </c:pt>
                <c:pt idx="31">
                  <c:v>3.3986923147997346E-2</c:v>
                </c:pt>
                <c:pt idx="32">
                  <c:v>3.2905008338090048E-2</c:v>
                </c:pt>
                <c:pt idx="33">
                  <c:v>3.2067589831369009E-2</c:v>
                </c:pt>
                <c:pt idx="34">
                  <c:v>3.1533641882566826E-2</c:v>
                </c:pt>
                <c:pt idx="35">
                  <c:v>3.1107015075048153E-2</c:v>
                </c:pt>
                <c:pt idx="36">
                  <c:v>3.0662865908162761E-2</c:v>
                </c:pt>
                <c:pt idx="37">
                  <c:v>3.0047409745655087E-2</c:v>
                </c:pt>
                <c:pt idx="38">
                  <c:v>2.9369503796176137E-2</c:v>
                </c:pt>
                <c:pt idx="39">
                  <c:v>2.8694081740799109E-2</c:v>
                </c:pt>
                <c:pt idx="40">
                  <c:v>2.7932294152606243E-2</c:v>
                </c:pt>
              </c:numCache>
            </c:numRef>
          </c:val>
          <c:smooth val="0"/>
          <c:extLst>
            <c:ext xmlns:c16="http://schemas.microsoft.com/office/drawing/2014/chart" uri="{C3380CC4-5D6E-409C-BE32-E72D297353CC}">
              <c16:uniqueId val="{00000001-914D-4282-8E7A-952F79D82D81}"/>
            </c:ext>
          </c:extLst>
        </c:ser>
        <c:ser>
          <c:idx val="2"/>
          <c:order val="2"/>
          <c:tx>
            <c:strRef>
              <c:f>'★固定資本ストック（建物・構築物）図9-12'!$FG$4:$FG$5</c:f>
              <c:strCache>
                <c:ptCount val="2"/>
                <c:pt idx="0">
                  <c:v>民間非住宅</c:v>
                </c:pt>
                <c:pt idx="1">
                  <c:v>%</c:v>
                </c:pt>
              </c:strCache>
            </c:strRef>
          </c:tx>
          <c:spPr>
            <a:ln w="28575" cap="rnd">
              <a:solidFill>
                <a:schemeClr val="accent3"/>
              </a:solidFill>
              <a:round/>
            </a:ln>
            <a:effectLst/>
          </c:spPr>
          <c:marker>
            <c:symbol val="none"/>
          </c:marker>
          <c:cat>
            <c:numRef>
              <c:f>'★固定資本ストック（建物・構築物）図9-12'!$FD$6:$FD$46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'★固定資本ストック（建物・構築物）図9-12'!$FG$6:$FG$46</c:f>
              <c:numCache>
                <c:formatCode>0.0%</c:formatCode>
                <c:ptCount val="41"/>
                <c:pt idx="0">
                  <c:v>0.44914180462665065</c:v>
                </c:pt>
                <c:pt idx="1">
                  <c:v>0.44875321358343645</c:v>
                </c:pt>
                <c:pt idx="2">
                  <c:v>0.44341377923817887</c:v>
                </c:pt>
                <c:pt idx="3">
                  <c:v>0.4379521829590533</c:v>
                </c:pt>
                <c:pt idx="4">
                  <c:v>0.43423496147798707</c:v>
                </c:pt>
                <c:pt idx="5">
                  <c:v>0.42913228163407424</c:v>
                </c:pt>
                <c:pt idx="6">
                  <c:v>0.42620860365602348</c:v>
                </c:pt>
                <c:pt idx="7">
                  <c:v>0.42484906503749692</c:v>
                </c:pt>
                <c:pt idx="8">
                  <c:v>0.4323179302076266</c:v>
                </c:pt>
                <c:pt idx="9">
                  <c:v>0.4410264898279978</c:v>
                </c:pt>
                <c:pt idx="10">
                  <c:v>0.455490827509135</c:v>
                </c:pt>
                <c:pt idx="11">
                  <c:v>0.46674778141435308</c:v>
                </c:pt>
                <c:pt idx="12">
                  <c:v>0.47335690796066726</c:v>
                </c:pt>
                <c:pt idx="13">
                  <c:v>0.46618608218601498</c:v>
                </c:pt>
                <c:pt idx="14">
                  <c:v>0.45375482120377864</c:v>
                </c:pt>
                <c:pt idx="15">
                  <c:v>0.44265297140137599</c:v>
                </c:pt>
                <c:pt idx="16">
                  <c:v>0.43775035498027109</c:v>
                </c:pt>
                <c:pt idx="17">
                  <c:v>0.43349307382935631</c:v>
                </c:pt>
                <c:pt idx="18">
                  <c:v>0.42926101671750783</c:v>
                </c:pt>
                <c:pt idx="19">
                  <c:v>0.42477779994638365</c:v>
                </c:pt>
                <c:pt idx="20">
                  <c:v>0.42028683377785442</c:v>
                </c:pt>
                <c:pt idx="21">
                  <c:v>0.41405794148037423</c:v>
                </c:pt>
                <c:pt idx="22">
                  <c:v>0.40529730432333677</c:v>
                </c:pt>
                <c:pt idx="23">
                  <c:v>0.39690395997756661</c:v>
                </c:pt>
                <c:pt idx="24">
                  <c:v>0.38764963975673039</c:v>
                </c:pt>
                <c:pt idx="25">
                  <c:v>0.38060217296908955</c:v>
                </c:pt>
                <c:pt idx="26">
                  <c:v>0.37673805699914659</c:v>
                </c:pt>
                <c:pt idx="27">
                  <c:v>0.37351804165404046</c:v>
                </c:pt>
                <c:pt idx="28">
                  <c:v>0.3696673433505096</c:v>
                </c:pt>
                <c:pt idx="29">
                  <c:v>0.36378378076495826</c:v>
                </c:pt>
                <c:pt idx="30">
                  <c:v>0.35556471060463657</c:v>
                </c:pt>
                <c:pt idx="31">
                  <c:v>0.3463112726136634</c:v>
                </c:pt>
                <c:pt idx="32">
                  <c:v>0.34075808725218415</c:v>
                </c:pt>
                <c:pt idx="33">
                  <c:v>0.33606064820678017</c:v>
                </c:pt>
                <c:pt idx="34">
                  <c:v>0.33124896246372304</c:v>
                </c:pt>
                <c:pt idx="35">
                  <c:v>0.32795533462235815</c:v>
                </c:pt>
                <c:pt idx="36">
                  <c:v>0.32592144242400539</c:v>
                </c:pt>
                <c:pt idx="37">
                  <c:v>0.32598048927832807</c:v>
                </c:pt>
                <c:pt idx="38">
                  <c:v>0.32660626181936891</c:v>
                </c:pt>
                <c:pt idx="39">
                  <c:v>0.3265869599529494</c:v>
                </c:pt>
                <c:pt idx="40">
                  <c:v>0.32434445374474435</c:v>
                </c:pt>
              </c:numCache>
            </c:numRef>
          </c:val>
          <c:smooth val="0"/>
          <c:extLst>
            <c:ext xmlns:c16="http://schemas.microsoft.com/office/drawing/2014/chart" uri="{C3380CC4-5D6E-409C-BE32-E72D297353CC}">
              <c16:uniqueId val="{00000002-914D-4282-8E7A-952F79D82D81}"/>
            </c:ext>
          </c:extLst>
        </c:ser>
        <c:ser>
          <c:idx val="3"/>
          <c:order val="3"/>
          <c:tx>
            <c:strRef>
              <c:f>'★固定資本ストック（建物・構築物）図9-12'!$FH$4:$FH$5</c:f>
              <c:strCache>
                <c:ptCount val="2"/>
                <c:pt idx="0">
                  <c:v>公的非住宅</c:v>
                </c:pt>
                <c:pt idx="1">
                  <c:v>%</c:v>
                </c:pt>
              </c:strCache>
            </c:strRef>
          </c:tx>
          <c:spPr>
            <a:ln w="28575" cap="rnd">
              <a:solidFill>
                <a:schemeClr val="accent4"/>
              </a:solidFill>
              <a:round/>
            </a:ln>
            <a:effectLst/>
          </c:spPr>
          <c:marker>
            <c:symbol val="none"/>
          </c:marker>
          <c:cat>
            <c:numRef>
              <c:f>'★固定資本ストック（建物・構築物）図9-12'!$FD$6:$FD$46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'★固定資本ストック（建物・構築物）図9-12'!$FH$6:$FH$46</c:f>
              <c:numCache>
                <c:formatCode>0.0%</c:formatCode>
                <c:ptCount val="41"/>
                <c:pt idx="0">
                  <c:v>0.12478756757991137</c:v>
                </c:pt>
                <c:pt idx="1">
                  <c:v>0.12719075653341408</c:v>
                </c:pt>
                <c:pt idx="2">
                  <c:v>0.12708579425402772</c:v>
                </c:pt>
                <c:pt idx="3">
                  <c:v>0.12521019348556409</c:v>
                </c:pt>
                <c:pt idx="4">
                  <c:v>0.12362311254047949</c:v>
                </c:pt>
                <c:pt idx="5">
                  <c:v>0.11999057141908538</c:v>
                </c:pt>
                <c:pt idx="6">
                  <c:v>0.11606777576026654</c:v>
                </c:pt>
                <c:pt idx="7">
                  <c:v>0.11228481466311664</c:v>
                </c:pt>
                <c:pt idx="8">
                  <c:v>0.10735890741399941</c:v>
                </c:pt>
                <c:pt idx="9">
                  <c:v>0.10353450606200476</c:v>
                </c:pt>
                <c:pt idx="10">
                  <c:v>0.1001525590995728</c:v>
                </c:pt>
                <c:pt idx="11">
                  <c:v>9.9707059124477512E-2</c:v>
                </c:pt>
                <c:pt idx="12">
                  <c:v>0.10205640000476741</c:v>
                </c:pt>
                <c:pt idx="13">
                  <c:v>0.10517427756637486</c:v>
                </c:pt>
                <c:pt idx="14">
                  <c:v>0.10785846082043384</c:v>
                </c:pt>
                <c:pt idx="15">
                  <c:v>0.10940425246846676</c:v>
                </c:pt>
                <c:pt idx="16">
                  <c:v>0.11012388880225815</c:v>
                </c:pt>
                <c:pt idx="17">
                  <c:v>0.10982553630600739</c:v>
                </c:pt>
                <c:pt idx="18">
                  <c:v>0.10927941268225021</c:v>
                </c:pt>
                <c:pt idx="19">
                  <c:v>0.1087232224474808</c:v>
                </c:pt>
                <c:pt idx="20">
                  <c:v>0.10726428172413394</c:v>
                </c:pt>
                <c:pt idx="21">
                  <c:v>0.10527903740957835</c:v>
                </c:pt>
                <c:pt idx="22">
                  <c:v>0.10316519955806211</c:v>
                </c:pt>
                <c:pt idx="23">
                  <c:v>0.10091688761369086</c:v>
                </c:pt>
                <c:pt idx="24">
                  <c:v>9.7961202062350955E-2</c:v>
                </c:pt>
                <c:pt idx="25">
                  <c:v>9.5006139419975114E-2</c:v>
                </c:pt>
                <c:pt idx="26">
                  <c:v>9.220269039424854E-2</c:v>
                </c:pt>
                <c:pt idx="27">
                  <c:v>8.9628403671898671E-2</c:v>
                </c:pt>
                <c:pt idx="28">
                  <c:v>8.7306160257776752E-2</c:v>
                </c:pt>
                <c:pt idx="29">
                  <c:v>8.6663409801983227E-2</c:v>
                </c:pt>
                <c:pt idx="30">
                  <c:v>8.5886437774122804E-2</c:v>
                </c:pt>
                <c:pt idx="31">
                  <c:v>8.4100457167153184E-2</c:v>
                </c:pt>
                <c:pt idx="32">
                  <c:v>8.2537535308470716E-2</c:v>
                </c:pt>
                <c:pt idx="33">
                  <c:v>8.2220312387304387E-2</c:v>
                </c:pt>
                <c:pt idx="34">
                  <c:v>8.2103447293081624E-2</c:v>
                </c:pt>
                <c:pt idx="35">
                  <c:v>8.2186666250372631E-2</c:v>
                </c:pt>
                <c:pt idx="36">
                  <c:v>8.2371935970475374E-2</c:v>
                </c:pt>
                <c:pt idx="37">
                  <c:v>8.2222074307898838E-2</c:v>
                </c:pt>
                <c:pt idx="38">
                  <c:v>8.1953143670319306E-2</c:v>
                </c:pt>
                <c:pt idx="39">
                  <c:v>8.1895785787521366E-2</c:v>
                </c:pt>
                <c:pt idx="40">
                  <c:v>8.183674660233492E-2</c:v>
                </c:pt>
              </c:numCache>
            </c:numRef>
          </c:val>
          <c:smooth val="0"/>
          <c:extLst>
            <c:ext xmlns:c16="http://schemas.microsoft.com/office/drawing/2014/chart" uri="{C3380CC4-5D6E-409C-BE32-E72D297353CC}">
              <c16:uniqueId val="{00000003-914D-4282-8E7A-952F79D82D81}"/>
            </c:ext>
          </c:extLst>
        </c:ser>
        <c:ser>
          <c:idx val="4"/>
          <c:order val="4"/>
          <c:tx>
            <c:strRef>
              <c:f>'★固定資本ストック（建物・構築物）図9-12'!$FI$4:$FI$5</c:f>
              <c:strCache>
                <c:ptCount val="2"/>
                <c:pt idx="0">
                  <c:v>民間土木</c:v>
                </c:pt>
                <c:pt idx="1">
                  <c:v>%</c:v>
                </c:pt>
              </c:strCache>
            </c:strRef>
          </c:tx>
          <c:spPr>
            <a:ln w="28575" cap="rnd">
              <a:solidFill>
                <a:schemeClr val="accent5"/>
              </a:solidFill>
              <a:round/>
            </a:ln>
            <a:effectLst/>
          </c:spPr>
          <c:marker>
            <c:symbol val="none"/>
          </c:marker>
          <c:cat>
            <c:numRef>
              <c:f>'★固定資本ストック（建物・構築物）図9-12'!$FD$6:$FD$46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'★固定資本ストック（建物・構築物）図9-12'!$FI$6:$FI$46</c:f>
              <c:numCache>
                <c:formatCode>0.0%</c:formatCode>
                <c:ptCount val="41"/>
                <c:pt idx="0">
                  <c:v>0.37130612217599501</c:v>
                </c:pt>
                <c:pt idx="1">
                  <c:v>0.3738436691793996</c:v>
                </c:pt>
                <c:pt idx="2">
                  <c:v>0.37232760786953345</c:v>
                </c:pt>
                <c:pt idx="3">
                  <c:v>0.36256882098877918</c:v>
                </c:pt>
                <c:pt idx="4">
                  <c:v>0.3529273807920284</c:v>
                </c:pt>
                <c:pt idx="5">
                  <c:v>0.34432650470147702</c:v>
                </c:pt>
                <c:pt idx="6">
                  <c:v>0.33761455329758777</c:v>
                </c:pt>
                <c:pt idx="7">
                  <c:v>0.33230340604368797</c:v>
                </c:pt>
                <c:pt idx="8">
                  <c:v>0.32709020523447074</c:v>
                </c:pt>
                <c:pt idx="9">
                  <c:v>0.32641437025599268</c:v>
                </c:pt>
                <c:pt idx="10">
                  <c:v>0.32866229632664595</c:v>
                </c:pt>
                <c:pt idx="11">
                  <c:v>0.33647971235629254</c:v>
                </c:pt>
                <c:pt idx="12">
                  <c:v>0.34515952266984168</c:v>
                </c:pt>
                <c:pt idx="13">
                  <c:v>0.37323387999781421</c:v>
                </c:pt>
                <c:pt idx="14">
                  <c:v>0.37742035101046467</c:v>
                </c:pt>
                <c:pt idx="15">
                  <c:v>0.38357304848252222</c:v>
                </c:pt>
                <c:pt idx="16">
                  <c:v>0.39358774555843562</c:v>
                </c:pt>
                <c:pt idx="17">
                  <c:v>0.40220726717294941</c:v>
                </c:pt>
                <c:pt idx="18">
                  <c:v>0.40819479480975013</c:v>
                </c:pt>
                <c:pt idx="19">
                  <c:v>0.41253447851099079</c:v>
                </c:pt>
                <c:pt idx="20">
                  <c:v>0.41620988908798862</c:v>
                </c:pt>
                <c:pt idx="21">
                  <c:v>0.41670149781146887</c:v>
                </c:pt>
                <c:pt idx="22">
                  <c:v>0.41421640658285247</c:v>
                </c:pt>
                <c:pt idx="23">
                  <c:v>0.41126799465175445</c:v>
                </c:pt>
                <c:pt idx="24">
                  <c:v>0.41012885080090294</c:v>
                </c:pt>
                <c:pt idx="25">
                  <c:v>0.40920259265531528</c:v>
                </c:pt>
                <c:pt idx="26">
                  <c:v>0.40679116100302182</c:v>
                </c:pt>
                <c:pt idx="27">
                  <c:v>0.40509753680214899</c:v>
                </c:pt>
                <c:pt idx="28">
                  <c:v>0.4038600335119007</c:v>
                </c:pt>
                <c:pt idx="29">
                  <c:v>0.40254818217950938</c:v>
                </c:pt>
                <c:pt idx="30">
                  <c:v>0.40026039708646616</c:v>
                </c:pt>
                <c:pt idx="31">
                  <c:v>0.39681310351388771</c:v>
                </c:pt>
                <c:pt idx="32">
                  <c:v>0.39122052259240059</c:v>
                </c:pt>
                <c:pt idx="33">
                  <c:v>0.38614131768765481</c:v>
                </c:pt>
                <c:pt idx="34">
                  <c:v>0.38086702529648209</c:v>
                </c:pt>
                <c:pt idx="35">
                  <c:v>0.37761512574682043</c:v>
                </c:pt>
                <c:pt idx="36">
                  <c:v>0.37603503761223633</c:v>
                </c:pt>
                <c:pt idx="37">
                  <c:v>0.37281360727114399</c:v>
                </c:pt>
                <c:pt idx="38">
                  <c:v>0.3710145263820489</c:v>
                </c:pt>
                <c:pt idx="39">
                  <c:v>0.37015035249063061</c:v>
                </c:pt>
                <c:pt idx="40">
                  <c:v>0.3684175997943121</c:v>
                </c:pt>
              </c:numCache>
            </c:numRef>
          </c:val>
          <c:smooth val="0"/>
          <c:extLst>
            <c:ext xmlns:c16="http://schemas.microsoft.com/office/drawing/2014/chart" uri="{C3380CC4-5D6E-409C-BE32-E72D297353CC}">
              <c16:uniqueId val="{00000004-914D-4282-8E7A-952F79D82D81}"/>
            </c:ext>
          </c:extLst>
        </c:ser>
        <c:ser>
          <c:idx val="5"/>
          <c:order val="5"/>
          <c:tx>
            <c:strRef>
              <c:f>'★固定資本ストック（建物・構築物）図9-12'!$FJ$4:$FJ$5</c:f>
              <c:strCache>
                <c:ptCount val="2"/>
                <c:pt idx="0">
                  <c:v>公的土木</c:v>
                </c:pt>
                <c:pt idx="1">
                  <c:v>%</c:v>
                </c:pt>
              </c:strCache>
            </c:strRef>
          </c:tx>
          <c:spPr>
            <a:ln w="28575" cap="rnd">
              <a:solidFill>
                <a:schemeClr val="accent6"/>
              </a:solidFill>
              <a:round/>
            </a:ln>
            <a:effectLst/>
          </c:spPr>
          <c:marker>
            <c:symbol val="none"/>
          </c:marker>
          <c:cat>
            <c:numRef>
              <c:f>'★固定資本ストック（建物・構築物）図9-12'!$FD$6:$FD$46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'★固定資本ストック（建物・構築物）図9-12'!$FJ$6:$FJ$46</c:f>
              <c:numCache>
                <c:formatCode>0.0%</c:formatCode>
                <c:ptCount val="41"/>
                <c:pt idx="0">
                  <c:v>0.91318846943882004</c:v>
                </c:pt>
                <c:pt idx="1">
                  <c:v>0.93038145024979979</c:v>
                </c:pt>
                <c:pt idx="2">
                  <c:v>0.94479601674410141</c:v>
                </c:pt>
                <c:pt idx="3">
                  <c:v>0.9548292417583838</c:v>
                </c:pt>
                <c:pt idx="4">
                  <c:v>0.95961685615637204</c:v>
                </c:pt>
                <c:pt idx="5">
                  <c:v>0.95726312692057547</c:v>
                </c:pt>
                <c:pt idx="6">
                  <c:v>0.95625597990498346</c:v>
                </c:pt>
                <c:pt idx="7">
                  <c:v>0.95615636213767397</c:v>
                </c:pt>
                <c:pt idx="8">
                  <c:v>0.9598270552948085</c:v>
                </c:pt>
                <c:pt idx="9">
                  <c:v>0.95662577208207877</c:v>
                </c:pt>
                <c:pt idx="10">
                  <c:v>0.96066526469112923</c:v>
                </c:pt>
                <c:pt idx="11">
                  <c:v>0.96485406313660516</c:v>
                </c:pt>
                <c:pt idx="12">
                  <c:v>0.98360112427356727</c:v>
                </c:pt>
                <c:pt idx="13">
                  <c:v>0.9871631853588746</c:v>
                </c:pt>
                <c:pt idx="14">
                  <c:v>1.0174365078742988</c:v>
                </c:pt>
                <c:pt idx="15">
                  <c:v>1.0454900118990911</c:v>
                </c:pt>
                <c:pt idx="16">
                  <c:v>1.0752496613114773</c:v>
                </c:pt>
                <c:pt idx="17">
                  <c:v>1.1010079575585701</c:v>
                </c:pt>
                <c:pt idx="18">
                  <c:v>1.1314548119657069</c:v>
                </c:pt>
                <c:pt idx="19">
                  <c:v>1.1611079265920565</c:v>
                </c:pt>
                <c:pt idx="20">
                  <c:v>1.1850393612489247</c:v>
                </c:pt>
                <c:pt idx="21">
                  <c:v>1.2075300278525316</c:v>
                </c:pt>
                <c:pt idx="22">
                  <c:v>1.2234137982827968</c:v>
                </c:pt>
                <c:pt idx="23">
                  <c:v>1.2345593582105321</c:v>
                </c:pt>
                <c:pt idx="24">
                  <c:v>1.2362827356853212</c:v>
                </c:pt>
                <c:pt idx="25">
                  <c:v>1.2369181037589516</c:v>
                </c:pt>
                <c:pt idx="26">
                  <c:v>1.2395035090967912</c:v>
                </c:pt>
                <c:pt idx="27">
                  <c:v>1.2454204873840191</c:v>
                </c:pt>
                <c:pt idx="28">
                  <c:v>1.2511035718411614</c:v>
                </c:pt>
                <c:pt idx="29">
                  <c:v>1.2591783455458965</c:v>
                </c:pt>
                <c:pt idx="30">
                  <c:v>1.2618646146616541</c:v>
                </c:pt>
                <c:pt idx="31">
                  <c:v>1.2537332384441675</c:v>
                </c:pt>
                <c:pt idx="32">
                  <c:v>1.2504782680562709</c:v>
                </c:pt>
                <c:pt idx="33">
                  <c:v>1.2452687112362546</c:v>
                </c:pt>
                <c:pt idx="34">
                  <c:v>1.2390194587597734</c:v>
                </c:pt>
                <c:pt idx="35">
                  <c:v>1.2309502729327841</c:v>
                </c:pt>
                <c:pt idx="36">
                  <c:v>1.2208711064759599</c:v>
                </c:pt>
                <c:pt idx="37">
                  <c:v>1.2159158715213525</c:v>
                </c:pt>
                <c:pt idx="38">
                  <c:v>1.2089140023392995</c:v>
                </c:pt>
                <c:pt idx="39">
                  <c:v>1.2085470447032933</c:v>
                </c:pt>
                <c:pt idx="40">
                  <c:v>1.2064243948404603</c:v>
                </c:pt>
              </c:numCache>
            </c:numRef>
          </c:val>
          <c:smooth val="0"/>
          <c:extLst>
            <c:ext xmlns:c16="http://schemas.microsoft.com/office/drawing/2014/chart" uri="{C3380CC4-5D6E-409C-BE32-E72D297353CC}">
              <c16:uniqueId val="{00000005-914D-4282-8E7A-952F79D82D81}"/>
            </c:ext>
          </c:extLst>
        </c:ser>
        <c:dLbls>
          <c:showLegendKey val="0"/>
          <c:showVal val="0"/>
          <c:showCatName val="0"/>
          <c:showSerName val="0"/>
          <c:showPercent val="0"/>
          <c:showBubbleSize val="0"/>
        </c:dLbls>
        <c:smooth val="0"/>
        <c:axId val="834418223"/>
        <c:axId val="834414895"/>
      </c:lineChart>
      <c:catAx>
        <c:axId val="834418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34414895"/>
        <c:crosses val="autoZero"/>
        <c:auto val="1"/>
        <c:lblAlgn val="ctr"/>
        <c:lblOffset val="100"/>
        <c:noMultiLvlLbl val="0"/>
      </c:catAx>
      <c:valAx>
        <c:axId val="83441489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344182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民間住宅名目ストック額対名目潜在GDP比（左軸）</c:v>
          </c:tx>
          <c:spPr>
            <a:ln w="28575" cap="rnd">
              <a:solidFill>
                <a:schemeClr val="accent1"/>
              </a:solidFill>
              <a:round/>
            </a:ln>
            <a:effectLst/>
          </c:spPr>
          <c:marker>
            <c:symbol val="none"/>
          </c:marker>
          <c:cat>
            <c:numRef>
              <c:f>'★固定資本ストック（建物・構築物）図9-12'!$EV$6:$EV$46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'★固定資本ストック（建物・構築物）図9-12'!$EW$6:$EW$46</c:f>
              <c:numCache>
                <c:formatCode>0.0%</c:formatCode>
                <c:ptCount val="41"/>
                <c:pt idx="0">
                  <c:v>0.68632780317849285</c:v>
                </c:pt>
                <c:pt idx="1">
                  <c:v>0.6734083930808944</c:v>
                </c:pt>
                <c:pt idx="2">
                  <c:v>0.67219833904819104</c:v>
                </c:pt>
                <c:pt idx="3">
                  <c:v>0.65243089982607949</c:v>
                </c:pt>
                <c:pt idx="4">
                  <c:v>0.64418250309178926</c:v>
                </c:pt>
                <c:pt idx="5">
                  <c:v>0.62631277313682887</c:v>
                </c:pt>
                <c:pt idx="6">
                  <c:v>0.59853349053641547</c:v>
                </c:pt>
                <c:pt idx="7">
                  <c:v>0.61765117264259894</c:v>
                </c:pt>
                <c:pt idx="8">
                  <c:v>0.62540027170711143</c:v>
                </c:pt>
                <c:pt idx="9">
                  <c:v>0.65844348546424614</c:v>
                </c:pt>
                <c:pt idx="10">
                  <c:v>0.67829689874259047</c:v>
                </c:pt>
                <c:pt idx="11">
                  <c:v>0.67358899205969491</c:v>
                </c:pt>
                <c:pt idx="12">
                  <c:v>0.67067963326565583</c:v>
                </c:pt>
                <c:pt idx="13">
                  <c:v>0.67863016877685323</c:v>
                </c:pt>
                <c:pt idx="14">
                  <c:v>0.68952905261744546</c:v>
                </c:pt>
                <c:pt idx="15">
                  <c:v>0.685259447464454</c:v>
                </c:pt>
                <c:pt idx="16">
                  <c:v>0.71136484228439623</c:v>
                </c:pt>
                <c:pt idx="17">
                  <c:v>0.71156324807458571</c:v>
                </c:pt>
                <c:pt idx="18">
                  <c:v>0.69786301126529215</c:v>
                </c:pt>
                <c:pt idx="19">
                  <c:v>0.69953973138783332</c:v>
                </c:pt>
                <c:pt idx="20">
                  <c:v>0.70764000218894518</c:v>
                </c:pt>
                <c:pt idx="21">
                  <c:v>0.70320658289161408</c:v>
                </c:pt>
                <c:pt idx="22">
                  <c:v>0.70148450070517632</c:v>
                </c:pt>
                <c:pt idx="23">
                  <c:v>0.71051104970794055</c:v>
                </c:pt>
                <c:pt idx="24">
                  <c:v>0.71794799668833209</c:v>
                </c:pt>
                <c:pt idx="25">
                  <c:v>0.72591534445188088</c:v>
                </c:pt>
                <c:pt idx="26">
                  <c:v>0.7458499901526654</c:v>
                </c:pt>
                <c:pt idx="27">
                  <c:v>0.76059365040571569</c:v>
                </c:pt>
                <c:pt idx="28">
                  <c:v>0.77662137326888236</c:v>
                </c:pt>
                <c:pt idx="29">
                  <c:v>0.748587993980665</c:v>
                </c:pt>
                <c:pt idx="30">
                  <c:v>0.75512037154625267</c:v>
                </c:pt>
                <c:pt idx="31">
                  <c:v>0.75207004438043779</c:v>
                </c:pt>
                <c:pt idx="32">
                  <c:v>0.7428232532034087</c:v>
                </c:pt>
                <c:pt idx="33">
                  <c:v>0.76121608918880779</c:v>
                </c:pt>
                <c:pt idx="34">
                  <c:v>0.75999657158387146</c:v>
                </c:pt>
                <c:pt idx="35">
                  <c:v>0.73617922195377483</c:v>
                </c:pt>
                <c:pt idx="36">
                  <c:v>0.72535686596813975</c:v>
                </c:pt>
                <c:pt idx="37">
                  <c:v>0.73266932140965102</c:v>
                </c:pt>
                <c:pt idx="38">
                  <c:v>0.73206060089111169</c:v>
                </c:pt>
                <c:pt idx="39">
                  <c:v>0.74067866602016297</c:v>
                </c:pt>
                <c:pt idx="40">
                  <c:v>0.72022617704848813</c:v>
                </c:pt>
              </c:numCache>
            </c:numRef>
          </c:val>
          <c:smooth val="0"/>
          <c:extLst>
            <c:ext xmlns:c16="http://schemas.microsoft.com/office/drawing/2014/chart" uri="{C3380CC4-5D6E-409C-BE32-E72D297353CC}">
              <c16:uniqueId val="{00000000-2EE5-4CC9-B5C4-E129704804C0}"/>
            </c:ext>
          </c:extLst>
        </c:ser>
        <c:dLbls>
          <c:showLegendKey val="0"/>
          <c:showVal val="0"/>
          <c:showCatName val="0"/>
          <c:showSerName val="0"/>
          <c:showPercent val="0"/>
          <c:showBubbleSize val="0"/>
        </c:dLbls>
        <c:marker val="1"/>
        <c:smooth val="0"/>
        <c:axId val="993621584"/>
        <c:axId val="993618256"/>
      </c:lineChart>
      <c:lineChart>
        <c:grouping val="standard"/>
        <c:varyColors val="0"/>
        <c:ser>
          <c:idx val="1"/>
          <c:order val="1"/>
          <c:tx>
            <c:v>年少人口比率変化率（右軸）</c:v>
          </c:tx>
          <c:spPr>
            <a:ln w="28575" cap="rnd">
              <a:solidFill>
                <a:schemeClr val="accent2"/>
              </a:solidFill>
              <a:round/>
            </a:ln>
            <a:effectLst/>
          </c:spPr>
          <c:marker>
            <c:symbol val="none"/>
          </c:marker>
          <c:cat>
            <c:numRef>
              <c:f>'★固定資本ストック（建物・構築物）図9-12'!$EV$6:$EV$88</c:f>
              <c:numCache>
                <c:formatCode>General</c:formatCode>
                <c:ptCount val="8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'★固定資本ストック（建物・構築物）図9-12'!$FT$6:$FT$46</c:f>
              <c:numCache>
                <c:formatCode>0.0%</c:formatCode>
                <c:ptCount val="41"/>
                <c:pt idx="1">
                  <c:v>-9.7136254804017219E-4</c:v>
                </c:pt>
                <c:pt idx="2">
                  <c:v>-4.5363291553831286E-3</c:v>
                </c:pt>
                <c:pt idx="3">
                  <c:v>-4.4223688059457089E-3</c:v>
                </c:pt>
                <c:pt idx="4">
                  <c:v>-4.7620679138531685E-3</c:v>
                </c:pt>
                <c:pt idx="5">
                  <c:v>-5.2971288440171738E-3</c:v>
                </c:pt>
                <c:pt idx="6">
                  <c:v>-6.0986072393207635E-3</c:v>
                </c:pt>
                <c:pt idx="7">
                  <c:v>-6.5820695211895597E-3</c:v>
                </c:pt>
                <c:pt idx="8">
                  <c:v>-7.1107101372090697E-3</c:v>
                </c:pt>
                <c:pt idx="9">
                  <c:v>-7.1088610319493539E-3</c:v>
                </c:pt>
                <c:pt idx="10">
                  <c:v>-5.858655877896024E-3</c:v>
                </c:pt>
                <c:pt idx="11">
                  <c:v>-5.7931889488029575E-3</c:v>
                </c:pt>
                <c:pt idx="12">
                  <c:v>-4.9179696589740085E-3</c:v>
                </c:pt>
                <c:pt idx="13">
                  <c:v>-4.6225789851580823E-3</c:v>
                </c:pt>
                <c:pt idx="14">
                  <c:v>-3.7677888576892471E-3</c:v>
                </c:pt>
                <c:pt idx="15">
                  <c:v>-3.739075541334097E-3</c:v>
                </c:pt>
                <c:pt idx="16">
                  <c:v>-3.1295980976970561E-3</c:v>
                </c:pt>
                <c:pt idx="17">
                  <c:v>-2.9107278383322666E-3</c:v>
                </c:pt>
                <c:pt idx="18">
                  <c:v>-2.8166710903692327E-3</c:v>
                </c:pt>
                <c:pt idx="19">
                  <c:v>-2.7389389812444986E-3</c:v>
                </c:pt>
                <c:pt idx="20">
                  <c:v>-2.1469654648991754E-3</c:v>
                </c:pt>
                <c:pt idx="21">
                  <c:v>-2.1620905514879718E-3</c:v>
                </c:pt>
                <c:pt idx="22">
                  <c:v>-1.5837484746366037E-3</c:v>
                </c:pt>
                <c:pt idx="23">
                  <c:v>-1.748446875348364E-3</c:v>
                </c:pt>
                <c:pt idx="24">
                  <c:v>-1.4128302399644133E-3</c:v>
                </c:pt>
                <c:pt idx="25">
                  <c:v>-1.254224893295991E-3</c:v>
                </c:pt>
                <c:pt idx="26">
                  <c:v>-1.1761388787820681E-3</c:v>
                </c:pt>
                <c:pt idx="27">
                  <c:v>-1.1134905320744903E-3</c:v>
                </c:pt>
                <c:pt idx="28">
                  <c:v>-8.314740835257961E-4</c:v>
                </c:pt>
                <c:pt idx="29">
                  <c:v>-1.100976843580348E-3</c:v>
                </c:pt>
                <c:pt idx="30">
                  <c:v>-1.915086872109617E-3</c:v>
                </c:pt>
                <c:pt idx="31">
                  <c:v>-7.8203090885448079E-4</c:v>
                </c:pt>
                <c:pt idx="32">
                  <c:v>-9.4794720075508376E-4</c:v>
                </c:pt>
                <c:pt idx="33">
                  <c:v>-1.0121209110063589E-3</c:v>
                </c:pt>
                <c:pt idx="34">
                  <c:v>-1.0175877495534058E-3</c:v>
                </c:pt>
                <c:pt idx="35">
                  <c:v>-2.2780819466078905E-3</c:v>
                </c:pt>
                <c:pt idx="36">
                  <c:v>-1.1397817094024459E-3</c:v>
                </c:pt>
                <c:pt idx="37">
                  <c:v>-1.2610288020175331E-3</c:v>
                </c:pt>
                <c:pt idx="38">
                  <c:v>-1.1448482376952562E-3</c:v>
                </c:pt>
                <c:pt idx="39">
                  <c:v>-1.3571731566946049E-3</c:v>
                </c:pt>
                <c:pt idx="40">
                  <c:v>-1.390994208565241E-3</c:v>
                </c:pt>
              </c:numCache>
            </c:numRef>
          </c:val>
          <c:smooth val="0"/>
          <c:extLst>
            <c:ext xmlns:c16="http://schemas.microsoft.com/office/drawing/2014/chart" uri="{C3380CC4-5D6E-409C-BE32-E72D297353CC}">
              <c16:uniqueId val="{00000001-2EE5-4CC9-B5C4-E129704804C0}"/>
            </c:ext>
          </c:extLst>
        </c:ser>
        <c:ser>
          <c:idx val="2"/>
          <c:order val="2"/>
          <c:tx>
            <c:strRef>
              <c:f>'★固定資本ストック（建物・構築物）図9-12'!$GA$4</c:f>
              <c:strCache>
                <c:ptCount val="1"/>
                <c:pt idx="0">
                  <c:v>実質金利ギャップ</c:v>
                </c:pt>
              </c:strCache>
            </c:strRef>
          </c:tx>
          <c:spPr>
            <a:ln w="28575" cap="rnd">
              <a:solidFill>
                <a:schemeClr val="accent3"/>
              </a:solidFill>
              <a:round/>
            </a:ln>
            <a:effectLst/>
          </c:spPr>
          <c:marker>
            <c:symbol val="none"/>
          </c:marker>
          <c:val>
            <c:numRef>
              <c:f>'★固定資本ストック（建物・構築物）図9-12'!$GA$6:$GA$46</c:f>
              <c:numCache>
                <c:formatCode>General</c:formatCode>
                <c:ptCount val="41"/>
                <c:pt idx="7" formatCode="0.00%">
                  <c:v>3.0235036496349954E-3</c:v>
                </c:pt>
                <c:pt idx="8" formatCode="0.00%">
                  <c:v>2.7113919413919371E-3</c:v>
                </c:pt>
                <c:pt idx="9" formatCode="0.00%">
                  <c:v>6.5451405622489675E-3</c:v>
                </c:pt>
                <c:pt idx="10" formatCode="0.00%">
                  <c:v>2.8722398373983736E-2</c:v>
                </c:pt>
                <c:pt idx="11" formatCode="0.00%">
                  <c:v>3.077000000000002E-2</c:v>
                </c:pt>
                <c:pt idx="12" formatCode="0.00%">
                  <c:v>2.8482348178137683E-2</c:v>
                </c:pt>
                <c:pt idx="13" formatCode="0.00%">
                  <c:v>2.346138211382116E-2</c:v>
                </c:pt>
                <c:pt idx="14" formatCode="0.00%">
                  <c:v>2.6577651821862336E-2</c:v>
                </c:pt>
                <c:pt idx="15" formatCode="0.00%">
                  <c:v>1.9601927710843355E-2</c:v>
                </c:pt>
                <c:pt idx="16" formatCode="0.00%">
                  <c:v>1.7179838056680156E-2</c:v>
                </c:pt>
                <c:pt idx="17" formatCode="0.00%">
                  <c:v>1.2731061224489788E-2</c:v>
                </c:pt>
                <c:pt idx="18" formatCode="0.00%">
                  <c:v>6.2852631578947469E-3</c:v>
                </c:pt>
                <c:pt idx="19" formatCode="0.00%">
                  <c:v>9.434979591836732E-3</c:v>
                </c:pt>
                <c:pt idx="20" formatCode="0.00%">
                  <c:v>8.4619354838709644E-3</c:v>
                </c:pt>
                <c:pt idx="21" formatCode="0.00%">
                  <c:v>4.2874390243902542E-3</c:v>
                </c:pt>
                <c:pt idx="22" formatCode="0.00%">
                  <c:v>2.6990650406504106E-3</c:v>
                </c:pt>
                <c:pt idx="23" formatCode="0.00%">
                  <c:v>-1.0708979591836747E-3</c:v>
                </c:pt>
                <c:pt idx="24" formatCode="0.00%">
                  <c:v>4.0479268292682932E-3</c:v>
                </c:pt>
                <c:pt idx="25" formatCode="0.00%">
                  <c:v>3.8451836734693951E-3</c:v>
                </c:pt>
                <c:pt idx="26" formatCode="0.00%">
                  <c:v>1.1417016129032257E-2</c:v>
                </c:pt>
                <c:pt idx="27" formatCode="0.00%">
                  <c:v>1.4812734693877545E-2</c:v>
                </c:pt>
                <c:pt idx="28" formatCode="0.00%">
                  <c:v>1.5929469387755118E-2</c:v>
                </c:pt>
                <c:pt idx="29" formatCode="0.00%">
                  <c:v>1.4538395061728396E-2</c:v>
                </c:pt>
                <c:pt idx="30" formatCode="0.00%">
                  <c:v>9.8160408163265392E-3</c:v>
                </c:pt>
                <c:pt idx="31" formatCode="0.00%">
                  <c:v>6.2447755102040944E-3</c:v>
                </c:pt>
                <c:pt idx="32" formatCode="0.00%">
                  <c:v>1.5788709677419296E-3</c:v>
                </c:pt>
                <c:pt idx="33" formatCode="0.00%">
                  <c:v>-8.5322448979591788E-4</c:v>
                </c:pt>
                <c:pt idx="34" formatCode="0.00%">
                  <c:v>-3.4740573770491818E-3</c:v>
                </c:pt>
                <c:pt idx="35" formatCode="0.00%">
                  <c:v>-5.362213114754104E-3</c:v>
                </c:pt>
                <c:pt idx="36" formatCode="0.00%">
                  <c:v>-9.4983265306122465E-3</c:v>
                </c:pt>
                <c:pt idx="37" formatCode="0.00%">
                  <c:v>-7.4633603238866393E-3</c:v>
                </c:pt>
                <c:pt idx="38" formatCode="0.00%">
                  <c:v>-6.2382448979591831E-3</c:v>
                </c:pt>
                <c:pt idx="39" formatCode="0.00%">
                  <c:v>-7.9495850622406626E-3</c:v>
                </c:pt>
                <c:pt idx="40" formatCode="0.00%">
                  <c:v>-5.8948148148148154E-3</c:v>
                </c:pt>
              </c:numCache>
            </c:numRef>
          </c:val>
          <c:smooth val="0"/>
          <c:extLst>
            <c:ext xmlns:c16="http://schemas.microsoft.com/office/drawing/2014/chart" uri="{C3380CC4-5D6E-409C-BE32-E72D297353CC}">
              <c16:uniqueId val="{00000003-2EE5-4CC9-B5C4-E129704804C0}"/>
            </c:ext>
          </c:extLst>
        </c:ser>
        <c:dLbls>
          <c:showLegendKey val="0"/>
          <c:showVal val="0"/>
          <c:showCatName val="0"/>
          <c:showSerName val="0"/>
          <c:showPercent val="0"/>
          <c:showBubbleSize val="0"/>
        </c:dLbls>
        <c:marker val="1"/>
        <c:smooth val="0"/>
        <c:axId val="993726160"/>
        <c:axId val="993719504"/>
      </c:lineChart>
      <c:catAx>
        <c:axId val="993621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93618256"/>
        <c:crosses val="autoZero"/>
        <c:auto val="1"/>
        <c:lblAlgn val="ctr"/>
        <c:lblOffset val="100"/>
        <c:noMultiLvlLbl val="0"/>
      </c:catAx>
      <c:valAx>
        <c:axId val="9936182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93621584"/>
        <c:crosses val="autoZero"/>
        <c:crossBetween val="between"/>
      </c:valAx>
      <c:valAx>
        <c:axId val="99371950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93726160"/>
        <c:crosses val="max"/>
        <c:crossBetween val="between"/>
      </c:valAx>
      <c:catAx>
        <c:axId val="993726160"/>
        <c:scaling>
          <c:orientation val="minMax"/>
        </c:scaling>
        <c:delete val="1"/>
        <c:axPos val="b"/>
        <c:numFmt formatCode="General" sourceLinked="1"/>
        <c:majorTickMark val="out"/>
        <c:minorTickMark val="none"/>
        <c:tickLblPos val="nextTo"/>
        <c:crossAx val="9937195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'★需要側予測（テスト)'!$FP$4:$FP$5</c:f>
              <c:strCache>
                <c:ptCount val="2"/>
                <c:pt idx="0">
                  <c:v>民間住宅</c:v>
                </c:pt>
              </c:strCache>
            </c:strRef>
          </c:tx>
          <c:spPr>
            <a:ln w="28575" cap="rnd">
              <a:solidFill>
                <a:schemeClr val="accent1"/>
              </a:solidFill>
              <a:round/>
            </a:ln>
            <a:effectLst/>
          </c:spPr>
          <c:marker>
            <c:symbol val="none"/>
          </c:marker>
          <c:cat>
            <c:numRef>
              <c:f>'★需要側予測（テスト)'!$FO$6:$FO$66</c:f>
              <c:numCache>
                <c:formatCode>General</c:formatCode>
                <c:ptCount val="6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pt idx="56">
                  <c:v>2036</c:v>
                </c:pt>
                <c:pt idx="57">
                  <c:v>2037</c:v>
                </c:pt>
                <c:pt idx="58">
                  <c:v>2038</c:v>
                </c:pt>
                <c:pt idx="59">
                  <c:v>2039</c:v>
                </c:pt>
                <c:pt idx="60">
                  <c:v>2040</c:v>
                </c:pt>
              </c:numCache>
            </c:numRef>
          </c:cat>
          <c:val>
            <c:numRef>
              <c:f>'★需要側予測（テスト)'!$FP$6:$FP$66</c:f>
              <c:numCache>
                <c:formatCode>#,##0_);[Red]\(#,##0\)</c:formatCode>
                <c:ptCount val="61"/>
                <c:pt idx="0">
                  <c:v>209115.89550873864</c:v>
                </c:pt>
                <c:pt idx="1">
                  <c:v>192233.3971502608</c:v>
                </c:pt>
                <c:pt idx="2">
                  <c:v>198773.39734513013</c:v>
                </c:pt>
                <c:pt idx="3">
                  <c:v>186580.87495231561</c:v>
                </c:pt>
                <c:pt idx="4">
                  <c:v>183316.46164974963</c:v>
                </c:pt>
                <c:pt idx="5">
                  <c:v>188008.8058138889</c:v>
                </c:pt>
                <c:pt idx="6">
                  <c:v>203669.28314025773</c:v>
                </c:pt>
                <c:pt idx="7">
                  <c:v>247527.87236867321</c:v>
                </c:pt>
                <c:pt idx="8">
                  <c:v>276009.70308196789</c:v>
                </c:pt>
                <c:pt idx="9">
                  <c:v>276475.52717596584</c:v>
                </c:pt>
                <c:pt idx="10">
                  <c:v>291705.86100284825</c:v>
                </c:pt>
                <c:pt idx="11">
                  <c:v>266617.62469571969</c:v>
                </c:pt>
                <c:pt idx="12">
                  <c:v>249693.19601185148</c:v>
                </c:pt>
                <c:pt idx="13">
                  <c:v>256914.81187267735</c:v>
                </c:pt>
                <c:pt idx="14">
                  <c:v>273139.35492519301</c:v>
                </c:pt>
                <c:pt idx="15">
                  <c:v>261032.82362725239</c:v>
                </c:pt>
                <c:pt idx="16">
                  <c:v>294042.70406954671</c:v>
                </c:pt>
                <c:pt idx="17">
                  <c:v>255267.77226008195</c:v>
                </c:pt>
                <c:pt idx="18">
                  <c:v>219038.39408450801</c:v>
                </c:pt>
                <c:pt idx="19">
                  <c:v>224087.45780971562</c:v>
                </c:pt>
                <c:pt idx="20">
                  <c:v>222438.65014101149</c:v>
                </c:pt>
                <c:pt idx="21">
                  <c:v>211600.13096553594</c:v>
                </c:pt>
                <c:pt idx="22">
                  <c:v>202702.63081743242</c:v>
                </c:pt>
                <c:pt idx="23">
                  <c:v>201541.57704602586</c:v>
                </c:pt>
                <c:pt idx="24">
                  <c:v>202900.01836176991</c:v>
                </c:pt>
                <c:pt idx="25">
                  <c:v>201316.05242418451</c:v>
                </c:pt>
                <c:pt idx="26">
                  <c:v>203157.5818433786</c:v>
                </c:pt>
                <c:pt idx="27">
                  <c:v>182368.08658647974</c:v>
                </c:pt>
                <c:pt idx="28">
                  <c:v>170607.51258486437</c:v>
                </c:pt>
                <c:pt idx="29">
                  <c:v>141081.20068738353</c:v>
                </c:pt>
                <c:pt idx="30">
                  <c:v>136204.04053941541</c:v>
                </c:pt>
                <c:pt idx="31">
                  <c:v>145492.26736758795</c:v>
                </c:pt>
                <c:pt idx="32">
                  <c:v>153098.23786510248</c:v>
                </c:pt>
                <c:pt idx="33">
                  <c:v>166942.5286374909</c:v>
                </c:pt>
                <c:pt idx="34">
                  <c:v>155428.16920263518</c:v>
                </c:pt>
                <c:pt idx="35">
                  <c:v>172758.35708535835</c:v>
                </c:pt>
                <c:pt idx="36">
                  <c:v>184859.32104184831</c:v>
                </c:pt>
                <c:pt idx="37">
                  <c:v>187208.12066984747</c:v>
                </c:pt>
                <c:pt idx="38">
                  <c:v>182967.56891843522</c:v>
                </c:pt>
                <c:pt idx="39">
                  <c:v>174440.6345081343</c:v>
                </c:pt>
                <c:pt idx="40">
                  <c:v>159976.95678144213</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0-443A-4EDC-ABE2-5E4E5AC2C49A}"/>
            </c:ext>
          </c:extLst>
        </c:ser>
        <c:dLbls>
          <c:showLegendKey val="0"/>
          <c:showVal val="0"/>
          <c:showCatName val="0"/>
          <c:showSerName val="0"/>
          <c:showPercent val="0"/>
          <c:showBubbleSize val="0"/>
        </c:dLbls>
        <c:smooth val="0"/>
        <c:axId val="1102223407"/>
        <c:axId val="1102226319"/>
        <c:extLst>
          <c:ext xmlns:c15="http://schemas.microsoft.com/office/drawing/2012/chart" uri="{02D57815-91ED-43cb-92C2-25804820EDAC}">
            <c15:filteredLineSeries>
              <c15:ser>
                <c:idx val="1"/>
                <c:order val="1"/>
                <c:tx>
                  <c:strRef>
                    <c:extLst>
                      <c:ext uri="{02D57815-91ED-43cb-92C2-25804820EDAC}">
                        <c15:formulaRef>
                          <c15:sqref>'★需要側予測（テスト)'!$FQ$4:$FQ$5</c15:sqref>
                        </c15:formulaRef>
                      </c:ext>
                    </c:extLst>
                    <c:strCache>
                      <c:ptCount val="2"/>
                      <c:pt idx="0">
                        <c:v>公的住宅</c:v>
                      </c:pt>
                    </c:strCache>
                  </c:strRef>
                </c:tx>
                <c:spPr>
                  <a:ln w="28575" cap="rnd">
                    <a:solidFill>
                      <a:schemeClr val="accent2"/>
                    </a:solidFill>
                    <a:round/>
                  </a:ln>
                  <a:effectLst/>
                </c:spPr>
                <c:marker>
                  <c:symbol val="none"/>
                </c:marker>
                <c:cat>
                  <c:numRef>
                    <c:extLst>
                      <c:ext uri="{02D57815-91ED-43cb-92C2-25804820EDAC}">
                        <c15:formulaRef>
                          <c15:sqref>'★需要側予測（テスト)'!$FO$6:$FO$66</c15:sqref>
                        </c15:formulaRef>
                      </c:ext>
                    </c:extLst>
                    <c:numCache>
                      <c:formatCode>General</c:formatCode>
                      <c:ptCount val="6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pt idx="56">
                        <c:v>2036</c:v>
                      </c:pt>
                      <c:pt idx="57">
                        <c:v>2037</c:v>
                      </c:pt>
                      <c:pt idx="58">
                        <c:v>2038</c:v>
                      </c:pt>
                      <c:pt idx="59">
                        <c:v>2039</c:v>
                      </c:pt>
                      <c:pt idx="60">
                        <c:v>2040</c:v>
                      </c:pt>
                    </c:numCache>
                  </c:numRef>
                </c:cat>
                <c:val>
                  <c:numRef>
                    <c:extLst>
                      <c:ext uri="{02D57815-91ED-43cb-92C2-25804820EDAC}">
                        <c15:formulaRef>
                          <c15:sqref>'★需要側予測（テスト)'!$FQ$6:$FQ$66</c15:sqref>
                        </c15:formulaRef>
                      </c:ext>
                    </c:extLst>
                    <c:numCache>
                      <c:formatCode>#,##0_);[Red]\(#,##0\)</c:formatCode>
                      <c:ptCount val="61"/>
                      <c:pt idx="0">
                        <c:v>12344.283979982103</c:v>
                      </c:pt>
                      <c:pt idx="1">
                        <c:v>11594.987730497327</c:v>
                      </c:pt>
                      <c:pt idx="2">
                        <c:v>11834.491191114705</c:v>
                      </c:pt>
                      <c:pt idx="3">
                        <c:v>11846.53137729371</c:v>
                      </c:pt>
                      <c:pt idx="4">
                        <c:v>10878.346928778528</c:v>
                      </c:pt>
                      <c:pt idx="5">
                        <c:v>10689.203736029876</c:v>
                      </c:pt>
                      <c:pt idx="6">
                        <c:v>10804.187502570989</c:v>
                      </c:pt>
                      <c:pt idx="7">
                        <c:v>10735.465389144465</c:v>
                      </c:pt>
                      <c:pt idx="8">
                        <c:v>10574.240056545475</c:v>
                      </c:pt>
                      <c:pt idx="9">
                        <c:v>10528.880638940507</c:v>
                      </c:pt>
                      <c:pt idx="10">
                        <c:v>11211.751863833022</c:v>
                      </c:pt>
                      <c:pt idx="11">
                        <c:v>12650.259388392455</c:v>
                      </c:pt>
                      <c:pt idx="12">
                        <c:v>14400.42202977142</c:v>
                      </c:pt>
                      <c:pt idx="13">
                        <c:v>16210.053168005768</c:v>
                      </c:pt>
                      <c:pt idx="14">
                        <c:v>18854.491624605209</c:v>
                      </c:pt>
                      <c:pt idx="15">
                        <c:v>16770.87984979598</c:v>
                      </c:pt>
                      <c:pt idx="16">
                        <c:v>16066.356323495169</c:v>
                      </c:pt>
                      <c:pt idx="17">
                        <c:v>15564.097344000067</c:v>
                      </c:pt>
                      <c:pt idx="18">
                        <c:v>13458.214968442178</c:v>
                      </c:pt>
                      <c:pt idx="19">
                        <c:v>12346.873871953054</c:v>
                      </c:pt>
                      <c:pt idx="20">
                        <c:v>10892.9707798491</c:v>
                      </c:pt>
                      <c:pt idx="21">
                        <c:v>10655.395056802863</c:v>
                      </c:pt>
                      <c:pt idx="22">
                        <c:v>10173.553061078926</c:v>
                      </c:pt>
                      <c:pt idx="23">
                        <c:v>9360.8434453524096</c:v>
                      </c:pt>
                      <c:pt idx="24">
                        <c:v>7832.0515599617529</c:v>
                      </c:pt>
                      <c:pt idx="25">
                        <c:v>6258.6123983698853</c:v>
                      </c:pt>
                      <c:pt idx="26">
                        <c:v>6371.8726568111861</c:v>
                      </c:pt>
                      <c:pt idx="27">
                        <c:v>5931.8477660247218</c:v>
                      </c:pt>
                      <c:pt idx="28">
                        <c:v>5355.6623268122285</c:v>
                      </c:pt>
                      <c:pt idx="29">
                        <c:v>5921.2084719150071</c:v>
                      </c:pt>
                      <c:pt idx="30">
                        <c:v>5480.6566541579678</c:v>
                      </c:pt>
                      <c:pt idx="31">
                        <c:v>4839.9591412334576</c:v>
                      </c:pt>
                      <c:pt idx="32">
                        <c:v>4617.7711114312888</c:v>
                      </c:pt>
                      <c:pt idx="33">
                        <c:v>6117.756593055351</c:v>
                      </c:pt>
                      <c:pt idx="34">
                        <c:v>7380.2958422805068</c:v>
                      </c:pt>
                      <c:pt idx="35">
                        <c:v>9479.4237761110289</c:v>
                      </c:pt>
                      <c:pt idx="36">
                        <c:v>10376.665837614433</c:v>
                      </c:pt>
                      <c:pt idx="37">
                        <c:v>9383.8519358478716</c:v>
                      </c:pt>
                      <c:pt idx="38">
                        <c:v>7673.9030530869059</c:v>
                      </c:pt>
                      <c:pt idx="39">
                        <c:v>6510.6686873951267</c:v>
                      </c:pt>
                      <c:pt idx="40">
                        <c:v>6440.6826029201129</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1-443A-4EDC-ABE2-5E4E5AC2C49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'★需要側予測（テスト)'!$FR$4:$FR$5</c15:sqref>
                        </c15:formulaRef>
                      </c:ext>
                    </c:extLst>
                    <c:strCache>
                      <c:ptCount val="2"/>
                      <c:pt idx="0">
                        <c:v>民間非住宅</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'★需要側予測（テスト)'!$FO$6:$FO$66</c15:sqref>
                        </c15:formulaRef>
                      </c:ext>
                    </c:extLst>
                    <c:numCache>
                      <c:formatCode>General</c:formatCode>
                      <c:ptCount val="6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pt idx="56">
                        <c:v>2036</c:v>
                      </c:pt>
                      <c:pt idx="57">
                        <c:v>2037</c:v>
                      </c:pt>
                      <c:pt idx="58">
                        <c:v>2038</c:v>
                      </c:pt>
                      <c:pt idx="59">
                        <c:v>2039</c:v>
                      </c:pt>
                      <c:pt idx="60">
                        <c:v>2040</c:v>
                      </c:pt>
                    </c:numCache>
                  </c:numRef>
                </c:cat>
                <c:val>
                  <c:numRef>
                    <c:extLst xmlns:c15="http://schemas.microsoft.com/office/drawing/2012/chart">
                      <c:ext xmlns:c15="http://schemas.microsoft.com/office/drawing/2012/chart" uri="{02D57815-91ED-43cb-92C2-25804820EDAC}">
                        <c15:formulaRef>
                          <c15:sqref>'★需要側予測（テスト)'!$FR$6:$FR$66</c15:sqref>
                        </c15:formulaRef>
                      </c:ext>
                    </c:extLst>
                    <c:numCache>
                      <c:formatCode>#,##0_);[Red]\(#,##0\)</c:formatCode>
                      <c:ptCount val="61"/>
                      <c:pt idx="0">
                        <c:v>129499.31966766097</c:v>
                      </c:pt>
                      <c:pt idx="1">
                        <c:v>122949.88497664926</c:v>
                      </c:pt>
                      <c:pt idx="2">
                        <c:v>117807.82633205278</c:v>
                      </c:pt>
                      <c:pt idx="3">
                        <c:v>119700.25530258204</c:v>
                      </c:pt>
                      <c:pt idx="4">
                        <c:v>132872.6220074202</c:v>
                      </c:pt>
                      <c:pt idx="5">
                        <c:v>140469.11870846161</c:v>
                      </c:pt>
                      <c:pt idx="6">
                        <c:v>148434.06157465052</c:v>
                      </c:pt>
                      <c:pt idx="7">
                        <c:v>158980.90996544124</c:v>
                      </c:pt>
                      <c:pt idx="8">
                        <c:v>187138.826864426</c:v>
                      </c:pt>
                      <c:pt idx="9">
                        <c:v>216600.90022876172</c:v>
                      </c:pt>
                      <c:pt idx="10">
                        <c:v>245539.27533971323</c:v>
                      </c:pt>
                      <c:pt idx="11">
                        <c:v>250607.73863147068</c:v>
                      </c:pt>
                      <c:pt idx="12">
                        <c:v>231691.50632899883</c:v>
                      </c:pt>
                      <c:pt idx="13">
                        <c:v>173169.5629921793</c:v>
                      </c:pt>
                      <c:pt idx="14">
                        <c:v>134648.41893150099</c:v>
                      </c:pt>
                      <c:pt idx="15">
                        <c:v>122844.29150569983</c:v>
                      </c:pt>
                      <c:pt idx="16">
                        <c:v>130122.78759462836</c:v>
                      </c:pt>
                      <c:pt idx="17">
                        <c:v>131622.87104308646</c:v>
                      </c:pt>
                      <c:pt idx="18">
                        <c:v>118461.50946285276</c:v>
                      </c:pt>
                      <c:pt idx="19">
                        <c:v>106171.27402252714</c:v>
                      </c:pt>
                      <c:pt idx="20">
                        <c:v>105896.07585302283</c:v>
                      </c:pt>
                      <c:pt idx="21">
                        <c:v>98030.729515460524</c:v>
                      </c:pt>
                      <c:pt idx="22">
                        <c:v>90025.963727167808</c:v>
                      </c:pt>
                      <c:pt idx="23">
                        <c:v>86942.955019569912</c:v>
                      </c:pt>
                      <c:pt idx="24">
                        <c:v>97161.654479727003</c:v>
                      </c:pt>
                      <c:pt idx="25">
                        <c:v>103304.50755456537</c:v>
                      </c:pt>
                      <c:pt idx="26">
                        <c:v>106796.92237607279</c:v>
                      </c:pt>
                      <c:pt idx="27">
                        <c:v>100901.01828428419</c:v>
                      </c:pt>
                      <c:pt idx="28">
                        <c:v>100729.71987110993</c:v>
                      </c:pt>
                      <c:pt idx="29">
                        <c:v>87946.994892914488</c:v>
                      </c:pt>
                      <c:pt idx="30">
                        <c:v>73649.344303493388</c:v>
                      </c:pt>
                      <c:pt idx="31">
                        <c:v>77777.500353590454</c:v>
                      </c:pt>
                      <c:pt idx="32">
                        <c:v>78691.499109982498</c:v>
                      </c:pt>
                      <c:pt idx="33">
                        <c:v>88786.384070218832</c:v>
                      </c:pt>
                      <c:pt idx="34">
                        <c:v>92341.114644232031</c:v>
                      </c:pt>
                      <c:pt idx="35">
                        <c:v>123036.59479117366</c:v>
                      </c:pt>
                      <c:pt idx="36">
                        <c:v>138150.67098517879</c:v>
                      </c:pt>
                      <c:pt idx="37">
                        <c:v>150587.12336080143</c:v>
                      </c:pt>
                      <c:pt idx="38">
                        <c:v>149683.82619579177</c:v>
                      </c:pt>
                      <c:pt idx="39">
                        <c:v>150126.10182525002</c:v>
                      </c:pt>
                      <c:pt idx="40">
                        <c:v>136901.25910171188</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xmlns:c15="http://schemas.microsoft.com/office/drawing/2012/chart">
                  <c:ext xmlns:c16="http://schemas.microsoft.com/office/drawing/2014/chart" uri="{C3380CC4-5D6E-409C-BE32-E72D297353CC}">
                    <c16:uniqueId val="{00000002-443A-4EDC-ABE2-5E4E5AC2C49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'★需要側予測（テスト)'!$FS$4:$FS$5</c15:sqref>
                        </c15:formulaRef>
                      </c:ext>
                    </c:extLst>
                    <c:strCache>
                      <c:ptCount val="2"/>
                      <c:pt idx="0">
                        <c:v>公的非住宅</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'★需要側予測（テスト)'!$FO$6:$FO$66</c15:sqref>
                        </c15:formulaRef>
                      </c:ext>
                    </c:extLst>
                    <c:numCache>
                      <c:formatCode>General</c:formatCode>
                      <c:ptCount val="6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pt idx="56">
                        <c:v>2036</c:v>
                      </c:pt>
                      <c:pt idx="57">
                        <c:v>2037</c:v>
                      </c:pt>
                      <c:pt idx="58">
                        <c:v>2038</c:v>
                      </c:pt>
                      <c:pt idx="59">
                        <c:v>2039</c:v>
                      </c:pt>
                      <c:pt idx="60">
                        <c:v>2040</c:v>
                      </c:pt>
                    </c:numCache>
                  </c:numRef>
                </c:cat>
                <c:val>
                  <c:numRef>
                    <c:extLst xmlns:c15="http://schemas.microsoft.com/office/drawing/2012/chart">
                      <c:ext xmlns:c15="http://schemas.microsoft.com/office/drawing/2012/chart" uri="{02D57815-91ED-43cb-92C2-25804820EDAC}">
                        <c15:formulaRef>
                          <c15:sqref>'★需要側予測（テスト)'!$FS$6:$FS$66</c15:sqref>
                        </c15:formulaRef>
                      </c:ext>
                    </c:extLst>
                    <c:numCache>
                      <c:formatCode>#,##0_);[Red]\(#,##0\)</c:formatCode>
                      <c:ptCount val="61"/>
                      <c:pt idx="0">
                        <c:v>52625.431821695216</c:v>
                      </c:pt>
                      <c:pt idx="1">
                        <c:v>52968.802714956102</c:v>
                      </c:pt>
                      <c:pt idx="2">
                        <c:v>50421.513314383847</c:v>
                      </c:pt>
                      <c:pt idx="3">
                        <c:v>44205.767500736722</c:v>
                      </c:pt>
                      <c:pt idx="4">
                        <c:v>41202.14601206415</c:v>
                      </c:pt>
                      <c:pt idx="5">
                        <c:v>37619.325192198623</c:v>
                      </c:pt>
                      <c:pt idx="6">
                        <c:v>37726.933350944273</c:v>
                      </c:pt>
                      <c:pt idx="7">
                        <c:v>38865.962509917081</c:v>
                      </c:pt>
                      <c:pt idx="8">
                        <c:v>40886.250045990455</c:v>
                      </c:pt>
                      <c:pt idx="9">
                        <c:v>38756.208790382501</c:v>
                      </c:pt>
                      <c:pt idx="10">
                        <c:v>41245.022416101732</c:v>
                      </c:pt>
                      <c:pt idx="11">
                        <c:v>46835.513427197802</c:v>
                      </c:pt>
                      <c:pt idx="12">
                        <c:v>55326.119467974335</c:v>
                      </c:pt>
                      <c:pt idx="13">
                        <c:v>57791.663358336991</c:v>
                      </c:pt>
                      <c:pt idx="14">
                        <c:v>52698.94915362668</c:v>
                      </c:pt>
                      <c:pt idx="15">
                        <c:v>48053.394024849236</c:v>
                      </c:pt>
                      <c:pt idx="16">
                        <c:v>46134.702004971121</c:v>
                      </c:pt>
                      <c:pt idx="17">
                        <c:v>45080.024366319471</c:v>
                      </c:pt>
                      <c:pt idx="18">
                        <c:v>41086.205086666465</c:v>
                      </c:pt>
                      <c:pt idx="19">
                        <c:v>39279.185919731259</c:v>
                      </c:pt>
                      <c:pt idx="20">
                        <c:v>34486.799161285642</c:v>
                      </c:pt>
                      <c:pt idx="21">
                        <c:v>31315.076687863988</c:v>
                      </c:pt>
                      <c:pt idx="22">
                        <c:v>29690.450854777802</c:v>
                      </c:pt>
                      <c:pt idx="23">
                        <c:v>28165.556551721071</c:v>
                      </c:pt>
                      <c:pt idx="24">
                        <c:v>20962.026390163614</c:v>
                      </c:pt>
                      <c:pt idx="25">
                        <c:v>17301.983807989003</c:v>
                      </c:pt>
                      <c:pt idx="26">
                        <c:v>16224.427528678531</c:v>
                      </c:pt>
                      <c:pt idx="27">
                        <c:v>14760.282435585716</c:v>
                      </c:pt>
                      <c:pt idx="28">
                        <c:v>15590.329151572929</c:v>
                      </c:pt>
                      <c:pt idx="29">
                        <c:v>17290.817538634466</c:v>
                      </c:pt>
                      <c:pt idx="30">
                        <c:v>18339.251129248478</c:v>
                      </c:pt>
                      <c:pt idx="31">
                        <c:v>19275.757944687764</c:v>
                      </c:pt>
                      <c:pt idx="32">
                        <c:v>23079.182682844104</c:v>
                      </c:pt>
                      <c:pt idx="33">
                        <c:v>26871.151702076073</c:v>
                      </c:pt>
                      <c:pt idx="34">
                        <c:v>32867.215961007081</c:v>
                      </c:pt>
                      <c:pt idx="35">
                        <c:v>42911.002668863453</c:v>
                      </c:pt>
                      <c:pt idx="36">
                        <c:v>46329.036287384544</c:v>
                      </c:pt>
                      <c:pt idx="37">
                        <c:v>49594.870071955353</c:v>
                      </c:pt>
                      <c:pt idx="38">
                        <c:v>47997.470870965437</c:v>
                      </c:pt>
                      <c:pt idx="39">
                        <c:v>47761.132496565646</c:v>
                      </c:pt>
                      <c:pt idx="40">
                        <c:v>49539.440422019507</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xmlns:c15="http://schemas.microsoft.com/office/drawing/2012/chart">
                  <c:ext xmlns:c16="http://schemas.microsoft.com/office/drawing/2014/chart" uri="{C3380CC4-5D6E-409C-BE32-E72D297353CC}">
                    <c16:uniqueId val="{00000003-443A-4EDC-ABE2-5E4E5AC2C49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'★需要側予測（テスト)'!$FT$4:$FT$5</c15:sqref>
                        </c15:formulaRef>
                      </c:ext>
                    </c:extLst>
                    <c:strCache>
                      <c:ptCount val="2"/>
                      <c:pt idx="0">
                        <c:v>民間土木</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'★需要側予測（テスト)'!$FO$6:$FO$66</c15:sqref>
                        </c15:formulaRef>
                      </c:ext>
                    </c:extLst>
                    <c:numCache>
                      <c:formatCode>General</c:formatCode>
                      <c:ptCount val="6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pt idx="56">
                        <c:v>2036</c:v>
                      </c:pt>
                      <c:pt idx="57">
                        <c:v>2037</c:v>
                      </c:pt>
                      <c:pt idx="58">
                        <c:v>2038</c:v>
                      </c:pt>
                      <c:pt idx="59">
                        <c:v>2039</c:v>
                      </c:pt>
                      <c:pt idx="60">
                        <c:v>2040</c:v>
                      </c:pt>
                    </c:numCache>
                  </c:numRef>
                </c:cat>
                <c:val>
                  <c:numRef>
                    <c:extLst xmlns:c15="http://schemas.microsoft.com/office/drawing/2012/chart">
                      <c:ext xmlns:c15="http://schemas.microsoft.com/office/drawing/2012/chart" uri="{02D57815-91ED-43cb-92C2-25804820EDAC}">
                        <c15:formulaRef>
                          <c15:sqref>'★需要側予測（テスト)'!$FT$6:$FT$66</c15:sqref>
                        </c15:formulaRef>
                      </c:ext>
                    </c:extLst>
                    <c:numCache>
                      <c:formatCode>#,##0_);[Red]\(#,##0\)</c:formatCode>
                      <c:ptCount val="61"/>
                      <c:pt idx="0">
                        <c:v>69112.274387905345</c:v>
                      </c:pt>
                      <c:pt idx="1">
                        <c:v>75441.126091765123</c:v>
                      </c:pt>
                      <c:pt idx="2">
                        <c:v>77609.379083273889</c:v>
                      </c:pt>
                      <c:pt idx="3">
                        <c:v>61030.108693556635</c:v>
                      </c:pt>
                      <c:pt idx="4">
                        <c:v>56797.668049522254</c:v>
                      </c:pt>
                      <c:pt idx="5">
                        <c:v>59616.226028088997</c:v>
                      </c:pt>
                      <c:pt idx="6">
                        <c:v>62402.797154670094</c:v>
                      </c:pt>
                      <c:pt idx="7">
                        <c:v>66344.736357248345</c:v>
                      </c:pt>
                      <c:pt idx="8">
                        <c:v>68853.775936686056</c:v>
                      </c:pt>
                      <c:pt idx="9">
                        <c:v>78110.645520670441</c:v>
                      </c:pt>
                      <c:pt idx="10">
                        <c:v>91079.487514409862</c:v>
                      </c:pt>
                      <c:pt idx="11">
                        <c:v>96262.083044016399</c:v>
                      </c:pt>
                      <c:pt idx="12">
                        <c:v>100604.31713659353</c:v>
                      </c:pt>
                      <c:pt idx="13">
                        <c:v>100293.00251845777</c:v>
                      </c:pt>
                      <c:pt idx="14">
                        <c:v>92083.147856277501</c:v>
                      </c:pt>
                      <c:pt idx="15">
                        <c:v>94882.371677233547</c:v>
                      </c:pt>
                      <c:pt idx="16">
                        <c:v>91429.568433127468</c:v>
                      </c:pt>
                      <c:pt idx="17">
                        <c:v>86974.314633486239</c:v>
                      </c:pt>
                      <c:pt idx="18">
                        <c:v>84051.186621772213</c:v>
                      </c:pt>
                      <c:pt idx="19">
                        <c:v>76108.415206839811</c:v>
                      </c:pt>
                      <c:pt idx="20">
                        <c:v>73298.295024147359</c:v>
                      </c:pt>
                      <c:pt idx="21">
                        <c:v>71034.623706564613</c:v>
                      </c:pt>
                      <c:pt idx="22">
                        <c:v>62842.394694031776</c:v>
                      </c:pt>
                      <c:pt idx="23">
                        <c:v>57583.46796415031</c:v>
                      </c:pt>
                      <c:pt idx="24">
                        <c:v>53719.721920954609</c:v>
                      </c:pt>
                      <c:pt idx="25">
                        <c:v>54181.746940259531</c:v>
                      </c:pt>
                      <c:pt idx="26">
                        <c:v>54666.049505975912</c:v>
                      </c:pt>
                      <c:pt idx="27">
                        <c:v>53797.225260160587</c:v>
                      </c:pt>
                      <c:pt idx="28">
                        <c:v>52495.54100616405</c:v>
                      </c:pt>
                      <c:pt idx="29">
                        <c:v>49375.167110910472</c:v>
                      </c:pt>
                      <c:pt idx="30">
                        <c:v>42897.044274349406</c:v>
                      </c:pt>
                      <c:pt idx="31">
                        <c:v>45876.393961105088</c:v>
                      </c:pt>
                      <c:pt idx="32">
                        <c:v>44841.031680183332</c:v>
                      </c:pt>
                      <c:pt idx="33">
                        <c:v>46865.217622593802</c:v>
                      </c:pt>
                      <c:pt idx="34">
                        <c:v>47380.301256210405</c:v>
                      </c:pt>
                      <c:pt idx="35">
                        <c:v>49537.703405259403</c:v>
                      </c:pt>
                      <c:pt idx="36">
                        <c:v>50138.464741578318</c:v>
                      </c:pt>
                      <c:pt idx="37">
                        <c:v>48275.565276246984</c:v>
                      </c:pt>
                      <c:pt idx="38">
                        <c:v>50306.421033825078</c:v>
                      </c:pt>
                      <c:pt idx="39">
                        <c:v>50764.635452699134</c:v>
                      </c:pt>
                      <c:pt idx="40">
                        <c:v>50646.256352396464</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xmlns:c15="http://schemas.microsoft.com/office/drawing/2012/chart">
                  <c:ext xmlns:c16="http://schemas.microsoft.com/office/drawing/2014/chart" uri="{C3380CC4-5D6E-409C-BE32-E72D297353CC}">
                    <c16:uniqueId val="{00000004-443A-4EDC-ABE2-5E4E5AC2C49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'★需要側予測（テスト)'!$FU$4:$FU$5</c15:sqref>
                        </c15:formulaRef>
                      </c:ext>
                    </c:extLst>
                    <c:strCache>
                      <c:ptCount val="2"/>
                      <c:pt idx="0">
                        <c:v>公的土木</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'★需要側予測（テスト)'!$FO$6:$FO$66</c15:sqref>
                        </c15:formulaRef>
                      </c:ext>
                    </c:extLst>
                    <c:numCache>
                      <c:formatCode>General</c:formatCode>
                      <c:ptCount val="6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pt idx="56">
                        <c:v>2036</c:v>
                      </c:pt>
                      <c:pt idx="57">
                        <c:v>2037</c:v>
                      </c:pt>
                      <c:pt idx="58">
                        <c:v>2038</c:v>
                      </c:pt>
                      <c:pt idx="59">
                        <c:v>2039</c:v>
                      </c:pt>
                      <c:pt idx="60">
                        <c:v>2040</c:v>
                      </c:pt>
                    </c:numCache>
                  </c:numRef>
                </c:cat>
                <c:val>
                  <c:numRef>
                    <c:extLst xmlns:c15="http://schemas.microsoft.com/office/drawing/2012/chart">
                      <c:ext xmlns:c15="http://schemas.microsoft.com/office/drawing/2012/chart" uri="{02D57815-91ED-43cb-92C2-25804820EDAC}">
                        <c15:formulaRef>
                          <c15:sqref>'★需要側予測（テスト)'!$FU$6:$FU$66</c15:sqref>
                        </c15:formulaRef>
                      </c:ext>
                    </c:extLst>
                    <c:numCache>
                      <c:formatCode>#,##0_);[Red]\(#,##0\)</c:formatCode>
                      <c:ptCount val="61"/>
                      <c:pt idx="0">
                        <c:v>202914.43510561698</c:v>
                      </c:pt>
                      <c:pt idx="1">
                        <c:v>201061.51597687128</c:v>
                      </c:pt>
                      <c:pt idx="2">
                        <c:v>205116.61976260578</c:v>
                      </c:pt>
                      <c:pt idx="3">
                        <c:v>208059.28149195394</c:v>
                      </c:pt>
                      <c:pt idx="4">
                        <c:v>205529.40862902641</c:v>
                      </c:pt>
                      <c:pt idx="5">
                        <c:v>200436.81777592422</c:v>
                      </c:pt>
                      <c:pt idx="6">
                        <c:v>219883.88842543331</c:v>
                      </c:pt>
                      <c:pt idx="7">
                        <c:v>233292.84543566033</c:v>
                      </c:pt>
                      <c:pt idx="8">
                        <c:v>247349.75768353729</c:v>
                      </c:pt>
                      <c:pt idx="9">
                        <c:v>242065.11969696454</c:v>
                      </c:pt>
                      <c:pt idx="10">
                        <c:v>249237.29668246288</c:v>
                      </c:pt>
                      <c:pt idx="11">
                        <c:v>257100.85993504935</c:v>
                      </c:pt>
                      <c:pt idx="12">
                        <c:v>284527.81732235401</c:v>
                      </c:pt>
                      <c:pt idx="13">
                        <c:v>307141.71781202551</c:v>
                      </c:pt>
                      <c:pt idx="14">
                        <c:v>307844.33882815018</c:v>
                      </c:pt>
                      <c:pt idx="15">
                        <c:v>309328.09627163329</c:v>
                      </c:pt>
                      <c:pt idx="16">
                        <c:v>335999.3103311382</c:v>
                      </c:pt>
                      <c:pt idx="17">
                        <c:v>307638.1702635102</c:v>
                      </c:pt>
                      <c:pt idx="18">
                        <c:v>316032.85761857359</c:v>
                      </c:pt>
                      <c:pt idx="19">
                        <c:v>321962.11012480356</c:v>
                      </c:pt>
                      <c:pt idx="20">
                        <c:v>288365.18616223783</c:v>
                      </c:pt>
                      <c:pt idx="21">
                        <c:v>289550.86796045094</c:v>
                      </c:pt>
                      <c:pt idx="22">
                        <c:v>270958.53636404313</c:v>
                      </c:pt>
                      <c:pt idx="23">
                        <c:v>241013.9918968468</c:v>
                      </c:pt>
                      <c:pt idx="24">
                        <c:v>215353.05639483486</c:v>
                      </c:pt>
                      <c:pt idx="25">
                        <c:v>196635.03038323642</c:v>
                      </c:pt>
                      <c:pt idx="26">
                        <c:v>177831.62141183708</c:v>
                      </c:pt>
                      <c:pt idx="27">
                        <c:v>165996.1534714429</c:v>
                      </c:pt>
                      <c:pt idx="28">
                        <c:v>154155.20868274386</c:v>
                      </c:pt>
                      <c:pt idx="29">
                        <c:v>161129.789063484</c:v>
                      </c:pt>
                      <c:pt idx="30">
                        <c:v>170407.43092706206</c:v>
                      </c:pt>
                      <c:pt idx="31">
                        <c:v>152808.06984018526</c:v>
                      </c:pt>
                      <c:pt idx="32">
                        <c:v>145353.89553726726</c:v>
                      </c:pt>
                      <c:pt idx="33">
                        <c:v>152615.44266419049</c:v>
                      </c:pt>
                      <c:pt idx="34">
                        <c:v>150196.69366653039</c:v>
                      </c:pt>
                      <c:pt idx="35">
                        <c:v>141850.29847867921</c:v>
                      </c:pt>
                      <c:pt idx="36">
                        <c:v>151234.07808652165</c:v>
                      </c:pt>
                      <c:pt idx="37">
                        <c:v>154123.39811104312</c:v>
                      </c:pt>
                      <c:pt idx="38">
                        <c:v>149699.28775416251</c:v>
                      </c:pt>
                      <c:pt idx="39">
                        <c:v>153667.14719482133</c:v>
                      </c:pt>
                      <c:pt idx="40">
                        <c:v>162156.55899855541</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xmlns:c15="http://schemas.microsoft.com/office/drawing/2012/chart">
                  <c:ext xmlns:c16="http://schemas.microsoft.com/office/drawing/2014/chart" uri="{C3380CC4-5D6E-409C-BE32-E72D297353CC}">
                    <c16:uniqueId val="{00000005-443A-4EDC-ABE2-5E4E5AC2C49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'★需要側予測（テスト)'!$FV$4:$FV$5</c15:sqref>
                        </c15:formulaRef>
                      </c:ext>
                    </c:extLst>
                    <c:strCache>
                      <c:ptCount val="2"/>
                      <c:pt idx="0">
                        <c:v>合計</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'★需要側予測（テスト)'!$FO$6:$FO$66</c15:sqref>
                        </c15:formulaRef>
                      </c:ext>
                    </c:extLst>
                    <c:numCache>
                      <c:formatCode>General</c:formatCode>
                      <c:ptCount val="6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pt idx="56">
                        <c:v>2036</c:v>
                      </c:pt>
                      <c:pt idx="57">
                        <c:v>2037</c:v>
                      </c:pt>
                      <c:pt idx="58">
                        <c:v>2038</c:v>
                      </c:pt>
                      <c:pt idx="59">
                        <c:v>2039</c:v>
                      </c:pt>
                      <c:pt idx="60">
                        <c:v>2040</c:v>
                      </c:pt>
                    </c:numCache>
                  </c:numRef>
                </c:cat>
                <c:val>
                  <c:numRef>
                    <c:extLst xmlns:c15="http://schemas.microsoft.com/office/drawing/2012/chart">
                      <c:ext xmlns:c15="http://schemas.microsoft.com/office/drawing/2012/chart" uri="{02D57815-91ED-43cb-92C2-25804820EDAC}">
                        <c15:formulaRef>
                          <c15:sqref>'★需要側予測（テスト)'!$FV$6:$FV$66</c15:sqref>
                        </c15:formulaRef>
                      </c:ext>
                    </c:extLst>
                    <c:numCache>
                      <c:formatCode>#,##0_);[Red]\(#,##0\)</c:formatCode>
                      <c:ptCount val="61"/>
                      <c:pt idx="0">
                        <c:v>675611.6404715993</c:v>
                      </c:pt>
                      <c:pt idx="1">
                        <c:v>656249.71464099991</c:v>
                      </c:pt>
                      <c:pt idx="2">
                        <c:v>661563.22702856117</c:v>
                      </c:pt>
                      <c:pt idx="3">
                        <c:v>631422.81931843865</c:v>
                      </c:pt>
                      <c:pt idx="4">
                        <c:v>630596.65327656118</c:v>
                      </c:pt>
                      <c:pt idx="5">
                        <c:v>636839.49725459225</c:v>
                      </c:pt>
                      <c:pt idx="6">
                        <c:v>682921.15114852693</c:v>
                      </c:pt>
                      <c:pt idx="7">
                        <c:v>755747.79202608461</c:v>
                      </c:pt>
                      <c:pt idx="8">
                        <c:v>830812.55366915325</c:v>
                      </c:pt>
                      <c:pt idx="9">
                        <c:v>862537.2820516855</c:v>
                      </c:pt>
                      <c:pt idx="10">
                        <c:v>930018.694819369</c:v>
                      </c:pt>
                      <c:pt idx="11">
                        <c:v>930074.07912184636</c:v>
                      </c:pt>
                      <c:pt idx="12">
                        <c:v>936243.37829754362</c:v>
                      </c:pt>
                      <c:pt idx="13">
                        <c:v>911520.81172168278</c:v>
                      </c:pt>
                      <c:pt idx="14">
                        <c:v>879268.70131935354</c:v>
                      </c:pt>
                      <c:pt idx="15">
                        <c:v>852911.85695646424</c:v>
                      </c:pt>
                      <c:pt idx="16">
                        <c:v>913795.428756907</c:v>
                      </c:pt>
                      <c:pt idx="17">
                        <c:v>842147.24991048442</c:v>
                      </c:pt>
                      <c:pt idx="18">
                        <c:v>792128.36784281523</c:v>
                      </c:pt>
                      <c:pt idx="19">
                        <c:v>779955.31695557036</c:v>
                      </c:pt>
                      <c:pt idx="20">
                        <c:v>735377.97712155432</c:v>
                      </c:pt>
                      <c:pt idx="21">
                        <c:v>712186.82389267883</c:v>
                      </c:pt>
                      <c:pt idx="22">
                        <c:v>666393.52951853187</c:v>
                      </c:pt>
                      <c:pt idx="23">
                        <c:v>624608.39192366635</c:v>
                      </c:pt>
                      <c:pt idx="24">
                        <c:v>597928.52910741174</c:v>
                      </c:pt>
                      <c:pt idx="25">
                        <c:v>578997.93350860476</c:v>
                      </c:pt>
                      <c:pt idx="26">
                        <c:v>565048.47532275412</c:v>
                      </c:pt>
                      <c:pt idx="27">
                        <c:v>523754.61380397785</c:v>
                      </c:pt>
                      <c:pt idx="28">
                        <c:v>498933.97362326737</c:v>
                      </c:pt>
                      <c:pt idx="29">
                        <c:v>462745.177765242</c:v>
                      </c:pt>
                      <c:pt idx="30">
                        <c:v>446977.76782772667</c:v>
                      </c:pt>
                      <c:pt idx="31">
                        <c:v>446069.94860838994</c:v>
                      </c:pt>
                      <c:pt idx="32">
                        <c:v>449681.61798681098</c:v>
                      </c:pt>
                      <c:pt idx="33">
                        <c:v>488198.48128962546</c:v>
                      </c:pt>
                      <c:pt idx="34">
                        <c:v>485593.79057289567</c:v>
                      </c:pt>
                      <c:pt idx="35">
                        <c:v>539573.38020544511</c:v>
                      </c:pt>
                      <c:pt idx="36">
                        <c:v>581088.23698012601</c:v>
                      </c:pt>
                      <c:pt idx="37">
                        <c:v>599172.92942574224</c:v>
                      </c:pt>
                      <c:pt idx="38">
                        <c:v>588328.47782626702</c:v>
                      </c:pt>
                      <c:pt idx="39">
                        <c:v>583270.32016486558</c:v>
                      </c:pt>
                      <c:pt idx="40">
                        <c:v>565661.15425904549</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xmlns:c15="http://schemas.microsoft.com/office/drawing/2012/chart">
                  <c:ext xmlns:c16="http://schemas.microsoft.com/office/drawing/2014/chart" uri="{C3380CC4-5D6E-409C-BE32-E72D297353CC}">
                    <c16:uniqueId val="{00000006-443A-4EDC-ABE2-5E4E5AC2C49A}"/>
                  </c:ext>
                </c:extLst>
              </c15:ser>
            </c15:filteredLineSeries>
          </c:ext>
        </c:extLst>
      </c:lineChart>
      <c:catAx>
        <c:axId val="1102223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102226319"/>
        <c:crosses val="autoZero"/>
        <c:auto val="1"/>
        <c:lblAlgn val="ctr"/>
        <c:lblOffset val="100"/>
        <c:noMultiLvlLbl val="0"/>
      </c:catAx>
      <c:valAx>
        <c:axId val="1102226319"/>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1022234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'★PPT用図（需要側）'!$B$1</c:f>
              <c:strCache>
                <c:ptCount val="1"/>
                <c:pt idx="0">
                  <c:v>成長実現ケース</c:v>
                </c:pt>
              </c:strCache>
            </c:strRef>
          </c:tx>
          <c:spPr>
            <a:ln w="28575" cap="rnd">
              <a:solidFill>
                <a:schemeClr val="accent1"/>
              </a:solidFill>
              <a:round/>
            </a:ln>
            <a:effectLst/>
          </c:spPr>
          <c:marker>
            <c:symbol val="none"/>
          </c:marker>
          <c:dLbls>
            <c:dLbl>
              <c:idx val="45"/>
              <c:layout>
                <c:manualLayout>
                  <c:x val="-4.2115968142199429E-2"/>
                  <c:y val="-8.51710389127279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952-44E2-8CCC-283D852D0939}"/>
                </c:ext>
              </c:extLst>
            </c:dLbl>
            <c:dLbl>
              <c:idx val="50"/>
              <c:layout>
                <c:manualLayout>
                  <c:x val="-3.8996266798332804E-2"/>
                  <c:y val="-7.9847848980682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52-44E2-8CCC-283D852D0939}"/>
                </c:ext>
              </c:extLst>
            </c:dLbl>
            <c:dLbl>
              <c:idx val="55"/>
              <c:layout>
                <c:manualLayout>
                  <c:x val="-1.7158357391266432E-2"/>
                  <c:y val="-7.71862540146597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52-44E2-8CCC-283D852D093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游ゴシック Medium" panose="020B0500000000000000" pitchFamily="50" charset="-128"/>
                    <a:ea typeface="游ゴシック Medium" panose="020B0500000000000000"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'★PPT用図（需要側）'!$A$2:$A$57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'★PPT用図（需要側）'!$B$2:$B$57</c:f>
              <c:numCache>
                <c:formatCode>#,##0.0;[Red]\-#,##0.0</c:formatCode>
                <c:ptCount val="56"/>
                <c:pt idx="0">
                  <c:v>67.561164047159934</c:v>
                </c:pt>
                <c:pt idx="1">
                  <c:v>65.624971464099985</c:v>
                </c:pt>
                <c:pt idx="2">
                  <c:v>66.156322702856116</c:v>
                </c:pt>
                <c:pt idx="3">
                  <c:v>63.142281931843861</c:v>
                </c:pt>
                <c:pt idx="4">
                  <c:v>63.05966532765612</c:v>
                </c:pt>
                <c:pt idx="5">
                  <c:v>63.683949725459222</c:v>
                </c:pt>
                <c:pt idx="6">
                  <c:v>68.292115114852692</c:v>
                </c:pt>
                <c:pt idx="7">
                  <c:v>75.574779202608468</c:v>
                </c:pt>
                <c:pt idx="8">
                  <c:v>83.081255366915329</c:v>
                </c:pt>
                <c:pt idx="9">
                  <c:v>86.253728205168557</c:v>
                </c:pt>
                <c:pt idx="10">
                  <c:v>93.001869481936907</c:v>
                </c:pt>
                <c:pt idx="11">
                  <c:v>93.007407912184632</c:v>
                </c:pt>
                <c:pt idx="12">
                  <c:v>93.624337829754367</c:v>
                </c:pt>
                <c:pt idx="13">
                  <c:v>91.15208117216828</c:v>
                </c:pt>
                <c:pt idx="14">
                  <c:v>87.92687013193536</c:v>
                </c:pt>
                <c:pt idx="15">
                  <c:v>85.291185695646419</c:v>
                </c:pt>
                <c:pt idx="16">
                  <c:v>91.379542875690703</c:v>
                </c:pt>
                <c:pt idx="17">
                  <c:v>84.214724991048442</c:v>
                </c:pt>
                <c:pt idx="18">
                  <c:v>79.212836784281521</c:v>
                </c:pt>
                <c:pt idx="19">
                  <c:v>77.995531695557034</c:v>
                </c:pt>
                <c:pt idx="20">
                  <c:v>73.537797712155438</c:v>
                </c:pt>
                <c:pt idx="21">
                  <c:v>71.218682389267883</c:v>
                </c:pt>
                <c:pt idx="22">
                  <c:v>66.639352951853184</c:v>
                </c:pt>
                <c:pt idx="23">
                  <c:v>62.460839192366635</c:v>
                </c:pt>
                <c:pt idx="24">
                  <c:v>59.792852910741175</c:v>
                </c:pt>
                <c:pt idx="25">
                  <c:v>57.899793350860477</c:v>
                </c:pt>
                <c:pt idx="26">
                  <c:v>56.504847532275413</c:v>
                </c:pt>
                <c:pt idx="27">
                  <c:v>52.375461380397788</c:v>
                </c:pt>
                <c:pt idx="28">
                  <c:v>49.893397362326738</c:v>
                </c:pt>
                <c:pt idx="29">
                  <c:v>46.274517776524199</c:v>
                </c:pt>
                <c:pt idx="30">
                  <c:v>44.697776782772664</c:v>
                </c:pt>
                <c:pt idx="31">
                  <c:v>44.606994860838995</c:v>
                </c:pt>
                <c:pt idx="32">
                  <c:v>44.968161798681095</c:v>
                </c:pt>
                <c:pt idx="33">
                  <c:v>48.819848128962548</c:v>
                </c:pt>
                <c:pt idx="34">
                  <c:v>48.559379057289568</c:v>
                </c:pt>
                <c:pt idx="35">
                  <c:v>53.957338020544512</c:v>
                </c:pt>
                <c:pt idx="36">
                  <c:v>58.1088236980126</c:v>
                </c:pt>
                <c:pt idx="37">
                  <c:v>59.917292942574221</c:v>
                </c:pt>
                <c:pt idx="38">
                  <c:v>58.8328477826267</c:v>
                </c:pt>
                <c:pt idx="39">
                  <c:v>58.327032016486555</c:v>
                </c:pt>
                <c:pt idx="40">
                  <c:v>56.566115425904549</c:v>
                </c:pt>
                <c:pt idx="41">
                  <c:v>56.763666163192902</c:v>
                </c:pt>
                <c:pt idx="42">
                  <c:v>57.458868916883702</c:v>
                </c:pt>
                <c:pt idx="43">
                  <c:v>61.035584869894109</c:v>
                </c:pt>
                <c:pt idx="44">
                  <c:v>67.418943062712444</c:v>
                </c:pt>
                <c:pt idx="45">
                  <c:v>72.431916907453427</c:v>
                </c:pt>
                <c:pt idx="46">
                  <c:v>77.391756240401889</c:v>
                </c:pt>
                <c:pt idx="47">
                  <c:v>83.589751114736771</c:v>
                </c:pt>
                <c:pt idx="48">
                  <c:v>87.588044198780011</c:v>
                </c:pt>
                <c:pt idx="49">
                  <c:v>90.719207560842335</c:v>
                </c:pt>
                <c:pt idx="50">
                  <c:v>91.64066649893212</c:v>
                </c:pt>
                <c:pt idx="51">
                  <c:v>90.028225860887716</c:v>
                </c:pt>
                <c:pt idx="52">
                  <c:v>90.56588073819411</c:v>
                </c:pt>
                <c:pt idx="53">
                  <c:v>92.39892754391218</c:v>
                </c:pt>
                <c:pt idx="54">
                  <c:v>94.778502004920185</c:v>
                </c:pt>
                <c:pt idx="55">
                  <c:v>96.866122229711578</c:v>
                </c:pt>
              </c:numCache>
            </c:numRef>
          </c:val>
          <c:smooth val="0"/>
          <c:extLst>
            <c:ext xmlns:c16="http://schemas.microsoft.com/office/drawing/2014/chart" uri="{C3380CC4-5D6E-409C-BE32-E72D297353CC}">
              <c16:uniqueId val="{00000000-B952-44E2-8CCC-283D852D0939}"/>
            </c:ext>
          </c:extLst>
        </c:ser>
        <c:ser>
          <c:idx val="1"/>
          <c:order val="1"/>
          <c:tx>
            <c:strRef>
              <c:f>'★PPT用図（需要側）'!$C$1</c:f>
              <c:strCache>
                <c:ptCount val="1"/>
                <c:pt idx="0">
                  <c:v>ベースラインケース</c:v>
                </c:pt>
              </c:strCache>
            </c:strRef>
          </c:tx>
          <c:spPr>
            <a:ln w="28575" cap="rnd">
              <a:solidFill>
                <a:schemeClr val="accent2"/>
              </a:solidFill>
              <a:round/>
            </a:ln>
            <a:effectLst/>
          </c:spPr>
          <c:marker>
            <c:symbol val="none"/>
          </c:marker>
          <c:dLbls>
            <c:dLbl>
              <c:idx val="45"/>
              <c:layout>
                <c:manualLayout>
                  <c:x val="-1.5598506719334264E-3"/>
                  <c:y val="5.32318993204548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952-44E2-8CCC-283D852D0939}"/>
                </c:ext>
              </c:extLst>
            </c:dLbl>
            <c:dLbl>
              <c:idx val="50"/>
              <c:layout>
                <c:manualLayout>
                  <c:x val="-3.4316714782532981E-2"/>
                  <c:y val="-4.79087093884094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952-44E2-8CCC-283D852D0939}"/>
                </c:ext>
              </c:extLst>
            </c:dLbl>
            <c:dLbl>
              <c:idx val="55"/>
              <c:layout>
                <c:manualLayout>
                  <c:x val="-1.4038656047399923E-2"/>
                  <c:y val="-7.98478489806825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952-44E2-8CCC-283D852D093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游ゴシック Medium" panose="020B0500000000000000" pitchFamily="50" charset="-128"/>
                    <a:ea typeface="游ゴシック Medium" panose="020B0500000000000000"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'★PPT用図（需要側）'!$A$2:$A$57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'★PPT用図（需要側）'!$C$2:$C$57</c:f>
              <c:numCache>
                <c:formatCode>#,##0.0;[Red]\-#,##0.0</c:formatCode>
                <c:ptCount val="56"/>
                <c:pt idx="0">
                  <c:v>67.561164047159934</c:v>
                </c:pt>
                <c:pt idx="1">
                  <c:v>65.624971464099985</c:v>
                </c:pt>
                <c:pt idx="2">
                  <c:v>66.156322702856116</c:v>
                </c:pt>
                <c:pt idx="3">
                  <c:v>63.142281931843861</c:v>
                </c:pt>
                <c:pt idx="4">
                  <c:v>63.05966532765612</c:v>
                </c:pt>
                <c:pt idx="5">
                  <c:v>63.683949725459222</c:v>
                </c:pt>
                <c:pt idx="6">
                  <c:v>68.292115114852692</c:v>
                </c:pt>
                <c:pt idx="7">
                  <c:v>75.574779202608468</c:v>
                </c:pt>
                <c:pt idx="8">
                  <c:v>83.081255366915329</c:v>
                </c:pt>
                <c:pt idx="9">
                  <c:v>86.253728205168557</c:v>
                </c:pt>
                <c:pt idx="10">
                  <c:v>93.001869481936907</c:v>
                </c:pt>
                <c:pt idx="11">
                  <c:v>93.007407912184632</c:v>
                </c:pt>
                <c:pt idx="12">
                  <c:v>93.624337829754367</c:v>
                </c:pt>
                <c:pt idx="13">
                  <c:v>91.15208117216828</c:v>
                </c:pt>
                <c:pt idx="14">
                  <c:v>87.92687013193536</c:v>
                </c:pt>
                <c:pt idx="15">
                  <c:v>85.291185695646419</c:v>
                </c:pt>
                <c:pt idx="16">
                  <c:v>91.379542875690703</c:v>
                </c:pt>
                <c:pt idx="17">
                  <c:v>84.214724991048442</c:v>
                </c:pt>
                <c:pt idx="18">
                  <c:v>79.212836784281521</c:v>
                </c:pt>
                <c:pt idx="19">
                  <c:v>77.995531695557034</c:v>
                </c:pt>
                <c:pt idx="20">
                  <c:v>73.537797712155438</c:v>
                </c:pt>
                <c:pt idx="21">
                  <c:v>71.218682389267883</c:v>
                </c:pt>
                <c:pt idx="22">
                  <c:v>66.639352951853184</c:v>
                </c:pt>
                <c:pt idx="23">
                  <c:v>62.460839192366635</c:v>
                </c:pt>
                <c:pt idx="24">
                  <c:v>59.792852910741175</c:v>
                </c:pt>
                <c:pt idx="25">
                  <c:v>57.899793350860477</c:v>
                </c:pt>
                <c:pt idx="26">
                  <c:v>56.504847532275413</c:v>
                </c:pt>
                <c:pt idx="27">
                  <c:v>52.375461380397788</c:v>
                </c:pt>
                <c:pt idx="28">
                  <c:v>49.893397362326738</c:v>
                </c:pt>
                <c:pt idx="29">
                  <c:v>46.274517776524199</c:v>
                </c:pt>
                <c:pt idx="30">
                  <c:v>44.697776782772664</c:v>
                </c:pt>
                <c:pt idx="31">
                  <c:v>44.606994860838995</c:v>
                </c:pt>
                <c:pt idx="32">
                  <c:v>44.968161798681095</c:v>
                </c:pt>
                <c:pt idx="33">
                  <c:v>48.819848128962548</c:v>
                </c:pt>
                <c:pt idx="34">
                  <c:v>48.559379057289568</c:v>
                </c:pt>
                <c:pt idx="35">
                  <c:v>53.957338020544512</c:v>
                </c:pt>
                <c:pt idx="36">
                  <c:v>58.1088236980126</c:v>
                </c:pt>
                <c:pt idx="37">
                  <c:v>59.917292942574221</c:v>
                </c:pt>
                <c:pt idx="38">
                  <c:v>58.8328477826267</c:v>
                </c:pt>
                <c:pt idx="39">
                  <c:v>58.327032016486555</c:v>
                </c:pt>
                <c:pt idx="40">
                  <c:v>56.566115425904549</c:v>
                </c:pt>
                <c:pt idx="41">
                  <c:v>56.763666163192902</c:v>
                </c:pt>
                <c:pt idx="42">
                  <c:v>57.458868916883702</c:v>
                </c:pt>
                <c:pt idx="43">
                  <c:v>58.318606873390102</c:v>
                </c:pt>
                <c:pt idx="44">
                  <c:v>61.471995708511756</c:v>
                </c:pt>
                <c:pt idx="45">
                  <c:v>61.806424490148757</c:v>
                </c:pt>
                <c:pt idx="46">
                  <c:v>64.046164739013776</c:v>
                </c:pt>
                <c:pt idx="47">
                  <c:v>67.9933398989305</c:v>
                </c:pt>
                <c:pt idx="48">
                  <c:v>69.328219845975099</c:v>
                </c:pt>
                <c:pt idx="49">
                  <c:v>70.984919569562379</c:v>
                </c:pt>
                <c:pt idx="50">
                  <c:v>69.733454808675759</c:v>
                </c:pt>
                <c:pt idx="51">
                  <c:v>65.873193203369041</c:v>
                </c:pt>
                <c:pt idx="52">
                  <c:v>66.83347651522277</c:v>
                </c:pt>
                <c:pt idx="53">
                  <c:v>68.226865292457163</c:v>
                </c:pt>
                <c:pt idx="54">
                  <c:v>69.183702147326457</c:v>
                </c:pt>
                <c:pt idx="55">
                  <c:v>69.696263739234624</c:v>
                </c:pt>
              </c:numCache>
            </c:numRef>
          </c:val>
          <c:smooth val="0"/>
          <c:extLst>
            <c:ext xmlns:c16="http://schemas.microsoft.com/office/drawing/2014/chart" uri="{C3380CC4-5D6E-409C-BE32-E72D297353CC}">
              <c16:uniqueId val="{00000001-B952-44E2-8CCC-283D852D0939}"/>
            </c:ext>
          </c:extLst>
        </c:ser>
        <c:ser>
          <c:idx val="2"/>
          <c:order val="2"/>
          <c:tx>
            <c:strRef>
              <c:f>'[2]図10　需要側合計'!#REF!</c:f>
              <c:strCache>
                <c:ptCount val="1"/>
                <c:pt idx="0">
                  <c:v>#REF!</c:v>
                </c:pt>
              </c:strCache>
            </c:strRef>
          </c:tx>
          <c:spPr>
            <a:ln w="28575" cap="rnd">
              <a:solidFill>
                <a:schemeClr val="accent2"/>
              </a:solidFill>
              <a:prstDash val="sysDash"/>
              <a:round/>
            </a:ln>
            <a:effectLst/>
          </c:spPr>
          <c:marker>
            <c:symbol val="none"/>
          </c:marker>
          <c:cat>
            <c:numRef>
              <c:f>'★PPT用図（需要側）'!$A$2:$A$57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'[2]図10　需要側合計'!#REF!</c:f>
              <c:numCache>
                <c:formatCode>General</c:formatCode>
                <c:ptCount val="1"/>
                <c:pt idx="0">
                  <c:v>1</c:v>
                </c:pt>
              </c:numCache>
            </c:numRef>
          </c:val>
          <c:smooth val="0"/>
          <c:extLst>
            <c:ext xmlns:c16="http://schemas.microsoft.com/office/drawing/2014/chart" uri="{C3380CC4-5D6E-409C-BE32-E72D297353CC}">
              <c16:uniqueId val="{00000002-B952-44E2-8CCC-283D852D0939}"/>
            </c:ext>
          </c:extLst>
        </c:ser>
        <c:ser>
          <c:idx val="3"/>
          <c:order val="3"/>
          <c:tx>
            <c:strRef>
              <c:f>'★PPT用図（需要側）'!$D$1</c:f>
              <c:strCache>
                <c:ptCount val="1"/>
                <c:pt idx="0">
                  <c:v>現実</c:v>
                </c:pt>
              </c:strCache>
            </c:strRef>
          </c:tx>
          <c:spPr>
            <a:ln w="28575" cap="rnd">
              <a:solidFill>
                <a:schemeClr val="tx1"/>
              </a:solidFill>
              <a:round/>
            </a:ln>
            <a:effectLst/>
          </c:spPr>
          <c:marker>
            <c:symbol val="none"/>
          </c:marker>
          <c:cat>
            <c:numRef>
              <c:f>'★PPT用図（需要側）'!$A$2:$A$57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'★PPT用図（需要側）'!$D$2:$D$57</c:f>
              <c:numCache>
                <c:formatCode>#,##0.0;[Red]\-#,##0.0</c:formatCode>
                <c:ptCount val="56"/>
                <c:pt idx="0">
                  <c:v>67.561164047159934</c:v>
                </c:pt>
                <c:pt idx="1">
                  <c:v>65.624971464099985</c:v>
                </c:pt>
                <c:pt idx="2">
                  <c:v>66.156322702856116</c:v>
                </c:pt>
                <c:pt idx="3">
                  <c:v>63.142281931843861</c:v>
                </c:pt>
                <c:pt idx="4">
                  <c:v>63.05966532765612</c:v>
                </c:pt>
                <c:pt idx="5">
                  <c:v>63.683949725459222</c:v>
                </c:pt>
                <c:pt idx="6">
                  <c:v>68.292115114852692</c:v>
                </c:pt>
                <c:pt idx="7">
                  <c:v>75.574779202608468</c:v>
                </c:pt>
                <c:pt idx="8">
                  <c:v>83.081255366915329</c:v>
                </c:pt>
                <c:pt idx="9">
                  <c:v>86.253728205168557</c:v>
                </c:pt>
                <c:pt idx="10">
                  <c:v>93.001869481936907</c:v>
                </c:pt>
                <c:pt idx="11">
                  <c:v>93.007407912184632</c:v>
                </c:pt>
                <c:pt idx="12">
                  <c:v>93.624337829754367</c:v>
                </c:pt>
                <c:pt idx="13">
                  <c:v>91.15208117216828</c:v>
                </c:pt>
                <c:pt idx="14">
                  <c:v>87.92687013193536</c:v>
                </c:pt>
                <c:pt idx="15">
                  <c:v>85.291185695646419</c:v>
                </c:pt>
                <c:pt idx="16">
                  <c:v>91.379542875690703</c:v>
                </c:pt>
                <c:pt idx="17">
                  <c:v>84.214724991048442</c:v>
                </c:pt>
                <c:pt idx="18">
                  <c:v>79.212836784281521</c:v>
                </c:pt>
                <c:pt idx="19">
                  <c:v>77.995531695557034</c:v>
                </c:pt>
                <c:pt idx="20">
                  <c:v>73.537797712155438</c:v>
                </c:pt>
                <c:pt idx="21">
                  <c:v>71.218682389267883</c:v>
                </c:pt>
                <c:pt idx="22">
                  <c:v>66.639352951853184</c:v>
                </c:pt>
                <c:pt idx="23">
                  <c:v>62.460839192366635</c:v>
                </c:pt>
                <c:pt idx="24">
                  <c:v>59.792852910741175</c:v>
                </c:pt>
                <c:pt idx="25">
                  <c:v>57.899793350860477</c:v>
                </c:pt>
                <c:pt idx="26">
                  <c:v>56.504847532275413</c:v>
                </c:pt>
                <c:pt idx="27">
                  <c:v>52.375461380397788</c:v>
                </c:pt>
                <c:pt idx="28">
                  <c:v>49.893397362326738</c:v>
                </c:pt>
                <c:pt idx="29">
                  <c:v>46.274517776524199</c:v>
                </c:pt>
                <c:pt idx="30">
                  <c:v>44.697776782772664</c:v>
                </c:pt>
                <c:pt idx="31">
                  <c:v>44.606994860838995</c:v>
                </c:pt>
                <c:pt idx="32">
                  <c:v>44.968161798681095</c:v>
                </c:pt>
                <c:pt idx="33">
                  <c:v>48.819848128962548</c:v>
                </c:pt>
                <c:pt idx="34">
                  <c:v>48.559379057289568</c:v>
                </c:pt>
                <c:pt idx="35">
                  <c:v>53.957338020544512</c:v>
                </c:pt>
                <c:pt idx="36">
                  <c:v>58.1088236980126</c:v>
                </c:pt>
                <c:pt idx="37">
                  <c:v>59.917292942574221</c:v>
                </c:pt>
                <c:pt idx="38">
                  <c:v>58.8328477826267</c:v>
                </c:pt>
                <c:pt idx="39">
                  <c:v>58.327032016486555</c:v>
                </c:pt>
                <c:pt idx="40">
                  <c:v>56.566115425904549</c:v>
                </c:pt>
                <c:pt idx="41">
                  <c:v>56.763666163192902</c:v>
                </c:pt>
                <c:pt idx="42">
                  <c:v>57.458868916883702</c:v>
                </c:pt>
              </c:numCache>
            </c:numRef>
          </c:val>
          <c:smooth val="0"/>
          <c:extLst>
            <c:ext xmlns:c16="http://schemas.microsoft.com/office/drawing/2014/chart" uri="{C3380CC4-5D6E-409C-BE32-E72D297353CC}">
              <c16:uniqueId val="{00000003-B952-44E2-8CCC-283D852D0939}"/>
            </c:ext>
          </c:extLst>
        </c:ser>
        <c:dLbls>
          <c:showLegendKey val="0"/>
          <c:showVal val="0"/>
          <c:showCatName val="0"/>
          <c:showSerName val="0"/>
          <c:showPercent val="0"/>
          <c:showBubbleSize val="0"/>
        </c:dLbls>
        <c:smooth val="0"/>
        <c:axId val="231813167"/>
        <c:axId val="231797359"/>
      </c:lineChart>
      <c:catAx>
        <c:axId val="231813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797359"/>
        <c:crosses val="autoZero"/>
        <c:auto val="1"/>
        <c:lblAlgn val="ctr"/>
        <c:lblOffset val="100"/>
        <c:noMultiLvlLbl val="0"/>
      </c:catAx>
      <c:valAx>
        <c:axId val="231797359"/>
        <c:scaling>
          <c:orientation val="minMax"/>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813167"/>
        <c:crosses val="autoZero"/>
        <c:crossBetween val="between"/>
      </c:valAx>
      <c:spPr>
        <a:noFill/>
        <a:ln>
          <a:noFill/>
        </a:ln>
        <a:effectLst/>
      </c:spPr>
    </c:plotArea>
    <c:legend>
      <c:legendPos val="b"/>
      <c:legendEntry>
        <c:idx val="2"/>
        <c:delete val="1"/>
      </c:legendEntry>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'★図13　需要側合計'!$B$1</c:f>
              <c:strCache>
                <c:ptCount val="1"/>
                <c:pt idx="0">
                  <c:v>成長実現ケース</c:v>
                </c:pt>
              </c:strCache>
            </c:strRef>
          </c:tx>
          <c:spPr>
            <a:ln w="28575" cap="rnd">
              <a:solidFill>
                <a:schemeClr val="accent1"/>
              </a:solidFill>
              <a:round/>
            </a:ln>
            <a:effectLst/>
          </c:spPr>
          <c:marker>
            <c:symbol val="none"/>
          </c:marker>
          <c:cat>
            <c:numRef>
              <c:f>'★図13　需要側合計'!$A$2:$A$57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'★図13　需要側合計'!$B$2:$B$57</c:f>
              <c:numCache>
                <c:formatCode>#,##0_);[Red]\(#,##0\)</c:formatCode>
                <c:ptCount val="56"/>
                <c:pt idx="0">
                  <c:v>675611.6404715993</c:v>
                </c:pt>
                <c:pt idx="1">
                  <c:v>656249.71464099991</c:v>
                </c:pt>
                <c:pt idx="2">
                  <c:v>661563.22702856117</c:v>
                </c:pt>
                <c:pt idx="3">
                  <c:v>631422.81931843865</c:v>
                </c:pt>
                <c:pt idx="4">
                  <c:v>630596.65327656118</c:v>
                </c:pt>
                <c:pt idx="5">
                  <c:v>636839.49725459225</c:v>
                </c:pt>
                <c:pt idx="6">
                  <c:v>682921.15114852693</c:v>
                </c:pt>
                <c:pt idx="7">
                  <c:v>755747.79202608461</c:v>
                </c:pt>
                <c:pt idx="8">
                  <c:v>830812.55366915325</c:v>
                </c:pt>
                <c:pt idx="9">
                  <c:v>862537.2820516855</c:v>
                </c:pt>
                <c:pt idx="10">
                  <c:v>930018.694819369</c:v>
                </c:pt>
                <c:pt idx="11">
                  <c:v>930074.07912184636</c:v>
                </c:pt>
                <c:pt idx="12">
                  <c:v>936243.37829754362</c:v>
                </c:pt>
                <c:pt idx="13">
                  <c:v>911520.81172168278</c:v>
                </c:pt>
                <c:pt idx="14">
                  <c:v>879268.70131935354</c:v>
                </c:pt>
                <c:pt idx="15">
                  <c:v>852911.85695646424</c:v>
                </c:pt>
                <c:pt idx="16">
                  <c:v>913795.428756907</c:v>
                </c:pt>
                <c:pt idx="17">
                  <c:v>842147.24991048442</c:v>
                </c:pt>
                <c:pt idx="18">
                  <c:v>792128.36784281523</c:v>
                </c:pt>
                <c:pt idx="19">
                  <c:v>779955.31695557036</c:v>
                </c:pt>
                <c:pt idx="20">
                  <c:v>735377.97712155432</c:v>
                </c:pt>
                <c:pt idx="21">
                  <c:v>712186.82389267883</c:v>
                </c:pt>
                <c:pt idx="22">
                  <c:v>666393.52951853187</c:v>
                </c:pt>
                <c:pt idx="23">
                  <c:v>624608.39192366635</c:v>
                </c:pt>
                <c:pt idx="24">
                  <c:v>597928.52910741174</c:v>
                </c:pt>
                <c:pt idx="25">
                  <c:v>578997.93350860476</c:v>
                </c:pt>
                <c:pt idx="26">
                  <c:v>565048.47532275412</c:v>
                </c:pt>
                <c:pt idx="27">
                  <c:v>523754.61380397785</c:v>
                </c:pt>
                <c:pt idx="28">
                  <c:v>498933.97362326737</c:v>
                </c:pt>
                <c:pt idx="29">
                  <c:v>462745.177765242</c:v>
                </c:pt>
                <c:pt idx="30">
                  <c:v>446977.76782772667</c:v>
                </c:pt>
                <c:pt idx="31">
                  <c:v>446069.94860838994</c:v>
                </c:pt>
                <c:pt idx="32">
                  <c:v>449681.61798681098</c:v>
                </c:pt>
                <c:pt idx="33">
                  <c:v>488198.48128962546</c:v>
                </c:pt>
                <c:pt idx="34">
                  <c:v>485593.79057289567</c:v>
                </c:pt>
                <c:pt idx="35">
                  <c:v>539573.38020544511</c:v>
                </c:pt>
                <c:pt idx="36">
                  <c:v>581088.23698012601</c:v>
                </c:pt>
                <c:pt idx="37">
                  <c:v>599172.92942574224</c:v>
                </c:pt>
                <c:pt idx="38">
                  <c:v>588328.47782626702</c:v>
                </c:pt>
                <c:pt idx="39">
                  <c:v>583270.32016486558</c:v>
                </c:pt>
                <c:pt idx="40">
                  <c:v>565661.15425904549</c:v>
                </c:pt>
                <c:pt idx="41">
                  <c:v>567636.66163192899</c:v>
                </c:pt>
                <c:pt idx="42">
                  <c:v>574588.68916883704</c:v>
                </c:pt>
                <c:pt idx="43">
                  <c:v>610355.84869894106</c:v>
                </c:pt>
                <c:pt idx="44">
                  <c:v>674189.43062712438</c:v>
                </c:pt>
                <c:pt idx="45">
                  <c:v>724319.16907453421</c:v>
                </c:pt>
                <c:pt idx="46">
                  <c:v>773917.56240401894</c:v>
                </c:pt>
                <c:pt idx="47">
                  <c:v>835897.51114736765</c:v>
                </c:pt>
                <c:pt idx="48">
                  <c:v>875880.44198780006</c:v>
                </c:pt>
                <c:pt idx="49">
                  <c:v>907192.07560842333</c:v>
                </c:pt>
                <c:pt idx="50">
                  <c:v>916406.66498932126</c:v>
                </c:pt>
                <c:pt idx="51">
                  <c:v>900282.25860887719</c:v>
                </c:pt>
                <c:pt idx="52">
                  <c:v>905658.80738194112</c:v>
                </c:pt>
                <c:pt idx="53">
                  <c:v>923989.27543912176</c:v>
                </c:pt>
                <c:pt idx="54">
                  <c:v>947785.02004920179</c:v>
                </c:pt>
                <c:pt idx="55">
                  <c:v>968661.22229711572</c:v>
                </c:pt>
              </c:numCache>
            </c:numRef>
          </c:val>
          <c:smooth val="0"/>
          <c:extLst>
            <c:ext xmlns:c16="http://schemas.microsoft.com/office/drawing/2014/chart" uri="{C3380CC4-5D6E-409C-BE32-E72D297353CC}">
              <c16:uniqueId val="{00000000-0ECB-4EBD-A670-36581D87C910}"/>
            </c:ext>
          </c:extLst>
        </c:ser>
        <c:ser>
          <c:idx val="1"/>
          <c:order val="1"/>
          <c:tx>
            <c:strRef>
              <c:f>'★図13　需要側合計'!$C$1</c:f>
              <c:strCache>
                <c:ptCount val="1"/>
                <c:pt idx="0">
                  <c:v>ベースラインケース</c:v>
                </c:pt>
              </c:strCache>
            </c:strRef>
          </c:tx>
          <c:spPr>
            <a:ln w="28575" cap="rnd">
              <a:solidFill>
                <a:schemeClr val="accent2"/>
              </a:solidFill>
              <a:round/>
            </a:ln>
            <a:effectLst/>
          </c:spPr>
          <c:marker>
            <c:symbol val="none"/>
          </c:marker>
          <c:cat>
            <c:numRef>
              <c:f>'★図13　需要側合計'!$A$2:$A$57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'★図13　需要側合計'!$C$2:$C$57</c:f>
              <c:numCache>
                <c:formatCode>#,##0_);[Red]\(#,##0\)</c:formatCode>
                <c:ptCount val="56"/>
                <c:pt idx="0">
                  <c:v>675611.6404715993</c:v>
                </c:pt>
                <c:pt idx="1">
                  <c:v>656249.71464099991</c:v>
                </c:pt>
                <c:pt idx="2">
                  <c:v>661563.22702856117</c:v>
                </c:pt>
                <c:pt idx="3">
                  <c:v>631422.81931843865</c:v>
                </c:pt>
                <c:pt idx="4">
                  <c:v>630596.65327656118</c:v>
                </c:pt>
                <c:pt idx="5">
                  <c:v>636839.49725459225</c:v>
                </c:pt>
                <c:pt idx="6">
                  <c:v>682921.15114852693</c:v>
                </c:pt>
                <c:pt idx="7">
                  <c:v>755747.79202608461</c:v>
                </c:pt>
                <c:pt idx="8">
                  <c:v>830812.55366915325</c:v>
                </c:pt>
                <c:pt idx="9">
                  <c:v>862537.2820516855</c:v>
                </c:pt>
                <c:pt idx="10">
                  <c:v>930018.694819369</c:v>
                </c:pt>
                <c:pt idx="11">
                  <c:v>930074.07912184636</c:v>
                </c:pt>
                <c:pt idx="12">
                  <c:v>936243.37829754362</c:v>
                </c:pt>
                <c:pt idx="13">
                  <c:v>911520.81172168278</c:v>
                </c:pt>
                <c:pt idx="14">
                  <c:v>879268.70131935354</c:v>
                </c:pt>
                <c:pt idx="15">
                  <c:v>852911.85695646424</c:v>
                </c:pt>
                <c:pt idx="16">
                  <c:v>913795.428756907</c:v>
                </c:pt>
                <c:pt idx="17">
                  <c:v>842147.24991048442</c:v>
                </c:pt>
                <c:pt idx="18">
                  <c:v>792128.36784281523</c:v>
                </c:pt>
                <c:pt idx="19">
                  <c:v>779955.31695557036</c:v>
                </c:pt>
                <c:pt idx="20">
                  <c:v>735377.97712155432</c:v>
                </c:pt>
                <c:pt idx="21">
                  <c:v>712186.82389267883</c:v>
                </c:pt>
                <c:pt idx="22">
                  <c:v>666393.52951853187</c:v>
                </c:pt>
                <c:pt idx="23">
                  <c:v>624608.39192366635</c:v>
                </c:pt>
                <c:pt idx="24">
                  <c:v>597928.52910741174</c:v>
                </c:pt>
                <c:pt idx="25">
                  <c:v>578997.93350860476</c:v>
                </c:pt>
                <c:pt idx="26">
                  <c:v>565048.47532275412</c:v>
                </c:pt>
                <c:pt idx="27">
                  <c:v>523754.61380397785</c:v>
                </c:pt>
                <c:pt idx="28">
                  <c:v>498933.97362326737</c:v>
                </c:pt>
                <c:pt idx="29">
                  <c:v>462745.177765242</c:v>
                </c:pt>
                <c:pt idx="30">
                  <c:v>446977.76782772667</c:v>
                </c:pt>
                <c:pt idx="31">
                  <c:v>446069.94860838994</c:v>
                </c:pt>
                <c:pt idx="32">
                  <c:v>449681.61798681098</c:v>
                </c:pt>
                <c:pt idx="33">
                  <c:v>488198.48128962546</c:v>
                </c:pt>
                <c:pt idx="34">
                  <c:v>485593.79057289567</c:v>
                </c:pt>
                <c:pt idx="35">
                  <c:v>539573.38020544511</c:v>
                </c:pt>
                <c:pt idx="36">
                  <c:v>581088.23698012601</c:v>
                </c:pt>
                <c:pt idx="37">
                  <c:v>599172.92942574224</c:v>
                </c:pt>
                <c:pt idx="38">
                  <c:v>588328.47782626702</c:v>
                </c:pt>
                <c:pt idx="39">
                  <c:v>583270.32016486558</c:v>
                </c:pt>
                <c:pt idx="40">
                  <c:v>565661.15425904549</c:v>
                </c:pt>
                <c:pt idx="41">
                  <c:v>567636.66163192899</c:v>
                </c:pt>
                <c:pt idx="42">
                  <c:v>574588.68916883704</c:v>
                </c:pt>
                <c:pt idx="43">
                  <c:v>583186.06873390102</c:v>
                </c:pt>
                <c:pt idx="44">
                  <c:v>614719.95708511758</c:v>
                </c:pt>
                <c:pt idx="45">
                  <c:v>618064.2449014876</c:v>
                </c:pt>
                <c:pt idx="46">
                  <c:v>640461.64739013778</c:v>
                </c:pt>
                <c:pt idx="47">
                  <c:v>679933.39898930502</c:v>
                </c:pt>
                <c:pt idx="48">
                  <c:v>693282.19845975097</c:v>
                </c:pt>
                <c:pt idx="49">
                  <c:v>709849.19569562376</c:v>
                </c:pt>
                <c:pt idx="50">
                  <c:v>697334.54808675754</c:v>
                </c:pt>
                <c:pt idx="51">
                  <c:v>658731.93203369039</c:v>
                </c:pt>
                <c:pt idx="52">
                  <c:v>668334.76515222772</c:v>
                </c:pt>
                <c:pt idx="53">
                  <c:v>682268.65292457165</c:v>
                </c:pt>
                <c:pt idx="54">
                  <c:v>691837.02147326455</c:v>
                </c:pt>
                <c:pt idx="55">
                  <c:v>696962.63739234628</c:v>
                </c:pt>
              </c:numCache>
            </c:numRef>
          </c:val>
          <c:smooth val="0"/>
          <c:extLst>
            <c:ext xmlns:c16="http://schemas.microsoft.com/office/drawing/2014/chart" uri="{C3380CC4-5D6E-409C-BE32-E72D297353CC}">
              <c16:uniqueId val="{00000001-0ECB-4EBD-A670-36581D87C910}"/>
            </c:ext>
          </c:extLst>
        </c:ser>
        <c:ser>
          <c:idx val="2"/>
          <c:order val="2"/>
          <c:tx>
            <c:strRef>
              <c:f>'[2]図10　需要側合計'!#REF!</c:f>
              <c:strCache>
                <c:ptCount val="1"/>
                <c:pt idx="0">
                  <c:v>#REF!</c:v>
                </c:pt>
              </c:strCache>
            </c:strRef>
          </c:tx>
          <c:spPr>
            <a:ln w="28575" cap="rnd">
              <a:solidFill>
                <a:schemeClr val="accent2"/>
              </a:solidFill>
              <a:prstDash val="sysDash"/>
              <a:round/>
            </a:ln>
            <a:effectLst/>
          </c:spPr>
          <c:marker>
            <c:symbol val="none"/>
          </c:marker>
          <c:cat>
            <c:numRef>
              <c:f>'★図13　需要側合計'!$A$2:$A$57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'[2]図10　需要側合計'!#REF!</c:f>
              <c:numCache>
                <c:formatCode>General</c:formatCode>
                <c:ptCount val="1"/>
                <c:pt idx="0">
                  <c:v>1</c:v>
                </c:pt>
              </c:numCache>
            </c:numRef>
          </c:val>
          <c:smooth val="0"/>
          <c:extLst>
            <c:ext xmlns:c16="http://schemas.microsoft.com/office/drawing/2014/chart" uri="{C3380CC4-5D6E-409C-BE32-E72D297353CC}">
              <c16:uniqueId val="{00000002-0ECB-4EBD-A670-36581D87C910}"/>
            </c:ext>
          </c:extLst>
        </c:ser>
        <c:ser>
          <c:idx val="3"/>
          <c:order val="3"/>
          <c:tx>
            <c:strRef>
              <c:f>'★図13　需要側合計'!$D$1</c:f>
              <c:strCache>
                <c:ptCount val="1"/>
                <c:pt idx="0">
                  <c:v>現実</c:v>
                </c:pt>
              </c:strCache>
            </c:strRef>
          </c:tx>
          <c:spPr>
            <a:ln w="28575" cap="rnd">
              <a:solidFill>
                <a:schemeClr val="tx1"/>
              </a:solidFill>
              <a:round/>
            </a:ln>
            <a:effectLst/>
          </c:spPr>
          <c:marker>
            <c:symbol val="none"/>
          </c:marker>
          <c:cat>
            <c:numRef>
              <c:f>'★図13　需要側合計'!$A$2:$A$57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'★図13　需要側合計'!$D$2:$D$57</c:f>
              <c:numCache>
                <c:formatCode>#,##0_);[Red]\(#,##0\)</c:formatCode>
                <c:ptCount val="56"/>
                <c:pt idx="0">
                  <c:v>675611.6404715993</c:v>
                </c:pt>
                <c:pt idx="1">
                  <c:v>656249.71464099991</c:v>
                </c:pt>
                <c:pt idx="2">
                  <c:v>661563.22702856117</c:v>
                </c:pt>
                <c:pt idx="3">
                  <c:v>631422.81931843865</c:v>
                </c:pt>
                <c:pt idx="4">
                  <c:v>630596.65327656118</c:v>
                </c:pt>
                <c:pt idx="5">
                  <c:v>636839.49725459225</c:v>
                </c:pt>
                <c:pt idx="6">
                  <c:v>682921.15114852693</c:v>
                </c:pt>
                <c:pt idx="7">
                  <c:v>755747.79202608461</c:v>
                </c:pt>
                <c:pt idx="8">
                  <c:v>830812.55366915325</c:v>
                </c:pt>
                <c:pt idx="9">
                  <c:v>862537.2820516855</c:v>
                </c:pt>
                <c:pt idx="10">
                  <c:v>930018.694819369</c:v>
                </c:pt>
                <c:pt idx="11">
                  <c:v>930074.07912184636</c:v>
                </c:pt>
                <c:pt idx="12">
                  <c:v>936243.37829754362</c:v>
                </c:pt>
                <c:pt idx="13">
                  <c:v>911520.81172168278</c:v>
                </c:pt>
                <c:pt idx="14">
                  <c:v>879268.70131935354</c:v>
                </c:pt>
                <c:pt idx="15">
                  <c:v>852911.85695646424</c:v>
                </c:pt>
                <c:pt idx="16">
                  <c:v>913795.428756907</c:v>
                </c:pt>
                <c:pt idx="17">
                  <c:v>842147.24991048442</c:v>
                </c:pt>
                <c:pt idx="18">
                  <c:v>792128.36784281523</c:v>
                </c:pt>
                <c:pt idx="19">
                  <c:v>779955.31695557036</c:v>
                </c:pt>
                <c:pt idx="20">
                  <c:v>735377.97712155432</c:v>
                </c:pt>
                <c:pt idx="21">
                  <c:v>712186.82389267883</c:v>
                </c:pt>
                <c:pt idx="22">
                  <c:v>666393.52951853187</c:v>
                </c:pt>
                <c:pt idx="23">
                  <c:v>624608.39192366635</c:v>
                </c:pt>
                <c:pt idx="24">
                  <c:v>597928.52910741174</c:v>
                </c:pt>
                <c:pt idx="25">
                  <c:v>578997.93350860476</c:v>
                </c:pt>
                <c:pt idx="26">
                  <c:v>565048.47532275412</c:v>
                </c:pt>
                <c:pt idx="27">
                  <c:v>523754.61380397785</c:v>
                </c:pt>
                <c:pt idx="28">
                  <c:v>498933.97362326737</c:v>
                </c:pt>
                <c:pt idx="29">
                  <c:v>462745.177765242</c:v>
                </c:pt>
                <c:pt idx="30">
                  <c:v>446977.76782772667</c:v>
                </c:pt>
                <c:pt idx="31">
                  <c:v>446069.94860838994</c:v>
                </c:pt>
                <c:pt idx="32">
                  <c:v>449681.61798681098</c:v>
                </c:pt>
                <c:pt idx="33">
                  <c:v>488198.48128962546</c:v>
                </c:pt>
                <c:pt idx="34">
                  <c:v>485593.79057289567</c:v>
                </c:pt>
                <c:pt idx="35">
                  <c:v>539573.38020544511</c:v>
                </c:pt>
                <c:pt idx="36">
                  <c:v>581088.23698012601</c:v>
                </c:pt>
                <c:pt idx="37">
                  <c:v>599172.92942574224</c:v>
                </c:pt>
                <c:pt idx="38">
                  <c:v>588328.47782626702</c:v>
                </c:pt>
                <c:pt idx="39">
                  <c:v>583270.32016486558</c:v>
                </c:pt>
                <c:pt idx="40">
                  <c:v>565661.15425904549</c:v>
                </c:pt>
                <c:pt idx="41">
                  <c:v>567636.66163192899</c:v>
                </c:pt>
                <c:pt idx="42">
                  <c:v>574588.68916883704</c:v>
                </c:pt>
              </c:numCache>
            </c:numRef>
          </c:val>
          <c:smooth val="0"/>
          <c:extLst>
            <c:ext xmlns:c16="http://schemas.microsoft.com/office/drawing/2014/chart" uri="{C3380CC4-5D6E-409C-BE32-E72D297353CC}">
              <c16:uniqueId val="{00000003-0ECB-4EBD-A670-36581D87C910}"/>
            </c:ext>
          </c:extLst>
        </c:ser>
        <c:dLbls>
          <c:showLegendKey val="0"/>
          <c:showVal val="0"/>
          <c:showCatName val="0"/>
          <c:showSerName val="0"/>
          <c:showPercent val="0"/>
          <c:showBubbleSize val="0"/>
        </c:dLbls>
        <c:smooth val="0"/>
        <c:axId val="231813167"/>
        <c:axId val="231797359"/>
      </c:lineChart>
      <c:catAx>
        <c:axId val="231813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797359"/>
        <c:crosses val="autoZero"/>
        <c:auto val="1"/>
        <c:lblAlgn val="ctr"/>
        <c:lblOffset val="100"/>
        <c:noMultiLvlLbl val="0"/>
      </c:catAx>
      <c:valAx>
        <c:axId val="231797359"/>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813167"/>
        <c:crosses val="autoZero"/>
        <c:crossBetween val="between"/>
      </c:valAx>
      <c:spPr>
        <a:noFill/>
        <a:ln>
          <a:noFill/>
        </a:ln>
        <a:effectLst/>
      </c:spPr>
    </c:plotArea>
    <c:legend>
      <c:legendPos val="b"/>
      <c:legendEntry>
        <c:idx val="2"/>
        <c:delete val="1"/>
      </c:legendEntry>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'★図14　民間住宅'!$B$1</c:f>
              <c:strCache>
                <c:ptCount val="1"/>
                <c:pt idx="0">
                  <c:v>成長実現ケース</c:v>
                </c:pt>
              </c:strCache>
            </c:strRef>
          </c:tx>
          <c:spPr>
            <a:ln w="28575" cap="rnd">
              <a:solidFill>
                <a:schemeClr val="accent1"/>
              </a:solidFill>
              <a:round/>
            </a:ln>
            <a:effectLst/>
          </c:spPr>
          <c:marker>
            <c:symbol val="none"/>
          </c:marker>
          <c:cat>
            <c:numRef>
              <c:f>'★図14　民間住宅'!$A$2:$A$57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'★図14　民間住宅'!$B$2:$B$57</c:f>
              <c:numCache>
                <c:formatCode>#,##0_);[Red]\(#,##0\)</c:formatCode>
                <c:ptCount val="56"/>
                <c:pt idx="0">
                  <c:v>209115.89550873864</c:v>
                </c:pt>
                <c:pt idx="1">
                  <c:v>192233.3971502608</c:v>
                </c:pt>
                <c:pt idx="2">
                  <c:v>198773.39734513013</c:v>
                </c:pt>
                <c:pt idx="3">
                  <c:v>186580.87495231561</c:v>
                </c:pt>
                <c:pt idx="4">
                  <c:v>183316.46164974963</c:v>
                </c:pt>
                <c:pt idx="5">
                  <c:v>188008.8058138889</c:v>
                </c:pt>
                <c:pt idx="6">
                  <c:v>203669.28314025773</c:v>
                </c:pt>
                <c:pt idx="7">
                  <c:v>247527.87236867321</c:v>
                </c:pt>
                <c:pt idx="8">
                  <c:v>276009.70308196789</c:v>
                </c:pt>
                <c:pt idx="9">
                  <c:v>276475.52717596584</c:v>
                </c:pt>
                <c:pt idx="10">
                  <c:v>291705.86100284825</c:v>
                </c:pt>
                <c:pt idx="11">
                  <c:v>266617.62469571969</c:v>
                </c:pt>
                <c:pt idx="12">
                  <c:v>249693.19601185148</c:v>
                </c:pt>
                <c:pt idx="13">
                  <c:v>256914.81187267735</c:v>
                </c:pt>
                <c:pt idx="14">
                  <c:v>273139.35492519301</c:v>
                </c:pt>
                <c:pt idx="15">
                  <c:v>261032.82362725239</c:v>
                </c:pt>
                <c:pt idx="16">
                  <c:v>294042.70406954671</c:v>
                </c:pt>
                <c:pt idx="17">
                  <c:v>255267.77226008195</c:v>
                </c:pt>
                <c:pt idx="18">
                  <c:v>219038.39408450801</c:v>
                </c:pt>
                <c:pt idx="19">
                  <c:v>224087.45780971562</c:v>
                </c:pt>
                <c:pt idx="20">
                  <c:v>222438.65014101149</c:v>
                </c:pt>
                <c:pt idx="21">
                  <c:v>211600.13096553594</c:v>
                </c:pt>
                <c:pt idx="22">
                  <c:v>202702.63081743242</c:v>
                </c:pt>
                <c:pt idx="23">
                  <c:v>201541.57704602586</c:v>
                </c:pt>
                <c:pt idx="24">
                  <c:v>202900.01836176991</c:v>
                </c:pt>
                <c:pt idx="25">
                  <c:v>201316.05242418451</c:v>
                </c:pt>
                <c:pt idx="26">
                  <c:v>203157.5818433786</c:v>
                </c:pt>
                <c:pt idx="27">
                  <c:v>182368.08658647974</c:v>
                </c:pt>
                <c:pt idx="28">
                  <c:v>170607.51258486437</c:v>
                </c:pt>
                <c:pt idx="29">
                  <c:v>141081.20068738353</c:v>
                </c:pt>
                <c:pt idx="30">
                  <c:v>136204.04053941541</c:v>
                </c:pt>
                <c:pt idx="31">
                  <c:v>145492.26736758795</c:v>
                </c:pt>
                <c:pt idx="32">
                  <c:v>153098.23786510248</c:v>
                </c:pt>
                <c:pt idx="33">
                  <c:v>166942.5286374909</c:v>
                </c:pt>
                <c:pt idx="34">
                  <c:v>155428.16920263518</c:v>
                </c:pt>
                <c:pt idx="35">
                  <c:v>172758.35708535835</c:v>
                </c:pt>
                <c:pt idx="36">
                  <c:v>184859.32104184831</c:v>
                </c:pt>
                <c:pt idx="37">
                  <c:v>187208.12066984747</c:v>
                </c:pt>
                <c:pt idx="38">
                  <c:v>182967.56891843522</c:v>
                </c:pt>
                <c:pt idx="39">
                  <c:v>174440.6345081343</c:v>
                </c:pt>
                <c:pt idx="40">
                  <c:v>159976.95678144213</c:v>
                </c:pt>
                <c:pt idx="41">
                  <c:v>166058.90379042469</c:v>
                </c:pt>
                <c:pt idx="42">
                  <c:v>165848.90342004242</c:v>
                </c:pt>
                <c:pt idx="43">
                  <c:v>215431.06950538579</c:v>
                </c:pt>
                <c:pt idx="44">
                  <c:v>258165.70986596783</c:v>
                </c:pt>
                <c:pt idx="45">
                  <c:v>293812.44415170647</c:v>
                </c:pt>
                <c:pt idx="46">
                  <c:v>325181.54135956004</c:v>
                </c:pt>
                <c:pt idx="47">
                  <c:v>360155.56987388246</c:v>
                </c:pt>
                <c:pt idx="48">
                  <c:v>378278.18735235941</c:v>
                </c:pt>
                <c:pt idx="49">
                  <c:v>387588.77805910853</c:v>
                </c:pt>
                <c:pt idx="50">
                  <c:v>392277.2476791534</c:v>
                </c:pt>
                <c:pt idx="51">
                  <c:v>378378.23593906488</c:v>
                </c:pt>
                <c:pt idx="52">
                  <c:v>372395.63620986842</c:v>
                </c:pt>
                <c:pt idx="53">
                  <c:v>392252.70875908004</c:v>
                </c:pt>
                <c:pt idx="54">
                  <c:v>411967.51434738602</c:v>
                </c:pt>
                <c:pt idx="55">
                  <c:v>426784.12263210403</c:v>
                </c:pt>
              </c:numCache>
            </c:numRef>
          </c:val>
          <c:smooth val="0"/>
          <c:extLst>
            <c:ext xmlns:c16="http://schemas.microsoft.com/office/drawing/2014/chart" uri="{C3380CC4-5D6E-409C-BE32-E72D297353CC}">
              <c16:uniqueId val="{00000000-53B2-40F0-8A1C-F1EDF172AFB9}"/>
            </c:ext>
          </c:extLst>
        </c:ser>
        <c:ser>
          <c:idx val="1"/>
          <c:order val="1"/>
          <c:tx>
            <c:strRef>
              <c:f>'★図14　民間住宅'!$C$1</c:f>
              <c:strCache>
                <c:ptCount val="1"/>
                <c:pt idx="0">
                  <c:v>ベースラインケース</c:v>
                </c:pt>
              </c:strCache>
            </c:strRef>
          </c:tx>
          <c:spPr>
            <a:ln w="28575" cap="rnd">
              <a:solidFill>
                <a:schemeClr val="accent2"/>
              </a:solidFill>
              <a:round/>
            </a:ln>
            <a:effectLst/>
          </c:spPr>
          <c:marker>
            <c:symbol val="none"/>
          </c:marker>
          <c:cat>
            <c:numRef>
              <c:f>'★図14　民間住宅'!$A$2:$A$57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'★図14　民間住宅'!$C$2:$C$57</c:f>
              <c:numCache>
                <c:formatCode>#,##0_);[Red]\(#,##0\)</c:formatCode>
                <c:ptCount val="56"/>
                <c:pt idx="0">
                  <c:v>209115.89550873864</c:v>
                </c:pt>
                <c:pt idx="1">
                  <c:v>192233.3971502608</c:v>
                </c:pt>
                <c:pt idx="2">
                  <c:v>198773.39734513013</c:v>
                </c:pt>
                <c:pt idx="3">
                  <c:v>186580.87495231561</c:v>
                </c:pt>
                <c:pt idx="4">
                  <c:v>183316.46164974963</c:v>
                </c:pt>
                <c:pt idx="5">
                  <c:v>188008.8058138889</c:v>
                </c:pt>
                <c:pt idx="6">
                  <c:v>203669.28314025773</c:v>
                </c:pt>
                <c:pt idx="7">
                  <c:v>247527.87236867321</c:v>
                </c:pt>
                <c:pt idx="8">
                  <c:v>276009.70308196789</c:v>
                </c:pt>
                <c:pt idx="9">
                  <c:v>276475.52717596584</c:v>
                </c:pt>
                <c:pt idx="10">
                  <c:v>291705.86100284825</c:v>
                </c:pt>
                <c:pt idx="11">
                  <c:v>266617.62469571969</c:v>
                </c:pt>
                <c:pt idx="12">
                  <c:v>249693.19601185148</c:v>
                </c:pt>
                <c:pt idx="13">
                  <c:v>256914.81187267735</c:v>
                </c:pt>
                <c:pt idx="14">
                  <c:v>273139.35492519301</c:v>
                </c:pt>
                <c:pt idx="15">
                  <c:v>261032.82362725239</c:v>
                </c:pt>
                <c:pt idx="16">
                  <c:v>294042.70406954671</c:v>
                </c:pt>
                <c:pt idx="17">
                  <c:v>255267.77226008195</c:v>
                </c:pt>
                <c:pt idx="18">
                  <c:v>219038.39408450801</c:v>
                </c:pt>
                <c:pt idx="19">
                  <c:v>224087.45780971562</c:v>
                </c:pt>
                <c:pt idx="20">
                  <c:v>222438.65014101149</c:v>
                </c:pt>
                <c:pt idx="21">
                  <c:v>211600.13096553594</c:v>
                </c:pt>
                <c:pt idx="22">
                  <c:v>202702.63081743242</c:v>
                </c:pt>
                <c:pt idx="23">
                  <c:v>201541.57704602586</c:v>
                </c:pt>
                <c:pt idx="24">
                  <c:v>202900.01836176991</c:v>
                </c:pt>
                <c:pt idx="25">
                  <c:v>201316.05242418451</c:v>
                </c:pt>
                <c:pt idx="26">
                  <c:v>203157.5818433786</c:v>
                </c:pt>
                <c:pt idx="27">
                  <c:v>182368.08658647974</c:v>
                </c:pt>
                <c:pt idx="28">
                  <c:v>170607.51258486437</c:v>
                </c:pt>
                <c:pt idx="29">
                  <c:v>141081.20068738353</c:v>
                </c:pt>
                <c:pt idx="30">
                  <c:v>136204.04053941541</c:v>
                </c:pt>
                <c:pt idx="31">
                  <c:v>145492.26736758795</c:v>
                </c:pt>
                <c:pt idx="32">
                  <c:v>153098.23786510248</c:v>
                </c:pt>
                <c:pt idx="33">
                  <c:v>166942.5286374909</c:v>
                </c:pt>
                <c:pt idx="34">
                  <c:v>155428.16920263518</c:v>
                </c:pt>
                <c:pt idx="35">
                  <c:v>172758.35708535835</c:v>
                </c:pt>
                <c:pt idx="36">
                  <c:v>184859.32104184831</c:v>
                </c:pt>
                <c:pt idx="37">
                  <c:v>187208.12066984747</c:v>
                </c:pt>
                <c:pt idx="38">
                  <c:v>182967.56891843522</c:v>
                </c:pt>
                <c:pt idx="39">
                  <c:v>174440.6345081343</c:v>
                </c:pt>
                <c:pt idx="40">
                  <c:v>159976.95678144213</c:v>
                </c:pt>
                <c:pt idx="41">
                  <c:v>166058.90379042469</c:v>
                </c:pt>
                <c:pt idx="42">
                  <c:v>165848.90342004242</c:v>
                </c:pt>
                <c:pt idx="43">
                  <c:v>200094.70535248856</c:v>
                </c:pt>
                <c:pt idx="44">
                  <c:v>220255.44239651665</c:v>
                </c:pt>
                <c:pt idx="45">
                  <c:v>222623.8063160704</c:v>
                </c:pt>
                <c:pt idx="46">
                  <c:v>237048.63726092881</c:v>
                </c:pt>
                <c:pt idx="47">
                  <c:v>258680.19257197977</c:v>
                </c:pt>
                <c:pt idx="48">
                  <c:v>263324.03353969939</c:v>
                </c:pt>
                <c:pt idx="49">
                  <c:v>267988.99337357486</c:v>
                </c:pt>
                <c:pt idx="50">
                  <c:v>261380.66223438951</c:v>
                </c:pt>
                <c:pt idx="51">
                  <c:v>237133.65402317097</c:v>
                </c:pt>
                <c:pt idx="52">
                  <c:v>239659.05012553907</c:v>
                </c:pt>
                <c:pt idx="53">
                  <c:v>253439.77146080768</c:v>
                </c:pt>
                <c:pt idx="54">
                  <c:v>261493.0462017305</c:v>
                </c:pt>
                <c:pt idx="55">
                  <c:v>265658.52133534855</c:v>
                </c:pt>
              </c:numCache>
            </c:numRef>
          </c:val>
          <c:smooth val="0"/>
          <c:extLst>
            <c:ext xmlns:c16="http://schemas.microsoft.com/office/drawing/2014/chart" uri="{C3380CC4-5D6E-409C-BE32-E72D297353CC}">
              <c16:uniqueId val="{00000001-53B2-40F0-8A1C-F1EDF172AFB9}"/>
            </c:ext>
          </c:extLst>
        </c:ser>
        <c:ser>
          <c:idx val="2"/>
          <c:order val="2"/>
          <c:tx>
            <c:strRef>
              <c:f>'[2]図10　需要側合計'!#REF!</c:f>
              <c:strCache>
                <c:ptCount val="1"/>
                <c:pt idx="0">
                  <c:v>#REF!</c:v>
                </c:pt>
              </c:strCache>
            </c:strRef>
          </c:tx>
          <c:spPr>
            <a:ln w="28575" cap="rnd">
              <a:solidFill>
                <a:schemeClr val="accent2"/>
              </a:solidFill>
              <a:prstDash val="sysDash"/>
              <a:round/>
            </a:ln>
            <a:effectLst/>
          </c:spPr>
          <c:marker>
            <c:symbol val="none"/>
          </c:marker>
          <c:cat>
            <c:numRef>
              <c:f>'★図14　民間住宅'!$A$2:$A$57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'[2]図10　需要側合計'!#REF!</c:f>
              <c:numCache>
                <c:formatCode>General</c:formatCode>
                <c:ptCount val="1"/>
                <c:pt idx="0">
                  <c:v>1</c:v>
                </c:pt>
              </c:numCache>
            </c:numRef>
          </c:val>
          <c:smooth val="0"/>
          <c:extLst>
            <c:ext xmlns:c16="http://schemas.microsoft.com/office/drawing/2014/chart" uri="{C3380CC4-5D6E-409C-BE32-E72D297353CC}">
              <c16:uniqueId val="{00000002-53B2-40F0-8A1C-F1EDF172AFB9}"/>
            </c:ext>
          </c:extLst>
        </c:ser>
        <c:ser>
          <c:idx val="3"/>
          <c:order val="3"/>
          <c:tx>
            <c:strRef>
              <c:f>'★図14　民間住宅'!$D$1</c:f>
              <c:strCache>
                <c:ptCount val="1"/>
                <c:pt idx="0">
                  <c:v>現実</c:v>
                </c:pt>
              </c:strCache>
            </c:strRef>
          </c:tx>
          <c:spPr>
            <a:ln w="28575" cap="rnd">
              <a:solidFill>
                <a:schemeClr val="tx1"/>
              </a:solidFill>
              <a:round/>
            </a:ln>
            <a:effectLst/>
          </c:spPr>
          <c:marker>
            <c:symbol val="none"/>
          </c:marker>
          <c:cat>
            <c:numRef>
              <c:f>'★図14　民間住宅'!$A$2:$A$57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'★図14　民間住宅'!$D$2:$D$57</c:f>
              <c:numCache>
                <c:formatCode>#,##0_);[Red]\(#,##0\)</c:formatCode>
                <c:ptCount val="56"/>
                <c:pt idx="0">
                  <c:v>209115.89550873864</c:v>
                </c:pt>
                <c:pt idx="1">
                  <c:v>192233.3971502608</c:v>
                </c:pt>
                <c:pt idx="2">
                  <c:v>198773.39734513013</c:v>
                </c:pt>
                <c:pt idx="3">
                  <c:v>186580.87495231561</c:v>
                </c:pt>
                <c:pt idx="4">
                  <c:v>183316.46164974963</c:v>
                </c:pt>
                <c:pt idx="5">
                  <c:v>188008.8058138889</c:v>
                </c:pt>
                <c:pt idx="6">
                  <c:v>203669.28314025773</c:v>
                </c:pt>
                <c:pt idx="7">
                  <c:v>247527.87236867321</c:v>
                </c:pt>
                <c:pt idx="8">
                  <c:v>276009.70308196789</c:v>
                </c:pt>
                <c:pt idx="9">
                  <c:v>276475.52717596584</c:v>
                </c:pt>
                <c:pt idx="10">
                  <c:v>291705.86100284825</c:v>
                </c:pt>
                <c:pt idx="11">
                  <c:v>266617.62469571969</c:v>
                </c:pt>
                <c:pt idx="12">
                  <c:v>249693.19601185148</c:v>
                </c:pt>
                <c:pt idx="13">
                  <c:v>256914.81187267735</c:v>
                </c:pt>
                <c:pt idx="14">
                  <c:v>273139.35492519301</c:v>
                </c:pt>
                <c:pt idx="15">
                  <c:v>261032.82362725239</c:v>
                </c:pt>
                <c:pt idx="16">
                  <c:v>294042.70406954671</c:v>
                </c:pt>
                <c:pt idx="17">
                  <c:v>255267.77226008195</c:v>
                </c:pt>
                <c:pt idx="18">
                  <c:v>219038.39408450801</c:v>
                </c:pt>
                <c:pt idx="19">
                  <c:v>224087.45780971562</c:v>
                </c:pt>
                <c:pt idx="20">
                  <c:v>222438.65014101149</c:v>
                </c:pt>
                <c:pt idx="21">
                  <c:v>211600.13096553594</c:v>
                </c:pt>
                <c:pt idx="22">
                  <c:v>202702.63081743242</c:v>
                </c:pt>
                <c:pt idx="23">
                  <c:v>201541.57704602586</c:v>
                </c:pt>
                <c:pt idx="24">
                  <c:v>202900.01836176991</c:v>
                </c:pt>
                <c:pt idx="25">
                  <c:v>201316.05242418451</c:v>
                </c:pt>
                <c:pt idx="26">
                  <c:v>203157.5818433786</c:v>
                </c:pt>
                <c:pt idx="27">
                  <c:v>182368.08658647974</c:v>
                </c:pt>
                <c:pt idx="28">
                  <c:v>170607.51258486437</c:v>
                </c:pt>
                <c:pt idx="29">
                  <c:v>141081.20068738353</c:v>
                </c:pt>
                <c:pt idx="30">
                  <c:v>136204.04053941541</c:v>
                </c:pt>
                <c:pt idx="31">
                  <c:v>145492.26736758795</c:v>
                </c:pt>
                <c:pt idx="32">
                  <c:v>153098.23786510248</c:v>
                </c:pt>
                <c:pt idx="33">
                  <c:v>166942.5286374909</c:v>
                </c:pt>
                <c:pt idx="34">
                  <c:v>155428.16920263518</c:v>
                </c:pt>
                <c:pt idx="35">
                  <c:v>172758.35708535835</c:v>
                </c:pt>
                <c:pt idx="36">
                  <c:v>184859.32104184831</c:v>
                </c:pt>
                <c:pt idx="37">
                  <c:v>187208.12066984747</c:v>
                </c:pt>
                <c:pt idx="38">
                  <c:v>182967.56891843522</c:v>
                </c:pt>
                <c:pt idx="39">
                  <c:v>174440.6345081343</c:v>
                </c:pt>
                <c:pt idx="40">
                  <c:v>159976.95678144213</c:v>
                </c:pt>
                <c:pt idx="41">
                  <c:v>166058.90379042469</c:v>
                </c:pt>
                <c:pt idx="42">
                  <c:v>165848.90342004242</c:v>
                </c:pt>
              </c:numCache>
            </c:numRef>
          </c:val>
          <c:smooth val="0"/>
          <c:extLst>
            <c:ext xmlns:c16="http://schemas.microsoft.com/office/drawing/2014/chart" uri="{C3380CC4-5D6E-409C-BE32-E72D297353CC}">
              <c16:uniqueId val="{00000003-53B2-40F0-8A1C-F1EDF172AFB9}"/>
            </c:ext>
          </c:extLst>
        </c:ser>
        <c:dLbls>
          <c:showLegendKey val="0"/>
          <c:showVal val="0"/>
          <c:showCatName val="0"/>
          <c:showSerName val="0"/>
          <c:showPercent val="0"/>
          <c:showBubbleSize val="0"/>
        </c:dLbls>
        <c:smooth val="0"/>
        <c:axId val="231813167"/>
        <c:axId val="231797359"/>
      </c:lineChart>
      <c:catAx>
        <c:axId val="231813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797359"/>
        <c:crosses val="autoZero"/>
        <c:auto val="1"/>
        <c:lblAlgn val="ctr"/>
        <c:lblOffset val="100"/>
        <c:noMultiLvlLbl val="0"/>
      </c:catAx>
      <c:valAx>
        <c:axId val="231797359"/>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813167"/>
        <c:crosses val="autoZero"/>
        <c:crossBetween val="between"/>
      </c:valAx>
      <c:spPr>
        <a:noFill/>
        <a:ln>
          <a:noFill/>
        </a:ln>
        <a:effectLst/>
      </c:spPr>
    </c:plotArea>
    <c:legend>
      <c:legendPos val="b"/>
      <c:legendEntry>
        <c:idx val="2"/>
        <c:delete val="1"/>
      </c:legendEntry>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'★図15　民間非住宅'!$B$1</c:f>
              <c:strCache>
                <c:ptCount val="1"/>
                <c:pt idx="0">
                  <c:v>成長実現ケース</c:v>
                </c:pt>
              </c:strCache>
            </c:strRef>
          </c:tx>
          <c:spPr>
            <a:ln w="28575" cap="rnd">
              <a:solidFill>
                <a:schemeClr val="accent1"/>
              </a:solidFill>
              <a:round/>
            </a:ln>
            <a:effectLst/>
          </c:spPr>
          <c:marker>
            <c:symbol val="none"/>
          </c:marker>
          <c:cat>
            <c:numRef>
              <c:f>'★図15　民間非住宅'!$A$2:$A$57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'★図15　民間非住宅'!$B$2:$B$57</c:f>
              <c:numCache>
                <c:formatCode>#,##0_);[Red]\(#,##0\)</c:formatCode>
                <c:ptCount val="56"/>
                <c:pt idx="0">
                  <c:v>129499.31966766097</c:v>
                </c:pt>
                <c:pt idx="1">
                  <c:v>122949.88497664926</c:v>
                </c:pt>
                <c:pt idx="2">
                  <c:v>117807.82633205278</c:v>
                </c:pt>
                <c:pt idx="3">
                  <c:v>119700.25530258204</c:v>
                </c:pt>
                <c:pt idx="4">
                  <c:v>132872.6220074202</c:v>
                </c:pt>
                <c:pt idx="5">
                  <c:v>140469.11870846161</c:v>
                </c:pt>
                <c:pt idx="6">
                  <c:v>148434.06157465052</c:v>
                </c:pt>
                <c:pt idx="7">
                  <c:v>158980.90996544124</c:v>
                </c:pt>
                <c:pt idx="8">
                  <c:v>187138.826864426</c:v>
                </c:pt>
                <c:pt idx="9">
                  <c:v>216600.90022876172</c:v>
                </c:pt>
                <c:pt idx="10">
                  <c:v>245539.27533971323</c:v>
                </c:pt>
                <c:pt idx="11">
                  <c:v>250607.73863147068</c:v>
                </c:pt>
                <c:pt idx="12">
                  <c:v>231691.50632899883</c:v>
                </c:pt>
                <c:pt idx="13">
                  <c:v>173169.5629921793</c:v>
                </c:pt>
                <c:pt idx="14">
                  <c:v>134648.41893150099</c:v>
                </c:pt>
                <c:pt idx="15">
                  <c:v>122844.29150569983</c:v>
                </c:pt>
                <c:pt idx="16">
                  <c:v>130122.78759462836</c:v>
                </c:pt>
                <c:pt idx="17">
                  <c:v>131622.87104308646</c:v>
                </c:pt>
                <c:pt idx="18">
                  <c:v>118461.50946285276</c:v>
                </c:pt>
                <c:pt idx="19">
                  <c:v>106171.27402252714</c:v>
                </c:pt>
                <c:pt idx="20">
                  <c:v>105896.07585302283</c:v>
                </c:pt>
                <c:pt idx="21">
                  <c:v>98030.729515460524</c:v>
                </c:pt>
                <c:pt idx="22">
                  <c:v>90025.963727167808</c:v>
                </c:pt>
                <c:pt idx="23">
                  <c:v>86942.955019569912</c:v>
                </c:pt>
                <c:pt idx="24">
                  <c:v>97161.654479727003</c:v>
                </c:pt>
                <c:pt idx="25">
                  <c:v>103304.50755456537</c:v>
                </c:pt>
                <c:pt idx="26">
                  <c:v>106796.92237607279</c:v>
                </c:pt>
                <c:pt idx="27">
                  <c:v>100901.01828428419</c:v>
                </c:pt>
                <c:pt idx="28">
                  <c:v>100729.71987110993</c:v>
                </c:pt>
                <c:pt idx="29">
                  <c:v>87946.994892914488</c:v>
                </c:pt>
                <c:pt idx="30">
                  <c:v>73649.344303493388</c:v>
                </c:pt>
                <c:pt idx="31">
                  <c:v>77777.500353590454</c:v>
                </c:pt>
                <c:pt idx="32">
                  <c:v>78691.499109982498</c:v>
                </c:pt>
                <c:pt idx="33">
                  <c:v>88786.384070218832</c:v>
                </c:pt>
                <c:pt idx="34">
                  <c:v>92341.114644232031</c:v>
                </c:pt>
                <c:pt idx="35">
                  <c:v>123036.59479117366</c:v>
                </c:pt>
                <c:pt idx="36">
                  <c:v>138150.67098517879</c:v>
                </c:pt>
                <c:pt idx="37">
                  <c:v>150587.12336080143</c:v>
                </c:pt>
                <c:pt idx="38">
                  <c:v>149683.82619579177</c:v>
                </c:pt>
                <c:pt idx="39">
                  <c:v>150126.10182525002</c:v>
                </c:pt>
                <c:pt idx="40">
                  <c:v>136901.25910171188</c:v>
                </c:pt>
                <c:pt idx="41">
                  <c:v>130267.8463451985</c:v>
                </c:pt>
                <c:pt idx="42">
                  <c:v>136840.61994965651</c:v>
                </c:pt>
                <c:pt idx="43">
                  <c:v>137726.35111619081</c:v>
                </c:pt>
                <c:pt idx="44">
                  <c:v>158459.71479443478</c:v>
                </c:pt>
                <c:pt idx="45">
                  <c:v>172731.56039921398</c:v>
                </c:pt>
                <c:pt idx="46">
                  <c:v>191125.4835096545</c:v>
                </c:pt>
                <c:pt idx="47">
                  <c:v>219427.93195282377</c:v>
                </c:pt>
                <c:pt idx="48">
                  <c:v>240070.62074366433</c:v>
                </c:pt>
                <c:pt idx="49">
                  <c:v>259909.60144421179</c:v>
                </c:pt>
                <c:pt idx="50">
                  <c:v>262363.88345130224</c:v>
                </c:pt>
                <c:pt idx="51">
                  <c:v>257378.08968290308</c:v>
                </c:pt>
                <c:pt idx="52">
                  <c:v>264959.47146071959</c:v>
                </c:pt>
                <c:pt idx="53">
                  <c:v>261074.79837616257</c:v>
                </c:pt>
                <c:pt idx="54">
                  <c:v>262284.57724530797</c:v>
                </c:pt>
                <c:pt idx="55">
                  <c:v>266297.48280888767</c:v>
                </c:pt>
              </c:numCache>
            </c:numRef>
          </c:val>
          <c:smooth val="0"/>
          <c:extLst>
            <c:ext xmlns:c16="http://schemas.microsoft.com/office/drawing/2014/chart" uri="{C3380CC4-5D6E-409C-BE32-E72D297353CC}">
              <c16:uniqueId val="{00000000-6BF0-400F-AE27-C1DF33E6E9A3}"/>
            </c:ext>
          </c:extLst>
        </c:ser>
        <c:ser>
          <c:idx val="1"/>
          <c:order val="1"/>
          <c:tx>
            <c:strRef>
              <c:f>'★図15　民間非住宅'!$C$1</c:f>
              <c:strCache>
                <c:ptCount val="1"/>
                <c:pt idx="0">
                  <c:v>ベースラインケース</c:v>
                </c:pt>
              </c:strCache>
            </c:strRef>
          </c:tx>
          <c:spPr>
            <a:ln w="28575" cap="rnd">
              <a:solidFill>
                <a:schemeClr val="accent2"/>
              </a:solidFill>
              <a:round/>
            </a:ln>
            <a:effectLst/>
          </c:spPr>
          <c:marker>
            <c:symbol val="none"/>
          </c:marker>
          <c:cat>
            <c:numRef>
              <c:f>'★図15　民間非住宅'!$A$2:$A$57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'★図15　民間非住宅'!$C$2:$C$57</c:f>
              <c:numCache>
                <c:formatCode>#,##0_);[Red]\(#,##0\)</c:formatCode>
                <c:ptCount val="56"/>
                <c:pt idx="0">
                  <c:v>129499.31966766097</c:v>
                </c:pt>
                <c:pt idx="1">
                  <c:v>122949.88497664926</c:v>
                </c:pt>
                <c:pt idx="2">
                  <c:v>117807.82633205278</c:v>
                </c:pt>
                <c:pt idx="3">
                  <c:v>119700.25530258204</c:v>
                </c:pt>
                <c:pt idx="4">
                  <c:v>132872.6220074202</c:v>
                </c:pt>
                <c:pt idx="5">
                  <c:v>140469.11870846161</c:v>
                </c:pt>
                <c:pt idx="6">
                  <c:v>148434.06157465052</c:v>
                </c:pt>
                <c:pt idx="7">
                  <c:v>158980.90996544124</c:v>
                </c:pt>
                <c:pt idx="8">
                  <c:v>187138.826864426</c:v>
                </c:pt>
                <c:pt idx="9">
                  <c:v>216600.90022876172</c:v>
                </c:pt>
                <c:pt idx="10">
                  <c:v>245539.27533971323</c:v>
                </c:pt>
                <c:pt idx="11">
                  <c:v>250607.73863147068</c:v>
                </c:pt>
                <c:pt idx="12">
                  <c:v>231691.50632899883</c:v>
                </c:pt>
                <c:pt idx="13">
                  <c:v>173169.5629921793</c:v>
                </c:pt>
                <c:pt idx="14">
                  <c:v>134648.41893150099</c:v>
                </c:pt>
                <c:pt idx="15">
                  <c:v>122844.29150569983</c:v>
                </c:pt>
                <c:pt idx="16">
                  <c:v>130122.78759462836</c:v>
                </c:pt>
                <c:pt idx="17">
                  <c:v>131622.87104308646</c:v>
                </c:pt>
                <c:pt idx="18">
                  <c:v>118461.50946285276</c:v>
                </c:pt>
                <c:pt idx="19">
                  <c:v>106171.27402252714</c:v>
                </c:pt>
                <c:pt idx="20">
                  <c:v>105896.07585302283</c:v>
                </c:pt>
                <c:pt idx="21">
                  <c:v>98030.729515460524</c:v>
                </c:pt>
                <c:pt idx="22">
                  <c:v>90025.963727167808</c:v>
                </c:pt>
                <c:pt idx="23">
                  <c:v>86942.955019569912</c:v>
                </c:pt>
                <c:pt idx="24">
                  <c:v>97161.654479727003</c:v>
                </c:pt>
                <c:pt idx="25">
                  <c:v>103304.50755456537</c:v>
                </c:pt>
                <c:pt idx="26">
                  <c:v>106796.92237607279</c:v>
                </c:pt>
                <c:pt idx="27">
                  <c:v>100901.01828428419</c:v>
                </c:pt>
                <c:pt idx="28">
                  <c:v>100729.71987110993</c:v>
                </c:pt>
                <c:pt idx="29">
                  <c:v>87946.994892914488</c:v>
                </c:pt>
                <c:pt idx="30">
                  <c:v>73649.344303493388</c:v>
                </c:pt>
                <c:pt idx="31">
                  <c:v>77777.500353590454</c:v>
                </c:pt>
                <c:pt idx="32">
                  <c:v>78691.499109982498</c:v>
                </c:pt>
                <c:pt idx="33">
                  <c:v>88786.384070218832</c:v>
                </c:pt>
                <c:pt idx="34">
                  <c:v>92341.114644232031</c:v>
                </c:pt>
                <c:pt idx="35">
                  <c:v>123036.59479117366</c:v>
                </c:pt>
                <c:pt idx="36">
                  <c:v>138150.67098517879</c:v>
                </c:pt>
                <c:pt idx="37">
                  <c:v>150587.12336080143</c:v>
                </c:pt>
                <c:pt idx="38">
                  <c:v>149683.82619579177</c:v>
                </c:pt>
                <c:pt idx="39">
                  <c:v>150126.10182525002</c:v>
                </c:pt>
                <c:pt idx="40">
                  <c:v>136901.25910171188</c:v>
                </c:pt>
                <c:pt idx="41">
                  <c:v>130267.8463451985</c:v>
                </c:pt>
                <c:pt idx="42">
                  <c:v>136840.61994965651</c:v>
                </c:pt>
                <c:pt idx="43">
                  <c:v>130998.55079638275</c:v>
                </c:pt>
                <c:pt idx="44">
                  <c:v>141616.53074879284</c:v>
                </c:pt>
                <c:pt idx="45">
                  <c:v>140017.8518627492</c:v>
                </c:pt>
                <c:pt idx="46">
                  <c:v>147567.46888273803</c:v>
                </c:pt>
                <c:pt idx="47">
                  <c:v>165441.60243564931</c:v>
                </c:pt>
                <c:pt idx="48">
                  <c:v>173217.39874812329</c:v>
                </c:pt>
                <c:pt idx="49">
                  <c:v>183240.21995169949</c:v>
                </c:pt>
                <c:pt idx="50">
                  <c:v>176464.21529715729</c:v>
                </c:pt>
                <c:pt idx="51">
                  <c:v>160701.48982219645</c:v>
                </c:pt>
                <c:pt idx="52">
                  <c:v>166433.90277407825</c:v>
                </c:pt>
                <c:pt idx="53">
                  <c:v>165988.48952593419</c:v>
                </c:pt>
                <c:pt idx="54">
                  <c:v>166688.20753172893</c:v>
                </c:pt>
                <c:pt idx="55">
                  <c:v>167260.70982897223</c:v>
                </c:pt>
              </c:numCache>
            </c:numRef>
          </c:val>
          <c:smooth val="0"/>
          <c:extLst>
            <c:ext xmlns:c16="http://schemas.microsoft.com/office/drawing/2014/chart" uri="{C3380CC4-5D6E-409C-BE32-E72D297353CC}">
              <c16:uniqueId val="{00000001-6BF0-400F-AE27-C1DF33E6E9A3}"/>
            </c:ext>
          </c:extLst>
        </c:ser>
        <c:ser>
          <c:idx val="2"/>
          <c:order val="2"/>
          <c:tx>
            <c:strRef>
              <c:f>'[2]図10　需要側合計'!#REF!</c:f>
              <c:strCache>
                <c:ptCount val="1"/>
                <c:pt idx="0">
                  <c:v>#REF!</c:v>
                </c:pt>
              </c:strCache>
            </c:strRef>
          </c:tx>
          <c:spPr>
            <a:ln w="28575" cap="rnd">
              <a:solidFill>
                <a:schemeClr val="accent2"/>
              </a:solidFill>
              <a:prstDash val="sysDash"/>
              <a:round/>
            </a:ln>
            <a:effectLst/>
          </c:spPr>
          <c:marker>
            <c:symbol val="none"/>
          </c:marker>
          <c:cat>
            <c:numRef>
              <c:f>'★図15　民間非住宅'!$A$2:$A$57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'[2]図10　需要側合計'!#REF!</c:f>
              <c:numCache>
                <c:formatCode>General</c:formatCode>
                <c:ptCount val="1"/>
                <c:pt idx="0">
                  <c:v>1</c:v>
                </c:pt>
              </c:numCache>
            </c:numRef>
          </c:val>
          <c:smooth val="0"/>
          <c:extLst>
            <c:ext xmlns:c16="http://schemas.microsoft.com/office/drawing/2014/chart" uri="{C3380CC4-5D6E-409C-BE32-E72D297353CC}">
              <c16:uniqueId val="{00000002-6BF0-400F-AE27-C1DF33E6E9A3}"/>
            </c:ext>
          </c:extLst>
        </c:ser>
        <c:ser>
          <c:idx val="3"/>
          <c:order val="3"/>
          <c:tx>
            <c:strRef>
              <c:f>'★図15　民間非住宅'!$D$1</c:f>
              <c:strCache>
                <c:ptCount val="1"/>
                <c:pt idx="0">
                  <c:v>現実</c:v>
                </c:pt>
              </c:strCache>
            </c:strRef>
          </c:tx>
          <c:spPr>
            <a:ln w="28575" cap="rnd">
              <a:solidFill>
                <a:schemeClr val="tx1"/>
              </a:solidFill>
              <a:round/>
            </a:ln>
            <a:effectLst/>
          </c:spPr>
          <c:marker>
            <c:symbol val="none"/>
          </c:marker>
          <c:cat>
            <c:numRef>
              <c:f>'★図15　民間非住宅'!$A$2:$A$57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'★図15　民間非住宅'!$D$2:$D$57</c:f>
              <c:numCache>
                <c:formatCode>#,##0_);[Red]\(#,##0\)</c:formatCode>
                <c:ptCount val="56"/>
                <c:pt idx="0">
                  <c:v>129499.31966766097</c:v>
                </c:pt>
                <c:pt idx="1">
                  <c:v>122949.88497664926</c:v>
                </c:pt>
                <c:pt idx="2">
                  <c:v>117807.82633205278</c:v>
                </c:pt>
                <c:pt idx="3">
                  <c:v>119700.25530258204</c:v>
                </c:pt>
                <c:pt idx="4">
                  <c:v>132872.6220074202</c:v>
                </c:pt>
                <c:pt idx="5">
                  <c:v>140469.11870846161</c:v>
                </c:pt>
                <c:pt idx="6">
                  <c:v>148434.06157465052</c:v>
                </c:pt>
                <c:pt idx="7">
                  <c:v>158980.90996544124</c:v>
                </c:pt>
                <c:pt idx="8">
                  <c:v>187138.826864426</c:v>
                </c:pt>
                <c:pt idx="9">
                  <c:v>216600.90022876172</c:v>
                </c:pt>
                <c:pt idx="10">
                  <c:v>245539.27533971323</c:v>
                </c:pt>
                <c:pt idx="11">
                  <c:v>250607.73863147068</c:v>
                </c:pt>
                <c:pt idx="12">
                  <c:v>231691.50632899883</c:v>
                </c:pt>
                <c:pt idx="13">
                  <c:v>173169.5629921793</c:v>
                </c:pt>
                <c:pt idx="14">
                  <c:v>134648.41893150099</c:v>
                </c:pt>
                <c:pt idx="15">
                  <c:v>122844.29150569983</c:v>
                </c:pt>
                <c:pt idx="16">
                  <c:v>130122.78759462836</c:v>
                </c:pt>
                <c:pt idx="17">
                  <c:v>131622.87104308646</c:v>
                </c:pt>
                <c:pt idx="18">
                  <c:v>118461.50946285276</c:v>
                </c:pt>
                <c:pt idx="19">
                  <c:v>106171.27402252714</c:v>
                </c:pt>
                <c:pt idx="20">
                  <c:v>105896.07585302283</c:v>
                </c:pt>
                <c:pt idx="21">
                  <c:v>98030.729515460524</c:v>
                </c:pt>
                <c:pt idx="22">
                  <c:v>90025.963727167808</c:v>
                </c:pt>
                <c:pt idx="23">
                  <c:v>86942.955019569912</c:v>
                </c:pt>
                <c:pt idx="24">
                  <c:v>97161.654479727003</c:v>
                </c:pt>
                <c:pt idx="25">
                  <c:v>103304.50755456537</c:v>
                </c:pt>
                <c:pt idx="26">
                  <c:v>106796.92237607279</c:v>
                </c:pt>
                <c:pt idx="27">
                  <c:v>100901.01828428419</c:v>
                </c:pt>
                <c:pt idx="28">
                  <c:v>100729.71987110993</c:v>
                </c:pt>
                <c:pt idx="29">
                  <c:v>87946.994892914488</c:v>
                </c:pt>
                <c:pt idx="30">
                  <c:v>73649.344303493388</c:v>
                </c:pt>
                <c:pt idx="31">
                  <c:v>77777.500353590454</c:v>
                </c:pt>
                <c:pt idx="32">
                  <c:v>78691.499109982498</c:v>
                </c:pt>
                <c:pt idx="33">
                  <c:v>88786.384070218832</c:v>
                </c:pt>
                <c:pt idx="34">
                  <c:v>92341.114644232031</c:v>
                </c:pt>
                <c:pt idx="35">
                  <c:v>123036.59479117366</c:v>
                </c:pt>
                <c:pt idx="36">
                  <c:v>138150.67098517879</c:v>
                </c:pt>
                <c:pt idx="37">
                  <c:v>150587.12336080143</c:v>
                </c:pt>
                <c:pt idx="38">
                  <c:v>149683.82619579177</c:v>
                </c:pt>
                <c:pt idx="39">
                  <c:v>150126.10182525002</c:v>
                </c:pt>
                <c:pt idx="40">
                  <c:v>136901.25910171188</c:v>
                </c:pt>
                <c:pt idx="41">
                  <c:v>130267.8463451985</c:v>
                </c:pt>
                <c:pt idx="42">
                  <c:v>136840.61994965651</c:v>
                </c:pt>
              </c:numCache>
            </c:numRef>
          </c:val>
          <c:smooth val="0"/>
          <c:extLst>
            <c:ext xmlns:c16="http://schemas.microsoft.com/office/drawing/2014/chart" uri="{C3380CC4-5D6E-409C-BE32-E72D297353CC}">
              <c16:uniqueId val="{00000003-6BF0-400F-AE27-C1DF33E6E9A3}"/>
            </c:ext>
          </c:extLst>
        </c:ser>
        <c:dLbls>
          <c:showLegendKey val="0"/>
          <c:showVal val="0"/>
          <c:showCatName val="0"/>
          <c:showSerName val="0"/>
          <c:showPercent val="0"/>
          <c:showBubbleSize val="0"/>
        </c:dLbls>
        <c:smooth val="0"/>
        <c:axId val="231813167"/>
        <c:axId val="231797359"/>
      </c:lineChart>
      <c:catAx>
        <c:axId val="231813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797359"/>
        <c:crosses val="autoZero"/>
        <c:auto val="1"/>
        <c:lblAlgn val="ctr"/>
        <c:lblOffset val="100"/>
        <c:noMultiLvlLbl val="0"/>
      </c:catAx>
      <c:valAx>
        <c:axId val="231797359"/>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813167"/>
        <c:crosses val="autoZero"/>
        <c:crossBetween val="between"/>
      </c:valAx>
      <c:spPr>
        <a:noFill/>
        <a:ln>
          <a:noFill/>
        </a:ln>
        <a:effectLst/>
      </c:spPr>
    </c:plotArea>
    <c:legend>
      <c:legendPos val="b"/>
      <c:legendEntry>
        <c:idx val="2"/>
        <c:delete val="1"/>
      </c:legendEntry>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'★図16　民間土木'!$B$1</c:f>
              <c:strCache>
                <c:ptCount val="1"/>
                <c:pt idx="0">
                  <c:v>成長実現ケース</c:v>
                </c:pt>
              </c:strCache>
            </c:strRef>
          </c:tx>
          <c:spPr>
            <a:ln w="28575" cap="rnd">
              <a:solidFill>
                <a:schemeClr val="accent1"/>
              </a:solidFill>
              <a:round/>
            </a:ln>
            <a:effectLst/>
          </c:spPr>
          <c:marker>
            <c:symbol val="none"/>
          </c:marker>
          <c:cat>
            <c:numRef>
              <c:f>'★図16　民間土木'!$A$2:$A$57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'★図16　民間土木'!$B$2:$B$57</c:f>
              <c:numCache>
                <c:formatCode>#,##0_);[Red]\(#,##0\)</c:formatCode>
                <c:ptCount val="56"/>
                <c:pt idx="0">
                  <c:v>69112.274387905345</c:v>
                </c:pt>
                <c:pt idx="1">
                  <c:v>75441.126091765123</c:v>
                </c:pt>
                <c:pt idx="2">
                  <c:v>77609.379083273889</c:v>
                </c:pt>
                <c:pt idx="3">
                  <c:v>61030.108693556635</c:v>
                </c:pt>
                <c:pt idx="4">
                  <c:v>56797.668049522254</c:v>
                </c:pt>
                <c:pt idx="5">
                  <c:v>59616.226028088997</c:v>
                </c:pt>
                <c:pt idx="6">
                  <c:v>62402.797154670094</c:v>
                </c:pt>
                <c:pt idx="7">
                  <c:v>66344.736357248345</c:v>
                </c:pt>
                <c:pt idx="8">
                  <c:v>68853.775936686056</c:v>
                </c:pt>
                <c:pt idx="9">
                  <c:v>78110.645520670441</c:v>
                </c:pt>
                <c:pt idx="10">
                  <c:v>91079.487514409862</c:v>
                </c:pt>
                <c:pt idx="11">
                  <c:v>96262.083044016399</c:v>
                </c:pt>
                <c:pt idx="12">
                  <c:v>100604.31713659353</c:v>
                </c:pt>
                <c:pt idx="13">
                  <c:v>100293.00251845777</c:v>
                </c:pt>
                <c:pt idx="14">
                  <c:v>92083.147856277501</c:v>
                </c:pt>
                <c:pt idx="15">
                  <c:v>94882.371677233547</c:v>
                </c:pt>
                <c:pt idx="16">
                  <c:v>91429.568433127468</c:v>
                </c:pt>
                <c:pt idx="17">
                  <c:v>86974.314633486239</c:v>
                </c:pt>
                <c:pt idx="18">
                  <c:v>84051.186621772213</c:v>
                </c:pt>
                <c:pt idx="19">
                  <c:v>76108.415206839811</c:v>
                </c:pt>
                <c:pt idx="20">
                  <c:v>73298.295024147359</c:v>
                </c:pt>
                <c:pt idx="21">
                  <c:v>71034.623706564613</c:v>
                </c:pt>
                <c:pt idx="22">
                  <c:v>62842.394694031776</c:v>
                </c:pt>
                <c:pt idx="23">
                  <c:v>57583.46796415031</c:v>
                </c:pt>
                <c:pt idx="24">
                  <c:v>53719.721920954609</c:v>
                </c:pt>
                <c:pt idx="25">
                  <c:v>54181.746940259531</c:v>
                </c:pt>
                <c:pt idx="26">
                  <c:v>54666.049505975912</c:v>
                </c:pt>
                <c:pt idx="27">
                  <c:v>53797.225260160587</c:v>
                </c:pt>
                <c:pt idx="28">
                  <c:v>52495.54100616405</c:v>
                </c:pt>
                <c:pt idx="29">
                  <c:v>49375.167110910472</c:v>
                </c:pt>
                <c:pt idx="30">
                  <c:v>42897.044274349406</c:v>
                </c:pt>
                <c:pt idx="31">
                  <c:v>45876.393961105088</c:v>
                </c:pt>
                <c:pt idx="32">
                  <c:v>44841.031680183332</c:v>
                </c:pt>
                <c:pt idx="33">
                  <c:v>46865.217622593802</c:v>
                </c:pt>
                <c:pt idx="34">
                  <c:v>47380.301256210405</c:v>
                </c:pt>
                <c:pt idx="35">
                  <c:v>49537.703405259403</c:v>
                </c:pt>
                <c:pt idx="36">
                  <c:v>50138.464741578318</c:v>
                </c:pt>
                <c:pt idx="37">
                  <c:v>48275.565276246984</c:v>
                </c:pt>
                <c:pt idx="38">
                  <c:v>50306.421033825078</c:v>
                </c:pt>
                <c:pt idx="39">
                  <c:v>50764.635452699134</c:v>
                </c:pt>
                <c:pt idx="40">
                  <c:v>50646.256352396464</c:v>
                </c:pt>
                <c:pt idx="41">
                  <c:v>51177.906617333203</c:v>
                </c:pt>
                <c:pt idx="42">
                  <c:v>51048.5756557247</c:v>
                </c:pt>
                <c:pt idx="43">
                  <c:v>47186.941535446625</c:v>
                </c:pt>
                <c:pt idx="44">
                  <c:v>47006.510010823142</c:v>
                </c:pt>
                <c:pt idx="45">
                  <c:v>46353.196188101254</c:v>
                </c:pt>
                <c:pt idx="46">
                  <c:v>45840.899558989397</c:v>
                </c:pt>
                <c:pt idx="47">
                  <c:v>45993.876323815311</c:v>
                </c:pt>
                <c:pt idx="48">
                  <c:v>46880.717174046462</c:v>
                </c:pt>
                <c:pt idx="49">
                  <c:v>48905.089684483028</c:v>
                </c:pt>
                <c:pt idx="50">
                  <c:v>50847.407458461981</c:v>
                </c:pt>
                <c:pt idx="51">
                  <c:v>53547.701512421445</c:v>
                </c:pt>
                <c:pt idx="52">
                  <c:v>57399.424380369346</c:v>
                </c:pt>
                <c:pt idx="53">
                  <c:v>59901.720080367239</c:v>
                </c:pt>
                <c:pt idx="54">
                  <c:v>62699.561028551681</c:v>
                </c:pt>
                <c:pt idx="55">
                  <c:v>64715.840976463529</c:v>
                </c:pt>
              </c:numCache>
            </c:numRef>
          </c:val>
          <c:smooth val="0"/>
          <c:extLst>
            <c:ext xmlns:c16="http://schemas.microsoft.com/office/drawing/2014/chart" uri="{C3380CC4-5D6E-409C-BE32-E72D297353CC}">
              <c16:uniqueId val="{00000000-A25E-495A-B52B-8F98F1865930}"/>
            </c:ext>
          </c:extLst>
        </c:ser>
        <c:ser>
          <c:idx val="1"/>
          <c:order val="1"/>
          <c:tx>
            <c:strRef>
              <c:f>'★図16　民間土木'!$C$1</c:f>
              <c:strCache>
                <c:ptCount val="1"/>
                <c:pt idx="0">
                  <c:v>ベースラインケース</c:v>
                </c:pt>
              </c:strCache>
            </c:strRef>
          </c:tx>
          <c:spPr>
            <a:ln w="28575" cap="rnd">
              <a:solidFill>
                <a:schemeClr val="accent2"/>
              </a:solidFill>
              <a:round/>
            </a:ln>
            <a:effectLst/>
          </c:spPr>
          <c:marker>
            <c:symbol val="none"/>
          </c:marker>
          <c:cat>
            <c:numRef>
              <c:f>'★図16　民間土木'!$A$2:$A$57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'★図16　民間土木'!$C$2:$C$57</c:f>
              <c:numCache>
                <c:formatCode>#,##0_);[Red]\(#,##0\)</c:formatCode>
                <c:ptCount val="56"/>
                <c:pt idx="0">
                  <c:v>69112.274387905345</c:v>
                </c:pt>
                <c:pt idx="1">
                  <c:v>75441.126091765123</c:v>
                </c:pt>
                <c:pt idx="2">
                  <c:v>77609.379083273889</c:v>
                </c:pt>
                <c:pt idx="3">
                  <c:v>61030.108693556635</c:v>
                </c:pt>
                <c:pt idx="4">
                  <c:v>56797.668049522254</c:v>
                </c:pt>
                <c:pt idx="5">
                  <c:v>59616.226028088997</c:v>
                </c:pt>
                <c:pt idx="6">
                  <c:v>62402.797154670094</c:v>
                </c:pt>
                <c:pt idx="7">
                  <c:v>66344.736357248345</c:v>
                </c:pt>
                <c:pt idx="8">
                  <c:v>68853.775936686056</c:v>
                </c:pt>
                <c:pt idx="9">
                  <c:v>78110.645520670441</c:v>
                </c:pt>
                <c:pt idx="10">
                  <c:v>91079.487514409862</c:v>
                </c:pt>
                <c:pt idx="11">
                  <c:v>96262.083044016399</c:v>
                </c:pt>
                <c:pt idx="12">
                  <c:v>100604.31713659353</c:v>
                </c:pt>
                <c:pt idx="13">
                  <c:v>100293.00251845777</c:v>
                </c:pt>
                <c:pt idx="14">
                  <c:v>92083.147856277501</c:v>
                </c:pt>
                <c:pt idx="15">
                  <c:v>94882.371677233547</c:v>
                </c:pt>
                <c:pt idx="16">
                  <c:v>91429.568433127468</c:v>
                </c:pt>
                <c:pt idx="17">
                  <c:v>86974.314633486239</c:v>
                </c:pt>
                <c:pt idx="18">
                  <c:v>84051.186621772213</c:v>
                </c:pt>
                <c:pt idx="19">
                  <c:v>76108.415206839811</c:v>
                </c:pt>
                <c:pt idx="20">
                  <c:v>73298.295024147359</c:v>
                </c:pt>
                <c:pt idx="21">
                  <c:v>71034.623706564613</c:v>
                </c:pt>
                <c:pt idx="22">
                  <c:v>62842.394694031776</c:v>
                </c:pt>
                <c:pt idx="23">
                  <c:v>57583.46796415031</c:v>
                </c:pt>
                <c:pt idx="24">
                  <c:v>53719.721920954609</c:v>
                </c:pt>
                <c:pt idx="25">
                  <c:v>54181.746940259531</c:v>
                </c:pt>
                <c:pt idx="26">
                  <c:v>54666.049505975912</c:v>
                </c:pt>
                <c:pt idx="27">
                  <c:v>53797.225260160587</c:v>
                </c:pt>
                <c:pt idx="28">
                  <c:v>52495.54100616405</c:v>
                </c:pt>
                <c:pt idx="29">
                  <c:v>49375.167110910472</c:v>
                </c:pt>
                <c:pt idx="30">
                  <c:v>42897.044274349406</c:v>
                </c:pt>
                <c:pt idx="31">
                  <c:v>45876.393961105088</c:v>
                </c:pt>
                <c:pt idx="32">
                  <c:v>44841.031680183332</c:v>
                </c:pt>
                <c:pt idx="33">
                  <c:v>46865.217622593802</c:v>
                </c:pt>
                <c:pt idx="34">
                  <c:v>47380.301256210405</c:v>
                </c:pt>
                <c:pt idx="35">
                  <c:v>49537.703405259403</c:v>
                </c:pt>
                <c:pt idx="36">
                  <c:v>50138.464741578318</c:v>
                </c:pt>
                <c:pt idx="37">
                  <c:v>48275.565276246984</c:v>
                </c:pt>
                <c:pt idx="38">
                  <c:v>50306.421033825078</c:v>
                </c:pt>
                <c:pt idx="39">
                  <c:v>50764.635452699134</c:v>
                </c:pt>
                <c:pt idx="40">
                  <c:v>50646.256352396464</c:v>
                </c:pt>
                <c:pt idx="41">
                  <c:v>51177.906617333203</c:v>
                </c:pt>
                <c:pt idx="42">
                  <c:v>51048.5756557247</c:v>
                </c:pt>
                <c:pt idx="43">
                  <c:v>42081.326043111854</c:v>
                </c:pt>
                <c:pt idx="44">
                  <c:v>42290.487983909545</c:v>
                </c:pt>
                <c:pt idx="45">
                  <c:v>44000.618387155409</c:v>
                </c:pt>
                <c:pt idx="46">
                  <c:v>44075.903270655996</c:v>
                </c:pt>
                <c:pt idx="47">
                  <c:v>45491.47098482991</c:v>
                </c:pt>
                <c:pt idx="48">
                  <c:v>46089.849454198382</c:v>
                </c:pt>
                <c:pt idx="49">
                  <c:v>47831.375949729438</c:v>
                </c:pt>
                <c:pt idx="50">
                  <c:v>48571.544154807067</c:v>
                </c:pt>
                <c:pt idx="51">
                  <c:v>49918.556713835103</c:v>
                </c:pt>
                <c:pt idx="52">
                  <c:v>51337.536921626765</c:v>
                </c:pt>
                <c:pt idx="53">
                  <c:v>52080.343714317918</c:v>
                </c:pt>
                <c:pt idx="54">
                  <c:v>52822.400311849073</c:v>
                </c:pt>
                <c:pt idx="55">
                  <c:v>53179.630348364939</c:v>
                </c:pt>
              </c:numCache>
            </c:numRef>
          </c:val>
          <c:smooth val="0"/>
          <c:extLst>
            <c:ext xmlns:c16="http://schemas.microsoft.com/office/drawing/2014/chart" uri="{C3380CC4-5D6E-409C-BE32-E72D297353CC}">
              <c16:uniqueId val="{00000001-A25E-495A-B52B-8F98F1865930}"/>
            </c:ext>
          </c:extLst>
        </c:ser>
        <c:ser>
          <c:idx val="2"/>
          <c:order val="2"/>
          <c:tx>
            <c:strRef>
              <c:f>'[2]図10　需要側合計'!#REF!</c:f>
              <c:strCache>
                <c:ptCount val="1"/>
                <c:pt idx="0">
                  <c:v>#REF!</c:v>
                </c:pt>
              </c:strCache>
            </c:strRef>
          </c:tx>
          <c:spPr>
            <a:ln w="28575" cap="rnd">
              <a:solidFill>
                <a:schemeClr val="accent2"/>
              </a:solidFill>
              <a:prstDash val="sysDash"/>
              <a:round/>
            </a:ln>
            <a:effectLst/>
          </c:spPr>
          <c:marker>
            <c:symbol val="none"/>
          </c:marker>
          <c:cat>
            <c:numRef>
              <c:f>'★図16　民間土木'!$A$2:$A$57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'[2]図10　需要側合計'!#REF!</c:f>
              <c:numCache>
                <c:formatCode>General</c:formatCode>
                <c:ptCount val="1"/>
                <c:pt idx="0">
                  <c:v>1</c:v>
                </c:pt>
              </c:numCache>
            </c:numRef>
          </c:val>
          <c:smooth val="0"/>
          <c:extLst>
            <c:ext xmlns:c16="http://schemas.microsoft.com/office/drawing/2014/chart" uri="{C3380CC4-5D6E-409C-BE32-E72D297353CC}">
              <c16:uniqueId val="{00000002-A25E-495A-B52B-8F98F1865930}"/>
            </c:ext>
          </c:extLst>
        </c:ser>
        <c:ser>
          <c:idx val="3"/>
          <c:order val="3"/>
          <c:tx>
            <c:strRef>
              <c:f>'★図16　民間土木'!$D$1</c:f>
              <c:strCache>
                <c:ptCount val="1"/>
                <c:pt idx="0">
                  <c:v>現実</c:v>
                </c:pt>
              </c:strCache>
            </c:strRef>
          </c:tx>
          <c:spPr>
            <a:ln w="28575" cap="rnd">
              <a:solidFill>
                <a:schemeClr val="tx1"/>
              </a:solidFill>
              <a:round/>
            </a:ln>
            <a:effectLst/>
          </c:spPr>
          <c:marker>
            <c:symbol val="none"/>
          </c:marker>
          <c:cat>
            <c:numRef>
              <c:f>'★図16　民間土木'!$A$2:$A$57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'★図16　民間土木'!$D$2:$D$57</c:f>
              <c:numCache>
                <c:formatCode>#,##0_);[Red]\(#,##0\)</c:formatCode>
                <c:ptCount val="56"/>
                <c:pt idx="0">
                  <c:v>69112.274387905345</c:v>
                </c:pt>
                <c:pt idx="1">
                  <c:v>75441.126091765123</c:v>
                </c:pt>
                <c:pt idx="2">
                  <c:v>77609.379083273889</c:v>
                </c:pt>
                <c:pt idx="3">
                  <c:v>61030.108693556635</c:v>
                </c:pt>
                <c:pt idx="4">
                  <c:v>56797.668049522254</c:v>
                </c:pt>
                <c:pt idx="5">
                  <c:v>59616.226028088997</c:v>
                </c:pt>
                <c:pt idx="6">
                  <c:v>62402.797154670094</c:v>
                </c:pt>
                <c:pt idx="7">
                  <c:v>66344.736357248345</c:v>
                </c:pt>
                <c:pt idx="8">
                  <c:v>68853.775936686056</c:v>
                </c:pt>
                <c:pt idx="9">
                  <c:v>78110.645520670441</c:v>
                </c:pt>
                <c:pt idx="10">
                  <c:v>91079.487514409862</c:v>
                </c:pt>
                <c:pt idx="11">
                  <c:v>96262.083044016399</c:v>
                </c:pt>
                <c:pt idx="12">
                  <c:v>100604.31713659353</c:v>
                </c:pt>
                <c:pt idx="13">
                  <c:v>100293.00251845777</c:v>
                </c:pt>
                <c:pt idx="14">
                  <c:v>92083.147856277501</c:v>
                </c:pt>
                <c:pt idx="15">
                  <c:v>94882.371677233547</c:v>
                </c:pt>
                <c:pt idx="16">
                  <c:v>91429.568433127468</c:v>
                </c:pt>
                <c:pt idx="17">
                  <c:v>86974.314633486239</c:v>
                </c:pt>
                <c:pt idx="18">
                  <c:v>84051.186621772213</c:v>
                </c:pt>
                <c:pt idx="19">
                  <c:v>76108.415206839811</c:v>
                </c:pt>
                <c:pt idx="20">
                  <c:v>73298.295024147359</c:v>
                </c:pt>
                <c:pt idx="21">
                  <c:v>71034.623706564613</c:v>
                </c:pt>
                <c:pt idx="22">
                  <c:v>62842.394694031776</c:v>
                </c:pt>
                <c:pt idx="23">
                  <c:v>57583.46796415031</c:v>
                </c:pt>
                <c:pt idx="24">
                  <c:v>53719.721920954609</c:v>
                </c:pt>
                <c:pt idx="25">
                  <c:v>54181.746940259531</c:v>
                </c:pt>
                <c:pt idx="26">
                  <c:v>54666.049505975912</c:v>
                </c:pt>
                <c:pt idx="27">
                  <c:v>53797.225260160587</c:v>
                </c:pt>
                <c:pt idx="28">
                  <c:v>52495.54100616405</c:v>
                </c:pt>
                <c:pt idx="29">
                  <c:v>49375.167110910472</c:v>
                </c:pt>
                <c:pt idx="30">
                  <c:v>42897.044274349406</c:v>
                </c:pt>
                <c:pt idx="31">
                  <c:v>45876.393961105088</c:v>
                </c:pt>
                <c:pt idx="32">
                  <c:v>44841.031680183332</c:v>
                </c:pt>
                <c:pt idx="33">
                  <c:v>46865.217622593802</c:v>
                </c:pt>
                <c:pt idx="34">
                  <c:v>47380.301256210405</c:v>
                </c:pt>
                <c:pt idx="35">
                  <c:v>49537.703405259403</c:v>
                </c:pt>
                <c:pt idx="36">
                  <c:v>50138.464741578318</c:v>
                </c:pt>
                <c:pt idx="37">
                  <c:v>48275.565276246984</c:v>
                </c:pt>
                <c:pt idx="38">
                  <c:v>50306.421033825078</c:v>
                </c:pt>
                <c:pt idx="39">
                  <c:v>50764.635452699134</c:v>
                </c:pt>
                <c:pt idx="40">
                  <c:v>50646.256352396464</c:v>
                </c:pt>
                <c:pt idx="41">
                  <c:v>51177.906617333203</c:v>
                </c:pt>
                <c:pt idx="42">
                  <c:v>51048.5756557247</c:v>
                </c:pt>
              </c:numCache>
            </c:numRef>
          </c:val>
          <c:smooth val="0"/>
          <c:extLst>
            <c:ext xmlns:c16="http://schemas.microsoft.com/office/drawing/2014/chart" uri="{C3380CC4-5D6E-409C-BE32-E72D297353CC}">
              <c16:uniqueId val="{00000003-A25E-495A-B52B-8F98F1865930}"/>
            </c:ext>
          </c:extLst>
        </c:ser>
        <c:dLbls>
          <c:showLegendKey val="0"/>
          <c:showVal val="0"/>
          <c:showCatName val="0"/>
          <c:showSerName val="0"/>
          <c:showPercent val="0"/>
          <c:showBubbleSize val="0"/>
        </c:dLbls>
        <c:smooth val="0"/>
        <c:axId val="231813167"/>
        <c:axId val="231797359"/>
      </c:lineChart>
      <c:catAx>
        <c:axId val="231813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797359"/>
        <c:crosses val="autoZero"/>
        <c:auto val="1"/>
        <c:lblAlgn val="ctr"/>
        <c:lblOffset val="100"/>
        <c:noMultiLvlLbl val="0"/>
      </c:catAx>
      <c:valAx>
        <c:axId val="231797359"/>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813167"/>
        <c:crosses val="autoZero"/>
        <c:crossBetween val="between"/>
      </c:valAx>
      <c:spPr>
        <a:noFill/>
        <a:ln>
          <a:noFill/>
        </a:ln>
        <a:effectLst/>
      </c:spPr>
    </c:plotArea>
    <c:legend>
      <c:legendPos val="b"/>
      <c:legendEntry>
        <c:idx val="2"/>
        <c:delete val="1"/>
      </c:legendEntry>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'★図17　公的住宅'!$B$1</c:f>
              <c:strCache>
                <c:ptCount val="1"/>
                <c:pt idx="0">
                  <c:v>成長実現ケース</c:v>
                </c:pt>
              </c:strCache>
            </c:strRef>
          </c:tx>
          <c:spPr>
            <a:ln w="28575" cap="rnd">
              <a:solidFill>
                <a:schemeClr val="accent1"/>
              </a:solidFill>
              <a:round/>
            </a:ln>
            <a:effectLst/>
          </c:spPr>
          <c:marker>
            <c:symbol val="none"/>
          </c:marker>
          <c:cat>
            <c:numRef>
              <c:f>'★図17　公的住宅'!$A$2:$A$57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'★図17　公的住宅'!$B$2:$B$57</c:f>
              <c:numCache>
                <c:formatCode>#,##0_);[Red]\(#,##0\)</c:formatCode>
                <c:ptCount val="56"/>
                <c:pt idx="0">
                  <c:v>12344.283979982103</c:v>
                </c:pt>
                <c:pt idx="1">
                  <c:v>11594.987730497327</c:v>
                </c:pt>
                <c:pt idx="2">
                  <c:v>11834.491191114705</c:v>
                </c:pt>
                <c:pt idx="3">
                  <c:v>11846.53137729371</c:v>
                </c:pt>
                <c:pt idx="4">
                  <c:v>10878.346928778528</c:v>
                </c:pt>
                <c:pt idx="5">
                  <c:v>10689.203736029876</c:v>
                </c:pt>
                <c:pt idx="6">
                  <c:v>10804.187502570989</c:v>
                </c:pt>
                <c:pt idx="7">
                  <c:v>10735.465389144465</c:v>
                </c:pt>
                <c:pt idx="8">
                  <c:v>10574.240056545475</c:v>
                </c:pt>
                <c:pt idx="9">
                  <c:v>10528.880638940507</c:v>
                </c:pt>
                <c:pt idx="10">
                  <c:v>11211.751863833022</c:v>
                </c:pt>
                <c:pt idx="11">
                  <c:v>12650.259388392455</c:v>
                </c:pt>
                <c:pt idx="12">
                  <c:v>14400.42202977142</c:v>
                </c:pt>
                <c:pt idx="13">
                  <c:v>16210.053168005768</c:v>
                </c:pt>
                <c:pt idx="14">
                  <c:v>18854.491624605209</c:v>
                </c:pt>
                <c:pt idx="15">
                  <c:v>16770.87984979598</c:v>
                </c:pt>
                <c:pt idx="16">
                  <c:v>16066.356323495169</c:v>
                </c:pt>
                <c:pt idx="17">
                  <c:v>15564.097344000067</c:v>
                </c:pt>
                <c:pt idx="18">
                  <c:v>13458.214968442178</c:v>
                </c:pt>
                <c:pt idx="19">
                  <c:v>12346.873871953054</c:v>
                </c:pt>
                <c:pt idx="20">
                  <c:v>10892.9707798491</c:v>
                </c:pt>
                <c:pt idx="21">
                  <c:v>10655.395056802863</c:v>
                </c:pt>
                <c:pt idx="22">
                  <c:v>10173.553061078926</c:v>
                </c:pt>
                <c:pt idx="23">
                  <c:v>9360.8434453524096</c:v>
                </c:pt>
                <c:pt idx="24">
                  <c:v>7832.0515599617529</c:v>
                </c:pt>
                <c:pt idx="25">
                  <c:v>6258.6123983698853</c:v>
                </c:pt>
                <c:pt idx="26">
                  <c:v>6371.8726568111861</c:v>
                </c:pt>
                <c:pt idx="27">
                  <c:v>5931.8477660247218</c:v>
                </c:pt>
                <c:pt idx="28">
                  <c:v>5355.6623268122285</c:v>
                </c:pt>
                <c:pt idx="29">
                  <c:v>5921.2084719150071</c:v>
                </c:pt>
                <c:pt idx="30">
                  <c:v>5480.6566541579678</c:v>
                </c:pt>
                <c:pt idx="31">
                  <c:v>4839.9591412334576</c:v>
                </c:pt>
                <c:pt idx="32">
                  <c:v>4617.7711114312888</c:v>
                </c:pt>
                <c:pt idx="33">
                  <c:v>6117.756593055351</c:v>
                </c:pt>
                <c:pt idx="34">
                  <c:v>7380.2958422805068</c:v>
                </c:pt>
                <c:pt idx="35">
                  <c:v>9479.4237761110289</c:v>
                </c:pt>
                <c:pt idx="36">
                  <c:v>10376.665837614433</c:v>
                </c:pt>
                <c:pt idx="37">
                  <c:v>9383.8519358478716</c:v>
                </c:pt>
                <c:pt idx="38">
                  <c:v>7673.9030530869059</c:v>
                </c:pt>
                <c:pt idx="39">
                  <c:v>6510.6686873951267</c:v>
                </c:pt>
                <c:pt idx="40">
                  <c:v>6440.6826029201129</c:v>
                </c:pt>
                <c:pt idx="41">
                  <c:v>7205.2251759988203</c:v>
                </c:pt>
                <c:pt idx="42">
                  <c:v>7371.20624336526</c:v>
                </c:pt>
                <c:pt idx="43">
                  <c:v>7579.8161374258807</c:v>
                </c:pt>
                <c:pt idx="44">
                  <c:v>7470.8414976129061</c:v>
                </c:pt>
                <c:pt idx="45">
                  <c:v>7436.997905033908</c:v>
                </c:pt>
                <c:pt idx="46">
                  <c:v>7534.5770528200865</c:v>
                </c:pt>
                <c:pt idx="47">
                  <c:v>7691.1617825167032</c:v>
                </c:pt>
                <c:pt idx="48">
                  <c:v>7606.3272900184456</c:v>
                </c:pt>
                <c:pt idx="49">
                  <c:v>7553.2869442379888</c:v>
                </c:pt>
                <c:pt idx="50">
                  <c:v>7548.865412040007</c:v>
                </c:pt>
                <c:pt idx="51">
                  <c:v>7561.8693977778566</c:v>
                </c:pt>
                <c:pt idx="52">
                  <c:v>7582.6813132351808</c:v>
                </c:pt>
                <c:pt idx="53">
                  <c:v>7590.6986899710291</c:v>
                </c:pt>
                <c:pt idx="54">
                  <c:v>7573.9548412134191</c:v>
                </c:pt>
                <c:pt idx="55">
                  <c:v>7568.5594330792464</c:v>
                </c:pt>
              </c:numCache>
            </c:numRef>
          </c:val>
          <c:smooth val="0"/>
          <c:extLst>
            <c:ext xmlns:c16="http://schemas.microsoft.com/office/drawing/2014/chart" uri="{C3380CC4-5D6E-409C-BE32-E72D297353CC}">
              <c16:uniqueId val="{00000000-C7C8-41B7-B3B3-FE558ED71672}"/>
            </c:ext>
          </c:extLst>
        </c:ser>
        <c:ser>
          <c:idx val="1"/>
          <c:order val="1"/>
          <c:tx>
            <c:strRef>
              <c:f>'★図17　公的住宅'!$C$1</c:f>
              <c:strCache>
                <c:ptCount val="1"/>
                <c:pt idx="0">
                  <c:v>ベースラインケース</c:v>
                </c:pt>
              </c:strCache>
            </c:strRef>
          </c:tx>
          <c:spPr>
            <a:ln w="28575" cap="rnd">
              <a:solidFill>
                <a:schemeClr val="accent2"/>
              </a:solidFill>
              <a:round/>
            </a:ln>
            <a:effectLst/>
          </c:spPr>
          <c:marker>
            <c:symbol val="none"/>
          </c:marker>
          <c:cat>
            <c:numRef>
              <c:f>'★図17　公的住宅'!$A$2:$A$57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'★図17　公的住宅'!$C$2:$C$57</c:f>
              <c:numCache>
                <c:formatCode>#,##0_);[Red]\(#,##0\)</c:formatCode>
                <c:ptCount val="56"/>
                <c:pt idx="0">
                  <c:v>12344.283979982103</c:v>
                </c:pt>
                <c:pt idx="1">
                  <c:v>11594.987730497327</c:v>
                </c:pt>
                <c:pt idx="2">
                  <c:v>11834.491191114705</c:v>
                </c:pt>
                <c:pt idx="3">
                  <c:v>11846.53137729371</c:v>
                </c:pt>
                <c:pt idx="4">
                  <c:v>10878.346928778528</c:v>
                </c:pt>
                <c:pt idx="5">
                  <c:v>10689.203736029876</c:v>
                </c:pt>
                <c:pt idx="6">
                  <c:v>10804.187502570989</c:v>
                </c:pt>
                <c:pt idx="7">
                  <c:v>10735.465389144465</c:v>
                </c:pt>
                <c:pt idx="8">
                  <c:v>10574.240056545475</c:v>
                </c:pt>
                <c:pt idx="9">
                  <c:v>10528.880638940507</c:v>
                </c:pt>
                <c:pt idx="10">
                  <c:v>11211.751863833022</c:v>
                </c:pt>
                <c:pt idx="11">
                  <c:v>12650.259388392455</c:v>
                </c:pt>
                <c:pt idx="12">
                  <c:v>14400.42202977142</c:v>
                </c:pt>
                <c:pt idx="13">
                  <c:v>16210.053168005768</c:v>
                </c:pt>
                <c:pt idx="14">
                  <c:v>18854.491624605209</c:v>
                </c:pt>
                <c:pt idx="15">
                  <c:v>16770.87984979598</c:v>
                </c:pt>
                <c:pt idx="16">
                  <c:v>16066.356323495169</c:v>
                </c:pt>
                <c:pt idx="17">
                  <c:v>15564.097344000067</c:v>
                </c:pt>
                <c:pt idx="18">
                  <c:v>13458.214968442178</c:v>
                </c:pt>
                <c:pt idx="19">
                  <c:v>12346.873871953054</c:v>
                </c:pt>
                <c:pt idx="20">
                  <c:v>10892.9707798491</c:v>
                </c:pt>
                <c:pt idx="21">
                  <c:v>10655.395056802863</c:v>
                </c:pt>
                <c:pt idx="22">
                  <c:v>10173.553061078926</c:v>
                </c:pt>
                <c:pt idx="23">
                  <c:v>9360.8434453524096</c:v>
                </c:pt>
                <c:pt idx="24">
                  <c:v>7832.0515599617529</c:v>
                </c:pt>
                <c:pt idx="25">
                  <c:v>6258.6123983698853</c:v>
                </c:pt>
                <c:pt idx="26">
                  <c:v>6371.8726568111861</c:v>
                </c:pt>
                <c:pt idx="27">
                  <c:v>5931.8477660247218</c:v>
                </c:pt>
                <c:pt idx="28">
                  <c:v>5355.6623268122285</c:v>
                </c:pt>
                <c:pt idx="29">
                  <c:v>5921.2084719150071</c:v>
                </c:pt>
                <c:pt idx="30">
                  <c:v>5480.6566541579678</c:v>
                </c:pt>
                <c:pt idx="31">
                  <c:v>4839.9591412334576</c:v>
                </c:pt>
                <c:pt idx="32">
                  <c:v>4617.7711114312888</c:v>
                </c:pt>
                <c:pt idx="33">
                  <c:v>6117.756593055351</c:v>
                </c:pt>
                <c:pt idx="34">
                  <c:v>7380.2958422805068</c:v>
                </c:pt>
                <c:pt idx="35">
                  <c:v>9479.4237761110289</c:v>
                </c:pt>
                <c:pt idx="36">
                  <c:v>10376.665837614433</c:v>
                </c:pt>
                <c:pt idx="37">
                  <c:v>9383.8519358478716</c:v>
                </c:pt>
                <c:pt idx="38">
                  <c:v>7673.9030530869059</c:v>
                </c:pt>
                <c:pt idx="39">
                  <c:v>6510.6686873951267</c:v>
                </c:pt>
                <c:pt idx="40">
                  <c:v>6440.6826029201129</c:v>
                </c:pt>
                <c:pt idx="41">
                  <c:v>7205.2251759988203</c:v>
                </c:pt>
                <c:pt idx="42">
                  <c:v>7371.20624336526</c:v>
                </c:pt>
                <c:pt idx="43">
                  <c:v>7579.8161374258807</c:v>
                </c:pt>
                <c:pt idx="44">
                  <c:v>7470.8414976129061</c:v>
                </c:pt>
                <c:pt idx="45">
                  <c:v>7436.997905033908</c:v>
                </c:pt>
                <c:pt idx="46">
                  <c:v>7534.5770528200865</c:v>
                </c:pt>
                <c:pt idx="47">
                  <c:v>7691.1617825167032</c:v>
                </c:pt>
                <c:pt idx="48">
                  <c:v>7606.3272900184456</c:v>
                </c:pt>
                <c:pt idx="49">
                  <c:v>7553.2869442379888</c:v>
                </c:pt>
                <c:pt idx="50">
                  <c:v>7548.865412040007</c:v>
                </c:pt>
                <c:pt idx="51">
                  <c:v>7561.8693977778566</c:v>
                </c:pt>
                <c:pt idx="52">
                  <c:v>7582.6813132351808</c:v>
                </c:pt>
                <c:pt idx="53">
                  <c:v>7590.6986899710291</c:v>
                </c:pt>
                <c:pt idx="54">
                  <c:v>7573.9548412134191</c:v>
                </c:pt>
                <c:pt idx="55">
                  <c:v>7568.5594330792464</c:v>
                </c:pt>
              </c:numCache>
            </c:numRef>
          </c:val>
          <c:smooth val="0"/>
          <c:extLst>
            <c:ext xmlns:c16="http://schemas.microsoft.com/office/drawing/2014/chart" uri="{C3380CC4-5D6E-409C-BE32-E72D297353CC}">
              <c16:uniqueId val="{00000001-C7C8-41B7-B3B3-FE558ED71672}"/>
            </c:ext>
          </c:extLst>
        </c:ser>
        <c:ser>
          <c:idx val="2"/>
          <c:order val="2"/>
          <c:tx>
            <c:strRef>
              <c:f>'[2]図10　需要側合計'!#REF!</c:f>
              <c:strCache>
                <c:ptCount val="1"/>
                <c:pt idx="0">
                  <c:v>#REF!</c:v>
                </c:pt>
              </c:strCache>
            </c:strRef>
          </c:tx>
          <c:spPr>
            <a:ln w="28575" cap="rnd">
              <a:solidFill>
                <a:schemeClr val="accent2"/>
              </a:solidFill>
              <a:prstDash val="sysDash"/>
              <a:round/>
            </a:ln>
            <a:effectLst/>
          </c:spPr>
          <c:marker>
            <c:symbol val="none"/>
          </c:marker>
          <c:cat>
            <c:numRef>
              <c:f>'★図17　公的住宅'!$A$2:$A$57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'[2]図10　需要側合計'!#REF!</c:f>
              <c:numCache>
                <c:formatCode>General</c:formatCode>
                <c:ptCount val="1"/>
                <c:pt idx="0">
                  <c:v>1</c:v>
                </c:pt>
              </c:numCache>
            </c:numRef>
          </c:val>
          <c:smooth val="0"/>
          <c:extLst>
            <c:ext xmlns:c16="http://schemas.microsoft.com/office/drawing/2014/chart" uri="{C3380CC4-5D6E-409C-BE32-E72D297353CC}">
              <c16:uniqueId val="{00000002-C7C8-41B7-B3B3-FE558ED71672}"/>
            </c:ext>
          </c:extLst>
        </c:ser>
        <c:ser>
          <c:idx val="3"/>
          <c:order val="3"/>
          <c:tx>
            <c:strRef>
              <c:f>'★図17　公的住宅'!$D$1</c:f>
              <c:strCache>
                <c:ptCount val="1"/>
                <c:pt idx="0">
                  <c:v>現実</c:v>
                </c:pt>
              </c:strCache>
            </c:strRef>
          </c:tx>
          <c:spPr>
            <a:ln w="28575" cap="rnd">
              <a:solidFill>
                <a:schemeClr val="tx1"/>
              </a:solidFill>
              <a:round/>
            </a:ln>
            <a:effectLst/>
          </c:spPr>
          <c:marker>
            <c:symbol val="none"/>
          </c:marker>
          <c:cat>
            <c:numRef>
              <c:f>'★図17　公的住宅'!$A$2:$A$57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'★図17　公的住宅'!$D$2:$D$57</c:f>
              <c:numCache>
                <c:formatCode>#,##0_);[Red]\(#,##0\)</c:formatCode>
                <c:ptCount val="56"/>
                <c:pt idx="0">
                  <c:v>12344.283979982103</c:v>
                </c:pt>
                <c:pt idx="1">
                  <c:v>11594.987730497327</c:v>
                </c:pt>
                <c:pt idx="2">
                  <c:v>11834.491191114705</c:v>
                </c:pt>
                <c:pt idx="3">
                  <c:v>11846.53137729371</c:v>
                </c:pt>
                <c:pt idx="4">
                  <c:v>10878.346928778528</c:v>
                </c:pt>
                <c:pt idx="5">
                  <c:v>10689.203736029876</c:v>
                </c:pt>
                <c:pt idx="6">
                  <c:v>10804.187502570989</c:v>
                </c:pt>
                <c:pt idx="7">
                  <c:v>10735.465389144465</c:v>
                </c:pt>
                <c:pt idx="8">
                  <c:v>10574.240056545475</c:v>
                </c:pt>
                <c:pt idx="9">
                  <c:v>10528.880638940507</c:v>
                </c:pt>
                <c:pt idx="10">
                  <c:v>11211.751863833022</c:v>
                </c:pt>
                <c:pt idx="11">
                  <c:v>12650.259388392455</c:v>
                </c:pt>
                <c:pt idx="12">
                  <c:v>14400.42202977142</c:v>
                </c:pt>
                <c:pt idx="13">
                  <c:v>16210.053168005768</c:v>
                </c:pt>
                <c:pt idx="14">
                  <c:v>18854.491624605209</c:v>
                </c:pt>
                <c:pt idx="15">
                  <c:v>16770.87984979598</c:v>
                </c:pt>
                <c:pt idx="16">
                  <c:v>16066.356323495169</c:v>
                </c:pt>
                <c:pt idx="17">
                  <c:v>15564.097344000067</c:v>
                </c:pt>
                <c:pt idx="18">
                  <c:v>13458.214968442178</c:v>
                </c:pt>
                <c:pt idx="19">
                  <c:v>12346.873871953054</c:v>
                </c:pt>
                <c:pt idx="20">
                  <c:v>10892.9707798491</c:v>
                </c:pt>
                <c:pt idx="21">
                  <c:v>10655.395056802863</c:v>
                </c:pt>
                <c:pt idx="22">
                  <c:v>10173.553061078926</c:v>
                </c:pt>
                <c:pt idx="23">
                  <c:v>9360.8434453524096</c:v>
                </c:pt>
                <c:pt idx="24">
                  <c:v>7832.0515599617529</c:v>
                </c:pt>
                <c:pt idx="25">
                  <c:v>6258.6123983698853</c:v>
                </c:pt>
                <c:pt idx="26">
                  <c:v>6371.8726568111861</c:v>
                </c:pt>
                <c:pt idx="27">
                  <c:v>5931.8477660247218</c:v>
                </c:pt>
                <c:pt idx="28">
                  <c:v>5355.6623268122285</c:v>
                </c:pt>
                <c:pt idx="29">
                  <c:v>5921.2084719150071</c:v>
                </c:pt>
                <c:pt idx="30">
                  <c:v>5480.6566541579678</c:v>
                </c:pt>
                <c:pt idx="31">
                  <c:v>4839.9591412334576</c:v>
                </c:pt>
                <c:pt idx="32">
                  <c:v>4617.7711114312888</c:v>
                </c:pt>
                <c:pt idx="33">
                  <c:v>6117.756593055351</c:v>
                </c:pt>
                <c:pt idx="34">
                  <c:v>7380.2958422805068</c:v>
                </c:pt>
                <c:pt idx="35">
                  <c:v>9479.4237761110289</c:v>
                </c:pt>
                <c:pt idx="36">
                  <c:v>10376.665837614433</c:v>
                </c:pt>
                <c:pt idx="37">
                  <c:v>9383.8519358478716</c:v>
                </c:pt>
                <c:pt idx="38">
                  <c:v>7673.9030530869059</c:v>
                </c:pt>
                <c:pt idx="39">
                  <c:v>6510.6686873951267</c:v>
                </c:pt>
                <c:pt idx="40">
                  <c:v>6440.6826029201129</c:v>
                </c:pt>
                <c:pt idx="41">
                  <c:v>7205.2251759988203</c:v>
                </c:pt>
                <c:pt idx="42">
                  <c:v>7371.20624336526</c:v>
                </c:pt>
              </c:numCache>
            </c:numRef>
          </c:val>
          <c:smooth val="0"/>
          <c:extLst>
            <c:ext xmlns:c16="http://schemas.microsoft.com/office/drawing/2014/chart" uri="{C3380CC4-5D6E-409C-BE32-E72D297353CC}">
              <c16:uniqueId val="{00000003-C7C8-41B7-B3B3-FE558ED71672}"/>
            </c:ext>
          </c:extLst>
        </c:ser>
        <c:dLbls>
          <c:showLegendKey val="0"/>
          <c:showVal val="0"/>
          <c:showCatName val="0"/>
          <c:showSerName val="0"/>
          <c:showPercent val="0"/>
          <c:showBubbleSize val="0"/>
        </c:dLbls>
        <c:smooth val="0"/>
        <c:axId val="231813167"/>
        <c:axId val="231797359"/>
      </c:lineChart>
      <c:catAx>
        <c:axId val="231813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797359"/>
        <c:crosses val="autoZero"/>
        <c:auto val="1"/>
        <c:lblAlgn val="ctr"/>
        <c:lblOffset val="100"/>
        <c:noMultiLvlLbl val="0"/>
      </c:catAx>
      <c:valAx>
        <c:axId val="231797359"/>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813167"/>
        <c:crosses val="autoZero"/>
        <c:crossBetween val="between"/>
      </c:valAx>
      <c:spPr>
        <a:noFill/>
        <a:ln>
          <a:noFill/>
        </a:ln>
        <a:effectLst/>
      </c:spPr>
    </c:plotArea>
    <c:legend>
      <c:legendPos val="b"/>
      <c:legendEntry>
        <c:idx val="2"/>
        <c:delete val="1"/>
      </c:legendEntry>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4.3938972458898912E-2"/>
          <c:y val="4.5333335496699378E-2"/>
          <c:w val="0.94239189472282436"/>
          <c:h val="0.78889430631802926"/>
        </c:manualLayout>
      </c:layout>
      <c:lineChart>
        <c:grouping val="standard"/>
        <c:varyColors val="0"/>
        <c:ser>
          <c:idx val="0"/>
          <c:order val="0"/>
          <c:tx>
            <c:strRef>
              <c:f>★資本稼働率!$H$1</c:f>
              <c:strCache>
                <c:ptCount val="1"/>
                <c:pt idx="0">
                  <c:v>生産指数（原数値）</c:v>
                </c:pt>
              </c:strCache>
            </c:strRef>
          </c:tx>
          <c:spPr>
            <a:ln w="28575" cap="rnd">
              <a:solidFill>
                <a:schemeClr val="bg1">
                  <a:lumMod val="65000"/>
                </a:schemeClr>
              </a:solidFill>
              <a:prstDash val="solid"/>
              <a:round/>
            </a:ln>
            <a:effectLst/>
          </c:spPr>
          <c:marker>
            <c:symbol val="none"/>
          </c:marker>
          <c:cat>
            <c:numRef>
              <c:f>★資本稼働率!$A$2:$A$653</c:f>
              <c:numCache>
                <c:formatCode>yyyy"年"m"月";@</c:formatCode>
                <c:ptCount val="652"/>
                <c:pt idx="0">
                  <c:v>24929</c:v>
                </c:pt>
                <c:pt idx="1">
                  <c:v>24959</c:v>
                </c:pt>
                <c:pt idx="2">
                  <c:v>24990</c:v>
                </c:pt>
                <c:pt idx="3">
                  <c:v>25020</c:v>
                </c:pt>
                <c:pt idx="4">
                  <c:v>25051</c:v>
                </c:pt>
                <c:pt idx="5">
                  <c:v>25082</c:v>
                </c:pt>
                <c:pt idx="6">
                  <c:v>25112</c:v>
                </c:pt>
                <c:pt idx="7">
                  <c:v>25143</c:v>
                </c:pt>
                <c:pt idx="8">
                  <c:v>25173</c:v>
                </c:pt>
                <c:pt idx="9">
                  <c:v>25204</c:v>
                </c:pt>
                <c:pt idx="10">
                  <c:v>25235</c:v>
                </c:pt>
                <c:pt idx="11">
                  <c:v>25263</c:v>
                </c:pt>
                <c:pt idx="12">
                  <c:v>25294</c:v>
                </c:pt>
                <c:pt idx="13">
                  <c:v>25324</c:v>
                </c:pt>
                <c:pt idx="14">
                  <c:v>25355</c:v>
                </c:pt>
                <c:pt idx="15">
                  <c:v>25385</c:v>
                </c:pt>
                <c:pt idx="16">
                  <c:v>25416</c:v>
                </c:pt>
                <c:pt idx="17">
                  <c:v>25447</c:v>
                </c:pt>
                <c:pt idx="18">
                  <c:v>25477</c:v>
                </c:pt>
                <c:pt idx="19">
                  <c:v>25508</c:v>
                </c:pt>
                <c:pt idx="20">
                  <c:v>25538</c:v>
                </c:pt>
                <c:pt idx="21">
                  <c:v>25569</c:v>
                </c:pt>
                <c:pt idx="22">
                  <c:v>25600</c:v>
                </c:pt>
                <c:pt idx="23">
                  <c:v>25628</c:v>
                </c:pt>
                <c:pt idx="24">
                  <c:v>25659</c:v>
                </c:pt>
                <c:pt idx="25">
                  <c:v>25689</c:v>
                </c:pt>
                <c:pt idx="26">
                  <c:v>25720</c:v>
                </c:pt>
                <c:pt idx="27">
                  <c:v>25750</c:v>
                </c:pt>
                <c:pt idx="28">
                  <c:v>25781</c:v>
                </c:pt>
                <c:pt idx="29">
                  <c:v>25812</c:v>
                </c:pt>
                <c:pt idx="30">
                  <c:v>25842</c:v>
                </c:pt>
                <c:pt idx="31">
                  <c:v>25873</c:v>
                </c:pt>
                <c:pt idx="32">
                  <c:v>25903</c:v>
                </c:pt>
                <c:pt idx="33">
                  <c:v>25934</c:v>
                </c:pt>
                <c:pt idx="34">
                  <c:v>25965</c:v>
                </c:pt>
                <c:pt idx="35">
                  <c:v>25993</c:v>
                </c:pt>
                <c:pt idx="36">
                  <c:v>26024</c:v>
                </c:pt>
                <c:pt idx="37">
                  <c:v>26054</c:v>
                </c:pt>
                <c:pt idx="38">
                  <c:v>26085</c:v>
                </c:pt>
                <c:pt idx="39">
                  <c:v>26115</c:v>
                </c:pt>
                <c:pt idx="40">
                  <c:v>26146</c:v>
                </c:pt>
                <c:pt idx="41">
                  <c:v>26177</c:v>
                </c:pt>
                <c:pt idx="42">
                  <c:v>26207</c:v>
                </c:pt>
                <c:pt idx="43">
                  <c:v>26238</c:v>
                </c:pt>
                <c:pt idx="44">
                  <c:v>26268</c:v>
                </c:pt>
                <c:pt idx="45">
                  <c:v>26299</c:v>
                </c:pt>
                <c:pt idx="46">
                  <c:v>26330</c:v>
                </c:pt>
                <c:pt idx="47">
                  <c:v>26359</c:v>
                </c:pt>
                <c:pt idx="48">
                  <c:v>26390</c:v>
                </c:pt>
                <c:pt idx="49">
                  <c:v>26420</c:v>
                </c:pt>
                <c:pt idx="50">
                  <c:v>26451</c:v>
                </c:pt>
                <c:pt idx="51">
                  <c:v>26481</c:v>
                </c:pt>
                <c:pt idx="52">
                  <c:v>26512</c:v>
                </c:pt>
                <c:pt idx="53">
                  <c:v>26543</c:v>
                </c:pt>
                <c:pt idx="54">
                  <c:v>26573</c:v>
                </c:pt>
                <c:pt idx="55">
                  <c:v>26604</c:v>
                </c:pt>
                <c:pt idx="56">
                  <c:v>26634</c:v>
                </c:pt>
                <c:pt idx="57">
                  <c:v>26665</c:v>
                </c:pt>
                <c:pt idx="58">
                  <c:v>26696</c:v>
                </c:pt>
                <c:pt idx="59">
                  <c:v>26724</c:v>
                </c:pt>
                <c:pt idx="60">
                  <c:v>26755</c:v>
                </c:pt>
                <c:pt idx="61">
                  <c:v>26785</c:v>
                </c:pt>
                <c:pt idx="62">
                  <c:v>26816</c:v>
                </c:pt>
                <c:pt idx="63">
                  <c:v>26846</c:v>
                </c:pt>
                <c:pt idx="64">
                  <c:v>26877</c:v>
                </c:pt>
                <c:pt idx="65">
                  <c:v>26908</c:v>
                </c:pt>
                <c:pt idx="66">
                  <c:v>26938</c:v>
                </c:pt>
                <c:pt idx="67">
                  <c:v>26969</c:v>
                </c:pt>
                <c:pt idx="68">
                  <c:v>26999</c:v>
                </c:pt>
                <c:pt idx="69">
                  <c:v>27030</c:v>
                </c:pt>
                <c:pt idx="70">
                  <c:v>27061</c:v>
                </c:pt>
                <c:pt idx="71">
                  <c:v>27089</c:v>
                </c:pt>
                <c:pt idx="72">
                  <c:v>27120</c:v>
                </c:pt>
                <c:pt idx="73">
                  <c:v>27150</c:v>
                </c:pt>
                <c:pt idx="74">
                  <c:v>27181</c:v>
                </c:pt>
                <c:pt idx="75">
                  <c:v>27211</c:v>
                </c:pt>
                <c:pt idx="76">
                  <c:v>27242</c:v>
                </c:pt>
                <c:pt idx="77">
                  <c:v>27273</c:v>
                </c:pt>
                <c:pt idx="78">
                  <c:v>27303</c:v>
                </c:pt>
                <c:pt idx="79">
                  <c:v>27334</c:v>
                </c:pt>
                <c:pt idx="80">
                  <c:v>27364</c:v>
                </c:pt>
                <c:pt idx="81">
                  <c:v>27395</c:v>
                </c:pt>
                <c:pt idx="82">
                  <c:v>27426</c:v>
                </c:pt>
                <c:pt idx="83">
                  <c:v>27454</c:v>
                </c:pt>
                <c:pt idx="84">
                  <c:v>27485</c:v>
                </c:pt>
                <c:pt idx="85">
                  <c:v>27515</c:v>
                </c:pt>
                <c:pt idx="86">
                  <c:v>27546</c:v>
                </c:pt>
                <c:pt idx="87">
                  <c:v>27576</c:v>
                </c:pt>
                <c:pt idx="88">
                  <c:v>27607</c:v>
                </c:pt>
                <c:pt idx="89">
                  <c:v>27638</c:v>
                </c:pt>
                <c:pt idx="90">
                  <c:v>27668</c:v>
                </c:pt>
                <c:pt idx="91">
                  <c:v>27699</c:v>
                </c:pt>
                <c:pt idx="92">
                  <c:v>27729</c:v>
                </c:pt>
                <c:pt idx="93">
                  <c:v>27760</c:v>
                </c:pt>
                <c:pt idx="94">
                  <c:v>27791</c:v>
                </c:pt>
                <c:pt idx="95">
                  <c:v>27820</c:v>
                </c:pt>
                <c:pt idx="96">
                  <c:v>27851</c:v>
                </c:pt>
                <c:pt idx="97">
                  <c:v>27881</c:v>
                </c:pt>
                <c:pt idx="98">
                  <c:v>27912</c:v>
                </c:pt>
                <c:pt idx="99">
                  <c:v>27942</c:v>
                </c:pt>
                <c:pt idx="100">
                  <c:v>27973</c:v>
                </c:pt>
                <c:pt idx="101">
                  <c:v>28004</c:v>
                </c:pt>
                <c:pt idx="102">
                  <c:v>28034</c:v>
                </c:pt>
                <c:pt idx="103">
                  <c:v>28065</c:v>
                </c:pt>
                <c:pt idx="104">
                  <c:v>28095</c:v>
                </c:pt>
                <c:pt idx="105">
                  <c:v>28126</c:v>
                </c:pt>
                <c:pt idx="106">
                  <c:v>28157</c:v>
                </c:pt>
                <c:pt idx="107">
                  <c:v>28185</c:v>
                </c:pt>
                <c:pt idx="108">
                  <c:v>28216</c:v>
                </c:pt>
                <c:pt idx="109">
                  <c:v>28246</c:v>
                </c:pt>
                <c:pt idx="110">
                  <c:v>28277</c:v>
                </c:pt>
                <c:pt idx="111">
                  <c:v>28307</c:v>
                </c:pt>
                <c:pt idx="112">
                  <c:v>28338</c:v>
                </c:pt>
                <c:pt idx="113">
                  <c:v>28369</c:v>
                </c:pt>
                <c:pt idx="114">
                  <c:v>28399</c:v>
                </c:pt>
                <c:pt idx="115">
                  <c:v>28430</c:v>
                </c:pt>
                <c:pt idx="116">
                  <c:v>28460</c:v>
                </c:pt>
                <c:pt idx="117">
                  <c:v>28491</c:v>
                </c:pt>
                <c:pt idx="118">
                  <c:v>28522</c:v>
                </c:pt>
                <c:pt idx="119">
                  <c:v>28550</c:v>
                </c:pt>
                <c:pt idx="120">
                  <c:v>28581</c:v>
                </c:pt>
                <c:pt idx="121">
                  <c:v>28611</c:v>
                </c:pt>
                <c:pt idx="122">
                  <c:v>28642</c:v>
                </c:pt>
                <c:pt idx="123">
                  <c:v>28672</c:v>
                </c:pt>
                <c:pt idx="124">
                  <c:v>28703</c:v>
                </c:pt>
                <c:pt idx="125">
                  <c:v>28734</c:v>
                </c:pt>
                <c:pt idx="126">
                  <c:v>28764</c:v>
                </c:pt>
                <c:pt idx="127">
                  <c:v>28795</c:v>
                </c:pt>
                <c:pt idx="128">
                  <c:v>28825</c:v>
                </c:pt>
                <c:pt idx="129">
                  <c:v>28856</c:v>
                </c:pt>
                <c:pt idx="130">
                  <c:v>28887</c:v>
                </c:pt>
                <c:pt idx="131">
                  <c:v>28915</c:v>
                </c:pt>
                <c:pt idx="132">
                  <c:v>28946</c:v>
                </c:pt>
                <c:pt idx="133">
                  <c:v>28976</c:v>
                </c:pt>
                <c:pt idx="134">
                  <c:v>29007</c:v>
                </c:pt>
                <c:pt idx="135">
                  <c:v>29037</c:v>
                </c:pt>
                <c:pt idx="136">
                  <c:v>29068</c:v>
                </c:pt>
                <c:pt idx="137">
                  <c:v>29099</c:v>
                </c:pt>
                <c:pt idx="138">
                  <c:v>29129</c:v>
                </c:pt>
                <c:pt idx="139">
                  <c:v>29160</c:v>
                </c:pt>
                <c:pt idx="140">
                  <c:v>29190</c:v>
                </c:pt>
                <c:pt idx="141">
                  <c:v>29221</c:v>
                </c:pt>
                <c:pt idx="142">
                  <c:v>29252</c:v>
                </c:pt>
                <c:pt idx="143">
                  <c:v>29281</c:v>
                </c:pt>
                <c:pt idx="144">
                  <c:v>29312</c:v>
                </c:pt>
                <c:pt idx="145">
                  <c:v>29342</c:v>
                </c:pt>
                <c:pt idx="146">
                  <c:v>29373</c:v>
                </c:pt>
                <c:pt idx="147">
                  <c:v>29403</c:v>
                </c:pt>
                <c:pt idx="148">
                  <c:v>29434</c:v>
                </c:pt>
                <c:pt idx="149">
                  <c:v>29465</c:v>
                </c:pt>
                <c:pt idx="150">
                  <c:v>29495</c:v>
                </c:pt>
                <c:pt idx="151">
                  <c:v>29526</c:v>
                </c:pt>
                <c:pt idx="152">
                  <c:v>29556</c:v>
                </c:pt>
                <c:pt idx="153">
                  <c:v>29587</c:v>
                </c:pt>
                <c:pt idx="154">
                  <c:v>29618</c:v>
                </c:pt>
                <c:pt idx="155">
                  <c:v>29646</c:v>
                </c:pt>
                <c:pt idx="156">
                  <c:v>29677</c:v>
                </c:pt>
                <c:pt idx="157">
                  <c:v>29707</c:v>
                </c:pt>
                <c:pt idx="158">
                  <c:v>29738</c:v>
                </c:pt>
                <c:pt idx="159">
                  <c:v>29768</c:v>
                </c:pt>
                <c:pt idx="160">
                  <c:v>29799</c:v>
                </c:pt>
                <c:pt idx="161">
                  <c:v>29830</c:v>
                </c:pt>
                <c:pt idx="162">
                  <c:v>29860</c:v>
                </c:pt>
                <c:pt idx="163">
                  <c:v>29891</c:v>
                </c:pt>
                <c:pt idx="164">
                  <c:v>29921</c:v>
                </c:pt>
                <c:pt idx="165">
                  <c:v>29952</c:v>
                </c:pt>
                <c:pt idx="166">
                  <c:v>29983</c:v>
                </c:pt>
                <c:pt idx="167">
                  <c:v>30011</c:v>
                </c:pt>
                <c:pt idx="168">
                  <c:v>30042</c:v>
                </c:pt>
                <c:pt idx="169">
                  <c:v>30072</c:v>
                </c:pt>
                <c:pt idx="170">
                  <c:v>30103</c:v>
                </c:pt>
                <c:pt idx="171">
                  <c:v>30133</c:v>
                </c:pt>
                <c:pt idx="172">
                  <c:v>30164</c:v>
                </c:pt>
                <c:pt idx="173">
                  <c:v>30195</c:v>
                </c:pt>
                <c:pt idx="174">
                  <c:v>30225</c:v>
                </c:pt>
                <c:pt idx="175">
                  <c:v>30256</c:v>
                </c:pt>
                <c:pt idx="176">
                  <c:v>30286</c:v>
                </c:pt>
                <c:pt idx="177">
                  <c:v>30317</c:v>
                </c:pt>
                <c:pt idx="178">
                  <c:v>30348</c:v>
                </c:pt>
                <c:pt idx="179">
                  <c:v>30376</c:v>
                </c:pt>
                <c:pt idx="180">
                  <c:v>30407</c:v>
                </c:pt>
                <c:pt idx="181">
                  <c:v>30437</c:v>
                </c:pt>
                <c:pt idx="182">
                  <c:v>30468</c:v>
                </c:pt>
                <c:pt idx="183">
                  <c:v>30498</c:v>
                </c:pt>
                <c:pt idx="184">
                  <c:v>30529</c:v>
                </c:pt>
                <c:pt idx="185">
                  <c:v>30560</c:v>
                </c:pt>
                <c:pt idx="186">
                  <c:v>30590</c:v>
                </c:pt>
                <c:pt idx="187">
                  <c:v>30621</c:v>
                </c:pt>
                <c:pt idx="188">
                  <c:v>30651</c:v>
                </c:pt>
                <c:pt idx="189">
                  <c:v>30682</c:v>
                </c:pt>
                <c:pt idx="190">
                  <c:v>30713</c:v>
                </c:pt>
                <c:pt idx="191">
                  <c:v>30742</c:v>
                </c:pt>
                <c:pt idx="192">
                  <c:v>30773</c:v>
                </c:pt>
                <c:pt idx="193">
                  <c:v>30803</c:v>
                </c:pt>
                <c:pt idx="194">
                  <c:v>30834</c:v>
                </c:pt>
                <c:pt idx="195">
                  <c:v>30864</c:v>
                </c:pt>
                <c:pt idx="196">
                  <c:v>30895</c:v>
                </c:pt>
                <c:pt idx="197">
                  <c:v>30926</c:v>
                </c:pt>
                <c:pt idx="198">
                  <c:v>30956</c:v>
                </c:pt>
                <c:pt idx="199">
                  <c:v>30987</c:v>
                </c:pt>
                <c:pt idx="200">
                  <c:v>31017</c:v>
                </c:pt>
                <c:pt idx="201">
                  <c:v>31048</c:v>
                </c:pt>
                <c:pt idx="202">
                  <c:v>31079</c:v>
                </c:pt>
                <c:pt idx="203">
                  <c:v>31107</c:v>
                </c:pt>
                <c:pt idx="204">
                  <c:v>31138</c:v>
                </c:pt>
                <c:pt idx="205">
                  <c:v>31168</c:v>
                </c:pt>
                <c:pt idx="206">
                  <c:v>31199</c:v>
                </c:pt>
                <c:pt idx="207">
                  <c:v>31229</c:v>
                </c:pt>
                <c:pt idx="208">
                  <c:v>31260</c:v>
                </c:pt>
                <c:pt idx="209">
                  <c:v>31291</c:v>
                </c:pt>
                <c:pt idx="210">
                  <c:v>31321</c:v>
                </c:pt>
                <c:pt idx="211">
                  <c:v>31352</c:v>
                </c:pt>
                <c:pt idx="212">
                  <c:v>31382</c:v>
                </c:pt>
                <c:pt idx="213">
                  <c:v>31413</c:v>
                </c:pt>
                <c:pt idx="214">
                  <c:v>31444</c:v>
                </c:pt>
                <c:pt idx="215">
                  <c:v>31472</c:v>
                </c:pt>
                <c:pt idx="216">
                  <c:v>31503</c:v>
                </c:pt>
                <c:pt idx="217">
                  <c:v>31533</c:v>
                </c:pt>
                <c:pt idx="218">
                  <c:v>31564</c:v>
                </c:pt>
                <c:pt idx="219">
                  <c:v>31594</c:v>
                </c:pt>
                <c:pt idx="220">
                  <c:v>31625</c:v>
                </c:pt>
                <c:pt idx="221">
                  <c:v>31656</c:v>
                </c:pt>
                <c:pt idx="222">
                  <c:v>31686</c:v>
                </c:pt>
                <c:pt idx="223">
                  <c:v>31717</c:v>
                </c:pt>
                <c:pt idx="224">
                  <c:v>31747</c:v>
                </c:pt>
                <c:pt idx="225">
                  <c:v>31778</c:v>
                </c:pt>
                <c:pt idx="226">
                  <c:v>31809</c:v>
                </c:pt>
                <c:pt idx="227">
                  <c:v>31837</c:v>
                </c:pt>
                <c:pt idx="228">
                  <c:v>31868</c:v>
                </c:pt>
                <c:pt idx="229">
                  <c:v>31898</c:v>
                </c:pt>
                <c:pt idx="230">
                  <c:v>31929</c:v>
                </c:pt>
                <c:pt idx="231">
                  <c:v>31959</c:v>
                </c:pt>
                <c:pt idx="232">
                  <c:v>31990</c:v>
                </c:pt>
                <c:pt idx="233">
                  <c:v>32021</c:v>
                </c:pt>
                <c:pt idx="234">
                  <c:v>32051</c:v>
                </c:pt>
                <c:pt idx="235">
                  <c:v>32082</c:v>
                </c:pt>
                <c:pt idx="236">
                  <c:v>32112</c:v>
                </c:pt>
                <c:pt idx="237">
                  <c:v>32143</c:v>
                </c:pt>
                <c:pt idx="238">
                  <c:v>32174</c:v>
                </c:pt>
                <c:pt idx="239">
                  <c:v>32203</c:v>
                </c:pt>
                <c:pt idx="240">
                  <c:v>32234</c:v>
                </c:pt>
                <c:pt idx="241">
                  <c:v>32264</c:v>
                </c:pt>
                <c:pt idx="242">
                  <c:v>32295</c:v>
                </c:pt>
                <c:pt idx="243">
                  <c:v>32325</c:v>
                </c:pt>
                <c:pt idx="244">
                  <c:v>32356</c:v>
                </c:pt>
                <c:pt idx="245">
                  <c:v>32387</c:v>
                </c:pt>
                <c:pt idx="246">
                  <c:v>32417</c:v>
                </c:pt>
                <c:pt idx="247">
                  <c:v>32448</c:v>
                </c:pt>
                <c:pt idx="248">
                  <c:v>32478</c:v>
                </c:pt>
                <c:pt idx="249">
                  <c:v>32509</c:v>
                </c:pt>
                <c:pt idx="250">
                  <c:v>32540</c:v>
                </c:pt>
                <c:pt idx="251">
                  <c:v>32568</c:v>
                </c:pt>
                <c:pt idx="252">
                  <c:v>32599</c:v>
                </c:pt>
                <c:pt idx="253">
                  <c:v>32629</c:v>
                </c:pt>
                <c:pt idx="254">
                  <c:v>32660</c:v>
                </c:pt>
                <c:pt idx="255">
                  <c:v>32690</c:v>
                </c:pt>
                <c:pt idx="256">
                  <c:v>32721</c:v>
                </c:pt>
                <c:pt idx="257">
                  <c:v>32752</c:v>
                </c:pt>
                <c:pt idx="258">
                  <c:v>32782</c:v>
                </c:pt>
                <c:pt idx="259">
                  <c:v>32813</c:v>
                </c:pt>
                <c:pt idx="260">
                  <c:v>32843</c:v>
                </c:pt>
                <c:pt idx="261">
                  <c:v>32874</c:v>
                </c:pt>
                <c:pt idx="262">
                  <c:v>32905</c:v>
                </c:pt>
                <c:pt idx="263">
                  <c:v>32933</c:v>
                </c:pt>
                <c:pt idx="264">
                  <c:v>32964</c:v>
                </c:pt>
                <c:pt idx="265">
                  <c:v>32994</c:v>
                </c:pt>
                <c:pt idx="266">
                  <c:v>33025</c:v>
                </c:pt>
                <c:pt idx="267">
                  <c:v>33055</c:v>
                </c:pt>
                <c:pt idx="268">
                  <c:v>33086</c:v>
                </c:pt>
                <c:pt idx="269">
                  <c:v>33117</c:v>
                </c:pt>
                <c:pt idx="270">
                  <c:v>33147</c:v>
                </c:pt>
                <c:pt idx="271">
                  <c:v>33178</c:v>
                </c:pt>
                <c:pt idx="272">
                  <c:v>33208</c:v>
                </c:pt>
                <c:pt idx="273">
                  <c:v>33239</c:v>
                </c:pt>
                <c:pt idx="274">
                  <c:v>33270</c:v>
                </c:pt>
                <c:pt idx="275">
                  <c:v>33298</c:v>
                </c:pt>
                <c:pt idx="276">
                  <c:v>33329</c:v>
                </c:pt>
                <c:pt idx="277">
                  <c:v>33359</c:v>
                </c:pt>
                <c:pt idx="278">
                  <c:v>33390</c:v>
                </c:pt>
                <c:pt idx="279">
                  <c:v>33420</c:v>
                </c:pt>
                <c:pt idx="280">
                  <c:v>33451</c:v>
                </c:pt>
                <c:pt idx="281">
                  <c:v>33482</c:v>
                </c:pt>
                <c:pt idx="282">
                  <c:v>33512</c:v>
                </c:pt>
                <c:pt idx="283">
                  <c:v>33543</c:v>
                </c:pt>
                <c:pt idx="284">
                  <c:v>33573</c:v>
                </c:pt>
                <c:pt idx="285">
                  <c:v>33604</c:v>
                </c:pt>
                <c:pt idx="286">
                  <c:v>33635</c:v>
                </c:pt>
                <c:pt idx="287">
                  <c:v>33664</c:v>
                </c:pt>
                <c:pt idx="288">
                  <c:v>33695</c:v>
                </c:pt>
                <c:pt idx="289">
                  <c:v>33725</c:v>
                </c:pt>
                <c:pt idx="290">
                  <c:v>33756</c:v>
                </c:pt>
                <c:pt idx="291">
                  <c:v>33786</c:v>
                </c:pt>
                <c:pt idx="292">
                  <c:v>33817</c:v>
                </c:pt>
                <c:pt idx="293">
                  <c:v>33848</c:v>
                </c:pt>
                <c:pt idx="294">
                  <c:v>33878</c:v>
                </c:pt>
                <c:pt idx="295">
                  <c:v>33909</c:v>
                </c:pt>
                <c:pt idx="296">
                  <c:v>33939</c:v>
                </c:pt>
                <c:pt idx="297">
                  <c:v>33970</c:v>
                </c:pt>
                <c:pt idx="298">
                  <c:v>34001</c:v>
                </c:pt>
                <c:pt idx="299">
                  <c:v>34029</c:v>
                </c:pt>
                <c:pt idx="300">
                  <c:v>34060</c:v>
                </c:pt>
                <c:pt idx="301">
                  <c:v>34090</c:v>
                </c:pt>
                <c:pt idx="302">
                  <c:v>34121</c:v>
                </c:pt>
                <c:pt idx="303">
                  <c:v>34151</c:v>
                </c:pt>
                <c:pt idx="304">
                  <c:v>34182</c:v>
                </c:pt>
                <c:pt idx="305">
                  <c:v>34213</c:v>
                </c:pt>
                <c:pt idx="306">
                  <c:v>34243</c:v>
                </c:pt>
                <c:pt idx="307">
                  <c:v>34274</c:v>
                </c:pt>
                <c:pt idx="308">
                  <c:v>34304</c:v>
                </c:pt>
                <c:pt idx="309">
                  <c:v>34335</c:v>
                </c:pt>
                <c:pt idx="310">
                  <c:v>34366</c:v>
                </c:pt>
                <c:pt idx="311">
                  <c:v>34394</c:v>
                </c:pt>
                <c:pt idx="312">
                  <c:v>34425</c:v>
                </c:pt>
                <c:pt idx="313">
                  <c:v>34455</c:v>
                </c:pt>
                <c:pt idx="314">
                  <c:v>34486</c:v>
                </c:pt>
                <c:pt idx="315">
                  <c:v>34516</c:v>
                </c:pt>
                <c:pt idx="316">
                  <c:v>34547</c:v>
                </c:pt>
                <c:pt idx="317">
                  <c:v>34578</c:v>
                </c:pt>
                <c:pt idx="318">
                  <c:v>34608</c:v>
                </c:pt>
                <c:pt idx="319">
                  <c:v>34639</c:v>
                </c:pt>
                <c:pt idx="320">
                  <c:v>34669</c:v>
                </c:pt>
                <c:pt idx="321">
                  <c:v>34700</c:v>
                </c:pt>
                <c:pt idx="322">
                  <c:v>34731</c:v>
                </c:pt>
                <c:pt idx="323">
                  <c:v>34759</c:v>
                </c:pt>
                <c:pt idx="324">
                  <c:v>34790</c:v>
                </c:pt>
                <c:pt idx="325">
                  <c:v>34820</c:v>
                </c:pt>
                <c:pt idx="326">
                  <c:v>34851</c:v>
                </c:pt>
                <c:pt idx="327">
                  <c:v>34881</c:v>
                </c:pt>
                <c:pt idx="328">
                  <c:v>34912</c:v>
                </c:pt>
                <c:pt idx="329">
                  <c:v>34943</c:v>
                </c:pt>
                <c:pt idx="330">
                  <c:v>34973</c:v>
                </c:pt>
                <c:pt idx="331">
                  <c:v>35004</c:v>
                </c:pt>
                <c:pt idx="332">
                  <c:v>35034</c:v>
                </c:pt>
                <c:pt idx="333">
                  <c:v>35065</c:v>
                </c:pt>
                <c:pt idx="334">
                  <c:v>35096</c:v>
                </c:pt>
                <c:pt idx="335">
                  <c:v>35125</c:v>
                </c:pt>
                <c:pt idx="336">
                  <c:v>35156</c:v>
                </c:pt>
                <c:pt idx="337">
                  <c:v>35186</c:v>
                </c:pt>
                <c:pt idx="338">
                  <c:v>35217</c:v>
                </c:pt>
                <c:pt idx="339">
                  <c:v>35247</c:v>
                </c:pt>
                <c:pt idx="340">
                  <c:v>35278</c:v>
                </c:pt>
                <c:pt idx="341">
                  <c:v>35309</c:v>
                </c:pt>
                <c:pt idx="342">
                  <c:v>35339</c:v>
                </c:pt>
                <c:pt idx="343">
                  <c:v>35370</c:v>
                </c:pt>
                <c:pt idx="344">
                  <c:v>35400</c:v>
                </c:pt>
                <c:pt idx="345">
                  <c:v>35431</c:v>
                </c:pt>
                <c:pt idx="346">
                  <c:v>35462</c:v>
                </c:pt>
                <c:pt idx="347">
                  <c:v>35490</c:v>
                </c:pt>
                <c:pt idx="348">
                  <c:v>35521</c:v>
                </c:pt>
                <c:pt idx="349">
                  <c:v>35551</c:v>
                </c:pt>
                <c:pt idx="350">
                  <c:v>35582</c:v>
                </c:pt>
                <c:pt idx="351">
                  <c:v>35612</c:v>
                </c:pt>
                <c:pt idx="352">
                  <c:v>35643</c:v>
                </c:pt>
                <c:pt idx="353">
                  <c:v>35674</c:v>
                </c:pt>
                <c:pt idx="354">
                  <c:v>35704</c:v>
                </c:pt>
                <c:pt idx="355">
                  <c:v>35735</c:v>
                </c:pt>
                <c:pt idx="356">
                  <c:v>35765</c:v>
                </c:pt>
                <c:pt idx="357">
                  <c:v>35796</c:v>
                </c:pt>
                <c:pt idx="358">
                  <c:v>35827</c:v>
                </c:pt>
                <c:pt idx="359">
                  <c:v>35855</c:v>
                </c:pt>
                <c:pt idx="360">
                  <c:v>35886</c:v>
                </c:pt>
                <c:pt idx="361">
                  <c:v>35916</c:v>
                </c:pt>
                <c:pt idx="362">
                  <c:v>35947</c:v>
                </c:pt>
                <c:pt idx="363">
                  <c:v>35977</c:v>
                </c:pt>
                <c:pt idx="364">
                  <c:v>36008</c:v>
                </c:pt>
                <c:pt idx="365">
                  <c:v>36039</c:v>
                </c:pt>
                <c:pt idx="366">
                  <c:v>36069</c:v>
                </c:pt>
                <c:pt idx="367">
                  <c:v>36100</c:v>
                </c:pt>
                <c:pt idx="368">
                  <c:v>36130</c:v>
                </c:pt>
                <c:pt idx="369">
                  <c:v>36161</c:v>
                </c:pt>
                <c:pt idx="370">
                  <c:v>36192</c:v>
                </c:pt>
                <c:pt idx="371">
                  <c:v>36220</c:v>
                </c:pt>
                <c:pt idx="372">
                  <c:v>36251</c:v>
                </c:pt>
                <c:pt idx="373">
                  <c:v>36281</c:v>
                </c:pt>
                <c:pt idx="374">
                  <c:v>36312</c:v>
                </c:pt>
                <c:pt idx="375">
                  <c:v>36342</c:v>
                </c:pt>
                <c:pt idx="376">
                  <c:v>36373</c:v>
                </c:pt>
                <c:pt idx="377">
                  <c:v>36404</c:v>
                </c:pt>
                <c:pt idx="378">
                  <c:v>36434</c:v>
                </c:pt>
                <c:pt idx="379">
                  <c:v>36465</c:v>
                </c:pt>
                <c:pt idx="380">
                  <c:v>36495</c:v>
                </c:pt>
                <c:pt idx="381">
                  <c:v>36526</c:v>
                </c:pt>
                <c:pt idx="382">
                  <c:v>36557</c:v>
                </c:pt>
                <c:pt idx="383">
                  <c:v>36586</c:v>
                </c:pt>
                <c:pt idx="384">
                  <c:v>36617</c:v>
                </c:pt>
                <c:pt idx="385">
                  <c:v>36647</c:v>
                </c:pt>
                <c:pt idx="386">
                  <c:v>36678</c:v>
                </c:pt>
                <c:pt idx="387">
                  <c:v>36708</c:v>
                </c:pt>
                <c:pt idx="388">
                  <c:v>36739</c:v>
                </c:pt>
                <c:pt idx="389">
                  <c:v>36770</c:v>
                </c:pt>
                <c:pt idx="390">
                  <c:v>36800</c:v>
                </c:pt>
                <c:pt idx="391">
                  <c:v>36831</c:v>
                </c:pt>
                <c:pt idx="392">
                  <c:v>36861</c:v>
                </c:pt>
                <c:pt idx="393">
                  <c:v>36892</c:v>
                </c:pt>
                <c:pt idx="394">
                  <c:v>36923</c:v>
                </c:pt>
                <c:pt idx="395">
                  <c:v>36951</c:v>
                </c:pt>
                <c:pt idx="396">
                  <c:v>36982</c:v>
                </c:pt>
                <c:pt idx="397">
                  <c:v>37012</c:v>
                </c:pt>
                <c:pt idx="398">
                  <c:v>37043</c:v>
                </c:pt>
                <c:pt idx="399">
                  <c:v>37073</c:v>
                </c:pt>
                <c:pt idx="400">
                  <c:v>37104</c:v>
                </c:pt>
                <c:pt idx="401">
                  <c:v>37135</c:v>
                </c:pt>
                <c:pt idx="402">
                  <c:v>37165</c:v>
                </c:pt>
                <c:pt idx="403">
                  <c:v>37196</c:v>
                </c:pt>
                <c:pt idx="404">
                  <c:v>37226</c:v>
                </c:pt>
                <c:pt idx="405">
                  <c:v>37257</c:v>
                </c:pt>
                <c:pt idx="406">
                  <c:v>37288</c:v>
                </c:pt>
                <c:pt idx="407">
                  <c:v>37316</c:v>
                </c:pt>
                <c:pt idx="408">
                  <c:v>37347</c:v>
                </c:pt>
                <c:pt idx="409">
                  <c:v>37377</c:v>
                </c:pt>
                <c:pt idx="410">
                  <c:v>37408</c:v>
                </c:pt>
                <c:pt idx="411">
                  <c:v>37438</c:v>
                </c:pt>
                <c:pt idx="412">
                  <c:v>37469</c:v>
                </c:pt>
                <c:pt idx="413">
                  <c:v>37500</c:v>
                </c:pt>
                <c:pt idx="414">
                  <c:v>37530</c:v>
                </c:pt>
                <c:pt idx="415">
                  <c:v>37561</c:v>
                </c:pt>
                <c:pt idx="416">
                  <c:v>37591</c:v>
                </c:pt>
                <c:pt idx="417">
                  <c:v>37622</c:v>
                </c:pt>
                <c:pt idx="418">
                  <c:v>37653</c:v>
                </c:pt>
                <c:pt idx="419">
                  <c:v>37681</c:v>
                </c:pt>
                <c:pt idx="420">
                  <c:v>37712</c:v>
                </c:pt>
                <c:pt idx="421">
                  <c:v>37742</c:v>
                </c:pt>
                <c:pt idx="422">
                  <c:v>37773</c:v>
                </c:pt>
                <c:pt idx="423">
                  <c:v>37803</c:v>
                </c:pt>
                <c:pt idx="424">
                  <c:v>37834</c:v>
                </c:pt>
                <c:pt idx="425">
                  <c:v>37865</c:v>
                </c:pt>
                <c:pt idx="426">
                  <c:v>37895</c:v>
                </c:pt>
                <c:pt idx="427">
                  <c:v>37926</c:v>
                </c:pt>
                <c:pt idx="428">
                  <c:v>37956</c:v>
                </c:pt>
                <c:pt idx="429">
                  <c:v>37987</c:v>
                </c:pt>
                <c:pt idx="430">
                  <c:v>38018</c:v>
                </c:pt>
                <c:pt idx="431">
                  <c:v>38047</c:v>
                </c:pt>
                <c:pt idx="432">
                  <c:v>38078</c:v>
                </c:pt>
                <c:pt idx="433">
                  <c:v>38108</c:v>
                </c:pt>
                <c:pt idx="434">
                  <c:v>38139</c:v>
                </c:pt>
                <c:pt idx="435">
                  <c:v>38169</c:v>
                </c:pt>
                <c:pt idx="436">
                  <c:v>38200</c:v>
                </c:pt>
                <c:pt idx="437">
                  <c:v>38231</c:v>
                </c:pt>
                <c:pt idx="438">
                  <c:v>38261</c:v>
                </c:pt>
                <c:pt idx="439">
                  <c:v>38292</c:v>
                </c:pt>
                <c:pt idx="440">
                  <c:v>38322</c:v>
                </c:pt>
                <c:pt idx="441">
                  <c:v>38353</c:v>
                </c:pt>
                <c:pt idx="442">
                  <c:v>38384</c:v>
                </c:pt>
                <c:pt idx="443">
                  <c:v>38412</c:v>
                </c:pt>
                <c:pt idx="444">
                  <c:v>38443</c:v>
                </c:pt>
                <c:pt idx="445">
                  <c:v>38473</c:v>
                </c:pt>
                <c:pt idx="446">
                  <c:v>38504</c:v>
                </c:pt>
                <c:pt idx="447">
                  <c:v>38534</c:v>
                </c:pt>
                <c:pt idx="448">
                  <c:v>38565</c:v>
                </c:pt>
                <c:pt idx="449">
                  <c:v>38596</c:v>
                </c:pt>
                <c:pt idx="450">
                  <c:v>38626</c:v>
                </c:pt>
                <c:pt idx="451">
                  <c:v>38657</c:v>
                </c:pt>
                <c:pt idx="452">
                  <c:v>38687</c:v>
                </c:pt>
                <c:pt idx="453">
                  <c:v>38718</c:v>
                </c:pt>
                <c:pt idx="454">
                  <c:v>38749</c:v>
                </c:pt>
                <c:pt idx="455">
                  <c:v>38777</c:v>
                </c:pt>
                <c:pt idx="456">
                  <c:v>38808</c:v>
                </c:pt>
                <c:pt idx="457">
                  <c:v>38838</c:v>
                </c:pt>
                <c:pt idx="458">
                  <c:v>38869</c:v>
                </c:pt>
                <c:pt idx="459">
                  <c:v>38899</c:v>
                </c:pt>
                <c:pt idx="460">
                  <c:v>38930</c:v>
                </c:pt>
                <c:pt idx="461">
                  <c:v>38961</c:v>
                </c:pt>
                <c:pt idx="462">
                  <c:v>38991</c:v>
                </c:pt>
                <c:pt idx="463">
                  <c:v>39022</c:v>
                </c:pt>
                <c:pt idx="464">
                  <c:v>39052</c:v>
                </c:pt>
                <c:pt idx="465">
                  <c:v>39083</c:v>
                </c:pt>
                <c:pt idx="466">
                  <c:v>39114</c:v>
                </c:pt>
                <c:pt idx="467">
                  <c:v>39142</c:v>
                </c:pt>
                <c:pt idx="468">
                  <c:v>39173</c:v>
                </c:pt>
                <c:pt idx="469">
                  <c:v>39203</c:v>
                </c:pt>
                <c:pt idx="470">
                  <c:v>39234</c:v>
                </c:pt>
                <c:pt idx="471">
                  <c:v>39264</c:v>
                </c:pt>
                <c:pt idx="472">
                  <c:v>39295</c:v>
                </c:pt>
                <c:pt idx="473">
                  <c:v>39326</c:v>
                </c:pt>
                <c:pt idx="474">
                  <c:v>39356</c:v>
                </c:pt>
                <c:pt idx="475">
                  <c:v>39387</c:v>
                </c:pt>
                <c:pt idx="476">
                  <c:v>39417</c:v>
                </c:pt>
                <c:pt idx="477">
                  <c:v>39448</c:v>
                </c:pt>
                <c:pt idx="478">
                  <c:v>39479</c:v>
                </c:pt>
                <c:pt idx="479">
                  <c:v>39508</c:v>
                </c:pt>
                <c:pt idx="480">
                  <c:v>39539</c:v>
                </c:pt>
                <c:pt idx="481">
                  <c:v>39569</c:v>
                </c:pt>
                <c:pt idx="482">
                  <c:v>39600</c:v>
                </c:pt>
                <c:pt idx="483">
                  <c:v>39630</c:v>
                </c:pt>
                <c:pt idx="484">
                  <c:v>39661</c:v>
                </c:pt>
                <c:pt idx="485">
                  <c:v>39692</c:v>
                </c:pt>
                <c:pt idx="486">
                  <c:v>39722</c:v>
                </c:pt>
                <c:pt idx="487">
                  <c:v>39753</c:v>
                </c:pt>
                <c:pt idx="488">
                  <c:v>39783</c:v>
                </c:pt>
                <c:pt idx="489">
                  <c:v>39814</c:v>
                </c:pt>
                <c:pt idx="490">
                  <c:v>39845</c:v>
                </c:pt>
                <c:pt idx="491">
                  <c:v>39873</c:v>
                </c:pt>
                <c:pt idx="492">
                  <c:v>39904</c:v>
                </c:pt>
                <c:pt idx="493">
                  <c:v>39934</c:v>
                </c:pt>
                <c:pt idx="494">
                  <c:v>39965</c:v>
                </c:pt>
                <c:pt idx="495">
                  <c:v>39995</c:v>
                </c:pt>
                <c:pt idx="496">
                  <c:v>40026</c:v>
                </c:pt>
                <c:pt idx="497">
                  <c:v>40057</c:v>
                </c:pt>
                <c:pt idx="498">
                  <c:v>40087</c:v>
                </c:pt>
                <c:pt idx="499">
                  <c:v>40118</c:v>
                </c:pt>
                <c:pt idx="500">
                  <c:v>40148</c:v>
                </c:pt>
                <c:pt idx="501">
                  <c:v>40179</c:v>
                </c:pt>
                <c:pt idx="502">
                  <c:v>40210</c:v>
                </c:pt>
                <c:pt idx="503">
                  <c:v>40238</c:v>
                </c:pt>
                <c:pt idx="504">
                  <c:v>40269</c:v>
                </c:pt>
                <c:pt idx="505">
                  <c:v>40299</c:v>
                </c:pt>
                <c:pt idx="506">
                  <c:v>40330</c:v>
                </c:pt>
                <c:pt idx="507">
                  <c:v>40360</c:v>
                </c:pt>
                <c:pt idx="508">
                  <c:v>40391</c:v>
                </c:pt>
                <c:pt idx="509">
                  <c:v>40422</c:v>
                </c:pt>
                <c:pt idx="510">
                  <c:v>40452</c:v>
                </c:pt>
                <c:pt idx="511">
                  <c:v>40483</c:v>
                </c:pt>
                <c:pt idx="512">
                  <c:v>40513</c:v>
                </c:pt>
                <c:pt idx="513">
                  <c:v>40544</c:v>
                </c:pt>
                <c:pt idx="514">
                  <c:v>40575</c:v>
                </c:pt>
                <c:pt idx="515">
                  <c:v>40603</c:v>
                </c:pt>
                <c:pt idx="516">
                  <c:v>40634</c:v>
                </c:pt>
                <c:pt idx="517">
                  <c:v>40664</c:v>
                </c:pt>
                <c:pt idx="518">
                  <c:v>40695</c:v>
                </c:pt>
                <c:pt idx="519">
                  <c:v>40725</c:v>
                </c:pt>
                <c:pt idx="520">
                  <c:v>40756</c:v>
                </c:pt>
                <c:pt idx="521">
                  <c:v>40787</c:v>
                </c:pt>
                <c:pt idx="522">
                  <c:v>40817</c:v>
                </c:pt>
                <c:pt idx="523">
                  <c:v>40848</c:v>
                </c:pt>
                <c:pt idx="524">
                  <c:v>40878</c:v>
                </c:pt>
                <c:pt idx="525">
                  <c:v>40909</c:v>
                </c:pt>
                <c:pt idx="526">
                  <c:v>40940</c:v>
                </c:pt>
                <c:pt idx="527">
                  <c:v>40969</c:v>
                </c:pt>
                <c:pt idx="528">
                  <c:v>41000</c:v>
                </c:pt>
                <c:pt idx="529">
                  <c:v>41030</c:v>
                </c:pt>
                <c:pt idx="530">
                  <c:v>41061</c:v>
                </c:pt>
                <c:pt idx="531">
                  <c:v>41091</c:v>
                </c:pt>
                <c:pt idx="532">
                  <c:v>41122</c:v>
                </c:pt>
                <c:pt idx="533">
                  <c:v>41153</c:v>
                </c:pt>
                <c:pt idx="534">
                  <c:v>41183</c:v>
                </c:pt>
                <c:pt idx="535">
                  <c:v>41214</c:v>
                </c:pt>
                <c:pt idx="536">
                  <c:v>41244</c:v>
                </c:pt>
                <c:pt idx="537">
                  <c:v>41275</c:v>
                </c:pt>
                <c:pt idx="538">
                  <c:v>41306</c:v>
                </c:pt>
                <c:pt idx="539">
                  <c:v>41334</c:v>
                </c:pt>
                <c:pt idx="540">
                  <c:v>41365</c:v>
                </c:pt>
                <c:pt idx="541">
                  <c:v>41395</c:v>
                </c:pt>
                <c:pt idx="542">
                  <c:v>41426</c:v>
                </c:pt>
                <c:pt idx="543">
                  <c:v>41456</c:v>
                </c:pt>
                <c:pt idx="544">
                  <c:v>41487</c:v>
                </c:pt>
                <c:pt idx="545">
                  <c:v>41518</c:v>
                </c:pt>
                <c:pt idx="546">
                  <c:v>41548</c:v>
                </c:pt>
                <c:pt idx="547">
                  <c:v>41579</c:v>
                </c:pt>
                <c:pt idx="548">
                  <c:v>41609</c:v>
                </c:pt>
                <c:pt idx="549">
                  <c:v>41640</c:v>
                </c:pt>
                <c:pt idx="550">
                  <c:v>41671</c:v>
                </c:pt>
                <c:pt idx="551">
                  <c:v>41699</c:v>
                </c:pt>
                <c:pt idx="552">
                  <c:v>41730</c:v>
                </c:pt>
                <c:pt idx="553">
                  <c:v>41760</c:v>
                </c:pt>
                <c:pt idx="554">
                  <c:v>41791</c:v>
                </c:pt>
                <c:pt idx="555">
                  <c:v>41821</c:v>
                </c:pt>
                <c:pt idx="556">
                  <c:v>41852</c:v>
                </c:pt>
                <c:pt idx="557">
                  <c:v>41883</c:v>
                </c:pt>
                <c:pt idx="558">
                  <c:v>41913</c:v>
                </c:pt>
                <c:pt idx="559">
                  <c:v>41944</c:v>
                </c:pt>
                <c:pt idx="560">
                  <c:v>41974</c:v>
                </c:pt>
                <c:pt idx="561">
                  <c:v>42005</c:v>
                </c:pt>
                <c:pt idx="562">
                  <c:v>42036</c:v>
                </c:pt>
                <c:pt idx="563">
                  <c:v>42064</c:v>
                </c:pt>
                <c:pt idx="564">
                  <c:v>42095</c:v>
                </c:pt>
                <c:pt idx="565">
                  <c:v>42125</c:v>
                </c:pt>
                <c:pt idx="566">
                  <c:v>42156</c:v>
                </c:pt>
                <c:pt idx="567">
                  <c:v>42186</c:v>
                </c:pt>
                <c:pt idx="568">
                  <c:v>42217</c:v>
                </c:pt>
                <c:pt idx="569">
                  <c:v>42248</c:v>
                </c:pt>
                <c:pt idx="570">
                  <c:v>42278</c:v>
                </c:pt>
                <c:pt idx="571">
                  <c:v>42309</c:v>
                </c:pt>
                <c:pt idx="572">
                  <c:v>42339</c:v>
                </c:pt>
                <c:pt idx="573">
                  <c:v>42370</c:v>
                </c:pt>
                <c:pt idx="574">
                  <c:v>42401</c:v>
                </c:pt>
                <c:pt idx="575">
                  <c:v>42430</c:v>
                </c:pt>
                <c:pt idx="576">
                  <c:v>42461</c:v>
                </c:pt>
                <c:pt idx="577">
                  <c:v>42491</c:v>
                </c:pt>
                <c:pt idx="578">
                  <c:v>42522</c:v>
                </c:pt>
                <c:pt idx="579">
                  <c:v>42552</c:v>
                </c:pt>
                <c:pt idx="580">
                  <c:v>42583</c:v>
                </c:pt>
                <c:pt idx="581">
                  <c:v>42614</c:v>
                </c:pt>
                <c:pt idx="582">
                  <c:v>42644</c:v>
                </c:pt>
                <c:pt idx="583">
                  <c:v>42675</c:v>
                </c:pt>
                <c:pt idx="584">
                  <c:v>42705</c:v>
                </c:pt>
                <c:pt idx="585">
                  <c:v>42736</c:v>
                </c:pt>
                <c:pt idx="586">
                  <c:v>42767</c:v>
                </c:pt>
                <c:pt idx="587">
                  <c:v>42795</c:v>
                </c:pt>
                <c:pt idx="588">
                  <c:v>42826</c:v>
                </c:pt>
                <c:pt idx="589">
                  <c:v>42856</c:v>
                </c:pt>
                <c:pt idx="590">
                  <c:v>42887</c:v>
                </c:pt>
                <c:pt idx="591">
                  <c:v>42917</c:v>
                </c:pt>
                <c:pt idx="592">
                  <c:v>42948</c:v>
                </c:pt>
                <c:pt idx="593">
                  <c:v>42979</c:v>
                </c:pt>
                <c:pt idx="594">
                  <c:v>43009</c:v>
                </c:pt>
                <c:pt idx="595">
                  <c:v>43040</c:v>
                </c:pt>
                <c:pt idx="596">
                  <c:v>43070</c:v>
                </c:pt>
                <c:pt idx="597">
                  <c:v>43101</c:v>
                </c:pt>
                <c:pt idx="598">
                  <c:v>43132</c:v>
                </c:pt>
                <c:pt idx="599">
                  <c:v>43160</c:v>
                </c:pt>
                <c:pt idx="600">
                  <c:v>43191</c:v>
                </c:pt>
                <c:pt idx="601">
                  <c:v>43221</c:v>
                </c:pt>
                <c:pt idx="602">
                  <c:v>43252</c:v>
                </c:pt>
                <c:pt idx="603">
                  <c:v>43282</c:v>
                </c:pt>
                <c:pt idx="604">
                  <c:v>43313</c:v>
                </c:pt>
                <c:pt idx="605">
                  <c:v>43344</c:v>
                </c:pt>
                <c:pt idx="606">
                  <c:v>43374</c:v>
                </c:pt>
                <c:pt idx="607">
                  <c:v>43405</c:v>
                </c:pt>
                <c:pt idx="608">
                  <c:v>43435</c:v>
                </c:pt>
                <c:pt idx="609">
                  <c:v>43466</c:v>
                </c:pt>
                <c:pt idx="610">
                  <c:v>43497</c:v>
                </c:pt>
                <c:pt idx="611">
                  <c:v>43525</c:v>
                </c:pt>
                <c:pt idx="612">
                  <c:v>43556</c:v>
                </c:pt>
                <c:pt idx="613">
                  <c:v>43586</c:v>
                </c:pt>
                <c:pt idx="614">
                  <c:v>43617</c:v>
                </c:pt>
                <c:pt idx="615">
                  <c:v>43647</c:v>
                </c:pt>
                <c:pt idx="616">
                  <c:v>43678</c:v>
                </c:pt>
                <c:pt idx="617">
                  <c:v>43709</c:v>
                </c:pt>
                <c:pt idx="618">
                  <c:v>43739</c:v>
                </c:pt>
                <c:pt idx="619">
                  <c:v>43770</c:v>
                </c:pt>
                <c:pt idx="620">
                  <c:v>43800</c:v>
                </c:pt>
                <c:pt idx="621">
                  <c:v>43831</c:v>
                </c:pt>
                <c:pt idx="622">
                  <c:v>43862</c:v>
                </c:pt>
                <c:pt idx="623">
                  <c:v>43891</c:v>
                </c:pt>
                <c:pt idx="624">
                  <c:v>43922</c:v>
                </c:pt>
                <c:pt idx="625">
                  <c:v>43952</c:v>
                </c:pt>
                <c:pt idx="626">
                  <c:v>43983</c:v>
                </c:pt>
                <c:pt idx="627">
                  <c:v>44013</c:v>
                </c:pt>
                <c:pt idx="628">
                  <c:v>44044</c:v>
                </c:pt>
                <c:pt idx="629">
                  <c:v>44075</c:v>
                </c:pt>
                <c:pt idx="630">
                  <c:v>44105</c:v>
                </c:pt>
                <c:pt idx="631">
                  <c:v>44136</c:v>
                </c:pt>
                <c:pt idx="632">
                  <c:v>44166</c:v>
                </c:pt>
                <c:pt idx="633">
                  <c:v>44197</c:v>
                </c:pt>
                <c:pt idx="634">
                  <c:v>44228</c:v>
                </c:pt>
                <c:pt idx="635">
                  <c:v>44256</c:v>
                </c:pt>
                <c:pt idx="636">
                  <c:v>44287</c:v>
                </c:pt>
                <c:pt idx="637">
                  <c:v>44317</c:v>
                </c:pt>
                <c:pt idx="638">
                  <c:v>44348</c:v>
                </c:pt>
                <c:pt idx="639">
                  <c:v>44378</c:v>
                </c:pt>
                <c:pt idx="640">
                  <c:v>44409</c:v>
                </c:pt>
                <c:pt idx="641">
                  <c:v>44440</c:v>
                </c:pt>
                <c:pt idx="642">
                  <c:v>44470</c:v>
                </c:pt>
                <c:pt idx="643">
                  <c:v>44501</c:v>
                </c:pt>
                <c:pt idx="644">
                  <c:v>44531</c:v>
                </c:pt>
                <c:pt idx="645">
                  <c:v>44562</c:v>
                </c:pt>
                <c:pt idx="646">
                  <c:v>44593</c:v>
                </c:pt>
                <c:pt idx="647">
                  <c:v>44621</c:v>
                </c:pt>
                <c:pt idx="648">
                  <c:v>44652</c:v>
                </c:pt>
                <c:pt idx="649">
                  <c:v>44682</c:v>
                </c:pt>
                <c:pt idx="650">
                  <c:v>44713</c:v>
                </c:pt>
                <c:pt idx="651">
                  <c:v>44743</c:v>
                </c:pt>
              </c:numCache>
            </c:numRef>
          </c:cat>
          <c:val>
            <c:numRef>
              <c:f>★資本稼働率!$H$2:$H$653</c:f>
              <c:numCache>
                <c:formatCode>#,##0.0;[Red]\-#,##0.0</c:formatCode>
                <c:ptCount val="652"/>
                <c:pt idx="0">
                  <c:v>16.241638648390985</c:v>
                </c:pt>
                <c:pt idx="1">
                  <c:v>38.37052466610195</c:v>
                </c:pt>
                <c:pt idx="2">
                  <c:v>53.684974740512239</c:v>
                </c:pt>
                <c:pt idx="3">
                  <c:v>62.836180184781689</c:v>
                </c:pt>
                <c:pt idx="4">
                  <c:v>70.560157538047136</c:v>
                </c:pt>
                <c:pt idx="5">
                  <c:v>78.848405700965372</c:v>
                </c:pt>
                <c:pt idx="6">
                  <c:v>83.199363313468538</c:v>
                </c:pt>
                <c:pt idx="7">
                  <c:v>84.989618778514838</c:v>
                </c:pt>
                <c:pt idx="8">
                  <c:v>86.282684579111901</c:v>
                </c:pt>
                <c:pt idx="9">
                  <c:v>78.700761415689087</c:v>
                </c:pt>
                <c:pt idx="10">
                  <c:v>79.689441039439643</c:v>
                </c:pt>
                <c:pt idx="11">
                  <c:v>86.047352522327799</c:v>
                </c:pt>
                <c:pt idx="12">
                  <c:v>53.579058167705696</c:v>
                </c:pt>
                <c:pt idx="13">
                  <c:v>60.259972965641296</c:v>
                </c:pt>
                <c:pt idx="14">
                  <c:v>67.168342193493856</c:v>
                </c:pt>
                <c:pt idx="15">
                  <c:v>74.1532343453907</c:v>
                </c:pt>
                <c:pt idx="16">
                  <c:v>81.314836714023116</c:v>
                </c:pt>
                <c:pt idx="17">
                  <c:v>85.697868127560142</c:v>
                </c:pt>
                <c:pt idx="18">
                  <c:v>87.390886996505699</c:v>
                </c:pt>
                <c:pt idx="19">
                  <c:v>87.3724271625439</c:v>
                </c:pt>
                <c:pt idx="20">
                  <c:v>88.546293696634365</c:v>
                </c:pt>
                <c:pt idx="21">
                  <c:v>81.007850488446991</c:v>
                </c:pt>
                <c:pt idx="22">
                  <c:v>84.046160252678874</c:v>
                </c:pt>
                <c:pt idx="23">
                  <c:v>93.74147648363595</c:v>
                </c:pt>
                <c:pt idx="24">
                  <c:v>66.176464086144662</c:v>
                </c:pt>
                <c:pt idx="25">
                  <c:v>71.042913073323817</c:v>
                </c:pt>
                <c:pt idx="26">
                  <c:v>77.440324888410174</c:v>
                </c:pt>
                <c:pt idx="27">
                  <c:v>85.250236800459746</c:v>
                </c:pt>
                <c:pt idx="28">
                  <c:v>92.211672662876438</c:v>
                </c:pt>
                <c:pt idx="29">
                  <c:v>95.712653025377591</c:v>
                </c:pt>
                <c:pt idx="30">
                  <c:v>96.96510466853411</c:v>
                </c:pt>
                <c:pt idx="31">
                  <c:v>94.858801950340705</c:v>
                </c:pt>
                <c:pt idx="32">
                  <c:v>94.288271293310757</c:v>
                </c:pt>
                <c:pt idx="33">
                  <c:v>85.051290136492312</c:v>
                </c:pt>
                <c:pt idx="34">
                  <c:v>85.944817385893131</c:v>
                </c:pt>
                <c:pt idx="35">
                  <c:v>92.700446354550436</c:v>
                </c:pt>
                <c:pt idx="36">
                  <c:v>70.068279461646071</c:v>
                </c:pt>
                <c:pt idx="37">
                  <c:v>76.303690238284432</c:v>
                </c:pt>
                <c:pt idx="38">
                  <c:v>84.172655356497344</c:v>
                </c:pt>
                <c:pt idx="39">
                  <c:v>93.780835148289839</c:v>
                </c:pt>
                <c:pt idx="40">
                  <c:v>100.03310735135675</c:v>
                </c:pt>
                <c:pt idx="41">
                  <c:v>104.16236011697481</c:v>
                </c:pt>
                <c:pt idx="42">
                  <c:v>106.5183989393295</c:v>
                </c:pt>
                <c:pt idx="43">
                  <c:v>106.99120992139528</c:v>
                </c:pt>
                <c:pt idx="44">
                  <c:v>108.61066700480826</c:v>
                </c:pt>
                <c:pt idx="45">
                  <c:v>99.525675161747131</c:v>
                </c:pt>
                <c:pt idx="46">
                  <c:v>103.5313005016248</c:v>
                </c:pt>
                <c:pt idx="47">
                  <c:v>115.78762259738443</c:v>
                </c:pt>
                <c:pt idx="48">
                  <c:v>83.991162414045988</c:v>
                </c:pt>
                <c:pt idx="49">
                  <c:v>90.065297694653879</c:v>
                </c:pt>
                <c:pt idx="50">
                  <c:v>97.997944876820711</c:v>
                </c:pt>
                <c:pt idx="51">
                  <c:v>107.44604648622639</c:v>
                </c:pt>
                <c:pt idx="52">
                  <c:v>114.67809902116166</c:v>
                </c:pt>
                <c:pt idx="53">
                  <c:v>119.41309149855579</c:v>
                </c:pt>
                <c:pt idx="54">
                  <c:v>122.9272684833973</c:v>
                </c:pt>
                <c:pt idx="55">
                  <c:v>124.61805174968895</c:v>
                </c:pt>
                <c:pt idx="56">
                  <c:v>128.35204497332793</c:v>
                </c:pt>
                <c:pt idx="57">
                  <c:v>120.08046801372463</c:v>
                </c:pt>
                <c:pt idx="58">
                  <c:v>128.77123552349977</c:v>
                </c:pt>
                <c:pt idx="59">
                  <c:v>148.34241546126555</c:v>
                </c:pt>
                <c:pt idx="60">
                  <c:v>94.419033369391414</c:v>
                </c:pt>
                <c:pt idx="61">
                  <c:v>101.64561773587822</c:v>
                </c:pt>
                <c:pt idx="62">
                  <c:v>110.26622138461089</c:v>
                </c:pt>
                <c:pt idx="63">
                  <c:v>120.39283784568968</c:v>
                </c:pt>
                <c:pt idx="64">
                  <c:v>126.99108882541721</c:v>
                </c:pt>
                <c:pt idx="65">
                  <c:v>133.58369872622561</c:v>
                </c:pt>
                <c:pt idx="66">
                  <c:v>141.12913343418541</c:v>
                </c:pt>
                <c:pt idx="67">
                  <c:v>138.0707371057178</c:v>
                </c:pt>
                <c:pt idx="68">
                  <c:v>142.07476457188949</c:v>
                </c:pt>
                <c:pt idx="69">
                  <c:v>112.87022621849432</c:v>
                </c:pt>
                <c:pt idx="70">
                  <c:v>111.64776818961361</c:v>
                </c:pt>
                <c:pt idx="71">
                  <c:v>122.43801359545922</c:v>
                </c:pt>
                <c:pt idx="72">
                  <c:v>91.381847168265651</c:v>
                </c:pt>
                <c:pt idx="73">
                  <c:v>90.378030138111939</c:v>
                </c:pt>
                <c:pt idx="74">
                  <c:v>94.753624524741085</c:v>
                </c:pt>
                <c:pt idx="75">
                  <c:v>104.3801463896028</c:v>
                </c:pt>
                <c:pt idx="76">
                  <c:v>113.25615960750342</c:v>
                </c:pt>
                <c:pt idx="77">
                  <c:v>122.19715115625827</c:v>
                </c:pt>
                <c:pt idx="78">
                  <c:v>123.85597296796915</c:v>
                </c:pt>
                <c:pt idx="79">
                  <c:v>117.88470535352933</c:v>
                </c:pt>
                <c:pt idx="80">
                  <c:v>115.49884920943796</c:v>
                </c:pt>
                <c:pt idx="81">
                  <c:v>90.904729493016774</c:v>
                </c:pt>
                <c:pt idx="82">
                  <c:v>89.855213416987567</c:v>
                </c:pt>
                <c:pt idx="83">
                  <c:v>101.81180645783088</c:v>
                </c:pt>
                <c:pt idx="84">
                  <c:v>92.623989077830913</c:v>
                </c:pt>
                <c:pt idx="85">
                  <c:v>97.559911154865645</c:v>
                </c:pt>
                <c:pt idx="86">
                  <c:v>102.98620891063402</c:v>
                </c:pt>
                <c:pt idx="87">
                  <c:v>111.93270987617613</c:v>
                </c:pt>
                <c:pt idx="88">
                  <c:v>118.38820767819489</c:v>
                </c:pt>
                <c:pt idx="89">
                  <c:v>119.40295341950444</c:v>
                </c:pt>
                <c:pt idx="90">
                  <c:v>120.6961229791343</c:v>
                </c:pt>
                <c:pt idx="91">
                  <c:v>116.59261718571405</c:v>
                </c:pt>
                <c:pt idx="92">
                  <c:v>129.6947308217471</c:v>
                </c:pt>
                <c:pt idx="93">
                  <c:v>106.50114789823795</c:v>
                </c:pt>
                <c:pt idx="94">
                  <c:v>106.22192106297652</c:v>
                </c:pt>
                <c:pt idx="95">
                  <c:v>118.6446377547379</c:v>
                </c:pt>
                <c:pt idx="96">
                  <c:v>95.110680345364358</c:v>
                </c:pt>
                <c:pt idx="97">
                  <c:v>99.599006998954977</c:v>
                </c:pt>
                <c:pt idx="98">
                  <c:v>106.54784892795546</c:v>
                </c:pt>
                <c:pt idx="99">
                  <c:v>115.87505396469402</c:v>
                </c:pt>
                <c:pt idx="100">
                  <c:v>121.61066375552723</c:v>
                </c:pt>
                <c:pt idx="101">
                  <c:v>120.53586711117303</c:v>
                </c:pt>
                <c:pt idx="102">
                  <c:v>118.44842516058263</c:v>
                </c:pt>
                <c:pt idx="103">
                  <c:v>114.4081749426386</c:v>
                </c:pt>
                <c:pt idx="104">
                  <c:v>124.43945876850808</c:v>
                </c:pt>
                <c:pt idx="105">
                  <c:v>102.98315562428064</c:v>
                </c:pt>
                <c:pt idx="106">
                  <c:v>104.68628411443453</c:v>
                </c:pt>
                <c:pt idx="107">
                  <c:v>118.36751271375094</c:v>
                </c:pt>
                <c:pt idx="108">
                  <c:v>99.481043216068372</c:v>
                </c:pt>
                <c:pt idx="109">
                  <c:v>104.00864943387467</c:v>
                </c:pt>
                <c:pt idx="110">
                  <c:v>110.8094168805883</c:v>
                </c:pt>
                <c:pt idx="111">
                  <c:v>120.20841709319615</c:v>
                </c:pt>
                <c:pt idx="112">
                  <c:v>129.24483120002847</c:v>
                </c:pt>
                <c:pt idx="113">
                  <c:v>132.35226061843022</c:v>
                </c:pt>
                <c:pt idx="114">
                  <c:v>133.80178415381275</c:v>
                </c:pt>
                <c:pt idx="115">
                  <c:v>130.52241980252742</c:v>
                </c:pt>
                <c:pt idx="116">
                  <c:v>140.06995964800842</c:v>
                </c:pt>
                <c:pt idx="117">
                  <c:v>114.36759574585751</c:v>
                </c:pt>
                <c:pt idx="118">
                  <c:v>115.41184701404197</c:v>
                </c:pt>
                <c:pt idx="119">
                  <c:v>135.38392210030699</c:v>
                </c:pt>
                <c:pt idx="120">
                  <c:v>112.49711043683941</c:v>
                </c:pt>
                <c:pt idx="121">
                  <c:v>115.16838822087365</c:v>
                </c:pt>
                <c:pt idx="122">
                  <c:v>124.04089711801787</c:v>
                </c:pt>
                <c:pt idx="123">
                  <c:v>134.56895982662923</c:v>
                </c:pt>
                <c:pt idx="124">
                  <c:v>136.1258817220359</c:v>
                </c:pt>
                <c:pt idx="125">
                  <c:v>132.50012688660732</c:v>
                </c:pt>
                <c:pt idx="126">
                  <c:v>135.79409480631233</c:v>
                </c:pt>
                <c:pt idx="127">
                  <c:v>136.50621802649394</c:v>
                </c:pt>
                <c:pt idx="128">
                  <c:v>147.02858060444416</c:v>
                </c:pt>
                <c:pt idx="129">
                  <c:v>116.37264892896324</c:v>
                </c:pt>
                <c:pt idx="130">
                  <c:v>111.71949468092377</c:v>
                </c:pt>
                <c:pt idx="131">
                  <c:v>123.2301812930217</c:v>
                </c:pt>
                <c:pt idx="132">
                  <c:v>100.24269347061185</c:v>
                </c:pt>
                <c:pt idx="133">
                  <c:v>107.34882472065495</c:v>
                </c:pt>
                <c:pt idx="134">
                  <c:v>117.14877023682746</c:v>
                </c:pt>
                <c:pt idx="135">
                  <c:v>131.78239429293828</c:v>
                </c:pt>
                <c:pt idx="136">
                  <c:v>141.69162196751199</c:v>
                </c:pt>
                <c:pt idx="137">
                  <c:v>145.25034199276922</c:v>
                </c:pt>
                <c:pt idx="138">
                  <c:v>147.90265441101488</c:v>
                </c:pt>
                <c:pt idx="139">
                  <c:v>143.95907270817744</c:v>
                </c:pt>
                <c:pt idx="140">
                  <c:v>149.64975534537584</c:v>
                </c:pt>
                <c:pt idx="141">
                  <c:v>118.41887176669073</c:v>
                </c:pt>
                <c:pt idx="142">
                  <c:v>116.19890348954289</c:v>
                </c:pt>
                <c:pt idx="143">
                  <c:v>127.79459228056534</c:v>
                </c:pt>
                <c:pt idx="144">
                  <c:v>106.6141179281065</c:v>
                </c:pt>
                <c:pt idx="145">
                  <c:v>112.04562193932787</c:v>
                </c:pt>
                <c:pt idx="146">
                  <c:v>119.22116649916774</c:v>
                </c:pt>
                <c:pt idx="147">
                  <c:v>127.65501363786748</c:v>
                </c:pt>
                <c:pt idx="148">
                  <c:v>133.08042784008936</c:v>
                </c:pt>
                <c:pt idx="149">
                  <c:v>136.20968124130388</c:v>
                </c:pt>
                <c:pt idx="150">
                  <c:v>140.93533937959015</c:v>
                </c:pt>
                <c:pt idx="151">
                  <c:v>137.28044461926098</c:v>
                </c:pt>
                <c:pt idx="152">
                  <c:v>133.47000738929171</c:v>
                </c:pt>
                <c:pt idx="153">
                  <c:v>99.417578667627339</c:v>
                </c:pt>
                <c:pt idx="154">
                  <c:v>105.27207206416458</c:v>
                </c:pt>
                <c:pt idx="155">
                  <c:v>114.36701675552665</c:v>
                </c:pt>
                <c:pt idx="156">
                  <c:v>94.805986692433237</c:v>
                </c:pt>
                <c:pt idx="157">
                  <c:v>101.44671403442717</c:v>
                </c:pt>
                <c:pt idx="158">
                  <c:v>114.13598188163104</c:v>
                </c:pt>
                <c:pt idx="159">
                  <c:v>124.9930597331371</c:v>
                </c:pt>
                <c:pt idx="160">
                  <c:v>132.42968099456633</c:v>
                </c:pt>
                <c:pt idx="161">
                  <c:v>138.94321110132782</c:v>
                </c:pt>
                <c:pt idx="162">
                  <c:v>145.32466365154391</c:v>
                </c:pt>
                <c:pt idx="163">
                  <c:v>143.35616442828888</c:v>
                </c:pt>
                <c:pt idx="164">
                  <c:v>143.0673606037567</c:v>
                </c:pt>
                <c:pt idx="165">
                  <c:v>100.227776566244</c:v>
                </c:pt>
                <c:pt idx="166">
                  <c:v>115.76378525626684</c:v>
                </c:pt>
                <c:pt idx="167">
                  <c:v>124.38036319159482</c:v>
                </c:pt>
                <c:pt idx="168">
                  <c:v>103.63006592759226</c:v>
                </c:pt>
                <c:pt idx="169">
                  <c:v>104.03385914583654</c:v>
                </c:pt>
                <c:pt idx="170">
                  <c:v>110.89532071188908</c:v>
                </c:pt>
                <c:pt idx="171">
                  <c:v>121.38850854059856</c:v>
                </c:pt>
                <c:pt idx="172">
                  <c:v>130.00577731767916</c:v>
                </c:pt>
                <c:pt idx="173">
                  <c:v>137.65595973828664</c:v>
                </c:pt>
                <c:pt idx="174">
                  <c:v>144.12531370079029</c:v>
                </c:pt>
                <c:pt idx="175">
                  <c:v>141.07347880022064</c:v>
                </c:pt>
                <c:pt idx="176">
                  <c:v>141.18344566686943</c:v>
                </c:pt>
                <c:pt idx="177">
                  <c:v>98.277211404980946</c:v>
                </c:pt>
                <c:pt idx="178">
                  <c:v>114.18653630155538</c:v>
                </c:pt>
                <c:pt idx="179">
                  <c:v>122.02089796273552</c:v>
                </c:pt>
                <c:pt idx="180">
                  <c:v>105.07848082792617</c:v>
                </c:pt>
                <c:pt idx="181">
                  <c:v>102.92340167286274</c:v>
                </c:pt>
                <c:pt idx="182">
                  <c:v>105.92410179867737</c:v>
                </c:pt>
                <c:pt idx="183">
                  <c:v>113.68616713907822</c:v>
                </c:pt>
                <c:pt idx="184">
                  <c:v>120.68835243465246</c:v>
                </c:pt>
                <c:pt idx="185">
                  <c:v>126.724827199833</c:v>
                </c:pt>
                <c:pt idx="186">
                  <c:v>133.09079333900357</c:v>
                </c:pt>
                <c:pt idx="187">
                  <c:v>132.14668499245269</c:v>
                </c:pt>
                <c:pt idx="188">
                  <c:v>134.45475058120962</c:v>
                </c:pt>
                <c:pt idx="189">
                  <c:v>94.242024041020997</c:v>
                </c:pt>
                <c:pt idx="190">
                  <c:v>109.80718145000804</c:v>
                </c:pt>
                <c:pt idx="191">
                  <c:v>118.23891448953698</c:v>
                </c:pt>
                <c:pt idx="192">
                  <c:v>103.2079059894991</c:v>
                </c:pt>
                <c:pt idx="193">
                  <c:v>104.33922182626483</c:v>
                </c:pt>
                <c:pt idx="194">
                  <c:v>109.2369467897534</c:v>
                </c:pt>
                <c:pt idx="195">
                  <c:v>117.31652069123628</c:v>
                </c:pt>
                <c:pt idx="196">
                  <c:v>123.06990456931423</c:v>
                </c:pt>
                <c:pt idx="197">
                  <c:v>128.28955214758091</c:v>
                </c:pt>
                <c:pt idx="198">
                  <c:v>133.97689915653888</c:v>
                </c:pt>
                <c:pt idx="199">
                  <c:v>132.26991161385973</c:v>
                </c:pt>
                <c:pt idx="200">
                  <c:v>132.4160018057697</c:v>
                </c:pt>
                <c:pt idx="201">
                  <c:v>92.329115241976226</c:v>
                </c:pt>
                <c:pt idx="202">
                  <c:v>106.66299030787721</c:v>
                </c:pt>
                <c:pt idx="203">
                  <c:v>113.3443659783252</c:v>
                </c:pt>
                <c:pt idx="204">
                  <c:v>102.58998384097127</c:v>
                </c:pt>
                <c:pt idx="205">
                  <c:v>103.71159168687794</c:v>
                </c:pt>
                <c:pt idx="206">
                  <c:v>110.51999481830738</c:v>
                </c:pt>
                <c:pt idx="207">
                  <c:v>118.86718125692917</c:v>
                </c:pt>
                <c:pt idx="208">
                  <c:v>126.3033454361192</c:v>
                </c:pt>
                <c:pt idx="209">
                  <c:v>131.47478078026057</c:v>
                </c:pt>
                <c:pt idx="210">
                  <c:v>138.70328377064297</c:v>
                </c:pt>
                <c:pt idx="211">
                  <c:v>137.00739371352449</c:v>
                </c:pt>
                <c:pt idx="212">
                  <c:v>138.7715872765545</c:v>
                </c:pt>
                <c:pt idx="213">
                  <c:v>97.773008657647466</c:v>
                </c:pt>
                <c:pt idx="214">
                  <c:v>116.14033968158904</c:v>
                </c:pt>
                <c:pt idx="215">
                  <c:v>122.2313388427051</c:v>
                </c:pt>
                <c:pt idx="216">
                  <c:v>106.2043957329707</c:v>
                </c:pt>
                <c:pt idx="217">
                  <c:v>106.46178929474847</c:v>
                </c:pt>
                <c:pt idx="218">
                  <c:v>113.42456588008436</c:v>
                </c:pt>
                <c:pt idx="219">
                  <c:v>124.0419173216701</c:v>
                </c:pt>
                <c:pt idx="220">
                  <c:v>133.66873204715591</c:v>
                </c:pt>
                <c:pt idx="221">
                  <c:v>143.36242181630459</c:v>
                </c:pt>
                <c:pt idx="222">
                  <c:v>152.46245150938506</c:v>
                </c:pt>
                <c:pt idx="223">
                  <c:v>151.72056111117246</c:v>
                </c:pt>
                <c:pt idx="224">
                  <c:v>154.91259589521272</c:v>
                </c:pt>
                <c:pt idx="225">
                  <c:v>109.66916130709672</c:v>
                </c:pt>
                <c:pt idx="226">
                  <c:v>127.41137930948916</c:v>
                </c:pt>
                <c:pt idx="227">
                  <c:v>133.14682301218949</c:v>
                </c:pt>
                <c:pt idx="228">
                  <c:v>112.49382137299943</c:v>
                </c:pt>
                <c:pt idx="229">
                  <c:v>113.64765346901282</c:v>
                </c:pt>
                <c:pt idx="230">
                  <c:v>120.62048460232924</c:v>
                </c:pt>
                <c:pt idx="231">
                  <c:v>133.48944114581448</c:v>
                </c:pt>
                <c:pt idx="232">
                  <c:v>145.97157446503698</c:v>
                </c:pt>
                <c:pt idx="233">
                  <c:v>158.52274992900215</c:v>
                </c:pt>
                <c:pt idx="234">
                  <c:v>173.17511556215851</c:v>
                </c:pt>
                <c:pt idx="235">
                  <c:v>175.51905950074482</c:v>
                </c:pt>
                <c:pt idx="236">
                  <c:v>181.35292217150928</c:v>
                </c:pt>
                <c:pt idx="237">
                  <c:v>129.7422170336196</c:v>
                </c:pt>
                <c:pt idx="238">
                  <c:v>152.95368118641045</c:v>
                </c:pt>
                <c:pt idx="239">
                  <c:v>159.69581397823472</c:v>
                </c:pt>
                <c:pt idx="240">
                  <c:v>132.20572585662791</c:v>
                </c:pt>
                <c:pt idx="241">
                  <c:v>127.45053955117096</c:v>
                </c:pt>
                <c:pt idx="242">
                  <c:v>133.60341533595076</c:v>
                </c:pt>
                <c:pt idx="243">
                  <c:v>146.90566876599652</c:v>
                </c:pt>
                <c:pt idx="244">
                  <c:v>158.53092242141358</c:v>
                </c:pt>
                <c:pt idx="245">
                  <c:v>169.48025793002648</c:v>
                </c:pt>
                <c:pt idx="246">
                  <c:v>178.98441315982646</c:v>
                </c:pt>
                <c:pt idx="247">
                  <c:v>179.90255936457902</c:v>
                </c:pt>
                <c:pt idx="248">
                  <c:v>184.81689952408388</c:v>
                </c:pt>
                <c:pt idx="249">
                  <c:v>133.60877227592829</c:v>
                </c:pt>
                <c:pt idx="250">
                  <c:v>157.06756185407588</c:v>
                </c:pt>
                <c:pt idx="251">
                  <c:v>166.77769558943734</c:v>
                </c:pt>
                <c:pt idx="252">
                  <c:v>134.67330534941706</c:v>
                </c:pt>
                <c:pt idx="253">
                  <c:v>134.27050931363144</c:v>
                </c:pt>
                <c:pt idx="254">
                  <c:v>140.67017779828208</c:v>
                </c:pt>
                <c:pt idx="255">
                  <c:v>152.94878013597912</c:v>
                </c:pt>
                <c:pt idx="256">
                  <c:v>164.11048675776803</c:v>
                </c:pt>
                <c:pt idx="257">
                  <c:v>175.12773033616034</c:v>
                </c:pt>
                <c:pt idx="258">
                  <c:v>185.81820419606268</c:v>
                </c:pt>
                <c:pt idx="259">
                  <c:v>187.14077522524505</c:v>
                </c:pt>
                <c:pt idx="260">
                  <c:v>192.50020025694877</c:v>
                </c:pt>
                <c:pt idx="261">
                  <c:v>139.69951863848956</c:v>
                </c:pt>
                <c:pt idx="262">
                  <c:v>164.94299449295829</c:v>
                </c:pt>
                <c:pt idx="263">
                  <c:v>173.35570423803898</c:v>
                </c:pt>
                <c:pt idx="264">
                  <c:v>148.44925173518914</c:v>
                </c:pt>
                <c:pt idx="265">
                  <c:v>151.08481638784983</c:v>
                </c:pt>
                <c:pt idx="266">
                  <c:v>157.00856847673938</c:v>
                </c:pt>
                <c:pt idx="267">
                  <c:v>167.60587705125874</c:v>
                </c:pt>
                <c:pt idx="268">
                  <c:v>179.06853955724827</c:v>
                </c:pt>
                <c:pt idx="269">
                  <c:v>188.55052112944068</c:v>
                </c:pt>
                <c:pt idx="270">
                  <c:v>198.41411809496759</c:v>
                </c:pt>
                <c:pt idx="271">
                  <c:v>199.82351910829436</c:v>
                </c:pt>
                <c:pt idx="272">
                  <c:v>206.63968014089619</c:v>
                </c:pt>
                <c:pt idx="273">
                  <c:v>158.24641784906046</c:v>
                </c:pt>
                <c:pt idx="274">
                  <c:v>162.94461598903288</c:v>
                </c:pt>
                <c:pt idx="275">
                  <c:v>176.52750232294716</c:v>
                </c:pt>
                <c:pt idx="276">
                  <c:v>150.22511781271535</c:v>
                </c:pt>
                <c:pt idx="277">
                  <c:v>152.78634775315203</c:v>
                </c:pt>
                <c:pt idx="278">
                  <c:v>155.71836023552393</c:v>
                </c:pt>
                <c:pt idx="279">
                  <c:v>164.53281887635791</c:v>
                </c:pt>
                <c:pt idx="280">
                  <c:v>175.12408538401917</c:v>
                </c:pt>
                <c:pt idx="281">
                  <c:v>183.23396284847345</c:v>
                </c:pt>
                <c:pt idx="282">
                  <c:v>193.05682263532259</c:v>
                </c:pt>
                <c:pt idx="283">
                  <c:v>196.15745626224253</c:v>
                </c:pt>
                <c:pt idx="284">
                  <c:v>204.60533078941512</c:v>
                </c:pt>
                <c:pt idx="285">
                  <c:v>156.50287665583616</c:v>
                </c:pt>
                <c:pt idx="286">
                  <c:v>163.71150724196053</c:v>
                </c:pt>
                <c:pt idx="287">
                  <c:v>173.10416965079716</c:v>
                </c:pt>
                <c:pt idx="288">
                  <c:v>162.13475345066371</c:v>
                </c:pt>
                <c:pt idx="289">
                  <c:v>156.7882695367378</c:v>
                </c:pt>
                <c:pt idx="290">
                  <c:v>158.49378861654483</c:v>
                </c:pt>
                <c:pt idx="291">
                  <c:v>167.41531416155058</c:v>
                </c:pt>
                <c:pt idx="292">
                  <c:v>176.94882352411759</c:v>
                </c:pt>
                <c:pt idx="293">
                  <c:v>184.21063978906128</c:v>
                </c:pt>
                <c:pt idx="294">
                  <c:v>192.82141934814416</c:v>
                </c:pt>
                <c:pt idx="295">
                  <c:v>193.0676074044637</c:v>
                </c:pt>
                <c:pt idx="296">
                  <c:v>202.2268124266985</c:v>
                </c:pt>
                <c:pt idx="297">
                  <c:v>157.02794816435491</c:v>
                </c:pt>
                <c:pt idx="298">
                  <c:v>159.78243608068459</c:v>
                </c:pt>
                <c:pt idx="299">
                  <c:v>170.11482544220974</c:v>
                </c:pt>
                <c:pt idx="300">
                  <c:v>153.53007377343019</c:v>
                </c:pt>
                <c:pt idx="301">
                  <c:v>144.92006718525943</c:v>
                </c:pt>
                <c:pt idx="302">
                  <c:v>148.00986102246313</c:v>
                </c:pt>
                <c:pt idx="303">
                  <c:v>159.70007437468951</c:v>
                </c:pt>
                <c:pt idx="304">
                  <c:v>170.51410114423226</c:v>
                </c:pt>
                <c:pt idx="305">
                  <c:v>181.52418355965281</c:v>
                </c:pt>
                <c:pt idx="306">
                  <c:v>192.3847076339637</c:v>
                </c:pt>
                <c:pt idx="307">
                  <c:v>193.09786603776456</c:v>
                </c:pt>
                <c:pt idx="308">
                  <c:v>199.95063402094556</c:v>
                </c:pt>
                <c:pt idx="309">
                  <c:v>151.35004524261115</c:v>
                </c:pt>
                <c:pt idx="310">
                  <c:v>153.04964157029829</c:v>
                </c:pt>
                <c:pt idx="311">
                  <c:v>166.41656211307082</c:v>
                </c:pt>
                <c:pt idx="312">
                  <c:v>150.9926754467738</c:v>
                </c:pt>
                <c:pt idx="313">
                  <c:v>146.45185501288981</c:v>
                </c:pt>
                <c:pt idx="314">
                  <c:v>149.10005037479678</c:v>
                </c:pt>
                <c:pt idx="315">
                  <c:v>156.58870108083343</c:v>
                </c:pt>
                <c:pt idx="316">
                  <c:v>163.84762599145063</c:v>
                </c:pt>
                <c:pt idx="317">
                  <c:v>170.61755337027915</c:v>
                </c:pt>
                <c:pt idx="318">
                  <c:v>178.23383765759309</c:v>
                </c:pt>
                <c:pt idx="319">
                  <c:v>182.76318156895931</c:v>
                </c:pt>
                <c:pt idx="320">
                  <c:v>191.51437184261474</c:v>
                </c:pt>
                <c:pt idx="321">
                  <c:v>145.50572561289897</c:v>
                </c:pt>
                <c:pt idx="322">
                  <c:v>144.10666426358478</c:v>
                </c:pt>
                <c:pt idx="323">
                  <c:v>155.43435826061071</c:v>
                </c:pt>
                <c:pt idx="324">
                  <c:v>142.31296037682367</c:v>
                </c:pt>
                <c:pt idx="325">
                  <c:v>135.61130601637063</c:v>
                </c:pt>
                <c:pt idx="326">
                  <c:v>139.92780103736203</c:v>
                </c:pt>
                <c:pt idx="327">
                  <c:v>150.97540835103186</c:v>
                </c:pt>
                <c:pt idx="328">
                  <c:v>160.31263969569505</c:v>
                </c:pt>
                <c:pt idx="329">
                  <c:v>169.53082871150204</c:v>
                </c:pt>
                <c:pt idx="330">
                  <c:v>180.63450193556321</c:v>
                </c:pt>
                <c:pt idx="331">
                  <c:v>182.96624355203386</c:v>
                </c:pt>
                <c:pt idx="332">
                  <c:v>196.01065982810437</c:v>
                </c:pt>
                <c:pt idx="333">
                  <c:v>152.12845436599949</c:v>
                </c:pt>
                <c:pt idx="334">
                  <c:v>157.56919321137514</c:v>
                </c:pt>
                <c:pt idx="335">
                  <c:v>172.81843987535609</c:v>
                </c:pt>
                <c:pt idx="336">
                  <c:v>156.77976689513929</c:v>
                </c:pt>
                <c:pt idx="337">
                  <c:v>152.19278302999049</c:v>
                </c:pt>
                <c:pt idx="338">
                  <c:v>153.90041682205731</c:v>
                </c:pt>
                <c:pt idx="339">
                  <c:v>159.99272771719671</c:v>
                </c:pt>
                <c:pt idx="340">
                  <c:v>170.46237150519465</c:v>
                </c:pt>
                <c:pt idx="341">
                  <c:v>178.94726871215443</c:v>
                </c:pt>
                <c:pt idx="342">
                  <c:v>189.55737052049696</c:v>
                </c:pt>
                <c:pt idx="343">
                  <c:v>191.26059778643531</c:v>
                </c:pt>
                <c:pt idx="344">
                  <c:v>202.10513727654083</c:v>
                </c:pt>
                <c:pt idx="345">
                  <c:v>152.44568615457743</c:v>
                </c:pt>
                <c:pt idx="346">
                  <c:v>152.72009732336275</c:v>
                </c:pt>
                <c:pt idx="347">
                  <c:v>166.36629563421394</c:v>
                </c:pt>
                <c:pt idx="348">
                  <c:v>144.14941028280401</c:v>
                </c:pt>
                <c:pt idx="349">
                  <c:v>139.72938516353307</c:v>
                </c:pt>
                <c:pt idx="350">
                  <c:v>140.82002689373351</c:v>
                </c:pt>
                <c:pt idx="351">
                  <c:v>146.90945403410797</c:v>
                </c:pt>
                <c:pt idx="352">
                  <c:v>153.68061984457486</c:v>
                </c:pt>
                <c:pt idx="353">
                  <c:v>160.66298476034507</c:v>
                </c:pt>
                <c:pt idx="354">
                  <c:v>170.63826263015775</c:v>
                </c:pt>
                <c:pt idx="355">
                  <c:v>170.71017621098792</c:v>
                </c:pt>
                <c:pt idx="356">
                  <c:v>179.7152565688003</c:v>
                </c:pt>
                <c:pt idx="357">
                  <c:v>135.80369778791137</c:v>
                </c:pt>
                <c:pt idx="358">
                  <c:v>136.61190158950333</c:v>
                </c:pt>
                <c:pt idx="359">
                  <c:v>148.95199696649811</c:v>
                </c:pt>
                <c:pt idx="360">
                  <c:v>133.86153735113993</c:v>
                </c:pt>
                <c:pt idx="361">
                  <c:v>127.42657589253814</c:v>
                </c:pt>
                <c:pt idx="362">
                  <c:v>129.81960298581353</c:v>
                </c:pt>
                <c:pt idx="363">
                  <c:v>136.66711439138263</c:v>
                </c:pt>
                <c:pt idx="364">
                  <c:v>144.48775831891604</c:v>
                </c:pt>
                <c:pt idx="365">
                  <c:v>153.23616482539671</c:v>
                </c:pt>
                <c:pt idx="366">
                  <c:v>166.65775459623677</c:v>
                </c:pt>
                <c:pt idx="367">
                  <c:v>172.12902681171158</c:v>
                </c:pt>
                <c:pt idx="368">
                  <c:v>181.17101905410959</c:v>
                </c:pt>
                <c:pt idx="369">
                  <c:v>134.91620388116525</c:v>
                </c:pt>
                <c:pt idx="370">
                  <c:v>137.9156055384359</c:v>
                </c:pt>
                <c:pt idx="371">
                  <c:v>154.25400784353161</c:v>
                </c:pt>
                <c:pt idx="372">
                  <c:v>133.51604635394295</c:v>
                </c:pt>
                <c:pt idx="373">
                  <c:v>129.31535338982462</c:v>
                </c:pt>
                <c:pt idx="374">
                  <c:v>132.31241857378788</c:v>
                </c:pt>
                <c:pt idx="375">
                  <c:v>138.36143296411936</c:v>
                </c:pt>
                <c:pt idx="376">
                  <c:v>143.33298054207242</c:v>
                </c:pt>
                <c:pt idx="377">
                  <c:v>149.24437182636393</c:v>
                </c:pt>
                <c:pt idx="378">
                  <c:v>157.53759027864723</c:v>
                </c:pt>
                <c:pt idx="379">
                  <c:v>158.79899343139979</c:v>
                </c:pt>
                <c:pt idx="380">
                  <c:v>167.78698784557636</c:v>
                </c:pt>
                <c:pt idx="381">
                  <c:v>126.21425123018308</c:v>
                </c:pt>
                <c:pt idx="382">
                  <c:v>130.85654630495972</c:v>
                </c:pt>
                <c:pt idx="383">
                  <c:v>147.50235915098034</c:v>
                </c:pt>
                <c:pt idx="384">
                  <c:v>123.19412488032089</c:v>
                </c:pt>
                <c:pt idx="385">
                  <c:v>119.31518764765934</c:v>
                </c:pt>
                <c:pt idx="386">
                  <c:v>122.30084218943817</c:v>
                </c:pt>
                <c:pt idx="387">
                  <c:v>128.96678554884906</c:v>
                </c:pt>
                <c:pt idx="388">
                  <c:v>134.64172863340721</c:v>
                </c:pt>
                <c:pt idx="389">
                  <c:v>143.02518992549733</c:v>
                </c:pt>
                <c:pt idx="390">
                  <c:v>149.45434935597143</c:v>
                </c:pt>
                <c:pt idx="391">
                  <c:v>152.65073312548068</c:v>
                </c:pt>
                <c:pt idx="392">
                  <c:v>161.17206513571355</c:v>
                </c:pt>
                <c:pt idx="393">
                  <c:v>127.97424092268197</c:v>
                </c:pt>
                <c:pt idx="394">
                  <c:v>135.28001899517923</c:v>
                </c:pt>
                <c:pt idx="395">
                  <c:v>154.87766281186143</c:v>
                </c:pt>
                <c:pt idx="396">
                  <c:v>124.43108618756065</c:v>
                </c:pt>
                <c:pt idx="397">
                  <c:v>108.09910865671637</c:v>
                </c:pt>
                <c:pt idx="398">
                  <c:v>113.11753135951174</c:v>
                </c:pt>
                <c:pt idx="399">
                  <c:v>119.86296191085432</c:v>
                </c:pt>
                <c:pt idx="400">
                  <c:v>126.8856487039604</c:v>
                </c:pt>
                <c:pt idx="401">
                  <c:v>136.63013654813022</c:v>
                </c:pt>
                <c:pt idx="402">
                  <c:v>142.46218645689163</c:v>
                </c:pt>
                <c:pt idx="403">
                  <c:v>144.90070070619666</c:v>
                </c:pt>
                <c:pt idx="404">
                  <c:v>153.07113763260699</c:v>
                </c:pt>
                <c:pt idx="405">
                  <c:v>120.67003524376774</c:v>
                </c:pt>
                <c:pt idx="406">
                  <c:v>126.90406433964827</c:v>
                </c:pt>
                <c:pt idx="407">
                  <c:v>140.07881943597263</c:v>
                </c:pt>
                <c:pt idx="408">
                  <c:v>115.1656229349544</c:v>
                </c:pt>
                <c:pt idx="409">
                  <c:v>101.77482421221652</c:v>
                </c:pt>
                <c:pt idx="410">
                  <c:v>106.91105648532984</c:v>
                </c:pt>
                <c:pt idx="411">
                  <c:v>113.53793621908676</c:v>
                </c:pt>
                <c:pt idx="412">
                  <c:v>119.95259269700492</c:v>
                </c:pt>
                <c:pt idx="413">
                  <c:v>128.02223513723848</c:v>
                </c:pt>
                <c:pt idx="414">
                  <c:v>133.78570832421249</c:v>
                </c:pt>
                <c:pt idx="415">
                  <c:v>136.69956966385837</c:v>
                </c:pt>
                <c:pt idx="416">
                  <c:v>142.22152103664513</c:v>
                </c:pt>
                <c:pt idx="417">
                  <c:v>112.49419667542577</c:v>
                </c:pt>
                <c:pt idx="418">
                  <c:v>117.77739071467821</c:v>
                </c:pt>
                <c:pt idx="419">
                  <c:v>129.80670739870831</c:v>
                </c:pt>
                <c:pt idx="420">
                  <c:v>108.50900045557266</c:v>
                </c:pt>
                <c:pt idx="421">
                  <c:v>96.078880416293018</c:v>
                </c:pt>
                <c:pt idx="422">
                  <c:v>102.53964372081951</c:v>
                </c:pt>
                <c:pt idx="423">
                  <c:v>108.46125845150938</c:v>
                </c:pt>
                <c:pt idx="424">
                  <c:v>113.75298514722374</c:v>
                </c:pt>
                <c:pt idx="425">
                  <c:v>119.95929740835507</c:v>
                </c:pt>
                <c:pt idx="426">
                  <c:v>127.32752945781705</c:v>
                </c:pt>
                <c:pt idx="427">
                  <c:v>127.06383643226884</c:v>
                </c:pt>
                <c:pt idx="428">
                  <c:v>130.42277801006995</c:v>
                </c:pt>
                <c:pt idx="429">
                  <c:v>103.50115582128623</c:v>
                </c:pt>
                <c:pt idx="430">
                  <c:v>109.75357914845382</c:v>
                </c:pt>
                <c:pt idx="431">
                  <c:v>120.22459666074808</c:v>
                </c:pt>
                <c:pt idx="432">
                  <c:v>104.23833982220468</c:v>
                </c:pt>
                <c:pt idx="433">
                  <c:v>91.48963250192574</c:v>
                </c:pt>
                <c:pt idx="434">
                  <c:v>96.949344581068573</c:v>
                </c:pt>
                <c:pt idx="435">
                  <c:v>103.43798133379882</c:v>
                </c:pt>
                <c:pt idx="436">
                  <c:v>109.49636698876913</c:v>
                </c:pt>
                <c:pt idx="437">
                  <c:v>116.87409555218058</c:v>
                </c:pt>
                <c:pt idx="438">
                  <c:v>123.74793842904693</c:v>
                </c:pt>
                <c:pt idx="439">
                  <c:v>125.27431738190249</c:v>
                </c:pt>
                <c:pt idx="440">
                  <c:v>129.13848775727692</c:v>
                </c:pt>
                <c:pt idx="441">
                  <c:v>100.69599103752893</c:v>
                </c:pt>
                <c:pt idx="442">
                  <c:v>107.30823139886481</c:v>
                </c:pt>
                <c:pt idx="443">
                  <c:v>121.16803969430615</c:v>
                </c:pt>
                <c:pt idx="444">
                  <c:v>96.455911407662882</c:v>
                </c:pt>
                <c:pt idx="445">
                  <c:v>87.395565864177186</c:v>
                </c:pt>
                <c:pt idx="446">
                  <c:v>93.47918336992575</c:v>
                </c:pt>
                <c:pt idx="447">
                  <c:v>99.887618354127767</c:v>
                </c:pt>
                <c:pt idx="448">
                  <c:v>105.45750369388817</c:v>
                </c:pt>
                <c:pt idx="449">
                  <c:v>112.72259753089745</c:v>
                </c:pt>
                <c:pt idx="450">
                  <c:v>118.66495364245928</c:v>
                </c:pt>
                <c:pt idx="451">
                  <c:v>121.24086294021355</c:v>
                </c:pt>
                <c:pt idx="452">
                  <c:v>125.131232835153</c:v>
                </c:pt>
                <c:pt idx="453">
                  <c:v>98.844915494107923</c:v>
                </c:pt>
                <c:pt idx="454">
                  <c:v>105.59500928132006</c:v>
                </c:pt>
                <c:pt idx="455">
                  <c:v>117.55421565880407</c:v>
                </c:pt>
                <c:pt idx="456">
                  <c:v>97.764535652390578</c:v>
                </c:pt>
                <c:pt idx="457">
                  <c:v>88.148308765246881</c:v>
                </c:pt>
                <c:pt idx="458">
                  <c:v>92.036388140457603</c:v>
                </c:pt>
                <c:pt idx="459">
                  <c:v>96.676152609104378</c:v>
                </c:pt>
                <c:pt idx="460">
                  <c:v>101.99965216683266</c:v>
                </c:pt>
                <c:pt idx="461">
                  <c:v>108.61079484329082</c:v>
                </c:pt>
                <c:pt idx="462">
                  <c:v>114.90667505177387</c:v>
                </c:pt>
                <c:pt idx="463">
                  <c:v>116.97193404554585</c:v>
                </c:pt>
                <c:pt idx="464">
                  <c:v>121.67411220203641</c:v>
                </c:pt>
                <c:pt idx="465">
                  <c:v>96.386702625374028</c:v>
                </c:pt>
                <c:pt idx="466">
                  <c:v>102.89291554232223</c:v>
                </c:pt>
                <c:pt idx="467">
                  <c:v>113.12391015688539</c:v>
                </c:pt>
                <c:pt idx="468">
                  <c:v>92.730327726941766</c:v>
                </c:pt>
                <c:pt idx="469">
                  <c:v>83.474477426752102</c:v>
                </c:pt>
                <c:pt idx="470">
                  <c:v>87.728691731640168</c:v>
                </c:pt>
                <c:pt idx="471">
                  <c:v>91.855249919912538</c:v>
                </c:pt>
                <c:pt idx="472">
                  <c:v>93.1210012214095</c:v>
                </c:pt>
                <c:pt idx="473">
                  <c:v>96.044650361225109</c:v>
                </c:pt>
                <c:pt idx="474">
                  <c:v>100.28202665889752</c:v>
                </c:pt>
                <c:pt idx="475">
                  <c:v>102.96421016360939</c:v>
                </c:pt>
                <c:pt idx="476">
                  <c:v>106.75194594827447</c:v>
                </c:pt>
                <c:pt idx="477">
                  <c:v>85.149530542947204</c:v>
                </c:pt>
                <c:pt idx="478">
                  <c:v>91.858513275281382</c:v>
                </c:pt>
                <c:pt idx="479">
                  <c:v>102.31387329541863</c:v>
                </c:pt>
                <c:pt idx="480">
                  <c:v>86.147156801372191</c:v>
                </c:pt>
                <c:pt idx="481">
                  <c:v>76.750579075271915</c:v>
                </c:pt>
                <c:pt idx="482">
                  <c:v>80.439257065864751</c:v>
                </c:pt>
                <c:pt idx="483">
                  <c:v>84.734005900261948</c:v>
                </c:pt>
                <c:pt idx="484">
                  <c:v>90.920725497156269</c:v>
                </c:pt>
                <c:pt idx="485">
                  <c:v>97.445781674228357</c:v>
                </c:pt>
                <c:pt idx="486">
                  <c:v>103.38719654292663</c:v>
                </c:pt>
                <c:pt idx="487">
                  <c:v>104.66254669018076</c:v>
                </c:pt>
                <c:pt idx="488">
                  <c:v>108.61327829824089</c:v>
                </c:pt>
                <c:pt idx="489">
                  <c:v>85.098311148596437</c:v>
                </c:pt>
                <c:pt idx="490">
                  <c:v>90.695257946024412</c:v>
                </c:pt>
                <c:pt idx="491">
                  <c:v>99.617501717823899</c:v>
                </c:pt>
                <c:pt idx="492">
                  <c:v>85.736097455868759</c:v>
                </c:pt>
                <c:pt idx="493">
                  <c:v>75.360987688426434</c:v>
                </c:pt>
                <c:pt idx="494">
                  <c:v>76.532719673734647</c:v>
                </c:pt>
                <c:pt idx="495">
                  <c:v>78.176076576170416</c:v>
                </c:pt>
                <c:pt idx="496">
                  <c:v>81.00765010568783</c:v>
                </c:pt>
                <c:pt idx="497">
                  <c:v>84.510830285382113</c:v>
                </c:pt>
                <c:pt idx="498">
                  <c:v>88.452780100329093</c:v>
                </c:pt>
                <c:pt idx="499">
                  <c:v>91.748591238627426</c:v>
                </c:pt>
                <c:pt idx="500">
                  <c:v>95.175800704090705</c:v>
                </c:pt>
                <c:pt idx="501">
                  <c:v>89.11152736190266</c:v>
                </c:pt>
                <c:pt idx="502">
                  <c:v>90.417530516510567</c:v>
                </c:pt>
                <c:pt idx="503">
                  <c:v>91.138910296689332</c:v>
                </c:pt>
                <c:pt idx="504">
                  <c:v>71.365336528856673</c:v>
                </c:pt>
                <c:pt idx="505">
                  <c:v>70.058323586842548</c:v>
                </c:pt>
                <c:pt idx="506">
                  <c:v>71.435854783507168</c:v>
                </c:pt>
                <c:pt idx="507">
                  <c:v>74.88873075228652</c:v>
                </c:pt>
                <c:pt idx="508">
                  <c:v>80.485510907424214</c:v>
                </c:pt>
                <c:pt idx="509">
                  <c:v>82.897169921790749</c:v>
                </c:pt>
                <c:pt idx="510">
                  <c:v>88.492644183323804</c:v>
                </c:pt>
                <c:pt idx="511">
                  <c:v>91.545846750497759</c:v>
                </c:pt>
                <c:pt idx="512">
                  <c:v>96.256321580072864</c:v>
                </c:pt>
                <c:pt idx="513">
                  <c:v>91.308803741727189</c:v>
                </c:pt>
                <c:pt idx="514">
                  <c:v>92.604320156114767</c:v>
                </c:pt>
                <c:pt idx="515">
                  <c:v>89.792754544856251</c:v>
                </c:pt>
                <c:pt idx="516">
                  <c:v>70.85498020064621</c:v>
                </c:pt>
                <c:pt idx="517">
                  <c:v>67.707217256415447</c:v>
                </c:pt>
                <c:pt idx="518">
                  <c:v>70.530450224865376</c:v>
                </c:pt>
                <c:pt idx="519">
                  <c:v>73.506000917722446</c:v>
                </c:pt>
                <c:pt idx="520">
                  <c:v>80.142470133142112</c:v>
                </c:pt>
                <c:pt idx="521">
                  <c:v>85.697405874325867</c:v>
                </c:pt>
                <c:pt idx="522">
                  <c:v>88.972248439592278</c:v>
                </c:pt>
                <c:pt idx="523">
                  <c:v>90.35677868758026</c:v>
                </c:pt>
                <c:pt idx="524">
                  <c:v>91.715079126307003</c:v>
                </c:pt>
                <c:pt idx="525">
                  <c:v>90.961309874707325</c:v>
                </c:pt>
                <c:pt idx="526">
                  <c:v>92.3011737882928</c:v>
                </c:pt>
                <c:pt idx="527">
                  <c:v>89.167786714796975</c:v>
                </c:pt>
                <c:pt idx="528">
                  <c:v>70.056096301016694</c:v>
                </c:pt>
                <c:pt idx="529">
                  <c:v>68.137688348766616</c:v>
                </c:pt>
                <c:pt idx="530">
                  <c:v>71.999442241253789</c:v>
                </c:pt>
                <c:pt idx="531">
                  <c:v>75.132739794538693</c:v>
                </c:pt>
                <c:pt idx="532">
                  <c:v>80.345720083667814</c:v>
                </c:pt>
                <c:pt idx="533">
                  <c:v>86.411654225093429</c:v>
                </c:pt>
                <c:pt idx="534">
                  <c:v>90.151015501607674</c:v>
                </c:pt>
                <c:pt idx="535">
                  <c:v>92.748215453534755</c:v>
                </c:pt>
                <c:pt idx="536">
                  <c:v>94.34303659401219</c:v>
                </c:pt>
                <c:pt idx="537">
                  <c:v>93.782252361520008</c:v>
                </c:pt>
                <c:pt idx="538">
                  <c:v>92.828971809351543</c:v>
                </c:pt>
                <c:pt idx="539">
                  <c:v>90.63815343158079</c:v>
                </c:pt>
                <c:pt idx="540">
                  <c:v>73.484145525048561</c:v>
                </c:pt>
                <c:pt idx="541">
                  <c:v>72.662200644954837</c:v>
                </c:pt>
                <c:pt idx="542">
                  <c:v>79.009113337820025</c:v>
                </c:pt>
                <c:pt idx="543">
                  <c:v>84.276576464773555</c:v>
                </c:pt>
                <c:pt idx="544">
                  <c:v>89.579248166740825</c:v>
                </c:pt>
                <c:pt idx="545">
                  <c:v>96.456019745268335</c:v>
                </c:pt>
                <c:pt idx="546">
                  <c:v>102.41201716083333</c:v>
                </c:pt>
                <c:pt idx="547">
                  <c:v>105.80421140412494</c:v>
                </c:pt>
                <c:pt idx="548">
                  <c:v>107.79587523140685</c:v>
                </c:pt>
                <c:pt idx="549">
                  <c:v>105.71702837896288</c:v>
                </c:pt>
                <c:pt idx="550">
                  <c:v>102.14150739739823</c:v>
                </c:pt>
                <c:pt idx="551">
                  <c:v>97.172574834210323</c:v>
                </c:pt>
                <c:pt idx="552">
                  <c:v>74.31617332667426</c:v>
                </c:pt>
                <c:pt idx="553">
                  <c:v>72.203958967538767</c:v>
                </c:pt>
                <c:pt idx="554">
                  <c:v>77.080778760910277</c:v>
                </c:pt>
                <c:pt idx="555">
                  <c:v>81.071175074801189</c:v>
                </c:pt>
                <c:pt idx="556">
                  <c:v>86.234547684530341</c:v>
                </c:pt>
                <c:pt idx="557">
                  <c:v>91.983970853796208</c:v>
                </c:pt>
                <c:pt idx="558">
                  <c:v>96.602861781617605</c:v>
                </c:pt>
                <c:pt idx="559">
                  <c:v>99.014945587151047</c:v>
                </c:pt>
                <c:pt idx="560">
                  <c:v>99.639883165611991</c:v>
                </c:pt>
                <c:pt idx="561">
                  <c:v>97.815992558897307</c:v>
                </c:pt>
                <c:pt idx="562">
                  <c:v>94.368210853200537</c:v>
                </c:pt>
                <c:pt idx="563">
                  <c:v>91.334017210457631</c:v>
                </c:pt>
                <c:pt idx="564">
                  <c:v>88.267284471596867</c:v>
                </c:pt>
                <c:pt idx="565">
                  <c:v>85.783612124045433</c:v>
                </c:pt>
                <c:pt idx="566">
                  <c:v>90.672981789598623</c:v>
                </c:pt>
                <c:pt idx="567">
                  <c:v>95.2619484140005</c:v>
                </c:pt>
                <c:pt idx="568">
                  <c:v>101.52383459603726</c:v>
                </c:pt>
                <c:pt idx="569">
                  <c:v>106.88107342513931</c:v>
                </c:pt>
                <c:pt idx="570">
                  <c:v>113.58430914602408</c:v>
                </c:pt>
                <c:pt idx="571">
                  <c:v>116.30497294987362</c:v>
                </c:pt>
                <c:pt idx="572">
                  <c:v>118.20176246112869</c:v>
                </c:pt>
                <c:pt idx="573">
                  <c:v>117.29509310313044</c:v>
                </c:pt>
                <c:pt idx="574">
                  <c:v>115.67171672200772</c:v>
                </c:pt>
                <c:pt idx="575">
                  <c:v>113.76082728564177</c:v>
                </c:pt>
                <c:pt idx="576">
                  <c:v>92.226353106696706</c:v>
                </c:pt>
                <c:pt idx="577">
                  <c:v>88.496297099164082</c:v>
                </c:pt>
                <c:pt idx="578">
                  <c:v>93.937495851304931</c:v>
                </c:pt>
                <c:pt idx="579">
                  <c:v>98.969044797958347</c:v>
                </c:pt>
                <c:pt idx="580">
                  <c:v>105.06016080699318</c:v>
                </c:pt>
                <c:pt idx="581">
                  <c:v>112.93196098538914</c:v>
                </c:pt>
                <c:pt idx="582">
                  <c:v>117.83627857554163</c:v>
                </c:pt>
                <c:pt idx="583">
                  <c:v>119.5029760636873</c:v>
                </c:pt>
                <c:pt idx="584">
                  <c:v>121.11376417611828</c:v>
                </c:pt>
                <c:pt idx="585">
                  <c:v>119.89579456770858</c:v>
                </c:pt>
                <c:pt idx="586">
                  <c:v>118.35169114966844</c:v>
                </c:pt>
                <c:pt idx="587">
                  <c:v>117.93949455136432</c:v>
                </c:pt>
                <c:pt idx="588">
                  <c:v>96.681120263002057</c:v>
                </c:pt>
                <c:pt idx="589">
                  <c:v>94.30283319412186</c:v>
                </c:pt>
                <c:pt idx="590">
                  <c:v>98.85222663932646</c:v>
                </c:pt>
                <c:pt idx="591">
                  <c:v>102.87779828890548</c:v>
                </c:pt>
                <c:pt idx="592">
                  <c:v>108.31447496777568</c:v>
                </c:pt>
                <c:pt idx="593">
                  <c:v>113.71079639515884</c:v>
                </c:pt>
                <c:pt idx="594">
                  <c:v>119.05463910966525</c:v>
                </c:pt>
                <c:pt idx="595">
                  <c:v>121.06719148803489</c:v>
                </c:pt>
                <c:pt idx="596">
                  <c:v>123.83669540658408</c:v>
                </c:pt>
                <c:pt idx="597">
                  <c:v>121.51708397808876</c:v>
                </c:pt>
                <c:pt idx="598">
                  <c:v>119.25229225598579</c:v>
                </c:pt>
                <c:pt idx="599">
                  <c:v>117.98704851860514</c:v>
                </c:pt>
                <c:pt idx="600">
                  <c:v>94.972608594389357</c:v>
                </c:pt>
                <c:pt idx="601">
                  <c:v>91.395651518166602</c:v>
                </c:pt>
                <c:pt idx="602">
                  <c:v>96.756894807374309</c:v>
                </c:pt>
                <c:pt idx="603">
                  <c:v>100.85194983592689</c:v>
                </c:pt>
                <c:pt idx="604">
                  <c:v>105.30856684723875</c:v>
                </c:pt>
                <c:pt idx="605">
                  <c:v>111.81012140207305</c:v>
                </c:pt>
                <c:pt idx="606">
                  <c:v>115.40672741412519</c:v>
                </c:pt>
                <c:pt idx="607">
                  <c:v>117.00000412764531</c:v>
                </c:pt>
                <c:pt idx="608">
                  <c:v>119.03852337325442</c:v>
                </c:pt>
                <c:pt idx="609">
                  <c:v>118.35813006026359</c:v>
                </c:pt>
                <c:pt idx="610">
                  <c:v>117.25344201430772</c:v>
                </c:pt>
                <c:pt idx="611">
                  <c:v>117.39732974663832</c:v>
                </c:pt>
                <c:pt idx="612">
                  <c:v>93.805705205745042</c:v>
                </c:pt>
                <c:pt idx="613">
                  <c:v>91.328721716918849</c:v>
                </c:pt>
                <c:pt idx="614">
                  <c:v>96.829777841642567</c:v>
                </c:pt>
                <c:pt idx="615">
                  <c:v>99.952468432644835</c:v>
                </c:pt>
                <c:pt idx="616">
                  <c:v>105.25496386707725</c:v>
                </c:pt>
                <c:pt idx="617">
                  <c:v>110.60367542931027</c:v>
                </c:pt>
                <c:pt idx="618">
                  <c:v>114.90929175493297</c:v>
                </c:pt>
                <c:pt idx="619">
                  <c:v>116.4956867208424</c:v>
                </c:pt>
                <c:pt idx="620">
                  <c:v>117.61368669051622</c:v>
                </c:pt>
                <c:pt idx="621">
                  <c:v>115.97150621332997</c:v>
                </c:pt>
                <c:pt idx="622">
                  <c:v>112.55279129919758</c:v>
                </c:pt>
                <c:pt idx="623">
                  <c:v>113.7967596234441</c:v>
                </c:pt>
                <c:pt idx="624">
                  <c:v>92.795490210549886</c:v>
                </c:pt>
                <c:pt idx="625">
                  <c:v>88.565131783308928</c:v>
                </c:pt>
                <c:pt idx="626">
                  <c:v>93.107824342213732</c:v>
                </c:pt>
                <c:pt idx="627">
                  <c:v>95.844419385552499</c:v>
                </c:pt>
                <c:pt idx="628">
                  <c:v>99.961284886678442</c:v>
                </c:pt>
                <c:pt idx="629">
                  <c:v>107.05805131550071</c:v>
                </c:pt>
                <c:pt idx="630">
                  <c:v>111.84169851415564</c:v>
                </c:pt>
                <c:pt idx="631">
                  <c:v>113.93577825168835</c:v>
                </c:pt>
                <c:pt idx="632">
                  <c:v>116.26190036576889</c:v>
                </c:pt>
                <c:pt idx="633">
                  <c:v>114.2334160586589</c:v>
                </c:pt>
                <c:pt idx="634">
                  <c:v>111.03202064898632</c:v>
                </c:pt>
                <c:pt idx="635">
                  <c:v>113.04429297066503</c:v>
                </c:pt>
                <c:pt idx="636">
                  <c:v>92.871285610640697</c:v>
                </c:pt>
                <c:pt idx="637">
                  <c:v>89.298294283841798</c:v>
                </c:pt>
                <c:pt idx="638">
                  <c:v>94.013398544206595</c:v>
                </c:pt>
                <c:pt idx="639">
                  <c:v>96.899798371193398</c:v>
                </c:pt>
                <c:pt idx="640">
                  <c:v>101.20777309904101</c:v>
                </c:pt>
                <c:pt idx="641">
                  <c:v>107.892269998788</c:v>
                </c:pt>
                <c:pt idx="642">
                  <c:v>112.532172180733</c:v>
                </c:pt>
                <c:pt idx="643">
                  <c:v>114.58680328272401</c:v>
                </c:pt>
                <c:pt idx="644">
                  <c:v>116.76737416098599</c:v>
                </c:pt>
                <c:pt idx="645">
                  <c:v>115.036686951115</c:v>
                </c:pt>
                <c:pt idx="646">
                  <c:v>112.09870470199201</c:v>
                </c:pt>
                <c:pt idx="647">
                  <c:v>113.96973551128499</c:v>
                </c:pt>
                <c:pt idx="648">
                  <c:v>94.140199292288401</c:v>
                </c:pt>
                <c:pt idx="649">
                  <c:v>90.670569156475594</c:v>
                </c:pt>
                <c:pt idx="650">
                  <c:v>95.404246038259998</c:v>
                </c:pt>
                <c:pt idx="651">
                  <c:v>98.338294618270496</c:v>
                </c:pt>
              </c:numCache>
            </c:numRef>
          </c:val>
          <c:smooth val="0"/>
          <c:extLst>
            <c:ext xmlns:c16="http://schemas.microsoft.com/office/drawing/2014/chart" uri="{C3380CC4-5D6E-409C-BE32-E72D297353CC}">
              <c16:uniqueId val="{00000000-D3B4-49D6-B25B-0EFB1280A228}"/>
            </c:ext>
          </c:extLst>
        </c:ser>
        <c:ser>
          <c:idx val="2"/>
          <c:order val="1"/>
          <c:tx>
            <c:strRef>
              <c:f>★資本稼働率!$N$1</c:f>
              <c:strCache>
                <c:ptCount val="1"/>
                <c:pt idx="0">
                  <c:v>生産指数（季調値）</c:v>
                </c:pt>
              </c:strCache>
            </c:strRef>
          </c:tx>
          <c:spPr>
            <a:ln w="28575" cap="rnd">
              <a:solidFill>
                <a:schemeClr val="tx1">
                  <a:lumMod val="65000"/>
                  <a:lumOff val="35000"/>
                </a:schemeClr>
              </a:solidFill>
              <a:prstDash val="sysDash"/>
              <a:round/>
            </a:ln>
            <a:effectLst/>
          </c:spPr>
          <c:marker>
            <c:symbol val="none"/>
          </c:marker>
          <c:cat>
            <c:numRef>
              <c:f>★資本稼働率!$A$2:$A$653</c:f>
              <c:numCache>
                <c:formatCode>yyyy"年"m"月";@</c:formatCode>
                <c:ptCount val="652"/>
                <c:pt idx="0">
                  <c:v>24929</c:v>
                </c:pt>
                <c:pt idx="1">
                  <c:v>24959</c:v>
                </c:pt>
                <c:pt idx="2">
                  <c:v>24990</c:v>
                </c:pt>
                <c:pt idx="3">
                  <c:v>25020</c:v>
                </c:pt>
                <c:pt idx="4">
                  <c:v>25051</c:v>
                </c:pt>
                <c:pt idx="5">
                  <c:v>25082</c:v>
                </c:pt>
                <c:pt idx="6">
                  <c:v>25112</c:v>
                </c:pt>
                <c:pt idx="7">
                  <c:v>25143</c:v>
                </c:pt>
                <c:pt idx="8">
                  <c:v>25173</c:v>
                </c:pt>
                <c:pt idx="9">
                  <c:v>25204</c:v>
                </c:pt>
                <c:pt idx="10">
                  <c:v>25235</c:v>
                </c:pt>
                <c:pt idx="11">
                  <c:v>25263</c:v>
                </c:pt>
                <c:pt idx="12">
                  <c:v>25294</c:v>
                </c:pt>
                <c:pt idx="13">
                  <c:v>25324</c:v>
                </c:pt>
                <c:pt idx="14">
                  <c:v>25355</c:v>
                </c:pt>
                <c:pt idx="15">
                  <c:v>25385</c:v>
                </c:pt>
                <c:pt idx="16">
                  <c:v>25416</c:v>
                </c:pt>
                <c:pt idx="17">
                  <c:v>25447</c:v>
                </c:pt>
                <c:pt idx="18">
                  <c:v>25477</c:v>
                </c:pt>
                <c:pt idx="19">
                  <c:v>25508</c:v>
                </c:pt>
                <c:pt idx="20">
                  <c:v>25538</c:v>
                </c:pt>
                <c:pt idx="21">
                  <c:v>25569</c:v>
                </c:pt>
                <c:pt idx="22">
                  <c:v>25600</c:v>
                </c:pt>
                <c:pt idx="23">
                  <c:v>25628</c:v>
                </c:pt>
                <c:pt idx="24">
                  <c:v>25659</c:v>
                </c:pt>
                <c:pt idx="25">
                  <c:v>25689</c:v>
                </c:pt>
                <c:pt idx="26">
                  <c:v>25720</c:v>
                </c:pt>
                <c:pt idx="27">
                  <c:v>25750</c:v>
                </c:pt>
                <c:pt idx="28">
                  <c:v>25781</c:v>
                </c:pt>
                <c:pt idx="29">
                  <c:v>25812</c:v>
                </c:pt>
                <c:pt idx="30">
                  <c:v>25842</c:v>
                </c:pt>
                <c:pt idx="31">
                  <c:v>25873</c:v>
                </c:pt>
                <c:pt idx="32">
                  <c:v>25903</c:v>
                </c:pt>
                <c:pt idx="33">
                  <c:v>25934</c:v>
                </c:pt>
                <c:pt idx="34">
                  <c:v>25965</c:v>
                </c:pt>
                <c:pt idx="35">
                  <c:v>25993</c:v>
                </c:pt>
                <c:pt idx="36">
                  <c:v>26024</c:v>
                </c:pt>
                <c:pt idx="37">
                  <c:v>26054</c:v>
                </c:pt>
                <c:pt idx="38">
                  <c:v>26085</c:v>
                </c:pt>
                <c:pt idx="39">
                  <c:v>26115</c:v>
                </c:pt>
                <c:pt idx="40">
                  <c:v>26146</c:v>
                </c:pt>
                <c:pt idx="41">
                  <c:v>26177</c:v>
                </c:pt>
                <c:pt idx="42">
                  <c:v>26207</c:v>
                </c:pt>
                <c:pt idx="43">
                  <c:v>26238</c:v>
                </c:pt>
                <c:pt idx="44">
                  <c:v>26268</c:v>
                </c:pt>
                <c:pt idx="45">
                  <c:v>26299</c:v>
                </c:pt>
                <c:pt idx="46">
                  <c:v>26330</c:v>
                </c:pt>
                <c:pt idx="47">
                  <c:v>26359</c:v>
                </c:pt>
                <c:pt idx="48">
                  <c:v>26390</c:v>
                </c:pt>
                <c:pt idx="49">
                  <c:v>26420</c:v>
                </c:pt>
                <c:pt idx="50">
                  <c:v>26451</c:v>
                </c:pt>
                <c:pt idx="51">
                  <c:v>26481</c:v>
                </c:pt>
                <c:pt idx="52">
                  <c:v>26512</c:v>
                </c:pt>
                <c:pt idx="53">
                  <c:v>26543</c:v>
                </c:pt>
                <c:pt idx="54">
                  <c:v>26573</c:v>
                </c:pt>
                <c:pt idx="55">
                  <c:v>26604</c:v>
                </c:pt>
                <c:pt idx="56">
                  <c:v>26634</c:v>
                </c:pt>
                <c:pt idx="57">
                  <c:v>26665</c:v>
                </c:pt>
                <c:pt idx="58">
                  <c:v>26696</c:v>
                </c:pt>
                <c:pt idx="59">
                  <c:v>26724</c:v>
                </c:pt>
                <c:pt idx="60">
                  <c:v>26755</c:v>
                </c:pt>
                <c:pt idx="61">
                  <c:v>26785</c:v>
                </c:pt>
                <c:pt idx="62">
                  <c:v>26816</c:v>
                </c:pt>
                <c:pt idx="63">
                  <c:v>26846</c:v>
                </c:pt>
                <c:pt idx="64">
                  <c:v>26877</c:v>
                </c:pt>
                <c:pt idx="65">
                  <c:v>26908</c:v>
                </c:pt>
                <c:pt idx="66">
                  <c:v>26938</c:v>
                </c:pt>
                <c:pt idx="67">
                  <c:v>26969</c:v>
                </c:pt>
                <c:pt idx="68">
                  <c:v>26999</c:v>
                </c:pt>
                <c:pt idx="69">
                  <c:v>27030</c:v>
                </c:pt>
                <c:pt idx="70">
                  <c:v>27061</c:v>
                </c:pt>
                <c:pt idx="71">
                  <c:v>27089</c:v>
                </c:pt>
                <c:pt idx="72">
                  <c:v>27120</c:v>
                </c:pt>
                <c:pt idx="73">
                  <c:v>27150</c:v>
                </c:pt>
                <c:pt idx="74">
                  <c:v>27181</c:v>
                </c:pt>
                <c:pt idx="75">
                  <c:v>27211</c:v>
                </c:pt>
                <c:pt idx="76">
                  <c:v>27242</c:v>
                </c:pt>
                <c:pt idx="77">
                  <c:v>27273</c:v>
                </c:pt>
                <c:pt idx="78">
                  <c:v>27303</c:v>
                </c:pt>
                <c:pt idx="79">
                  <c:v>27334</c:v>
                </c:pt>
                <c:pt idx="80">
                  <c:v>27364</c:v>
                </c:pt>
                <c:pt idx="81">
                  <c:v>27395</c:v>
                </c:pt>
                <c:pt idx="82">
                  <c:v>27426</c:v>
                </c:pt>
                <c:pt idx="83">
                  <c:v>27454</c:v>
                </c:pt>
                <c:pt idx="84">
                  <c:v>27485</c:v>
                </c:pt>
                <c:pt idx="85">
                  <c:v>27515</c:v>
                </c:pt>
                <c:pt idx="86">
                  <c:v>27546</c:v>
                </c:pt>
                <c:pt idx="87">
                  <c:v>27576</c:v>
                </c:pt>
                <c:pt idx="88">
                  <c:v>27607</c:v>
                </c:pt>
                <c:pt idx="89">
                  <c:v>27638</c:v>
                </c:pt>
                <c:pt idx="90">
                  <c:v>27668</c:v>
                </c:pt>
                <c:pt idx="91">
                  <c:v>27699</c:v>
                </c:pt>
                <c:pt idx="92">
                  <c:v>27729</c:v>
                </c:pt>
                <c:pt idx="93">
                  <c:v>27760</c:v>
                </c:pt>
                <c:pt idx="94">
                  <c:v>27791</c:v>
                </c:pt>
                <c:pt idx="95">
                  <c:v>27820</c:v>
                </c:pt>
                <c:pt idx="96">
                  <c:v>27851</c:v>
                </c:pt>
                <c:pt idx="97">
                  <c:v>27881</c:v>
                </c:pt>
                <c:pt idx="98">
                  <c:v>27912</c:v>
                </c:pt>
                <c:pt idx="99">
                  <c:v>27942</c:v>
                </c:pt>
                <c:pt idx="100">
                  <c:v>27973</c:v>
                </c:pt>
                <c:pt idx="101">
                  <c:v>28004</c:v>
                </c:pt>
                <c:pt idx="102">
                  <c:v>28034</c:v>
                </c:pt>
                <c:pt idx="103">
                  <c:v>28065</c:v>
                </c:pt>
                <c:pt idx="104">
                  <c:v>28095</c:v>
                </c:pt>
                <c:pt idx="105">
                  <c:v>28126</c:v>
                </c:pt>
                <c:pt idx="106">
                  <c:v>28157</c:v>
                </c:pt>
                <c:pt idx="107">
                  <c:v>28185</c:v>
                </c:pt>
                <c:pt idx="108">
                  <c:v>28216</c:v>
                </c:pt>
                <c:pt idx="109">
                  <c:v>28246</c:v>
                </c:pt>
                <c:pt idx="110">
                  <c:v>28277</c:v>
                </c:pt>
                <c:pt idx="111">
                  <c:v>28307</c:v>
                </c:pt>
                <c:pt idx="112">
                  <c:v>28338</c:v>
                </c:pt>
                <c:pt idx="113">
                  <c:v>28369</c:v>
                </c:pt>
                <c:pt idx="114">
                  <c:v>28399</c:v>
                </c:pt>
                <c:pt idx="115">
                  <c:v>28430</c:v>
                </c:pt>
                <c:pt idx="116">
                  <c:v>28460</c:v>
                </c:pt>
                <c:pt idx="117">
                  <c:v>28491</c:v>
                </c:pt>
                <c:pt idx="118">
                  <c:v>28522</c:v>
                </c:pt>
                <c:pt idx="119">
                  <c:v>28550</c:v>
                </c:pt>
                <c:pt idx="120">
                  <c:v>28581</c:v>
                </c:pt>
                <c:pt idx="121">
                  <c:v>28611</c:v>
                </c:pt>
                <c:pt idx="122">
                  <c:v>28642</c:v>
                </c:pt>
                <c:pt idx="123">
                  <c:v>28672</c:v>
                </c:pt>
                <c:pt idx="124">
                  <c:v>28703</c:v>
                </c:pt>
                <c:pt idx="125">
                  <c:v>28734</c:v>
                </c:pt>
                <c:pt idx="126">
                  <c:v>28764</c:v>
                </c:pt>
                <c:pt idx="127">
                  <c:v>28795</c:v>
                </c:pt>
                <c:pt idx="128">
                  <c:v>28825</c:v>
                </c:pt>
                <c:pt idx="129">
                  <c:v>28856</c:v>
                </c:pt>
                <c:pt idx="130">
                  <c:v>28887</c:v>
                </c:pt>
                <c:pt idx="131">
                  <c:v>28915</c:v>
                </c:pt>
                <c:pt idx="132">
                  <c:v>28946</c:v>
                </c:pt>
                <c:pt idx="133">
                  <c:v>28976</c:v>
                </c:pt>
                <c:pt idx="134">
                  <c:v>29007</c:v>
                </c:pt>
                <c:pt idx="135">
                  <c:v>29037</c:v>
                </c:pt>
                <c:pt idx="136">
                  <c:v>29068</c:v>
                </c:pt>
                <c:pt idx="137">
                  <c:v>29099</c:v>
                </c:pt>
                <c:pt idx="138">
                  <c:v>29129</c:v>
                </c:pt>
                <c:pt idx="139">
                  <c:v>29160</c:v>
                </c:pt>
                <c:pt idx="140">
                  <c:v>29190</c:v>
                </c:pt>
                <c:pt idx="141">
                  <c:v>29221</c:v>
                </c:pt>
                <c:pt idx="142">
                  <c:v>29252</c:v>
                </c:pt>
                <c:pt idx="143">
                  <c:v>29281</c:v>
                </c:pt>
                <c:pt idx="144">
                  <c:v>29312</c:v>
                </c:pt>
                <c:pt idx="145">
                  <c:v>29342</c:v>
                </c:pt>
                <c:pt idx="146">
                  <c:v>29373</c:v>
                </c:pt>
                <c:pt idx="147">
                  <c:v>29403</c:v>
                </c:pt>
                <c:pt idx="148">
                  <c:v>29434</c:v>
                </c:pt>
                <c:pt idx="149">
                  <c:v>29465</c:v>
                </c:pt>
                <c:pt idx="150">
                  <c:v>29495</c:v>
                </c:pt>
                <c:pt idx="151">
                  <c:v>29526</c:v>
                </c:pt>
                <c:pt idx="152">
                  <c:v>29556</c:v>
                </c:pt>
                <c:pt idx="153">
                  <c:v>29587</c:v>
                </c:pt>
                <c:pt idx="154">
                  <c:v>29618</c:v>
                </c:pt>
                <c:pt idx="155">
                  <c:v>29646</c:v>
                </c:pt>
                <c:pt idx="156">
                  <c:v>29677</c:v>
                </c:pt>
                <c:pt idx="157">
                  <c:v>29707</c:v>
                </c:pt>
                <c:pt idx="158">
                  <c:v>29738</c:v>
                </c:pt>
                <c:pt idx="159">
                  <c:v>29768</c:v>
                </c:pt>
                <c:pt idx="160">
                  <c:v>29799</c:v>
                </c:pt>
                <c:pt idx="161">
                  <c:v>29830</c:v>
                </c:pt>
                <c:pt idx="162">
                  <c:v>29860</c:v>
                </c:pt>
                <c:pt idx="163">
                  <c:v>29891</c:v>
                </c:pt>
                <c:pt idx="164">
                  <c:v>29921</c:v>
                </c:pt>
                <c:pt idx="165">
                  <c:v>29952</c:v>
                </c:pt>
                <c:pt idx="166">
                  <c:v>29983</c:v>
                </c:pt>
                <c:pt idx="167">
                  <c:v>30011</c:v>
                </c:pt>
                <c:pt idx="168">
                  <c:v>30042</c:v>
                </c:pt>
                <c:pt idx="169">
                  <c:v>30072</c:v>
                </c:pt>
                <c:pt idx="170">
                  <c:v>30103</c:v>
                </c:pt>
                <c:pt idx="171">
                  <c:v>30133</c:v>
                </c:pt>
                <c:pt idx="172">
                  <c:v>30164</c:v>
                </c:pt>
                <c:pt idx="173">
                  <c:v>30195</c:v>
                </c:pt>
                <c:pt idx="174">
                  <c:v>30225</c:v>
                </c:pt>
                <c:pt idx="175">
                  <c:v>30256</c:v>
                </c:pt>
                <c:pt idx="176">
                  <c:v>30286</c:v>
                </c:pt>
                <c:pt idx="177">
                  <c:v>30317</c:v>
                </c:pt>
                <c:pt idx="178">
                  <c:v>30348</c:v>
                </c:pt>
                <c:pt idx="179">
                  <c:v>30376</c:v>
                </c:pt>
                <c:pt idx="180">
                  <c:v>30407</c:v>
                </c:pt>
                <c:pt idx="181">
                  <c:v>30437</c:v>
                </c:pt>
                <c:pt idx="182">
                  <c:v>30468</c:v>
                </c:pt>
                <c:pt idx="183">
                  <c:v>30498</c:v>
                </c:pt>
                <c:pt idx="184">
                  <c:v>30529</c:v>
                </c:pt>
                <c:pt idx="185">
                  <c:v>30560</c:v>
                </c:pt>
                <c:pt idx="186">
                  <c:v>30590</c:v>
                </c:pt>
                <c:pt idx="187">
                  <c:v>30621</c:v>
                </c:pt>
                <c:pt idx="188">
                  <c:v>30651</c:v>
                </c:pt>
                <c:pt idx="189">
                  <c:v>30682</c:v>
                </c:pt>
                <c:pt idx="190">
                  <c:v>30713</c:v>
                </c:pt>
                <c:pt idx="191">
                  <c:v>30742</c:v>
                </c:pt>
                <c:pt idx="192">
                  <c:v>30773</c:v>
                </c:pt>
                <c:pt idx="193">
                  <c:v>30803</c:v>
                </c:pt>
                <c:pt idx="194">
                  <c:v>30834</c:v>
                </c:pt>
                <c:pt idx="195">
                  <c:v>30864</c:v>
                </c:pt>
                <c:pt idx="196">
                  <c:v>30895</c:v>
                </c:pt>
                <c:pt idx="197">
                  <c:v>30926</c:v>
                </c:pt>
                <c:pt idx="198">
                  <c:v>30956</c:v>
                </c:pt>
                <c:pt idx="199">
                  <c:v>30987</c:v>
                </c:pt>
                <c:pt idx="200">
                  <c:v>31017</c:v>
                </c:pt>
                <c:pt idx="201">
                  <c:v>31048</c:v>
                </c:pt>
                <c:pt idx="202">
                  <c:v>31079</c:v>
                </c:pt>
                <c:pt idx="203">
                  <c:v>31107</c:v>
                </c:pt>
                <c:pt idx="204">
                  <c:v>31138</c:v>
                </c:pt>
                <c:pt idx="205">
                  <c:v>31168</c:v>
                </c:pt>
                <c:pt idx="206">
                  <c:v>31199</c:v>
                </c:pt>
                <c:pt idx="207">
                  <c:v>31229</c:v>
                </c:pt>
                <c:pt idx="208">
                  <c:v>31260</c:v>
                </c:pt>
                <c:pt idx="209">
                  <c:v>31291</c:v>
                </c:pt>
                <c:pt idx="210">
                  <c:v>31321</c:v>
                </c:pt>
                <c:pt idx="211">
                  <c:v>31352</c:v>
                </c:pt>
                <c:pt idx="212">
                  <c:v>31382</c:v>
                </c:pt>
                <c:pt idx="213">
                  <c:v>31413</c:v>
                </c:pt>
                <c:pt idx="214">
                  <c:v>31444</c:v>
                </c:pt>
                <c:pt idx="215">
                  <c:v>31472</c:v>
                </c:pt>
                <c:pt idx="216">
                  <c:v>31503</c:v>
                </c:pt>
                <c:pt idx="217">
                  <c:v>31533</c:v>
                </c:pt>
                <c:pt idx="218">
                  <c:v>31564</c:v>
                </c:pt>
                <c:pt idx="219">
                  <c:v>31594</c:v>
                </c:pt>
                <c:pt idx="220">
                  <c:v>31625</c:v>
                </c:pt>
                <c:pt idx="221">
                  <c:v>31656</c:v>
                </c:pt>
                <c:pt idx="222">
                  <c:v>31686</c:v>
                </c:pt>
                <c:pt idx="223">
                  <c:v>31717</c:v>
                </c:pt>
                <c:pt idx="224">
                  <c:v>31747</c:v>
                </c:pt>
                <c:pt idx="225">
                  <c:v>31778</c:v>
                </c:pt>
                <c:pt idx="226">
                  <c:v>31809</c:v>
                </c:pt>
                <c:pt idx="227">
                  <c:v>31837</c:v>
                </c:pt>
                <c:pt idx="228">
                  <c:v>31868</c:v>
                </c:pt>
                <c:pt idx="229">
                  <c:v>31898</c:v>
                </c:pt>
                <c:pt idx="230">
                  <c:v>31929</c:v>
                </c:pt>
                <c:pt idx="231">
                  <c:v>31959</c:v>
                </c:pt>
                <c:pt idx="232">
                  <c:v>31990</c:v>
                </c:pt>
                <c:pt idx="233">
                  <c:v>32021</c:v>
                </c:pt>
                <c:pt idx="234">
                  <c:v>32051</c:v>
                </c:pt>
                <c:pt idx="235">
                  <c:v>32082</c:v>
                </c:pt>
                <c:pt idx="236">
                  <c:v>32112</c:v>
                </c:pt>
                <c:pt idx="237">
                  <c:v>32143</c:v>
                </c:pt>
                <c:pt idx="238">
                  <c:v>32174</c:v>
                </c:pt>
                <c:pt idx="239">
                  <c:v>32203</c:v>
                </c:pt>
                <c:pt idx="240">
                  <c:v>32234</c:v>
                </c:pt>
                <c:pt idx="241">
                  <c:v>32264</c:v>
                </c:pt>
                <c:pt idx="242">
                  <c:v>32295</c:v>
                </c:pt>
                <c:pt idx="243">
                  <c:v>32325</c:v>
                </c:pt>
                <c:pt idx="244">
                  <c:v>32356</c:v>
                </c:pt>
                <c:pt idx="245">
                  <c:v>32387</c:v>
                </c:pt>
                <c:pt idx="246">
                  <c:v>32417</c:v>
                </c:pt>
                <c:pt idx="247">
                  <c:v>32448</c:v>
                </c:pt>
                <c:pt idx="248">
                  <c:v>32478</c:v>
                </c:pt>
                <c:pt idx="249">
                  <c:v>32509</c:v>
                </c:pt>
                <c:pt idx="250">
                  <c:v>32540</c:v>
                </c:pt>
                <c:pt idx="251">
                  <c:v>32568</c:v>
                </c:pt>
                <c:pt idx="252">
                  <c:v>32599</c:v>
                </c:pt>
                <c:pt idx="253">
                  <c:v>32629</c:v>
                </c:pt>
                <c:pt idx="254">
                  <c:v>32660</c:v>
                </c:pt>
                <c:pt idx="255">
                  <c:v>32690</c:v>
                </c:pt>
                <c:pt idx="256">
                  <c:v>32721</c:v>
                </c:pt>
                <c:pt idx="257">
                  <c:v>32752</c:v>
                </c:pt>
                <c:pt idx="258">
                  <c:v>32782</c:v>
                </c:pt>
                <c:pt idx="259">
                  <c:v>32813</c:v>
                </c:pt>
                <c:pt idx="260">
                  <c:v>32843</c:v>
                </c:pt>
                <c:pt idx="261">
                  <c:v>32874</c:v>
                </c:pt>
                <c:pt idx="262">
                  <c:v>32905</c:v>
                </c:pt>
                <c:pt idx="263">
                  <c:v>32933</c:v>
                </c:pt>
                <c:pt idx="264">
                  <c:v>32964</c:v>
                </c:pt>
                <c:pt idx="265">
                  <c:v>32994</c:v>
                </c:pt>
                <c:pt idx="266">
                  <c:v>33025</c:v>
                </c:pt>
                <c:pt idx="267">
                  <c:v>33055</c:v>
                </c:pt>
                <c:pt idx="268">
                  <c:v>33086</c:v>
                </c:pt>
                <c:pt idx="269">
                  <c:v>33117</c:v>
                </c:pt>
                <c:pt idx="270">
                  <c:v>33147</c:v>
                </c:pt>
                <c:pt idx="271">
                  <c:v>33178</c:v>
                </c:pt>
                <c:pt idx="272">
                  <c:v>33208</c:v>
                </c:pt>
                <c:pt idx="273">
                  <c:v>33239</c:v>
                </c:pt>
                <c:pt idx="274">
                  <c:v>33270</c:v>
                </c:pt>
                <c:pt idx="275">
                  <c:v>33298</c:v>
                </c:pt>
                <c:pt idx="276">
                  <c:v>33329</c:v>
                </c:pt>
                <c:pt idx="277">
                  <c:v>33359</c:v>
                </c:pt>
                <c:pt idx="278">
                  <c:v>33390</c:v>
                </c:pt>
                <c:pt idx="279">
                  <c:v>33420</c:v>
                </c:pt>
                <c:pt idx="280">
                  <c:v>33451</c:v>
                </c:pt>
                <c:pt idx="281">
                  <c:v>33482</c:v>
                </c:pt>
                <c:pt idx="282">
                  <c:v>33512</c:v>
                </c:pt>
                <c:pt idx="283">
                  <c:v>33543</c:v>
                </c:pt>
                <c:pt idx="284">
                  <c:v>33573</c:v>
                </c:pt>
                <c:pt idx="285">
                  <c:v>33604</c:v>
                </c:pt>
                <c:pt idx="286">
                  <c:v>33635</c:v>
                </c:pt>
                <c:pt idx="287">
                  <c:v>33664</c:v>
                </c:pt>
                <c:pt idx="288">
                  <c:v>33695</c:v>
                </c:pt>
                <c:pt idx="289">
                  <c:v>33725</c:v>
                </c:pt>
                <c:pt idx="290">
                  <c:v>33756</c:v>
                </c:pt>
                <c:pt idx="291">
                  <c:v>33786</c:v>
                </c:pt>
                <c:pt idx="292">
                  <c:v>33817</c:v>
                </c:pt>
                <c:pt idx="293">
                  <c:v>33848</c:v>
                </c:pt>
                <c:pt idx="294">
                  <c:v>33878</c:v>
                </c:pt>
                <c:pt idx="295">
                  <c:v>33909</c:v>
                </c:pt>
                <c:pt idx="296">
                  <c:v>33939</c:v>
                </c:pt>
                <c:pt idx="297">
                  <c:v>33970</c:v>
                </c:pt>
                <c:pt idx="298">
                  <c:v>34001</c:v>
                </c:pt>
                <c:pt idx="299">
                  <c:v>34029</c:v>
                </c:pt>
                <c:pt idx="300">
                  <c:v>34060</c:v>
                </c:pt>
                <c:pt idx="301">
                  <c:v>34090</c:v>
                </c:pt>
                <c:pt idx="302">
                  <c:v>34121</c:v>
                </c:pt>
                <c:pt idx="303">
                  <c:v>34151</c:v>
                </c:pt>
                <c:pt idx="304">
                  <c:v>34182</c:v>
                </c:pt>
                <c:pt idx="305">
                  <c:v>34213</c:v>
                </c:pt>
                <c:pt idx="306">
                  <c:v>34243</c:v>
                </c:pt>
                <c:pt idx="307">
                  <c:v>34274</c:v>
                </c:pt>
                <c:pt idx="308">
                  <c:v>34304</c:v>
                </c:pt>
                <c:pt idx="309">
                  <c:v>34335</c:v>
                </c:pt>
                <c:pt idx="310">
                  <c:v>34366</c:v>
                </c:pt>
                <c:pt idx="311">
                  <c:v>34394</c:v>
                </c:pt>
                <c:pt idx="312">
                  <c:v>34425</c:v>
                </c:pt>
                <c:pt idx="313">
                  <c:v>34455</c:v>
                </c:pt>
                <c:pt idx="314">
                  <c:v>34486</c:v>
                </c:pt>
                <c:pt idx="315">
                  <c:v>34516</c:v>
                </c:pt>
                <c:pt idx="316">
                  <c:v>34547</c:v>
                </c:pt>
                <c:pt idx="317">
                  <c:v>34578</c:v>
                </c:pt>
                <c:pt idx="318">
                  <c:v>34608</c:v>
                </c:pt>
                <c:pt idx="319">
                  <c:v>34639</c:v>
                </c:pt>
                <c:pt idx="320">
                  <c:v>34669</c:v>
                </c:pt>
                <c:pt idx="321">
                  <c:v>34700</c:v>
                </c:pt>
                <c:pt idx="322">
                  <c:v>34731</c:v>
                </c:pt>
                <c:pt idx="323">
                  <c:v>34759</c:v>
                </c:pt>
                <c:pt idx="324">
                  <c:v>34790</c:v>
                </c:pt>
                <c:pt idx="325">
                  <c:v>34820</c:v>
                </c:pt>
                <c:pt idx="326">
                  <c:v>34851</c:v>
                </c:pt>
                <c:pt idx="327">
                  <c:v>34881</c:v>
                </c:pt>
                <c:pt idx="328">
                  <c:v>34912</c:v>
                </c:pt>
                <c:pt idx="329">
                  <c:v>34943</c:v>
                </c:pt>
                <c:pt idx="330">
                  <c:v>34973</c:v>
                </c:pt>
                <c:pt idx="331">
                  <c:v>35004</c:v>
                </c:pt>
                <c:pt idx="332">
                  <c:v>35034</c:v>
                </c:pt>
                <c:pt idx="333">
                  <c:v>35065</c:v>
                </c:pt>
                <c:pt idx="334">
                  <c:v>35096</c:v>
                </c:pt>
                <c:pt idx="335">
                  <c:v>35125</c:v>
                </c:pt>
                <c:pt idx="336">
                  <c:v>35156</c:v>
                </c:pt>
                <c:pt idx="337">
                  <c:v>35186</c:v>
                </c:pt>
                <c:pt idx="338">
                  <c:v>35217</c:v>
                </c:pt>
                <c:pt idx="339">
                  <c:v>35247</c:v>
                </c:pt>
                <c:pt idx="340">
                  <c:v>35278</c:v>
                </c:pt>
                <c:pt idx="341">
                  <c:v>35309</c:v>
                </c:pt>
                <c:pt idx="342">
                  <c:v>35339</c:v>
                </c:pt>
                <c:pt idx="343">
                  <c:v>35370</c:v>
                </c:pt>
                <c:pt idx="344">
                  <c:v>35400</c:v>
                </c:pt>
                <c:pt idx="345">
                  <c:v>35431</c:v>
                </c:pt>
                <c:pt idx="346">
                  <c:v>35462</c:v>
                </c:pt>
                <c:pt idx="347">
                  <c:v>35490</c:v>
                </c:pt>
                <c:pt idx="348">
                  <c:v>35521</c:v>
                </c:pt>
                <c:pt idx="349">
                  <c:v>35551</c:v>
                </c:pt>
                <c:pt idx="350">
                  <c:v>35582</c:v>
                </c:pt>
                <c:pt idx="351">
                  <c:v>35612</c:v>
                </c:pt>
                <c:pt idx="352">
                  <c:v>35643</c:v>
                </c:pt>
                <c:pt idx="353">
                  <c:v>35674</c:v>
                </c:pt>
                <c:pt idx="354">
                  <c:v>35704</c:v>
                </c:pt>
                <c:pt idx="355">
                  <c:v>35735</c:v>
                </c:pt>
                <c:pt idx="356">
                  <c:v>35765</c:v>
                </c:pt>
                <c:pt idx="357">
                  <c:v>35796</c:v>
                </c:pt>
                <c:pt idx="358">
                  <c:v>35827</c:v>
                </c:pt>
                <c:pt idx="359">
                  <c:v>35855</c:v>
                </c:pt>
                <c:pt idx="360">
                  <c:v>35886</c:v>
                </c:pt>
                <c:pt idx="361">
                  <c:v>35916</c:v>
                </c:pt>
                <c:pt idx="362">
                  <c:v>35947</c:v>
                </c:pt>
                <c:pt idx="363">
                  <c:v>35977</c:v>
                </c:pt>
                <c:pt idx="364">
                  <c:v>36008</c:v>
                </c:pt>
                <c:pt idx="365">
                  <c:v>36039</c:v>
                </c:pt>
                <c:pt idx="366">
                  <c:v>36069</c:v>
                </c:pt>
                <c:pt idx="367">
                  <c:v>36100</c:v>
                </c:pt>
                <c:pt idx="368">
                  <c:v>36130</c:v>
                </c:pt>
                <c:pt idx="369">
                  <c:v>36161</c:v>
                </c:pt>
                <c:pt idx="370">
                  <c:v>36192</c:v>
                </c:pt>
                <c:pt idx="371">
                  <c:v>36220</c:v>
                </c:pt>
                <c:pt idx="372">
                  <c:v>36251</c:v>
                </c:pt>
                <c:pt idx="373">
                  <c:v>36281</c:v>
                </c:pt>
                <c:pt idx="374">
                  <c:v>36312</c:v>
                </c:pt>
                <c:pt idx="375">
                  <c:v>36342</c:v>
                </c:pt>
                <c:pt idx="376">
                  <c:v>36373</c:v>
                </c:pt>
                <c:pt idx="377">
                  <c:v>36404</c:v>
                </c:pt>
                <c:pt idx="378">
                  <c:v>36434</c:v>
                </c:pt>
                <c:pt idx="379">
                  <c:v>36465</c:v>
                </c:pt>
                <c:pt idx="380">
                  <c:v>36495</c:v>
                </c:pt>
                <c:pt idx="381">
                  <c:v>36526</c:v>
                </c:pt>
                <c:pt idx="382">
                  <c:v>36557</c:v>
                </c:pt>
                <c:pt idx="383">
                  <c:v>36586</c:v>
                </c:pt>
                <c:pt idx="384">
                  <c:v>36617</c:v>
                </c:pt>
                <c:pt idx="385">
                  <c:v>36647</c:v>
                </c:pt>
                <c:pt idx="386">
                  <c:v>36678</c:v>
                </c:pt>
                <c:pt idx="387">
                  <c:v>36708</c:v>
                </c:pt>
                <c:pt idx="388">
                  <c:v>36739</c:v>
                </c:pt>
                <c:pt idx="389">
                  <c:v>36770</c:v>
                </c:pt>
                <c:pt idx="390">
                  <c:v>36800</c:v>
                </c:pt>
                <c:pt idx="391">
                  <c:v>36831</c:v>
                </c:pt>
                <c:pt idx="392">
                  <c:v>36861</c:v>
                </c:pt>
                <c:pt idx="393">
                  <c:v>36892</c:v>
                </c:pt>
                <c:pt idx="394">
                  <c:v>36923</c:v>
                </c:pt>
                <c:pt idx="395">
                  <c:v>36951</c:v>
                </c:pt>
                <c:pt idx="396">
                  <c:v>36982</c:v>
                </c:pt>
                <c:pt idx="397">
                  <c:v>37012</c:v>
                </c:pt>
                <c:pt idx="398">
                  <c:v>37043</c:v>
                </c:pt>
                <c:pt idx="399">
                  <c:v>37073</c:v>
                </c:pt>
                <c:pt idx="400">
                  <c:v>37104</c:v>
                </c:pt>
                <c:pt idx="401">
                  <c:v>37135</c:v>
                </c:pt>
                <c:pt idx="402">
                  <c:v>37165</c:v>
                </c:pt>
                <c:pt idx="403">
                  <c:v>37196</c:v>
                </c:pt>
                <c:pt idx="404">
                  <c:v>37226</c:v>
                </c:pt>
                <c:pt idx="405">
                  <c:v>37257</c:v>
                </c:pt>
                <c:pt idx="406">
                  <c:v>37288</c:v>
                </c:pt>
                <c:pt idx="407">
                  <c:v>37316</c:v>
                </c:pt>
                <c:pt idx="408">
                  <c:v>37347</c:v>
                </c:pt>
                <c:pt idx="409">
                  <c:v>37377</c:v>
                </c:pt>
                <c:pt idx="410">
                  <c:v>37408</c:v>
                </c:pt>
                <c:pt idx="411">
                  <c:v>37438</c:v>
                </c:pt>
                <c:pt idx="412">
                  <c:v>37469</c:v>
                </c:pt>
                <c:pt idx="413">
                  <c:v>37500</c:v>
                </c:pt>
                <c:pt idx="414">
                  <c:v>37530</c:v>
                </c:pt>
                <c:pt idx="415">
                  <c:v>37561</c:v>
                </c:pt>
                <c:pt idx="416">
                  <c:v>37591</c:v>
                </c:pt>
                <c:pt idx="417">
                  <c:v>37622</c:v>
                </c:pt>
                <c:pt idx="418">
                  <c:v>37653</c:v>
                </c:pt>
                <c:pt idx="419">
                  <c:v>37681</c:v>
                </c:pt>
                <c:pt idx="420">
                  <c:v>37712</c:v>
                </c:pt>
                <c:pt idx="421">
                  <c:v>37742</c:v>
                </c:pt>
                <c:pt idx="422">
                  <c:v>37773</c:v>
                </c:pt>
                <c:pt idx="423">
                  <c:v>37803</c:v>
                </c:pt>
                <c:pt idx="424">
                  <c:v>37834</c:v>
                </c:pt>
                <c:pt idx="425">
                  <c:v>37865</c:v>
                </c:pt>
                <c:pt idx="426">
                  <c:v>37895</c:v>
                </c:pt>
                <c:pt idx="427">
                  <c:v>37926</c:v>
                </c:pt>
                <c:pt idx="428">
                  <c:v>37956</c:v>
                </c:pt>
                <c:pt idx="429">
                  <c:v>37987</c:v>
                </c:pt>
                <c:pt idx="430">
                  <c:v>38018</c:v>
                </c:pt>
                <c:pt idx="431">
                  <c:v>38047</c:v>
                </c:pt>
                <c:pt idx="432">
                  <c:v>38078</c:v>
                </c:pt>
                <c:pt idx="433">
                  <c:v>38108</c:v>
                </c:pt>
                <c:pt idx="434">
                  <c:v>38139</c:v>
                </c:pt>
                <c:pt idx="435">
                  <c:v>38169</c:v>
                </c:pt>
                <c:pt idx="436">
                  <c:v>38200</c:v>
                </c:pt>
                <c:pt idx="437">
                  <c:v>38231</c:v>
                </c:pt>
                <c:pt idx="438">
                  <c:v>38261</c:v>
                </c:pt>
                <c:pt idx="439">
                  <c:v>38292</c:v>
                </c:pt>
                <c:pt idx="440">
                  <c:v>38322</c:v>
                </c:pt>
                <c:pt idx="441">
                  <c:v>38353</c:v>
                </c:pt>
                <c:pt idx="442">
                  <c:v>38384</c:v>
                </c:pt>
                <c:pt idx="443">
                  <c:v>38412</c:v>
                </c:pt>
                <c:pt idx="444">
                  <c:v>38443</c:v>
                </c:pt>
                <c:pt idx="445">
                  <c:v>38473</c:v>
                </c:pt>
                <c:pt idx="446">
                  <c:v>38504</c:v>
                </c:pt>
                <c:pt idx="447">
                  <c:v>38534</c:v>
                </c:pt>
                <c:pt idx="448">
                  <c:v>38565</c:v>
                </c:pt>
                <c:pt idx="449">
                  <c:v>38596</c:v>
                </c:pt>
                <c:pt idx="450">
                  <c:v>38626</c:v>
                </c:pt>
                <c:pt idx="451">
                  <c:v>38657</c:v>
                </c:pt>
                <c:pt idx="452">
                  <c:v>38687</c:v>
                </c:pt>
                <c:pt idx="453">
                  <c:v>38718</c:v>
                </c:pt>
                <c:pt idx="454">
                  <c:v>38749</c:v>
                </c:pt>
                <c:pt idx="455">
                  <c:v>38777</c:v>
                </c:pt>
                <c:pt idx="456">
                  <c:v>38808</c:v>
                </c:pt>
                <c:pt idx="457">
                  <c:v>38838</c:v>
                </c:pt>
                <c:pt idx="458">
                  <c:v>38869</c:v>
                </c:pt>
                <c:pt idx="459">
                  <c:v>38899</c:v>
                </c:pt>
                <c:pt idx="460">
                  <c:v>38930</c:v>
                </c:pt>
                <c:pt idx="461">
                  <c:v>38961</c:v>
                </c:pt>
                <c:pt idx="462">
                  <c:v>38991</c:v>
                </c:pt>
                <c:pt idx="463">
                  <c:v>39022</c:v>
                </c:pt>
                <c:pt idx="464">
                  <c:v>39052</c:v>
                </c:pt>
                <c:pt idx="465">
                  <c:v>39083</c:v>
                </c:pt>
                <c:pt idx="466">
                  <c:v>39114</c:v>
                </c:pt>
                <c:pt idx="467">
                  <c:v>39142</c:v>
                </c:pt>
                <c:pt idx="468">
                  <c:v>39173</c:v>
                </c:pt>
                <c:pt idx="469">
                  <c:v>39203</c:v>
                </c:pt>
                <c:pt idx="470">
                  <c:v>39234</c:v>
                </c:pt>
                <c:pt idx="471">
                  <c:v>39264</c:v>
                </c:pt>
                <c:pt idx="472">
                  <c:v>39295</c:v>
                </c:pt>
                <c:pt idx="473">
                  <c:v>39326</c:v>
                </c:pt>
                <c:pt idx="474">
                  <c:v>39356</c:v>
                </c:pt>
                <c:pt idx="475">
                  <c:v>39387</c:v>
                </c:pt>
                <c:pt idx="476">
                  <c:v>39417</c:v>
                </c:pt>
                <c:pt idx="477">
                  <c:v>39448</c:v>
                </c:pt>
                <c:pt idx="478">
                  <c:v>39479</c:v>
                </c:pt>
                <c:pt idx="479">
                  <c:v>39508</c:v>
                </c:pt>
                <c:pt idx="480">
                  <c:v>39539</c:v>
                </c:pt>
                <c:pt idx="481">
                  <c:v>39569</c:v>
                </c:pt>
                <c:pt idx="482">
                  <c:v>39600</c:v>
                </c:pt>
                <c:pt idx="483">
                  <c:v>39630</c:v>
                </c:pt>
                <c:pt idx="484">
                  <c:v>39661</c:v>
                </c:pt>
                <c:pt idx="485">
                  <c:v>39692</c:v>
                </c:pt>
                <c:pt idx="486">
                  <c:v>39722</c:v>
                </c:pt>
                <c:pt idx="487">
                  <c:v>39753</c:v>
                </c:pt>
                <c:pt idx="488">
                  <c:v>39783</c:v>
                </c:pt>
                <c:pt idx="489">
                  <c:v>39814</c:v>
                </c:pt>
                <c:pt idx="490">
                  <c:v>39845</c:v>
                </c:pt>
                <c:pt idx="491">
                  <c:v>39873</c:v>
                </c:pt>
                <c:pt idx="492">
                  <c:v>39904</c:v>
                </c:pt>
                <c:pt idx="493">
                  <c:v>39934</c:v>
                </c:pt>
                <c:pt idx="494">
                  <c:v>39965</c:v>
                </c:pt>
                <c:pt idx="495">
                  <c:v>39995</c:v>
                </c:pt>
                <c:pt idx="496">
                  <c:v>40026</c:v>
                </c:pt>
                <c:pt idx="497">
                  <c:v>40057</c:v>
                </c:pt>
                <c:pt idx="498">
                  <c:v>40087</c:v>
                </c:pt>
                <c:pt idx="499">
                  <c:v>40118</c:v>
                </c:pt>
                <c:pt idx="500">
                  <c:v>40148</c:v>
                </c:pt>
                <c:pt idx="501">
                  <c:v>40179</c:v>
                </c:pt>
                <c:pt idx="502">
                  <c:v>40210</c:v>
                </c:pt>
                <c:pt idx="503">
                  <c:v>40238</c:v>
                </c:pt>
                <c:pt idx="504">
                  <c:v>40269</c:v>
                </c:pt>
                <c:pt idx="505">
                  <c:v>40299</c:v>
                </c:pt>
                <c:pt idx="506">
                  <c:v>40330</c:v>
                </c:pt>
                <c:pt idx="507">
                  <c:v>40360</c:v>
                </c:pt>
                <c:pt idx="508">
                  <c:v>40391</c:v>
                </c:pt>
                <c:pt idx="509">
                  <c:v>40422</c:v>
                </c:pt>
                <c:pt idx="510">
                  <c:v>40452</c:v>
                </c:pt>
                <c:pt idx="511">
                  <c:v>40483</c:v>
                </c:pt>
                <c:pt idx="512">
                  <c:v>40513</c:v>
                </c:pt>
                <c:pt idx="513">
                  <c:v>40544</c:v>
                </c:pt>
                <c:pt idx="514">
                  <c:v>40575</c:v>
                </c:pt>
                <c:pt idx="515">
                  <c:v>40603</c:v>
                </c:pt>
                <c:pt idx="516">
                  <c:v>40634</c:v>
                </c:pt>
                <c:pt idx="517">
                  <c:v>40664</c:v>
                </c:pt>
                <c:pt idx="518">
                  <c:v>40695</c:v>
                </c:pt>
                <c:pt idx="519">
                  <c:v>40725</c:v>
                </c:pt>
                <c:pt idx="520">
                  <c:v>40756</c:v>
                </c:pt>
                <c:pt idx="521">
                  <c:v>40787</c:v>
                </c:pt>
                <c:pt idx="522">
                  <c:v>40817</c:v>
                </c:pt>
                <c:pt idx="523">
                  <c:v>40848</c:v>
                </c:pt>
                <c:pt idx="524">
                  <c:v>40878</c:v>
                </c:pt>
                <c:pt idx="525">
                  <c:v>40909</c:v>
                </c:pt>
                <c:pt idx="526">
                  <c:v>40940</c:v>
                </c:pt>
                <c:pt idx="527">
                  <c:v>40969</c:v>
                </c:pt>
                <c:pt idx="528">
                  <c:v>41000</c:v>
                </c:pt>
                <c:pt idx="529">
                  <c:v>41030</c:v>
                </c:pt>
                <c:pt idx="530">
                  <c:v>41061</c:v>
                </c:pt>
                <c:pt idx="531">
                  <c:v>41091</c:v>
                </c:pt>
                <c:pt idx="532">
                  <c:v>41122</c:v>
                </c:pt>
                <c:pt idx="533">
                  <c:v>41153</c:v>
                </c:pt>
                <c:pt idx="534">
                  <c:v>41183</c:v>
                </c:pt>
                <c:pt idx="535">
                  <c:v>41214</c:v>
                </c:pt>
                <c:pt idx="536">
                  <c:v>41244</c:v>
                </c:pt>
                <c:pt idx="537">
                  <c:v>41275</c:v>
                </c:pt>
                <c:pt idx="538">
                  <c:v>41306</c:v>
                </c:pt>
                <c:pt idx="539">
                  <c:v>41334</c:v>
                </c:pt>
                <c:pt idx="540">
                  <c:v>41365</c:v>
                </c:pt>
                <c:pt idx="541">
                  <c:v>41395</c:v>
                </c:pt>
                <c:pt idx="542">
                  <c:v>41426</c:v>
                </c:pt>
                <c:pt idx="543">
                  <c:v>41456</c:v>
                </c:pt>
                <c:pt idx="544">
                  <c:v>41487</c:v>
                </c:pt>
                <c:pt idx="545">
                  <c:v>41518</c:v>
                </c:pt>
                <c:pt idx="546">
                  <c:v>41548</c:v>
                </c:pt>
                <c:pt idx="547">
                  <c:v>41579</c:v>
                </c:pt>
                <c:pt idx="548">
                  <c:v>41609</c:v>
                </c:pt>
                <c:pt idx="549">
                  <c:v>41640</c:v>
                </c:pt>
                <c:pt idx="550">
                  <c:v>41671</c:v>
                </c:pt>
                <c:pt idx="551">
                  <c:v>41699</c:v>
                </c:pt>
                <c:pt idx="552">
                  <c:v>41730</c:v>
                </c:pt>
                <c:pt idx="553">
                  <c:v>41760</c:v>
                </c:pt>
                <c:pt idx="554">
                  <c:v>41791</c:v>
                </c:pt>
                <c:pt idx="555">
                  <c:v>41821</c:v>
                </c:pt>
                <c:pt idx="556">
                  <c:v>41852</c:v>
                </c:pt>
                <c:pt idx="557">
                  <c:v>41883</c:v>
                </c:pt>
                <c:pt idx="558">
                  <c:v>41913</c:v>
                </c:pt>
                <c:pt idx="559">
                  <c:v>41944</c:v>
                </c:pt>
                <c:pt idx="560">
                  <c:v>41974</c:v>
                </c:pt>
                <c:pt idx="561">
                  <c:v>42005</c:v>
                </c:pt>
                <c:pt idx="562">
                  <c:v>42036</c:v>
                </c:pt>
                <c:pt idx="563">
                  <c:v>42064</c:v>
                </c:pt>
                <c:pt idx="564">
                  <c:v>42095</c:v>
                </c:pt>
                <c:pt idx="565">
                  <c:v>42125</c:v>
                </c:pt>
                <c:pt idx="566">
                  <c:v>42156</c:v>
                </c:pt>
                <c:pt idx="567">
                  <c:v>42186</c:v>
                </c:pt>
                <c:pt idx="568">
                  <c:v>42217</c:v>
                </c:pt>
                <c:pt idx="569">
                  <c:v>42248</c:v>
                </c:pt>
                <c:pt idx="570">
                  <c:v>42278</c:v>
                </c:pt>
                <c:pt idx="571">
                  <c:v>42309</c:v>
                </c:pt>
                <c:pt idx="572">
                  <c:v>42339</c:v>
                </c:pt>
                <c:pt idx="573">
                  <c:v>42370</c:v>
                </c:pt>
                <c:pt idx="574">
                  <c:v>42401</c:v>
                </c:pt>
                <c:pt idx="575">
                  <c:v>42430</c:v>
                </c:pt>
                <c:pt idx="576">
                  <c:v>42461</c:v>
                </c:pt>
                <c:pt idx="577">
                  <c:v>42491</c:v>
                </c:pt>
                <c:pt idx="578">
                  <c:v>42522</c:v>
                </c:pt>
                <c:pt idx="579">
                  <c:v>42552</c:v>
                </c:pt>
                <c:pt idx="580">
                  <c:v>42583</c:v>
                </c:pt>
                <c:pt idx="581">
                  <c:v>42614</c:v>
                </c:pt>
                <c:pt idx="582">
                  <c:v>42644</c:v>
                </c:pt>
                <c:pt idx="583">
                  <c:v>42675</c:v>
                </c:pt>
                <c:pt idx="584">
                  <c:v>42705</c:v>
                </c:pt>
                <c:pt idx="585">
                  <c:v>42736</c:v>
                </c:pt>
                <c:pt idx="586">
                  <c:v>42767</c:v>
                </c:pt>
                <c:pt idx="587">
                  <c:v>42795</c:v>
                </c:pt>
                <c:pt idx="588">
                  <c:v>42826</c:v>
                </c:pt>
                <c:pt idx="589">
                  <c:v>42856</c:v>
                </c:pt>
                <c:pt idx="590">
                  <c:v>42887</c:v>
                </c:pt>
                <c:pt idx="591">
                  <c:v>42917</c:v>
                </c:pt>
                <c:pt idx="592">
                  <c:v>42948</c:v>
                </c:pt>
                <c:pt idx="593">
                  <c:v>42979</c:v>
                </c:pt>
                <c:pt idx="594">
                  <c:v>43009</c:v>
                </c:pt>
                <c:pt idx="595">
                  <c:v>43040</c:v>
                </c:pt>
                <c:pt idx="596">
                  <c:v>43070</c:v>
                </c:pt>
                <c:pt idx="597">
                  <c:v>43101</c:v>
                </c:pt>
                <c:pt idx="598">
                  <c:v>43132</c:v>
                </c:pt>
                <c:pt idx="599">
                  <c:v>43160</c:v>
                </c:pt>
                <c:pt idx="600">
                  <c:v>43191</c:v>
                </c:pt>
                <c:pt idx="601">
                  <c:v>43221</c:v>
                </c:pt>
                <c:pt idx="602">
                  <c:v>43252</c:v>
                </c:pt>
                <c:pt idx="603">
                  <c:v>43282</c:v>
                </c:pt>
                <c:pt idx="604">
                  <c:v>43313</c:v>
                </c:pt>
                <c:pt idx="605">
                  <c:v>43344</c:v>
                </c:pt>
                <c:pt idx="606">
                  <c:v>43374</c:v>
                </c:pt>
                <c:pt idx="607">
                  <c:v>43405</c:v>
                </c:pt>
                <c:pt idx="608">
                  <c:v>43435</c:v>
                </c:pt>
                <c:pt idx="609">
                  <c:v>43466</c:v>
                </c:pt>
                <c:pt idx="610">
                  <c:v>43497</c:v>
                </c:pt>
                <c:pt idx="611">
                  <c:v>43525</c:v>
                </c:pt>
                <c:pt idx="612">
                  <c:v>43556</c:v>
                </c:pt>
                <c:pt idx="613">
                  <c:v>43586</c:v>
                </c:pt>
                <c:pt idx="614">
                  <c:v>43617</c:v>
                </c:pt>
                <c:pt idx="615">
                  <c:v>43647</c:v>
                </c:pt>
                <c:pt idx="616">
                  <c:v>43678</c:v>
                </c:pt>
                <c:pt idx="617">
                  <c:v>43709</c:v>
                </c:pt>
                <c:pt idx="618">
                  <c:v>43739</c:v>
                </c:pt>
                <c:pt idx="619">
                  <c:v>43770</c:v>
                </c:pt>
                <c:pt idx="620">
                  <c:v>43800</c:v>
                </c:pt>
                <c:pt idx="621">
                  <c:v>43831</c:v>
                </c:pt>
                <c:pt idx="622">
                  <c:v>43862</c:v>
                </c:pt>
                <c:pt idx="623">
                  <c:v>43891</c:v>
                </c:pt>
                <c:pt idx="624">
                  <c:v>43922</c:v>
                </c:pt>
                <c:pt idx="625">
                  <c:v>43952</c:v>
                </c:pt>
                <c:pt idx="626">
                  <c:v>43983</c:v>
                </c:pt>
                <c:pt idx="627">
                  <c:v>44013</c:v>
                </c:pt>
                <c:pt idx="628">
                  <c:v>44044</c:v>
                </c:pt>
                <c:pt idx="629">
                  <c:v>44075</c:v>
                </c:pt>
                <c:pt idx="630">
                  <c:v>44105</c:v>
                </c:pt>
                <c:pt idx="631">
                  <c:v>44136</c:v>
                </c:pt>
                <c:pt idx="632">
                  <c:v>44166</c:v>
                </c:pt>
                <c:pt idx="633">
                  <c:v>44197</c:v>
                </c:pt>
                <c:pt idx="634">
                  <c:v>44228</c:v>
                </c:pt>
                <c:pt idx="635">
                  <c:v>44256</c:v>
                </c:pt>
                <c:pt idx="636">
                  <c:v>44287</c:v>
                </c:pt>
                <c:pt idx="637">
                  <c:v>44317</c:v>
                </c:pt>
                <c:pt idx="638">
                  <c:v>44348</c:v>
                </c:pt>
                <c:pt idx="639">
                  <c:v>44378</c:v>
                </c:pt>
                <c:pt idx="640">
                  <c:v>44409</c:v>
                </c:pt>
                <c:pt idx="641">
                  <c:v>44440</c:v>
                </c:pt>
                <c:pt idx="642">
                  <c:v>44470</c:v>
                </c:pt>
                <c:pt idx="643">
                  <c:v>44501</c:v>
                </c:pt>
                <c:pt idx="644">
                  <c:v>44531</c:v>
                </c:pt>
                <c:pt idx="645">
                  <c:v>44562</c:v>
                </c:pt>
                <c:pt idx="646">
                  <c:v>44593</c:v>
                </c:pt>
                <c:pt idx="647">
                  <c:v>44621</c:v>
                </c:pt>
                <c:pt idx="648">
                  <c:v>44652</c:v>
                </c:pt>
                <c:pt idx="649">
                  <c:v>44682</c:v>
                </c:pt>
                <c:pt idx="650">
                  <c:v>44713</c:v>
                </c:pt>
                <c:pt idx="651">
                  <c:v>44743</c:v>
                </c:pt>
              </c:numCache>
            </c:numRef>
          </c:cat>
          <c:val>
            <c:numRef>
              <c:f>★資本稼働率!$N$2:$N$653</c:f>
              <c:numCache>
                <c:formatCode>#,##0.0;[Red]\-#,##0.0</c:formatCode>
                <c:ptCount val="652"/>
                <c:pt idx="36">
                  <c:v>87.714890809770296</c:v>
                </c:pt>
                <c:pt idx="37">
                  <c:v>91.592797249382997</c:v>
                </c:pt>
                <c:pt idx="38">
                  <c:v>94.073942125337794</c:v>
                </c:pt>
                <c:pt idx="39">
                  <c:v>96.057398158133495</c:v>
                </c:pt>
                <c:pt idx="40">
                  <c:v>96.546520296820503</c:v>
                </c:pt>
                <c:pt idx="41">
                  <c:v>96.331882947448406</c:v>
                </c:pt>
                <c:pt idx="42">
                  <c:v>95.941504897183705</c:v>
                </c:pt>
                <c:pt idx="43">
                  <c:v>97.175370669956905</c:v>
                </c:pt>
                <c:pt idx="44">
                  <c:v>97.866560518975803</c:v>
                </c:pt>
                <c:pt idx="45">
                  <c:v>101.365108775152</c:v>
                </c:pt>
                <c:pt idx="46">
                  <c:v>106.05353021473999</c:v>
                </c:pt>
                <c:pt idx="47">
                  <c:v>105.56481362931</c:v>
                </c:pt>
                <c:pt idx="48">
                  <c:v>104.636181365388</c:v>
                </c:pt>
                <c:pt idx="49">
                  <c:v>108.381783570636</c:v>
                </c:pt>
                <c:pt idx="50">
                  <c:v>109.76602509042</c:v>
                </c:pt>
                <c:pt idx="51">
                  <c:v>110.110359935579</c:v>
                </c:pt>
                <c:pt idx="52">
                  <c:v>110.525115358318</c:v>
                </c:pt>
                <c:pt idx="53">
                  <c:v>109.873305444778</c:v>
                </c:pt>
                <c:pt idx="54">
                  <c:v>109.972021568188</c:v>
                </c:pt>
                <c:pt idx="55">
                  <c:v>112.927953217427</c:v>
                </c:pt>
                <c:pt idx="56">
                  <c:v>115.010810189615</c:v>
                </c:pt>
                <c:pt idx="57">
                  <c:v>124.173203569451</c:v>
                </c:pt>
                <c:pt idx="58">
                  <c:v>133.324899512348</c:v>
                </c:pt>
                <c:pt idx="59">
                  <c:v>136.67719460768501</c:v>
                </c:pt>
                <c:pt idx="60">
                  <c:v>116.61478487390301</c:v>
                </c:pt>
                <c:pt idx="61">
                  <c:v>122.03486088327899</c:v>
                </c:pt>
                <c:pt idx="62">
                  <c:v>123.122901462878</c:v>
                </c:pt>
                <c:pt idx="63">
                  <c:v>122.83334565247701</c:v>
                </c:pt>
                <c:pt idx="64">
                  <c:v>121.660923622073</c:v>
                </c:pt>
                <c:pt idx="65">
                  <c:v>122.124793252931</c:v>
                </c:pt>
                <c:pt idx="66">
                  <c:v>125.42186543524301</c:v>
                </c:pt>
                <c:pt idx="67">
                  <c:v>125.45645562850299</c:v>
                </c:pt>
                <c:pt idx="68">
                  <c:v>126.087204714576</c:v>
                </c:pt>
                <c:pt idx="69">
                  <c:v>119.510739038556</c:v>
                </c:pt>
                <c:pt idx="70">
                  <c:v>117.640173856042</c:v>
                </c:pt>
                <c:pt idx="71">
                  <c:v>114.69379067752401</c:v>
                </c:pt>
                <c:pt idx="72">
                  <c:v>111.800901433224</c:v>
                </c:pt>
                <c:pt idx="73">
                  <c:v>107.269947583481</c:v>
                </c:pt>
                <c:pt idx="74">
                  <c:v>104.762028092929</c:v>
                </c:pt>
                <c:pt idx="75">
                  <c:v>105.403359488107</c:v>
                </c:pt>
                <c:pt idx="76">
                  <c:v>107.218483289418</c:v>
                </c:pt>
                <c:pt idx="77">
                  <c:v>110.934560532834</c:v>
                </c:pt>
                <c:pt idx="78">
                  <c:v>110.17700968278101</c:v>
                </c:pt>
                <c:pt idx="79">
                  <c:v>108.180063492391</c:v>
                </c:pt>
                <c:pt idx="80">
                  <c:v>102.13735781938701</c:v>
                </c:pt>
                <c:pt idx="81">
                  <c:v>98.336681549246407</c:v>
                </c:pt>
                <c:pt idx="82">
                  <c:v>96.420162849748706</c:v>
                </c:pt>
                <c:pt idx="83">
                  <c:v>97.109544575772603</c:v>
                </c:pt>
                <c:pt idx="84">
                  <c:v>112.029107012517</c:v>
                </c:pt>
                <c:pt idx="85">
                  <c:v>113.53823494457799</c:v>
                </c:pt>
                <c:pt idx="86">
                  <c:v>111.886683221933</c:v>
                </c:pt>
                <c:pt idx="87">
                  <c:v>111.476533848182</c:v>
                </c:pt>
                <c:pt idx="88">
                  <c:v>110.65741474034</c:v>
                </c:pt>
                <c:pt idx="89">
                  <c:v>108.503476044658</c:v>
                </c:pt>
                <c:pt idx="90">
                  <c:v>108.53245745833701</c:v>
                </c:pt>
                <c:pt idx="91">
                  <c:v>108.86840793950201</c:v>
                </c:pt>
                <c:pt idx="92">
                  <c:v>114.450132178647</c:v>
                </c:pt>
                <c:pt idx="93">
                  <c:v>116.298467358846</c:v>
                </c:pt>
                <c:pt idx="94">
                  <c:v>115.459279671152</c:v>
                </c:pt>
                <c:pt idx="95">
                  <c:v>114.36721959585699</c:v>
                </c:pt>
                <c:pt idx="96">
                  <c:v>113.650101161176</c:v>
                </c:pt>
                <c:pt idx="97">
                  <c:v>114.15704470128399</c:v>
                </c:pt>
                <c:pt idx="98">
                  <c:v>114.18843481735701</c:v>
                </c:pt>
                <c:pt idx="99">
                  <c:v>114.038719999465</c:v>
                </c:pt>
                <c:pt idx="100">
                  <c:v>112.896755283367</c:v>
                </c:pt>
                <c:pt idx="101">
                  <c:v>109.80776527706399</c:v>
                </c:pt>
                <c:pt idx="102">
                  <c:v>107.8090921818</c:v>
                </c:pt>
                <c:pt idx="103">
                  <c:v>107.74816888740099</c:v>
                </c:pt>
                <c:pt idx="104">
                  <c:v>109.85584918456399</c:v>
                </c:pt>
                <c:pt idx="105">
                  <c:v>112.976211769096</c:v>
                </c:pt>
                <c:pt idx="106">
                  <c:v>114.63773110005501</c:v>
                </c:pt>
                <c:pt idx="107">
                  <c:v>114.9195844366</c:v>
                </c:pt>
                <c:pt idx="108">
                  <c:v>117.716404790252</c:v>
                </c:pt>
                <c:pt idx="109">
                  <c:v>118.48223647188701</c:v>
                </c:pt>
                <c:pt idx="110">
                  <c:v>118.039175484735</c:v>
                </c:pt>
                <c:pt idx="111">
                  <c:v>117.594418846716</c:v>
                </c:pt>
                <c:pt idx="112">
                  <c:v>119.840316716066</c:v>
                </c:pt>
                <c:pt idx="113">
                  <c:v>120.795280798416</c:v>
                </c:pt>
                <c:pt idx="114">
                  <c:v>122.055725022872</c:v>
                </c:pt>
                <c:pt idx="115">
                  <c:v>122.43699802461499</c:v>
                </c:pt>
                <c:pt idx="116">
                  <c:v>123.09744956578901</c:v>
                </c:pt>
                <c:pt idx="117">
                  <c:v>126.42965823199501</c:v>
                </c:pt>
                <c:pt idx="118">
                  <c:v>127.197709684223</c:v>
                </c:pt>
                <c:pt idx="119">
                  <c:v>132.33066332657199</c:v>
                </c:pt>
                <c:pt idx="120">
                  <c:v>132.98763152480299</c:v>
                </c:pt>
                <c:pt idx="121">
                  <c:v>131.68953160345899</c:v>
                </c:pt>
                <c:pt idx="122">
                  <c:v>132.320292037831</c:v>
                </c:pt>
                <c:pt idx="123">
                  <c:v>131.31807655927901</c:v>
                </c:pt>
                <c:pt idx="124">
                  <c:v>126.495607677018</c:v>
                </c:pt>
                <c:pt idx="125">
                  <c:v>120.54554527584099</c:v>
                </c:pt>
                <c:pt idx="126">
                  <c:v>122.66934170993299</c:v>
                </c:pt>
                <c:pt idx="127">
                  <c:v>125.791072339485</c:v>
                </c:pt>
                <c:pt idx="128">
                  <c:v>128.72289728083999</c:v>
                </c:pt>
                <c:pt idx="129">
                  <c:v>130.71024128621801</c:v>
                </c:pt>
                <c:pt idx="130">
                  <c:v>123.503477753422</c:v>
                </c:pt>
                <c:pt idx="131">
                  <c:v>122.00712806627401</c:v>
                </c:pt>
                <c:pt idx="132">
                  <c:v>119.100770801699</c:v>
                </c:pt>
                <c:pt idx="133">
                  <c:v>123.638972958314</c:v>
                </c:pt>
                <c:pt idx="134">
                  <c:v>125.341584314786</c:v>
                </c:pt>
                <c:pt idx="135">
                  <c:v>128.87776024088399</c:v>
                </c:pt>
                <c:pt idx="136">
                  <c:v>131.706010758921</c:v>
                </c:pt>
                <c:pt idx="137">
                  <c:v>131.49505575936999</c:v>
                </c:pt>
                <c:pt idx="138">
                  <c:v>131.28126053645801</c:v>
                </c:pt>
                <c:pt idx="139">
                  <c:v>130.16053590698499</c:v>
                </c:pt>
                <c:pt idx="140">
                  <c:v>131.01320876101099</c:v>
                </c:pt>
                <c:pt idx="141">
                  <c:v>135.51661744758701</c:v>
                </c:pt>
                <c:pt idx="142">
                  <c:v>128.33089242621401</c:v>
                </c:pt>
                <c:pt idx="143">
                  <c:v>127.87287815233699</c:v>
                </c:pt>
                <c:pt idx="144">
                  <c:v>127.24694810778399</c:v>
                </c:pt>
                <c:pt idx="145">
                  <c:v>129.94824169211401</c:v>
                </c:pt>
                <c:pt idx="146">
                  <c:v>127.959269532018</c:v>
                </c:pt>
                <c:pt idx="147">
                  <c:v>125.46915117828701</c:v>
                </c:pt>
                <c:pt idx="148">
                  <c:v>124.08150684525199</c:v>
                </c:pt>
                <c:pt idx="149">
                  <c:v>122.812103403332</c:v>
                </c:pt>
                <c:pt idx="150">
                  <c:v>123.08068087917</c:v>
                </c:pt>
                <c:pt idx="151">
                  <c:v>122.06478061164999</c:v>
                </c:pt>
                <c:pt idx="152">
                  <c:v>117.17215853517401</c:v>
                </c:pt>
                <c:pt idx="153">
                  <c:v>115.99646804738499</c:v>
                </c:pt>
                <c:pt idx="154">
                  <c:v>115.422792829025</c:v>
                </c:pt>
                <c:pt idx="155">
                  <c:v>115.082028659084</c:v>
                </c:pt>
                <c:pt idx="156">
                  <c:v>112.77959083219601</c:v>
                </c:pt>
                <c:pt idx="157">
                  <c:v>118.17511636459299</c:v>
                </c:pt>
                <c:pt idx="158">
                  <c:v>123.10127336229</c:v>
                </c:pt>
                <c:pt idx="159">
                  <c:v>123.855212279648</c:v>
                </c:pt>
                <c:pt idx="160">
                  <c:v>124.008636730638</c:v>
                </c:pt>
                <c:pt idx="161">
                  <c:v>125.02759909813</c:v>
                </c:pt>
                <c:pt idx="162">
                  <c:v>125.726895497874</c:v>
                </c:pt>
                <c:pt idx="163">
                  <c:v>126.36617996540799</c:v>
                </c:pt>
                <c:pt idx="164">
                  <c:v>125.684007498285</c:v>
                </c:pt>
                <c:pt idx="165">
                  <c:v>118.86678842404</c:v>
                </c:pt>
                <c:pt idx="166">
                  <c:v>125.75990370315</c:v>
                </c:pt>
                <c:pt idx="167">
                  <c:v>124.799345500671</c:v>
                </c:pt>
                <c:pt idx="168">
                  <c:v>122.20683768950001</c:v>
                </c:pt>
                <c:pt idx="169">
                  <c:v>121.009836420193</c:v>
                </c:pt>
                <c:pt idx="170">
                  <c:v>120.389987218576</c:v>
                </c:pt>
                <c:pt idx="171">
                  <c:v>121.324735744506</c:v>
                </c:pt>
                <c:pt idx="172">
                  <c:v>122.57458170083</c:v>
                </c:pt>
                <c:pt idx="173">
                  <c:v>124.001006947322</c:v>
                </c:pt>
                <c:pt idx="174">
                  <c:v>124.37056573643299</c:v>
                </c:pt>
                <c:pt idx="175">
                  <c:v>123.81815204975</c:v>
                </c:pt>
                <c:pt idx="176">
                  <c:v>123.597115593496</c:v>
                </c:pt>
                <c:pt idx="177">
                  <c:v>118.150591819594</c:v>
                </c:pt>
                <c:pt idx="178">
                  <c:v>123.03210085544799</c:v>
                </c:pt>
                <c:pt idx="179">
                  <c:v>122.005881831246</c:v>
                </c:pt>
                <c:pt idx="180">
                  <c:v>122.537876192228</c:v>
                </c:pt>
                <c:pt idx="181">
                  <c:v>119.168941481053</c:v>
                </c:pt>
                <c:pt idx="182">
                  <c:v>115.59958855089501</c:v>
                </c:pt>
                <c:pt idx="183">
                  <c:v>114.415171184573</c:v>
                </c:pt>
                <c:pt idx="184">
                  <c:v>114.402354953594</c:v>
                </c:pt>
                <c:pt idx="185">
                  <c:v>114.609927875938</c:v>
                </c:pt>
                <c:pt idx="186">
                  <c:v>114.99605533079399</c:v>
                </c:pt>
                <c:pt idx="187">
                  <c:v>115.798063166609</c:v>
                </c:pt>
                <c:pt idx="188">
                  <c:v>116.999986040598</c:v>
                </c:pt>
                <c:pt idx="189">
                  <c:v>114.427656813154</c:v>
                </c:pt>
                <c:pt idx="190">
                  <c:v>117.361991882289</c:v>
                </c:pt>
                <c:pt idx="191">
                  <c:v>117.933480701891</c:v>
                </c:pt>
                <c:pt idx="192">
                  <c:v>119.429101249948</c:v>
                </c:pt>
                <c:pt idx="193">
                  <c:v>120.47233066337201</c:v>
                </c:pt>
                <c:pt idx="194">
                  <c:v>119.613413194578</c:v>
                </c:pt>
                <c:pt idx="195">
                  <c:v>118.724236471816</c:v>
                </c:pt>
                <c:pt idx="196">
                  <c:v>117.30307728568</c:v>
                </c:pt>
                <c:pt idx="197">
                  <c:v>116.542491938293</c:v>
                </c:pt>
                <c:pt idx="198">
                  <c:v>115.814377639109</c:v>
                </c:pt>
                <c:pt idx="199">
                  <c:v>115.589311849954</c:v>
                </c:pt>
                <c:pt idx="200">
                  <c:v>114.544252255598</c:v>
                </c:pt>
                <c:pt idx="201">
                  <c:v>112.63477180794099</c:v>
                </c:pt>
                <c:pt idx="202">
                  <c:v>112.95631989913301</c:v>
                </c:pt>
                <c:pt idx="203">
                  <c:v>112.88005622394201</c:v>
                </c:pt>
                <c:pt idx="204">
                  <c:v>118.51074631533299</c:v>
                </c:pt>
                <c:pt idx="205">
                  <c:v>119.953253729151</c:v>
                </c:pt>
                <c:pt idx="206">
                  <c:v>121.595004815289</c:v>
                </c:pt>
                <c:pt idx="207">
                  <c:v>121.03857118099999</c:v>
                </c:pt>
                <c:pt idx="208">
                  <c:v>121.039927508235</c:v>
                </c:pt>
                <c:pt idx="209">
                  <c:v>119.905055525664</c:v>
                </c:pt>
                <c:pt idx="210">
                  <c:v>119.779230259187</c:v>
                </c:pt>
                <c:pt idx="211">
                  <c:v>119.32969960938399</c:v>
                </c:pt>
                <c:pt idx="212">
                  <c:v>119.241370612419</c:v>
                </c:pt>
                <c:pt idx="213">
                  <c:v>118.9818318864</c:v>
                </c:pt>
                <c:pt idx="214">
                  <c:v>121.609337943415</c:v>
                </c:pt>
                <c:pt idx="215">
                  <c:v>121.295303308824</c:v>
                </c:pt>
                <c:pt idx="216">
                  <c:v>123.22555304469201</c:v>
                </c:pt>
                <c:pt idx="217">
                  <c:v>123.774818110674</c:v>
                </c:pt>
                <c:pt idx="218">
                  <c:v>125.726883530984</c:v>
                </c:pt>
                <c:pt idx="219">
                  <c:v>127.44031029136301</c:v>
                </c:pt>
                <c:pt idx="220">
                  <c:v>128.93173833755</c:v>
                </c:pt>
                <c:pt idx="221">
                  <c:v>130.92496368906399</c:v>
                </c:pt>
                <c:pt idx="222">
                  <c:v>131.49617408181399</c:v>
                </c:pt>
                <c:pt idx="223">
                  <c:v>131.70051509162101</c:v>
                </c:pt>
                <c:pt idx="224">
                  <c:v>132.22675393877</c:v>
                </c:pt>
                <c:pt idx="225">
                  <c:v>132.225337002207</c:v>
                </c:pt>
                <c:pt idx="226">
                  <c:v>132.41234528170301</c:v>
                </c:pt>
                <c:pt idx="227">
                  <c:v>131.39554439114201</c:v>
                </c:pt>
                <c:pt idx="228">
                  <c:v>131.32457477378699</c:v>
                </c:pt>
                <c:pt idx="229">
                  <c:v>132.418546065394</c:v>
                </c:pt>
                <c:pt idx="230">
                  <c:v>134.83507016273001</c:v>
                </c:pt>
                <c:pt idx="231">
                  <c:v>138.36207510075999</c:v>
                </c:pt>
                <c:pt idx="232">
                  <c:v>141.59925313268599</c:v>
                </c:pt>
                <c:pt idx="233">
                  <c:v>145.04328921049401</c:v>
                </c:pt>
                <c:pt idx="234">
                  <c:v>149.46264793293</c:v>
                </c:pt>
                <c:pt idx="235">
                  <c:v>152.042778093891</c:v>
                </c:pt>
                <c:pt idx="236">
                  <c:v>154.05478231917201</c:v>
                </c:pt>
                <c:pt idx="237">
                  <c:v>154.763622317086</c:v>
                </c:pt>
                <c:pt idx="238">
                  <c:v>158.675015213823</c:v>
                </c:pt>
                <c:pt idx="239">
                  <c:v>156.686636800787</c:v>
                </c:pt>
                <c:pt idx="240">
                  <c:v>154.61120129336601</c:v>
                </c:pt>
                <c:pt idx="241">
                  <c:v>148.09762321429301</c:v>
                </c:pt>
                <c:pt idx="242">
                  <c:v>149.797853322859</c:v>
                </c:pt>
                <c:pt idx="243">
                  <c:v>153.194361744334</c:v>
                </c:pt>
                <c:pt idx="244">
                  <c:v>154.45589637314001</c:v>
                </c:pt>
                <c:pt idx="245">
                  <c:v>155.44612441404101</c:v>
                </c:pt>
                <c:pt idx="246">
                  <c:v>155.22994568891599</c:v>
                </c:pt>
                <c:pt idx="247">
                  <c:v>156.03069273240601</c:v>
                </c:pt>
                <c:pt idx="248">
                  <c:v>156.701108149654</c:v>
                </c:pt>
                <c:pt idx="249">
                  <c:v>157.470064729923</c:v>
                </c:pt>
                <c:pt idx="250">
                  <c:v>163.77864100173699</c:v>
                </c:pt>
                <c:pt idx="251">
                  <c:v>163.091615320025</c:v>
                </c:pt>
                <c:pt idx="252">
                  <c:v>156.86300860498301</c:v>
                </c:pt>
                <c:pt idx="253">
                  <c:v>154.74664309005701</c:v>
                </c:pt>
                <c:pt idx="254">
                  <c:v>157.397771856259</c:v>
                </c:pt>
                <c:pt idx="255">
                  <c:v>159.690238491249</c:v>
                </c:pt>
                <c:pt idx="256">
                  <c:v>160.28459204939699</c:v>
                </c:pt>
                <c:pt idx="257">
                  <c:v>161.46816381159999</c:v>
                </c:pt>
                <c:pt idx="258">
                  <c:v>162.35071856911401</c:v>
                </c:pt>
                <c:pt idx="259">
                  <c:v>162.965962802196</c:v>
                </c:pt>
                <c:pt idx="260">
                  <c:v>163.30800153709799</c:v>
                </c:pt>
                <c:pt idx="261">
                  <c:v>162.50672737415499</c:v>
                </c:pt>
                <c:pt idx="262">
                  <c:v>173.445992210757</c:v>
                </c:pt>
                <c:pt idx="263">
                  <c:v>169.50585494903601</c:v>
                </c:pt>
                <c:pt idx="264">
                  <c:v>171.24108919227899</c:v>
                </c:pt>
                <c:pt idx="265">
                  <c:v>172.46443423097901</c:v>
                </c:pt>
                <c:pt idx="266">
                  <c:v>174.73799767793801</c:v>
                </c:pt>
                <c:pt idx="267">
                  <c:v>175.03396956922001</c:v>
                </c:pt>
                <c:pt idx="268">
                  <c:v>175.23977368822599</c:v>
                </c:pt>
                <c:pt idx="269">
                  <c:v>174.88588203703699</c:v>
                </c:pt>
                <c:pt idx="270">
                  <c:v>174.80166161641901</c:v>
                </c:pt>
                <c:pt idx="271">
                  <c:v>175.05124894071301</c:v>
                </c:pt>
                <c:pt idx="272">
                  <c:v>175.282649119989</c:v>
                </c:pt>
                <c:pt idx="273">
                  <c:v>181.08128861175601</c:v>
                </c:pt>
                <c:pt idx="274">
                  <c:v>172.780205416391</c:v>
                </c:pt>
                <c:pt idx="275">
                  <c:v>173.19773442139899</c:v>
                </c:pt>
                <c:pt idx="276">
                  <c:v>171.136785781431</c:v>
                </c:pt>
                <c:pt idx="277">
                  <c:v>173.30753719320199</c:v>
                </c:pt>
                <c:pt idx="278">
                  <c:v>172.97665138903</c:v>
                </c:pt>
                <c:pt idx="279">
                  <c:v>171.858208175051</c:v>
                </c:pt>
                <c:pt idx="280">
                  <c:v>171.79801400914599</c:v>
                </c:pt>
                <c:pt idx="281">
                  <c:v>170.867018175819</c:v>
                </c:pt>
                <c:pt idx="282">
                  <c:v>170.99195358701201</c:v>
                </c:pt>
                <c:pt idx="283">
                  <c:v>172.547619909437</c:v>
                </c:pt>
                <c:pt idx="284">
                  <c:v>173.360130858068</c:v>
                </c:pt>
                <c:pt idx="285">
                  <c:v>176.311872074885</c:v>
                </c:pt>
                <c:pt idx="286">
                  <c:v>174.84326639592001</c:v>
                </c:pt>
                <c:pt idx="287">
                  <c:v>170.76495592966401</c:v>
                </c:pt>
                <c:pt idx="288">
                  <c:v>182.14116929366</c:v>
                </c:pt>
                <c:pt idx="289">
                  <c:v>177.53566764668199</c:v>
                </c:pt>
                <c:pt idx="290">
                  <c:v>176.18265825579499</c:v>
                </c:pt>
                <c:pt idx="291">
                  <c:v>175.11086210755201</c:v>
                </c:pt>
                <c:pt idx="292">
                  <c:v>174.157122869288</c:v>
                </c:pt>
                <c:pt idx="293">
                  <c:v>172.453013966615</c:v>
                </c:pt>
                <c:pt idx="294">
                  <c:v>171.43599432012201</c:v>
                </c:pt>
                <c:pt idx="295">
                  <c:v>170.10477891347099</c:v>
                </c:pt>
                <c:pt idx="296">
                  <c:v>170.68003859767899</c:v>
                </c:pt>
                <c:pt idx="297">
                  <c:v>174.65305850493201</c:v>
                </c:pt>
                <c:pt idx="298">
                  <c:v>171.57298621297701</c:v>
                </c:pt>
                <c:pt idx="299">
                  <c:v>168.77187743234401</c:v>
                </c:pt>
                <c:pt idx="300">
                  <c:v>170.316095560072</c:v>
                </c:pt>
                <c:pt idx="301">
                  <c:v>164.57769568768001</c:v>
                </c:pt>
                <c:pt idx="302">
                  <c:v>164.993617632096</c:v>
                </c:pt>
                <c:pt idx="303">
                  <c:v>167.13669018752501</c:v>
                </c:pt>
                <c:pt idx="304">
                  <c:v>168.41336492389499</c:v>
                </c:pt>
                <c:pt idx="305">
                  <c:v>170.42960693614501</c:v>
                </c:pt>
                <c:pt idx="306">
                  <c:v>171.366184649042</c:v>
                </c:pt>
                <c:pt idx="307">
                  <c:v>170.118869454215</c:v>
                </c:pt>
                <c:pt idx="308">
                  <c:v>168.157335561275</c:v>
                </c:pt>
                <c:pt idx="309">
                  <c:v>166.90475053291101</c:v>
                </c:pt>
                <c:pt idx="310">
                  <c:v>165.06833632594601</c:v>
                </c:pt>
                <c:pt idx="311">
                  <c:v>165.546733786407</c:v>
                </c:pt>
                <c:pt idx="312">
                  <c:v>166.06268783242899</c:v>
                </c:pt>
                <c:pt idx="313">
                  <c:v>166.542030900203</c:v>
                </c:pt>
                <c:pt idx="314">
                  <c:v>166.30142270514699</c:v>
                </c:pt>
                <c:pt idx="315">
                  <c:v>164.11851907034799</c:v>
                </c:pt>
                <c:pt idx="316">
                  <c:v>162.43869840425501</c:v>
                </c:pt>
                <c:pt idx="317">
                  <c:v>160.81696945524601</c:v>
                </c:pt>
                <c:pt idx="318">
                  <c:v>159.23463444119</c:v>
                </c:pt>
                <c:pt idx="319">
                  <c:v>161.08428905853299</c:v>
                </c:pt>
                <c:pt idx="320">
                  <c:v>160.362847809447</c:v>
                </c:pt>
                <c:pt idx="321">
                  <c:v>159.52021734213699</c:v>
                </c:pt>
                <c:pt idx="322">
                  <c:v>155.63527827756999</c:v>
                </c:pt>
                <c:pt idx="323">
                  <c:v>154.332749596621</c:v>
                </c:pt>
                <c:pt idx="324">
                  <c:v>155.81791060829499</c:v>
                </c:pt>
                <c:pt idx="325">
                  <c:v>154.36316548940999</c:v>
                </c:pt>
                <c:pt idx="326">
                  <c:v>156.174873770353</c:v>
                </c:pt>
                <c:pt idx="327">
                  <c:v>158.58899684495199</c:v>
                </c:pt>
                <c:pt idx="328">
                  <c:v>159.55752940162401</c:v>
                </c:pt>
                <c:pt idx="329">
                  <c:v>160.442137598578</c:v>
                </c:pt>
                <c:pt idx="330">
                  <c:v>161.48625518970599</c:v>
                </c:pt>
                <c:pt idx="331">
                  <c:v>161.56428371556501</c:v>
                </c:pt>
                <c:pt idx="332">
                  <c:v>163.74949435216999</c:v>
                </c:pt>
                <c:pt idx="333">
                  <c:v>166.35753648309301</c:v>
                </c:pt>
                <c:pt idx="334">
                  <c:v>169.94870682390399</c:v>
                </c:pt>
                <c:pt idx="335">
                  <c:v>170.37228535696201</c:v>
                </c:pt>
                <c:pt idx="336">
                  <c:v>171.503428292992</c:v>
                </c:pt>
                <c:pt idx="337">
                  <c:v>172.99568640270701</c:v>
                </c:pt>
                <c:pt idx="338">
                  <c:v>171.77145950608599</c:v>
                </c:pt>
                <c:pt idx="339">
                  <c:v>168.784722216495</c:v>
                </c:pt>
                <c:pt idx="340">
                  <c:v>170.47548095037101</c:v>
                </c:pt>
                <c:pt idx="341">
                  <c:v>170.184135315926</c:v>
                </c:pt>
                <c:pt idx="342">
                  <c:v>169.516512264206</c:v>
                </c:pt>
                <c:pt idx="343">
                  <c:v>169.15610775509199</c:v>
                </c:pt>
                <c:pt idx="344">
                  <c:v>168.26828798800199</c:v>
                </c:pt>
                <c:pt idx="345">
                  <c:v>166.65995815429599</c:v>
                </c:pt>
                <c:pt idx="346">
                  <c:v>164.25655760655701</c:v>
                </c:pt>
                <c:pt idx="347">
                  <c:v>162.38622162107399</c:v>
                </c:pt>
                <c:pt idx="348">
                  <c:v>157.830168547634</c:v>
                </c:pt>
                <c:pt idx="349">
                  <c:v>159.03853874165699</c:v>
                </c:pt>
                <c:pt idx="350">
                  <c:v>157.23110829621899</c:v>
                </c:pt>
                <c:pt idx="351">
                  <c:v>155.45123138437401</c:v>
                </c:pt>
                <c:pt idx="352">
                  <c:v>154.39397080718101</c:v>
                </c:pt>
                <c:pt idx="353">
                  <c:v>153.485591509703</c:v>
                </c:pt>
                <c:pt idx="354">
                  <c:v>152.624165796585</c:v>
                </c:pt>
                <c:pt idx="355">
                  <c:v>151.22467049805201</c:v>
                </c:pt>
                <c:pt idx="356">
                  <c:v>149.380725045806</c:v>
                </c:pt>
                <c:pt idx="357">
                  <c:v>148.67134394727</c:v>
                </c:pt>
                <c:pt idx="358">
                  <c:v>146.21379931553099</c:v>
                </c:pt>
                <c:pt idx="359">
                  <c:v>143.47613521134801</c:v>
                </c:pt>
                <c:pt idx="360">
                  <c:v>146.843567754726</c:v>
                </c:pt>
                <c:pt idx="361">
                  <c:v>145.434143615403</c:v>
                </c:pt>
                <c:pt idx="362">
                  <c:v>145.01324768824199</c:v>
                </c:pt>
                <c:pt idx="363">
                  <c:v>144.953071020811</c:v>
                </c:pt>
                <c:pt idx="364">
                  <c:v>145.84868505059501</c:v>
                </c:pt>
                <c:pt idx="365">
                  <c:v>146.928417296693</c:v>
                </c:pt>
                <c:pt idx="366">
                  <c:v>149.634632942373</c:v>
                </c:pt>
                <c:pt idx="367">
                  <c:v>152.77427947515</c:v>
                </c:pt>
                <c:pt idx="368">
                  <c:v>150.664249388461</c:v>
                </c:pt>
                <c:pt idx="369">
                  <c:v>147.482706531801</c:v>
                </c:pt>
                <c:pt idx="370">
                  <c:v>146.08568726851999</c:v>
                </c:pt>
                <c:pt idx="371">
                  <c:v>146.500729708146</c:v>
                </c:pt>
                <c:pt idx="372">
                  <c:v>146.54408261821899</c:v>
                </c:pt>
                <c:pt idx="373">
                  <c:v>148.60012342164001</c:v>
                </c:pt>
                <c:pt idx="374">
                  <c:v>148.28415612465801</c:v>
                </c:pt>
                <c:pt idx="375">
                  <c:v>147.143491675018</c:v>
                </c:pt>
                <c:pt idx="376">
                  <c:v>145.28292279262601</c:v>
                </c:pt>
                <c:pt idx="377">
                  <c:v>143.184893488249</c:v>
                </c:pt>
                <c:pt idx="378">
                  <c:v>142.35268599687501</c:v>
                </c:pt>
                <c:pt idx="379">
                  <c:v>141.33113509093801</c:v>
                </c:pt>
                <c:pt idx="380">
                  <c:v>140.186034307282</c:v>
                </c:pt>
                <c:pt idx="381">
                  <c:v>137.23670624859599</c:v>
                </c:pt>
                <c:pt idx="382">
                  <c:v>136.54728522600999</c:v>
                </c:pt>
                <c:pt idx="383">
                  <c:v>137.87539902354399</c:v>
                </c:pt>
                <c:pt idx="384">
                  <c:v>135.01263826071599</c:v>
                </c:pt>
                <c:pt idx="385">
                  <c:v>138.57643097984001</c:v>
                </c:pt>
                <c:pt idx="386">
                  <c:v>138.10589964739501</c:v>
                </c:pt>
                <c:pt idx="387">
                  <c:v>137.852390212383</c:v>
                </c:pt>
                <c:pt idx="388">
                  <c:v>136.99993692318699</c:v>
                </c:pt>
                <c:pt idx="389">
                  <c:v>136.92472865138799</c:v>
                </c:pt>
                <c:pt idx="390">
                  <c:v>135.80227747171699</c:v>
                </c:pt>
                <c:pt idx="391">
                  <c:v>136.08384084582201</c:v>
                </c:pt>
                <c:pt idx="392">
                  <c:v>135.538621298783</c:v>
                </c:pt>
                <c:pt idx="393">
                  <c:v>137.95966408344901</c:v>
                </c:pt>
                <c:pt idx="394">
                  <c:v>138.959081300343</c:v>
                </c:pt>
                <c:pt idx="395">
                  <c:v>143.03656205196799</c:v>
                </c:pt>
                <c:pt idx="396">
                  <c:v>135.908421293825</c:v>
                </c:pt>
                <c:pt idx="397">
                  <c:v>127.40448552170299</c:v>
                </c:pt>
                <c:pt idx="398">
                  <c:v>128.90083777152901</c:v>
                </c:pt>
                <c:pt idx="399">
                  <c:v>128.85751629477099</c:v>
                </c:pt>
                <c:pt idx="400">
                  <c:v>129.35470233132401</c:v>
                </c:pt>
                <c:pt idx="401">
                  <c:v>130.44845129034101</c:v>
                </c:pt>
                <c:pt idx="402">
                  <c:v>129.50691155989</c:v>
                </c:pt>
                <c:pt idx="403">
                  <c:v>129.09507364040499</c:v>
                </c:pt>
                <c:pt idx="404">
                  <c:v>129.46294569274301</c:v>
                </c:pt>
                <c:pt idx="405">
                  <c:v>129.35398362202099</c:v>
                </c:pt>
                <c:pt idx="406">
                  <c:v>129.10188786911701</c:v>
                </c:pt>
                <c:pt idx="407">
                  <c:v>128.25677329861799</c:v>
                </c:pt>
                <c:pt idx="408">
                  <c:v>125.56238206480501</c:v>
                </c:pt>
                <c:pt idx="409">
                  <c:v>121.695953778994</c:v>
                </c:pt>
                <c:pt idx="410">
                  <c:v>122.626691922074</c:v>
                </c:pt>
                <c:pt idx="411">
                  <c:v>122.416961571992</c:v>
                </c:pt>
                <c:pt idx="412">
                  <c:v>122.294063908075</c:v>
                </c:pt>
                <c:pt idx="413">
                  <c:v>122.079516306716</c:v>
                </c:pt>
                <c:pt idx="414">
                  <c:v>121.16469481366499</c:v>
                </c:pt>
                <c:pt idx="415">
                  <c:v>121.449474806295</c:v>
                </c:pt>
                <c:pt idx="416">
                  <c:v>120.819292650704</c:v>
                </c:pt>
                <c:pt idx="417">
                  <c:v>120.447573339001</c:v>
                </c:pt>
                <c:pt idx="418">
                  <c:v>119.361684524297</c:v>
                </c:pt>
                <c:pt idx="419">
                  <c:v>118.352110429115</c:v>
                </c:pt>
                <c:pt idx="420">
                  <c:v>118.309222748853</c:v>
                </c:pt>
                <c:pt idx="421">
                  <c:v>116.192433792138</c:v>
                </c:pt>
                <c:pt idx="422">
                  <c:v>117.738536693019</c:v>
                </c:pt>
                <c:pt idx="423">
                  <c:v>116.883583752734</c:v>
                </c:pt>
                <c:pt idx="424">
                  <c:v>115.871809567973</c:v>
                </c:pt>
                <c:pt idx="425">
                  <c:v>114.43916422975499</c:v>
                </c:pt>
                <c:pt idx="426">
                  <c:v>114.824904693497</c:v>
                </c:pt>
                <c:pt idx="427">
                  <c:v>112.624804853908</c:v>
                </c:pt>
                <c:pt idx="428">
                  <c:v>111.166555623371</c:v>
                </c:pt>
                <c:pt idx="429">
                  <c:v>111.090354342327</c:v>
                </c:pt>
                <c:pt idx="430">
                  <c:v>111.17088542786399</c:v>
                </c:pt>
                <c:pt idx="431">
                  <c:v>109.245660976442</c:v>
                </c:pt>
                <c:pt idx="432">
                  <c:v>113.780513800786</c:v>
                </c:pt>
                <c:pt idx="433">
                  <c:v>111.078597064592</c:v>
                </c:pt>
                <c:pt idx="434">
                  <c:v>111.13276009590101</c:v>
                </c:pt>
                <c:pt idx="435">
                  <c:v>111.344407422176</c:v>
                </c:pt>
                <c:pt idx="436">
                  <c:v>111.551338085704</c:v>
                </c:pt>
                <c:pt idx="437">
                  <c:v>111.656805703872</c:v>
                </c:pt>
                <c:pt idx="438">
                  <c:v>111.62453262056199</c:v>
                </c:pt>
                <c:pt idx="439">
                  <c:v>111.00609642436</c:v>
                </c:pt>
                <c:pt idx="440">
                  <c:v>110.31374716936899</c:v>
                </c:pt>
                <c:pt idx="441">
                  <c:v>107.991623527596</c:v>
                </c:pt>
                <c:pt idx="442">
                  <c:v>108.559346512758</c:v>
                </c:pt>
                <c:pt idx="443">
                  <c:v>109.785809616248</c:v>
                </c:pt>
                <c:pt idx="444">
                  <c:v>105.394248836768</c:v>
                </c:pt>
                <c:pt idx="445">
                  <c:v>105.99839281570399</c:v>
                </c:pt>
                <c:pt idx="446">
                  <c:v>106.757835928059</c:v>
                </c:pt>
                <c:pt idx="447">
                  <c:v>107.41645366995</c:v>
                </c:pt>
                <c:pt idx="448">
                  <c:v>107.674554138742</c:v>
                </c:pt>
                <c:pt idx="449">
                  <c:v>108.165398398184</c:v>
                </c:pt>
                <c:pt idx="450">
                  <c:v>107.595489611546</c:v>
                </c:pt>
                <c:pt idx="451">
                  <c:v>107.67682551884999</c:v>
                </c:pt>
                <c:pt idx="452">
                  <c:v>107.076591449867</c:v>
                </c:pt>
                <c:pt idx="453">
                  <c:v>105.141162895835</c:v>
                </c:pt>
                <c:pt idx="454">
                  <c:v>106.397793222066</c:v>
                </c:pt>
                <c:pt idx="455">
                  <c:v>106.19721184182799</c:v>
                </c:pt>
                <c:pt idx="456">
                  <c:v>106.99003855407901</c:v>
                </c:pt>
                <c:pt idx="457">
                  <c:v>106.269127229727</c:v>
                </c:pt>
                <c:pt idx="458">
                  <c:v>104.844522007959</c:v>
                </c:pt>
                <c:pt idx="459">
                  <c:v>104.20299458175</c:v>
                </c:pt>
                <c:pt idx="460">
                  <c:v>104.57087404131801</c:v>
                </c:pt>
                <c:pt idx="461">
                  <c:v>104.915505170415</c:v>
                </c:pt>
                <c:pt idx="462">
                  <c:v>104.95370822544</c:v>
                </c:pt>
                <c:pt idx="463">
                  <c:v>104.35106506426899</c:v>
                </c:pt>
                <c:pt idx="464">
                  <c:v>104.234647656272</c:v>
                </c:pt>
                <c:pt idx="465">
                  <c:v>100.81837202248499</c:v>
                </c:pt>
                <c:pt idx="466">
                  <c:v>102.843683330552</c:v>
                </c:pt>
                <c:pt idx="467">
                  <c:v>101.96183958718299</c:v>
                </c:pt>
                <c:pt idx="468">
                  <c:v>102.066740032233</c:v>
                </c:pt>
                <c:pt idx="469">
                  <c:v>99.953573898666207</c:v>
                </c:pt>
                <c:pt idx="470">
                  <c:v>99.719812487531399</c:v>
                </c:pt>
                <c:pt idx="471">
                  <c:v>99.323699425031805</c:v>
                </c:pt>
                <c:pt idx="472">
                  <c:v>95.982691349692701</c:v>
                </c:pt>
                <c:pt idx="473">
                  <c:v>93.597110916343098</c:v>
                </c:pt>
                <c:pt idx="474">
                  <c:v>92.371770837023206</c:v>
                </c:pt>
                <c:pt idx="475">
                  <c:v>92.270072323152107</c:v>
                </c:pt>
                <c:pt idx="476">
                  <c:v>91.735053771120803</c:v>
                </c:pt>
                <c:pt idx="477">
                  <c:v>86.957619727893302</c:v>
                </c:pt>
                <c:pt idx="478">
                  <c:v>90.379282820580897</c:v>
                </c:pt>
                <c:pt idx="479">
                  <c:v>92.1805809270559</c:v>
                </c:pt>
                <c:pt idx="480">
                  <c:v>95.959874660886101</c:v>
                </c:pt>
                <c:pt idx="481">
                  <c:v>91.229494740525396</c:v>
                </c:pt>
                <c:pt idx="482">
                  <c:v>91.635295503532603</c:v>
                </c:pt>
                <c:pt idx="483">
                  <c:v>92.297092233704106</c:v>
                </c:pt>
                <c:pt idx="484">
                  <c:v>94.061913050789002</c:v>
                </c:pt>
                <c:pt idx="485">
                  <c:v>95.663173824205401</c:v>
                </c:pt>
                <c:pt idx="486">
                  <c:v>95.827540555777802</c:v>
                </c:pt>
                <c:pt idx="487">
                  <c:v>94.260167042686902</c:v>
                </c:pt>
                <c:pt idx="488">
                  <c:v>93.661626727554093</c:v>
                </c:pt>
                <c:pt idx="489">
                  <c:v>84.4661050115607</c:v>
                </c:pt>
                <c:pt idx="490">
                  <c:v>87.382683920382206</c:v>
                </c:pt>
                <c:pt idx="491">
                  <c:v>90.1645396504817</c:v>
                </c:pt>
                <c:pt idx="492">
                  <c:v>97.001316641795199</c:v>
                </c:pt>
                <c:pt idx="493">
                  <c:v>89.358336814301694</c:v>
                </c:pt>
                <c:pt idx="494">
                  <c:v>87.565091388518596</c:v>
                </c:pt>
                <c:pt idx="495">
                  <c:v>85.780578008220502</c:v>
                </c:pt>
                <c:pt idx="496">
                  <c:v>83.933120758834605</c:v>
                </c:pt>
                <c:pt idx="497">
                  <c:v>83.275165780415406</c:v>
                </c:pt>
                <c:pt idx="498">
                  <c:v>82.401201629550698</c:v>
                </c:pt>
                <c:pt idx="499">
                  <c:v>82.891855443465303</c:v>
                </c:pt>
                <c:pt idx="500">
                  <c:v>82.660881692275794</c:v>
                </c:pt>
                <c:pt idx="501">
                  <c:v>85.747432367080094</c:v>
                </c:pt>
                <c:pt idx="502">
                  <c:v>85.220928442156705</c:v>
                </c:pt>
                <c:pt idx="503">
                  <c:v>83.136209738450702</c:v>
                </c:pt>
                <c:pt idx="504">
                  <c:v>82.128051830777494</c:v>
                </c:pt>
                <c:pt idx="505">
                  <c:v>83.401759102224503</c:v>
                </c:pt>
                <c:pt idx="506">
                  <c:v>82.235997626590105</c:v>
                </c:pt>
                <c:pt idx="507">
                  <c:v>82.764327127190796</c:v>
                </c:pt>
                <c:pt idx="508">
                  <c:v>83.298566519944004</c:v>
                </c:pt>
                <c:pt idx="509">
                  <c:v>81.513010035090105</c:v>
                </c:pt>
                <c:pt idx="510">
                  <c:v>82.463994883340703</c:v>
                </c:pt>
                <c:pt idx="511">
                  <c:v>82.880902981596705</c:v>
                </c:pt>
                <c:pt idx="512">
                  <c:v>84.230309865820104</c:v>
                </c:pt>
                <c:pt idx="513">
                  <c:v>85.457019844772304</c:v>
                </c:pt>
                <c:pt idx="514">
                  <c:v>86.053091410132097</c:v>
                </c:pt>
                <c:pt idx="515">
                  <c:v>82.846632609644004</c:v>
                </c:pt>
                <c:pt idx="516">
                  <c:v>82.613079527479201</c:v>
                </c:pt>
                <c:pt idx="517">
                  <c:v>81.435096561251797</c:v>
                </c:pt>
                <c:pt idx="518">
                  <c:v>81.400673606016198</c:v>
                </c:pt>
                <c:pt idx="519">
                  <c:v>81.392153996734905</c:v>
                </c:pt>
                <c:pt idx="520">
                  <c:v>82.924882130090495</c:v>
                </c:pt>
                <c:pt idx="521">
                  <c:v>83.688118618263303</c:v>
                </c:pt>
                <c:pt idx="522">
                  <c:v>82.718040073491593</c:v>
                </c:pt>
                <c:pt idx="523">
                  <c:v>81.765885307199994</c:v>
                </c:pt>
                <c:pt idx="524">
                  <c:v>80.988285609174795</c:v>
                </c:pt>
                <c:pt idx="525">
                  <c:v>83.446529678669506</c:v>
                </c:pt>
                <c:pt idx="526">
                  <c:v>85.184484580558404</c:v>
                </c:pt>
                <c:pt idx="527">
                  <c:v>83.190350815008799</c:v>
                </c:pt>
                <c:pt idx="528">
                  <c:v>82.501933713427505</c:v>
                </c:pt>
                <c:pt idx="529">
                  <c:v>82.8480745803204</c:v>
                </c:pt>
                <c:pt idx="530">
                  <c:v>83.061138660325597</c:v>
                </c:pt>
                <c:pt idx="531">
                  <c:v>82.920579290416697</c:v>
                </c:pt>
                <c:pt idx="532">
                  <c:v>83.064953019889003</c:v>
                </c:pt>
                <c:pt idx="533">
                  <c:v>83.840827197940996</c:v>
                </c:pt>
                <c:pt idx="534">
                  <c:v>83.465967815726799</c:v>
                </c:pt>
                <c:pt idx="535">
                  <c:v>83.778500421863995</c:v>
                </c:pt>
                <c:pt idx="536">
                  <c:v>83.821355589607705</c:v>
                </c:pt>
                <c:pt idx="537">
                  <c:v>85.349919722607794</c:v>
                </c:pt>
                <c:pt idx="538">
                  <c:v>85.698190334722696</c:v>
                </c:pt>
                <c:pt idx="539">
                  <c:v>85.489728482906699</c:v>
                </c:pt>
                <c:pt idx="540">
                  <c:v>86.845122242793707</c:v>
                </c:pt>
                <c:pt idx="541">
                  <c:v>88.876986388514595</c:v>
                </c:pt>
                <c:pt idx="542">
                  <c:v>90.7058562262512</c:v>
                </c:pt>
                <c:pt idx="543">
                  <c:v>92.365417106783397</c:v>
                </c:pt>
                <c:pt idx="544">
                  <c:v>92.441863428381396</c:v>
                </c:pt>
                <c:pt idx="545">
                  <c:v>93.372598478304099</c:v>
                </c:pt>
                <c:pt idx="546">
                  <c:v>94.575079537110796</c:v>
                </c:pt>
                <c:pt idx="547">
                  <c:v>95.518940998549894</c:v>
                </c:pt>
                <c:pt idx="548">
                  <c:v>96.281376287097203</c:v>
                </c:pt>
                <c:pt idx="549">
                  <c:v>96.233496760713194</c:v>
                </c:pt>
                <c:pt idx="550">
                  <c:v>94.538781716600298</c:v>
                </c:pt>
                <c:pt idx="551">
                  <c:v>92.177346682640106</c:v>
                </c:pt>
                <c:pt idx="552">
                  <c:v>87.669840584403403</c:v>
                </c:pt>
                <c:pt idx="553">
                  <c:v>88.313795757462501</c:v>
                </c:pt>
                <c:pt idx="554">
                  <c:v>88.050960313990601</c:v>
                </c:pt>
                <c:pt idx="555">
                  <c:v>88.311304259069104</c:v>
                </c:pt>
                <c:pt idx="556">
                  <c:v>88.696600719542502</c:v>
                </c:pt>
                <c:pt idx="557">
                  <c:v>89.053883235375494</c:v>
                </c:pt>
                <c:pt idx="558">
                  <c:v>89.186768438999707</c:v>
                </c:pt>
                <c:pt idx="559">
                  <c:v>89.590634456128697</c:v>
                </c:pt>
                <c:pt idx="560">
                  <c:v>89.423805082678101</c:v>
                </c:pt>
                <c:pt idx="561">
                  <c:v>89.4802888888334</c:v>
                </c:pt>
                <c:pt idx="562">
                  <c:v>87.697118454970294</c:v>
                </c:pt>
                <c:pt idx="563">
                  <c:v>86.705452844362497</c:v>
                </c:pt>
                <c:pt idx="564">
                  <c:v>103.507179031549</c:v>
                </c:pt>
                <c:pt idx="565">
                  <c:v>104.193907803868</c:v>
                </c:pt>
                <c:pt idx="566">
                  <c:v>103.003425867969</c:v>
                </c:pt>
                <c:pt idx="567">
                  <c:v>103.396492139668</c:v>
                </c:pt>
                <c:pt idx="568">
                  <c:v>104.205116063868</c:v>
                </c:pt>
                <c:pt idx="569">
                  <c:v>103.71092846233999</c:v>
                </c:pt>
                <c:pt idx="570">
                  <c:v>105.136254955433</c:v>
                </c:pt>
                <c:pt idx="571">
                  <c:v>105.853295225824</c:v>
                </c:pt>
                <c:pt idx="572">
                  <c:v>106.531650440685</c:v>
                </c:pt>
                <c:pt idx="573">
                  <c:v>107.56852111414</c:v>
                </c:pt>
                <c:pt idx="574">
                  <c:v>107.737610022806</c:v>
                </c:pt>
                <c:pt idx="575">
                  <c:v>107.601981129447</c:v>
                </c:pt>
                <c:pt idx="576">
                  <c:v>107.430907436171</c:v>
                </c:pt>
                <c:pt idx="577">
                  <c:v>106.697981309298</c:v>
                </c:pt>
                <c:pt idx="578">
                  <c:v>106.447794663406</c:v>
                </c:pt>
                <c:pt idx="579">
                  <c:v>107.261925331322</c:v>
                </c:pt>
                <c:pt idx="580">
                  <c:v>107.89399158695301</c:v>
                </c:pt>
                <c:pt idx="581">
                  <c:v>109.60812484088299</c:v>
                </c:pt>
                <c:pt idx="582">
                  <c:v>109.512325011085</c:v>
                </c:pt>
                <c:pt idx="583">
                  <c:v>109.435297334461</c:v>
                </c:pt>
                <c:pt idx="584">
                  <c:v>109.523860259363</c:v>
                </c:pt>
                <c:pt idx="585">
                  <c:v>110.077864857816</c:v>
                </c:pt>
                <c:pt idx="586">
                  <c:v>110.34278767724</c:v>
                </c:pt>
                <c:pt idx="587">
                  <c:v>110.99065716423399</c:v>
                </c:pt>
                <c:pt idx="588">
                  <c:v>112.141385632755</c:v>
                </c:pt>
                <c:pt idx="589">
                  <c:v>112.90094881162101</c:v>
                </c:pt>
                <c:pt idx="590">
                  <c:v>111.72117302976901</c:v>
                </c:pt>
                <c:pt idx="591">
                  <c:v>111.45844598942</c:v>
                </c:pt>
                <c:pt idx="592">
                  <c:v>111.39389402382599</c:v>
                </c:pt>
                <c:pt idx="593">
                  <c:v>110.616669224532</c:v>
                </c:pt>
                <c:pt idx="594">
                  <c:v>111.124099266602</c:v>
                </c:pt>
                <c:pt idx="595">
                  <c:v>111.373031766816</c:v>
                </c:pt>
                <c:pt idx="596">
                  <c:v>112.122610936512</c:v>
                </c:pt>
                <c:pt idx="597">
                  <c:v>111.45994171679099</c:v>
                </c:pt>
                <c:pt idx="598">
                  <c:v>111.201478570746</c:v>
                </c:pt>
                <c:pt idx="599">
                  <c:v>110.405880254547</c:v>
                </c:pt>
                <c:pt idx="600">
                  <c:v>109.97839701777301</c:v>
                </c:pt>
                <c:pt idx="601">
                  <c:v>109.122978754786</c:v>
                </c:pt>
                <c:pt idx="602">
                  <c:v>109.17753921565399</c:v>
                </c:pt>
                <c:pt idx="603">
                  <c:v>109.332855833797</c:v>
                </c:pt>
                <c:pt idx="604">
                  <c:v>108.477075223458</c:v>
                </c:pt>
                <c:pt idx="605">
                  <c:v>108.831978597182</c:v>
                </c:pt>
                <c:pt idx="606">
                  <c:v>108.01978079292699</c:v>
                </c:pt>
                <c:pt idx="607">
                  <c:v>107.840426370853</c:v>
                </c:pt>
                <c:pt idx="608">
                  <c:v>107.88538423982099</c:v>
                </c:pt>
                <c:pt idx="609">
                  <c:v>108.557274031379</c:v>
                </c:pt>
                <c:pt idx="610">
                  <c:v>109.44278688108299</c:v>
                </c:pt>
                <c:pt idx="611">
                  <c:v>109.298583172688</c:v>
                </c:pt>
                <c:pt idx="612">
                  <c:v>108.647914589846</c:v>
                </c:pt>
                <c:pt idx="613">
                  <c:v>108.825997584569</c:v>
                </c:pt>
                <c:pt idx="614">
                  <c:v>109.03054785752499</c:v>
                </c:pt>
                <c:pt idx="615">
                  <c:v>108.517614742699</c:v>
                </c:pt>
                <c:pt idx="616">
                  <c:v>108.461953907812</c:v>
                </c:pt>
                <c:pt idx="617">
                  <c:v>107.845889460357</c:v>
                </c:pt>
                <c:pt idx="618">
                  <c:v>107.694526429272</c:v>
                </c:pt>
                <c:pt idx="619">
                  <c:v>107.410693678771</c:v>
                </c:pt>
                <c:pt idx="620">
                  <c:v>106.597316324681</c:v>
                </c:pt>
                <c:pt idx="621">
                  <c:v>106.342862960388</c:v>
                </c:pt>
                <c:pt idx="622">
                  <c:v>105.20236983762</c:v>
                </c:pt>
                <c:pt idx="623">
                  <c:v>105.61183183217901</c:v>
                </c:pt>
                <c:pt idx="624">
                  <c:v>107.515293801396</c:v>
                </c:pt>
                <c:pt idx="625">
                  <c:v>105.468701408344</c:v>
                </c:pt>
                <c:pt idx="626">
                  <c:v>104.75064232411</c:v>
                </c:pt>
                <c:pt idx="627">
                  <c:v>104.170225094782</c:v>
                </c:pt>
                <c:pt idx="628">
                  <c:v>103.031898809952</c:v>
                </c:pt>
                <c:pt idx="629">
                  <c:v>104.42169808985901</c:v>
                </c:pt>
                <c:pt idx="630">
                  <c:v>104.84109237701701</c:v>
                </c:pt>
                <c:pt idx="631">
                  <c:v>105.038421457919</c:v>
                </c:pt>
                <c:pt idx="632">
                  <c:v>105.35965345362099</c:v>
                </c:pt>
                <c:pt idx="633">
                  <c:v>104.752535810325</c:v>
                </c:pt>
                <c:pt idx="634">
                  <c:v>103.880263847653</c:v>
                </c:pt>
                <c:pt idx="635">
                  <c:v>104.773623593992</c:v>
                </c:pt>
              </c:numCache>
            </c:numRef>
          </c:val>
          <c:smooth val="0"/>
          <c:extLst>
            <c:ext xmlns:c16="http://schemas.microsoft.com/office/drawing/2014/chart" uri="{C3380CC4-5D6E-409C-BE32-E72D297353CC}">
              <c16:uniqueId val="{00000002-D3B4-49D6-B25B-0EFB1280A228}"/>
            </c:ext>
          </c:extLst>
        </c:ser>
        <c:ser>
          <c:idx val="1"/>
          <c:order val="2"/>
          <c:tx>
            <c:strRef>
              <c:f>★資本稼働率!$K$1</c:f>
              <c:strCache>
                <c:ptCount val="1"/>
                <c:pt idx="0">
                  <c:v>活動能力</c:v>
                </c:pt>
              </c:strCache>
            </c:strRef>
          </c:tx>
          <c:spPr>
            <a:ln w="28575" cap="rnd">
              <a:solidFill>
                <a:schemeClr val="dk1">
                  <a:tint val="55000"/>
                </a:schemeClr>
              </a:solidFill>
              <a:prstDash val="sysDash"/>
              <a:round/>
            </a:ln>
            <a:effectLst/>
          </c:spPr>
          <c:marker>
            <c:symbol val="none"/>
          </c:marker>
          <c:cat>
            <c:numRef>
              <c:f>★資本稼働率!$A$2:$A$653</c:f>
              <c:numCache>
                <c:formatCode>yyyy"年"m"月";@</c:formatCode>
                <c:ptCount val="652"/>
                <c:pt idx="0">
                  <c:v>24929</c:v>
                </c:pt>
                <c:pt idx="1">
                  <c:v>24959</c:v>
                </c:pt>
                <c:pt idx="2">
                  <c:v>24990</c:v>
                </c:pt>
                <c:pt idx="3">
                  <c:v>25020</c:v>
                </c:pt>
                <c:pt idx="4">
                  <c:v>25051</c:v>
                </c:pt>
                <c:pt idx="5">
                  <c:v>25082</c:v>
                </c:pt>
                <c:pt idx="6">
                  <c:v>25112</c:v>
                </c:pt>
                <c:pt idx="7">
                  <c:v>25143</c:v>
                </c:pt>
                <c:pt idx="8">
                  <c:v>25173</c:v>
                </c:pt>
                <c:pt idx="9">
                  <c:v>25204</c:v>
                </c:pt>
                <c:pt idx="10">
                  <c:v>25235</c:v>
                </c:pt>
                <c:pt idx="11">
                  <c:v>25263</c:v>
                </c:pt>
                <c:pt idx="12">
                  <c:v>25294</c:v>
                </c:pt>
                <c:pt idx="13">
                  <c:v>25324</c:v>
                </c:pt>
                <c:pt idx="14">
                  <c:v>25355</c:v>
                </c:pt>
                <c:pt idx="15">
                  <c:v>25385</c:v>
                </c:pt>
                <c:pt idx="16">
                  <c:v>25416</c:v>
                </c:pt>
                <c:pt idx="17">
                  <c:v>25447</c:v>
                </c:pt>
                <c:pt idx="18">
                  <c:v>25477</c:v>
                </c:pt>
                <c:pt idx="19">
                  <c:v>25508</c:v>
                </c:pt>
                <c:pt idx="20">
                  <c:v>25538</c:v>
                </c:pt>
                <c:pt idx="21">
                  <c:v>25569</c:v>
                </c:pt>
                <c:pt idx="22">
                  <c:v>25600</c:v>
                </c:pt>
                <c:pt idx="23">
                  <c:v>25628</c:v>
                </c:pt>
                <c:pt idx="24">
                  <c:v>25659</c:v>
                </c:pt>
                <c:pt idx="25">
                  <c:v>25689</c:v>
                </c:pt>
                <c:pt idx="26">
                  <c:v>25720</c:v>
                </c:pt>
                <c:pt idx="27">
                  <c:v>25750</c:v>
                </c:pt>
                <c:pt idx="28">
                  <c:v>25781</c:v>
                </c:pt>
                <c:pt idx="29">
                  <c:v>25812</c:v>
                </c:pt>
                <c:pt idx="30">
                  <c:v>25842</c:v>
                </c:pt>
                <c:pt idx="31">
                  <c:v>25873</c:v>
                </c:pt>
                <c:pt idx="32">
                  <c:v>25903</c:v>
                </c:pt>
                <c:pt idx="33">
                  <c:v>25934</c:v>
                </c:pt>
                <c:pt idx="34">
                  <c:v>25965</c:v>
                </c:pt>
                <c:pt idx="35">
                  <c:v>25993</c:v>
                </c:pt>
                <c:pt idx="36">
                  <c:v>26024</c:v>
                </c:pt>
                <c:pt idx="37">
                  <c:v>26054</c:v>
                </c:pt>
                <c:pt idx="38">
                  <c:v>26085</c:v>
                </c:pt>
                <c:pt idx="39">
                  <c:v>26115</c:v>
                </c:pt>
                <c:pt idx="40">
                  <c:v>26146</c:v>
                </c:pt>
                <c:pt idx="41">
                  <c:v>26177</c:v>
                </c:pt>
                <c:pt idx="42">
                  <c:v>26207</c:v>
                </c:pt>
                <c:pt idx="43">
                  <c:v>26238</c:v>
                </c:pt>
                <c:pt idx="44">
                  <c:v>26268</c:v>
                </c:pt>
                <c:pt idx="45">
                  <c:v>26299</c:v>
                </c:pt>
                <c:pt idx="46">
                  <c:v>26330</c:v>
                </c:pt>
                <c:pt idx="47">
                  <c:v>26359</c:v>
                </c:pt>
                <c:pt idx="48">
                  <c:v>26390</c:v>
                </c:pt>
                <c:pt idx="49">
                  <c:v>26420</c:v>
                </c:pt>
                <c:pt idx="50">
                  <c:v>26451</c:v>
                </c:pt>
                <c:pt idx="51">
                  <c:v>26481</c:v>
                </c:pt>
                <c:pt idx="52">
                  <c:v>26512</c:v>
                </c:pt>
                <c:pt idx="53">
                  <c:v>26543</c:v>
                </c:pt>
                <c:pt idx="54">
                  <c:v>26573</c:v>
                </c:pt>
                <c:pt idx="55">
                  <c:v>26604</c:v>
                </c:pt>
                <c:pt idx="56">
                  <c:v>26634</c:v>
                </c:pt>
                <c:pt idx="57">
                  <c:v>26665</c:v>
                </c:pt>
                <c:pt idx="58">
                  <c:v>26696</c:v>
                </c:pt>
                <c:pt idx="59">
                  <c:v>26724</c:v>
                </c:pt>
                <c:pt idx="60">
                  <c:v>26755</c:v>
                </c:pt>
                <c:pt idx="61">
                  <c:v>26785</c:v>
                </c:pt>
                <c:pt idx="62">
                  <c:v>26816</c:v>
                </c:pt>
                <c:pt idx="63">
                  <c:v>26846</c:v>
                </c:pt>
                <c:pt idx="64">
                  <c:v>26877</c:v>
                </c:pt>
                <c:pt idx="65">
                  <c:v>26908</c:v>
                </c:pt>
                <c:pt idx="66">
                  <c:v>26938</c:v>
                </c:pt>
                <c:pt idx="67">
                  <c:v>26969</c:v>
                </c:pt>
                <c:pt idx="68">
                  <c:v>26999</c:v>
                </c:pt>
                <c:pt idx="69">
                  <c:v>27030</c:v>
                </c:pt>
                <c:pt idx="70">
                  <c:v>27061</c:v>
                </c:pt>
                <c:pt idx="71">
                  <c:v>27089</c:v>
                </c:pt>
                <c:pt idx="72">
                  <c:v>27120</c:v>
                </c:pt>
                <c:pt idx="73">
                  <c:v>27150</c:v>
                </c:pt>
                <c:pt idx="74">
                  <c:v>27181</c:v>
                </c:pt>
                <c:pt idx="75">
                  <c:v>27211</c:v>
                </c:pt>
                <c:pt idx="76">
                  <c:v>27242</c:v>
                </c:pt>
                <c:pt idx="77">
                  <c:v>27273</c:v>
                </c:pt>
                <c:pt idx="78">
                  <c:v>27303</c:v>
                </c:pt>
                <c:pt idx="79">
                  <c:v>27334</c:v>
                </c:pt>
                <c:pt idx="80">
                  <c:v>27364</c:v>
                </c:pt>
                <c:pt idx="81">
                  <c:v>27395</c:v>
                </c:pt>
                <c:pt idx="82">
                  <c:v>27426</c:v>
                </c:pt>
                <c:pt idx="83">
                  <c:v>27454</c:v>
                </c:pt>
                <c:pt idx="84">
                  <c:v>27485</c:v>
                </c:pt>
                <c:pt idx="85">
                  <c:v>27515</c:v>
                </c:pt>
                <c:pt idx="86">
                  <c:v>27546</c:v>
                </c:pt>
                <c:pt idx="87">
                  <c:v>27576</c:v>
                </c:pt>
                <c:pt idx="88">
                  <c:v>27607</c:v>
                </c:pt>
                <c:pt idx="89">
                  <c:v>27638</c:v>
                </c:pt>
                <c:pt idx="90">
                  <c:v>27668</c:v>
                </c:pt>
                <c:pt idx="91">
                  <c:v>27699</c:v>
                </c:pt>
                <c:pt idx="92">
                  <c:v>27729</c:v>
                </c:pt>
                <c:pt idx="93">
                  <c:v>27760</c:v>
                </c:pt>
                <c:pt idx="94">
                  <c:v>27791</c:v>
                </c:pt>
                <c:pt idx="95">
                  <c:v>27820</c:v>
                </c:pt>
                <c:pt idx="96">
                  <c:v>27851</c:v>
                </c:pt>
                <c:pt idx="97">
                  <c:v>27881</c:v>
                </c:pt>
                <c:pt idx="98">
                  <c:v>27912</c:v>
                </c:pt>
                <c:pt idx="99">
                  <c:v>27942</c:v>
                </c:pt>
                <c:pt idx="100">
                  <c:v>27973</c:v>
                </c:pt>
                <c:pt idx="101">
                  <c:v>28004</c:v>
                </c:pt>
                <c:pt idx="102">
                  <c:v>28034</c:v>
                </c:pt>
                <c:pt idx="103">
                  <c:v>28065</c:v>
                </c:pt>
                <c:pt idx="104">
                  <c:v>28095</c:v>
                </c:pt>
                <c:pt idx="105">
                  <c:v>28126</c:v>
                </c:pt>
                <c:pt idx="106">
                  <c:v>28157</c:v>
                </c:pt>
                <c:pt idx="107">
                  <c:v>28185</c:v>
                </c:pt>
                <c:pt idx="108">
                  <c:v>28216</c:v>
                </c:pt>
                <c:pt idx="109">
                  <c:v>28246</c:v>
                </c:pt>
                <c:pt idx="110">
                  <c:v>28277</c:v>
                </c:pt>
                <c:pt idx="111">
                  <c:v>28307</c:v>
                </c:pt>
                <c:pt idx="112">
                  <c:v>28338</c:v>
                </c:pt>
                <c:pt idx="113">
                  <c:v>28369</c:v>
                </c:pt>
                <c:pt idx="114">
                  <c:v>28399</c:v>
                </c:pt>
                <c:pt idx="115">
                  <c:v>28430</c:v>
                </c:pt>
                <c:pt idx="116">
                  <c:v>28460</c:v>
                </c:pt>
                <c:pt idx="117">
                  <c:v>28491</c:v>
                </c:pt>
                <c:pt idx="118">
                  <c:v>28522</c:v>
                </c:pt>
                <c:pt idx="119">
                  <c:v>28550</c:v>
                </c:pt>
                <c:pt idx="120">
                  <c:v>28581</c:v>
                </c:pt>
                <c:pt idx="121">
                  <c:v>28611</c:v>
                </c:pt>
                <c:pt idx="122">
                  <c:v>28642</c:v>
                </c:pt>
                <c:pt idx="123">
                  <c:v>28672</c:v>
                </c:pt>
                <c:pt idx="124">
                  <c:v>28703</c:v>
                </c:pt>
                <c:pt idx="125">
                  <c:v>28734</c:v>
                </c:pt>
                <c:pt idx="126">
                  <c:v>28764</c:v>
                </c:pt>
                <c:pt idx="127">
                  <c:v>28795</c:v>
                </c:pt>
                <c:pt idx="128">
                  <c:v>28825</c:v>
                </c:pt>
                <c:pt idx="129">
                  <c:v>28856</c:v>
                </c:pt>
                <c:pt idx="130">
                  <c:v>28887</c:v>
                </c:pt>
                <c:pt idx="131">
                  <c:v>28915</c:v>
                </c:pt>
                <c:pt idx="132">
                  <c:v>28946</c:v>
                </c:pt>
                <c:pt idx="133">
                  <c:v>28976</c:v>
                </c:pt>
                <c:pt idx="134">
                  <c:v>29007</c:v>
                </c:pt>
                <c:pt idx="135">
                  <c:v>29037</c:v>
                </c:pt>
                <c:pt idx="136">
                  <c:v>29068</c:v>
                </c:pt>
                <c:pt idx="137">
                  <c:v>29099</c:v>
                </c:pt>
                <c:pt idx="138">
                  <c:v>29129</c:v>
                </c:pt>
                <c:pt idx="139">
                  <c:v>29160</c:v>
                </c:pt>
                <c:pt idx="140">
                  <c:v>29190</c:v>
                </c:pt>
                <c:pt idx="141">
                  <c:v>29221</c:v>
                </c:pt>
                <c:pt idx="142">
                  <c:v>29252</c:v>
                </c:pt>
                <c:pt idx="143">
                  <c:v>29281</c:v>
                </c:pt>
                <c:pt idx="144">
                  <c:v>29312</c:v>
                </c:pt>
                <c:pt idx="145">
                  <c:v>29342</c:v>
                </c:pt>
                <c:pt idx="146">
                  <c:v>29373</c:v>
                </c:pt>
                <c:pt idx="147">
                  <c:v>29403</c:v>
                </c:pt>
                <c:pt idx="148">
                  <c:v>29434</c:v>
                </c:pt>
                <c:pt idx="149">
                  <c:v>29465</c:v>
                </c:pt>
                <c:pt idx="150">
                  <c:v>29495</c:v>
                </c:pt>
                <c:pt idx="151">
                  <c:v>29526</c:v>
                </c:pt>
                <c:pt idx="152">
                  <c:v>29556</c:v>
                </c:pt>
                <c:pt idx="153">
                  <c:v>29587</c:v>
                </c:pt>
                <c:pt idx="154">
                  <c:v>29618</c:v>
                </c:pt>
                <c:pt idx="155">
                  <c:v>29646</c:v>
                </c:pt>
                <c:pt idx="156">
                  <c:v>29677</c:v>
                </c:pt>
                <c:pt idx="157">
                  <c:v>29707</c:v>
                </c:pt>
                <c:pt idx="158">
                  <c:v>29738</c:v>
                </c:pt>
                <c:pt idx="159">
                  <c:v>29768</c:v>
                </c:pt>
                <c:pt idx="160">
                  <c:v>29799</c:v>
                </c:pt>
                <c:pt idx="161">
                  <c:v>29830</c:v>
                </c:pt>
                <c:pt idx="162">
                  <c:v>29860</c:v>
                </c:pt>
                <c:pt idx="163">
                  <c:v>29891</c:v>
                </c:pt>
                <c:pt idx="164">
                  <c:v>29921</c:v>
                </c:pt>
                <c:pt idx="165">
                  <c:v>29952</c:v>
                </c:pt>
                <c:pt idx="166">
                  <c:v>29983</c:v>
                </c:pt>
                <c:pt idx="167">
                  <c:v>30011</c:v>
                </c:pt>
                <c:pt idx="168">
                  <c:v>30042</c:v>
                </c:pt>
                <c:pt idx="169">
                  <c:v>30072</c:v>
                </c:pt>
                <c:pt idx="170">
                  <c:v>30103</c:v>
                </c:pt>
                <c:pt idx="171">
                  <c:v>30133</c:v>
                </c:pt>
                <c:pt idx="172">
                  <c:v>30164</c:v>
                </c:pt>
                <c:pt idx="173">
                  <c:v>30195</c:v>
                </c:pt>
                <c:pt idx="174">
                  <c:v>30225</c:v>
                </c:pt>
                <c:pt idx="175">
                  <c:v>30256</c:v>
                </c:pt>
                <c:pt idx="176">
                  <c:v>30286</c:v>
                </c:pt>
                <c:pt idx="177">
                  <c:v>30317</c:v>
                </c:pt>
                <c:pt idx="178">
                  <c:v>30348</c:v>
                </c:pt>
                <c:pt idx="179">
                  <c:v>30376</c:v>
                </c:pt>
                <c:pt idx="180">
                  <c:v>30407</c:v>
                </c:pt>
                <c:pt idx="181">
                  <c:v>30437</c:v>
                </c:pt>
                <c:pt idx="182">
                  <c:v>30468</c:v>
                </c:pt>
                <c:pt idx="183">
                  <c:v>30498</c:v>
                </c:pt>
                <c:pt idx="184">
                  <c:v>30529</c:v>
                </c:pt>
                <c:pt idx="185">
                  <c:v>30560</c:v>
                </c:pt>
                <c:pt idx="186">
                  <c:v>30590</c:v>
                </c:pt>
                <c:pt idx="187">
                  <c:v>30621</c:v>
                </c:pt>
                <c:pt idx="188">
                  <c:v>30651</c:v>
                </c:pt>
                <c:pt idx="189">
                  <c:v>30682</c:v>
                </c:pt>
                <c:pt idx="190">
                  <c:v>30713</c:v>
                </c:pt>
                <c:pt idx="191">
                  <c:v>30742</c:v>
                </c:pt>
                <c:pt idx="192">
                  <c:v>30773</c:v>
                </c:pt>
                <c:pt idx="193">
                  <c:v>30803</c:v>
                </c:pt>
                <c:pt idx="194">
                  <c:v>30834</c:v>
                </c:pt>
                <c:pt idx="195">
                  <c:v>30864</c:v>
                </c:pt>
                <c:pt idx="196">
                  <c:v>30895</c:v>
                </c:pt>
                <c:pt idx="197">
                  <c:v>30926</c:v>
                </c:pt>
                <c:pt idx="198">
                  <c:v>30956</c:v>
                </c:pt>
                <c:pt idx="199">
                  <c:v>30987</c:v>
                </c:pt>
                <c:pt idx="200">
                  <c:v>31017</c:v>
                </c:pt>
                <c:pt idx="201">
                  <c:v>31048</c:v>
                </c:pt>
                <c:pt idx="202">
                  <c:v>31079</c:v>
                </c:pt>
                <c:pt idx="203">
                  <c:v>31107</c:v>
                </c:pt>
                <c:pt idx="204">
                  <c:v>31138</c:v>
                </c:pt>
                <c:pt idx="205">
                  <c:v>31168</c:v>
                </c:pt>
                <c:pt idx="206">
                  <c:v>31199</c:v>
                </c:pt>
                <c:pt idx="207">
                  <c:v>31229</c:v>
                </c:pt>
                <c:pt idx="208">
                  <c:v>31260</c:v>
                </c:pt>
                <c:pt idx="209">
                  <c:v>31291</c:v>
                </c:pt>
                <c:pt idx="210">
                  <c:v>31321</c:v>
                </c:pt>
                <c:pt idx="211">
                  <c:v>31352</c:v>
                </c:pt>
                <c:pt idx="212">
                  <c:v>31382</c:v>
                </c:pt>
                <c:pt idx="213">
                  <c:v>31413</c:v>
                </c:pt>
                <c:pt idx="214">
                  <c:v>31444</c:v>
                </c:pt>
                <c:pt idx="215">
                  <c:v>31472</c:v>
                </c:pt>
                <c:pt idx="216">
                  <c:v>31503</c:v>
                </c:pt>
                <c:pt idx="217">
                  <c:v>31533</c:v>
                </c:pt>
                <c:pt idx="218">
                  <c:v>31564</c:v>
                </c:pt>
                <c:pt idx="219">
                  <c:v>31594</c:v>
                </c:pt>
                <c:pt idx="220">
                  <c:v>31625</c:v>
                </c:pt>
                <c:pt idx="221">
                  <c:v>31656</c:v>
                </c:pt>
                <c:pt idx="222">
                  <c:v>31686</c:v>
                </c:pt>
                <c:pt idx="223">
                  <c:v>31717</c:v>
                </c:pt>
                <c:pt idx="224">
                  <c:v>31747</c:v>
                </c:pt>
                <c:pt idx="225">
                  <c:v>31778</c:v>
                </c:pt>
                <c:pt idx="226">
                  <c:v>31809</c:v>
                </c:pt>
                <c:pt idx="227">
                  <c:v>31837</c:v>
                </c:pt>
                <c:pt idx="228">
                  <c:v>31868</c:v>
                </c:pt>
                <c:pt idx="229">
                  <c:v>31898</c:v>
                </c:pt>
                <c:pt idx="230">
                  <c:v>31929</c:v>
                </c:pt>
                <c:pt idx="231">
                  <c:v>31959</c:v>
                </c:pt>
                <c:pt idx="232">
                  <c:v>31990</c:v>
                </c:pt>
                <c:pt idx="233">
                  <c:v>32021</c:v>
                </c:pt>
                <c:pt idx="234">
                  <c:v>32051</c:v>
                </c:pt>
                <c:pt idx="235">
                  <c:v>32082</c:v>
                </c:pt>
                <c:pt idx="236">
                  <c:v>32112</c:v>
                </c:pt>
                <c:pt idx="237">
                  <c:v>32143</c:v>
                </c:pt>
                <c:pt idx="238">
                  <c:v>32174</c:v>
                </c:pt>
                <c:pt idx="239">
                  <c:v>32203</c:v>
                </c:pt>
                <c:pt idx="240">
                  <c:v>32234</c:v>
                </c:pt>
                <c:pt idx="241">
                  <c:v>32264</c:v>
                </c:pt>
                <c:pt idx="242">
                  <c:v>32295</c:v>
                </c:pt>
                <c:pt idx="243">
                  <c:v>32325</c:v>
                </c:pt>
                <c:pt idx="244">
                  <c:v>32356</c:v>
                </c:pt>
                <c:pt idx="245">
                  <c:v>32387</c:v>
                </c:pt>
                <c:pt idx="246">
                  <c:v>32417</c:v>
                </c:pt>
                <c:pt idx="247">
                  <c:v>32448</c:v>
                </c:pt>
                <c:pt idx="248">
                  <c:v>32478</c:v>
                </c:pt>
                <c:pt idx="249">
                  <c:v>32509</c:v>
                </c:pt>
                <c:pt idx="250">
                  <c:v>32540</c:v>
                </c:pt>
                <c:pt idx="251">
                  <c:v>32568</c:v>
                </c:pt>
                <c:pt idx="252">
                  <c:v>32599</c:v>
                </c:pt>
                <c:pt idx="253">
                  <c:v>32629</c:v>
                </c:pt>
                <c:pt idx="254">
                  <c:v>32660</c:v>
                </c:pt>
                <c:pt idx="255">
                  <c:v>32690</c:v>
                </c:pt>
                <c:pt idx="256">
                  <c:v>32721</c:v>
                </c:pt>
                <c:pt idx="257">
                  <c:v>32752</c:v>
                </c:pt>
                <c:pt idx="258">
                  <c:v>32782</c:v>
                </c:pt>
                <c:pt idx="259">
                  <c:v>32813</c:v>
                </c:pt>
                <c:pt idx="260">
                  <c:v>32843</c:v>
                </c:pt>
                <c:pt idx="261">
                  <c:v>32874</c:v>
                </c:pt>
                <c:pt idx="262">
                  <c:v>32905</c:v>
                </c:pt>
                <c:pt idx="263">
                  <c:v>32933</c:v>
                </c:pt>
                <c:pt idx="264">
                  <c:v>32964</c:v>
                </c:pt>
                <c:pt idx="265">
                  <c:v>32994</c:v>
                </c:pt>
                <c:pt idx="266">
                  <c:v>33025</c:v>
                </c:pt>
                <c:pt idx="267">
                  <c:v>33055</c:v>
                </c:pt>
                <c:pt idx="268">
                  <c:v>33086</c:v>
                </c:pt>
                <c:pt idx="269">
                  <c:v>33117</c:v>
                </c:pt>
                <c:pt idx="270">
                  <c:v>33147</c:v>
                </c:pt>
                <c:pt idx="271">
                  <c:v>33178</c:v>
                </c:pt>
                <c:pt idx="272">
                  <c:v>33208</c:v>
                </c:pt>
                <c:pt idx="273">
                  <c:v>33239</c:v>
                </c:pt>
                <c:pt idx="274">
                  <c:v>33270</c:v>
                </c:pt>
                <c:pt idx="275">
                  <c:v>33298</c:v>
                </c:pt>
                <c:pt idx="276">
                  <c:v>33329</c:v>
                </c:pt>
                <c:pt idx="277">
                  <c:v>33359</c:v>
                </c:pt>
                <c:pt idx="278">
                  <c:v>33390</c:v>
                </c:pt>
                <c:pt idx="279">
                  <c:v>33420</c:v>
                </c:pt>
                <c:pt idx="280">
                  <c:v>33451</c:v>
                </c:pt>
                <c:pt idx="281">
                  <c:v>33482</c:v>
                </c:pt>
                <c:pt idx="282">
                  <c:v>33512</c:v>
                </c:pt>
                <c:pt idx="283">
                  <c:v>33543</c:v>
                </c:pt>
                <c:pt idx="284">
                  <c:v>33573</c:v>
                </c:pt>
                <c:pt idx="285">
                  <c:v>33604</c:v>
                </c:pt>
                <c:pt idx="286">
                  <c:v>33635</c:v>
                </c:pt>
                <c:pt idx="287">
                  <c:v>33664</c:v>
                </c:pt>
                <c:pt idx="288">
                  <c:v>33695</c:v>
                </c:pt>
                <c:pt idx="289">
                  <c:v>33725</c:v>
                </c:pt>
                <c:pt idx="290">
                  <c:v>33756</c:v>
                </c:pt>
                <c:pt idx="291">
                  <c:v>33786</c:v>
                </c:pt>
                <c:pt idx="292">
                  <c:v>33817</c:v>
                </c:pt>
                <c:pt idx="293">
                  <c:v>33848</c:v>
                </c:pt>
                <c:pt idx="294">
                  <c:v>33878</c:v>
                </c:pt>
                <c:pt idx="295">
                  <c:v>33909</c:v>
                </c:pt>
                <c:pt idx="296">
                  <c:v>33939</c:v>
                </c:pt>
                <c:pt idx="297">
                  <c:v>33970</c:v>
                </c:pt>
                <c:pt idx="298">
                  <c:v>34001</c:v>
                </c:pt>
                <c:pt idx="299">
                  <c:v>34029</c:v>
                </c:pt>
                <c:pt idx="300">
                  <c:v>34060</c:v>
                </c:pt>
                <c:pt idx="301">
                  <c:v>34090</c:v>
                </c:pt>
                <c:pt idx="302">
                  <c:v>34121</c:v>
                </c:pt>
                <c:pt idx="303">
                  <c:v>34151</c:v>
                </c:pt>
                <c:pt idx="304">
                  <c:v>34182</c:v>
                </c:pt>
                <c:pt idx="305">
                  <c:v>34213</c:v>
                </c:pt>
                <c:pt idx="306">
                  <c:v>34243</c:v>
                </c:pt>
                <c:pt idx="307">
                  <c:v>34274</c:v>
                </c:pt>
                <c:pt idx="308">
                  <c:v>34304</c:v>
                </c:pt>
                <c:pt idx="309">
                  <c:v>34335</c:v>
                </c:pt>
                <c:pt idx="310">
                  <c:v>34366</c:v>
                </c:pt>
                <c:pt idx="311">
                  <c:v>34394</c:v>
                </c:pt>
                <c:pt idx="312">
                  <c:v>34425</c:v>
                </c:pt>
                <c:pt idx="313">
                  <c:v>34455</c:v>
                </c:pt>
                <c:pt idx="314">
                  <c:v>34486</c:v>
                </c:pt>
                <c:pt idx="315">
                  <c:v>34516</c:v>
                </c:pt>
                <c:pt idx="316">
                  <c:v>34547</c:v>
                </c:pt>
                <c:pt idx="317">
                  <c:v>34578</c:v>
                </c:pt>
                <c:pt idx="318">
                  <c:v>34608</c:v>
                </c:pt>
                <c:pt idx="319">
                  <c:v>34639</c:v>
                </c:pt>
                <c:pt idx="320">
                  <c:v>34669</c:v>
                </c:pt>
                <c:pt idx="321">
                  <c:v>34700</c:v>
                </c:pt>
                <c:pt idx="322">
                  <c:v>34731</c:v>
                </c:pt>
                <c:pt idx="323">
                  <c:v>34759</c:v>
                </c:pt>
                <c:pt idx="324">
                  <c:v>34790</c:v>
                </c:pt>
                <c:pt idx="325">
                  <c:v>34820</c:v>
                </c:pt>
                <c:pt idx="326">
                  <c:v>34851</c:v>
                </c:pt>
                <c:pt idx="327">
                  <c:v>34881</c:v>
                </c:pt>
                <c:pt idx="328">
                  <c:v>34912</c:v>
                </c:pt>
                <c:pt idx="329">
                  <c:v>34943</c:v>
                </c:pt>
                <c:pt idx="330">
                  <c:v>34973</c:v>
                </c:pt>
                <c:pt idx="331">
                  <c:v>35004</c:v>
                </c:pt>
                <c:pt idx="332">
                  <c:v>35034</c:v>
                </c:pt>
                <c:pt idx="333">
                  <c:v>35065</c:v>
                </c:pt>
                <c:pt idx="334">
                  <c:v>35096</c:v>
                </c:pt>
                <c:pt idx="335">
                  <c:v>35125</c:v>
                </c:pt>
                <c:pt idx="336">
                  <c:v>35156</c:v>
                </c:pt>
                <c:pt idx="337">
                  <c:v>35186</c:v>
                </c:pt>
                <c:pt idx="338">
                  <c:v>35217</c:v>
                </c:pt>
                <c:pt idx="339">
                  <c:v>35247</c:v>
                </c:pt>
                <c:pt idx="340">
                  <c:v>35278</c:v>
                </c:pt>
                <c:pt idx="341">
                  <c:v>35309</c:v>
                </c:pt>
                <c:pt idx="342">
                  <c:v>35339</c:v>
                </c:pt>
                <c:pt idx="343">
                  <c:v>35370</c:v>
                </c:pt>
                <c:pt idx="344">
                  <c:v>35400</c:v>
                </c:pt>
                <c:pt idx="345">
                  <c:v>35431</c:v>
                </c:pt>
                <c:pt idx="346">
                  <c:v>35462</c:v>
                </c:pt>
                <c:pt idx="347">
                  <c:v>35490</c:v>
                </c:pt>
                <c:pt idx="348">
                  <c:v>35521</c:v>
                </c:pt>
                <c:pt idx="349">
                  <c:v>35551</c:v>
                </c:pt>
                <c:pt idx="350">
                  <c:v>35582</c:v>
                </c:pt>
                <c:pt idx="351">
                  <c:v>35612</c:v>
                </c:pt>
                <c:pt idx="352">
                  <c:v>35643</c:v>
                </c:pt>
                <c:pt idx="353">
                  <c:v>35674</c:v>
                </c:pt>
                <c:pt idx="354">
                  <c:v>35704</c:v>
                </c:pt>
                <c:pt idx="355">
                  <c:v>35735</c:v>
                </c:pt>
                <c:pt idx="356">
                  <c:v>35765</c:v>
                </c:pt>
                <c:pt idx="357">
                  <c:v>35796</c:v>
                </c:pt>
                <c:pt idx="358">
                  <c:v>35827</c:v>
                </c:pt>
                <c:pt idx="359">
                  <c:v>35855</c:v>
                </c:pt>
                <c:pt idx="360">
                  <c:v>35886</c:v>
                </c:pt>
                <c:pt idx="361">
                  <c:v>35916</c:v>
                </c:pt>
                <c:pt idx="362">
                  <c:v>35947</c:v>
                </c:pt>
                <c:pt idx="363">
                  <c:v>35977</c:v>
                </c:pt>
                <c:pt idx="364">
                  <c:v>36008</c:v>
                </c:pt>
                <c:pt idx="365">
                  <c:v>36039</c:v>
                </c:pt>
                <c:pt idx="366">
                  <c:v>36069</c:v>
                </c:pt>
                <c:pt idx="367">
                  <c:v>36100</c:v>
                </c:pt>
                <c:pt idx="368">
                  <c:v>36130</c:v>
                </c:pt>
                <c:pt idx="369">
                  <c:v>36161</c:v>
                </c:pt>
                <c:pt idx="370">
                  <c:v>36192</c:v>
                </c:pt>
                <c:pt idx="371">
                  <c:v>36220</c:v>
                </c:pt>
                <c:pt idx="372">
                  <c:v>36251</c:v>
                </c:pt>
                <c:pt idx="373">
                  <c:v>36281</c:v>
                </c:pt>
                <c:pt idx="374">
                  <c:v>36312</c:v>
                </c:pt>
                <c:pt idx="375">
                  <c:v>36342</c:v>
                </c:pt>
                <c:pt idx="376">
                  <c:v>36373</c:v>
                </c:pt>
                <c:pt idx="377">
                  <c:v>36404</c:v>
                </c:pt>
                <c:pt idx="378">
                  <c:v>36434</c:v>
                </c:pt>
                <c:pt idx="379">
                  <c:v>36465</c:v>
                </c:pt>
                <c:pt idx="380">
                  <c:v>36495</c:v>
                </c:pt>
                <c:pt idx="381">
                  <c:v>36526</c:v>
                </c:pt>
                <c:pt idx="382">
                  <c:v>36557</c:v>
                </c:pt>
                <c:pt idx="383">
                  <c:v>36586</c:v>
                </c:pt>
                <c:pt idx="384">
                  <c:v>36617</c:v>
                </c:pt>
                <c:pt idx="385">
                  <c:v>36647</c:v>
                </c:pt>
                <c:pt idx="386">
                  <c:v>36678</c:v>
                </c:pt>
                <c:pt idx="387">
                  <c:v>36708</c:v>
                </c:pt>
                <c:pt idx="388">
                  <c:v>36739</c:v>
                </c:pt>
                <c:pt idx="389">
                  <c:v>36770</c:v>
                </c:pt>
                <c:pt idx="390">
                  <c:v>36800</c:v>
                </c:pt>
                <c:pt idx="391">
                  <c:v>36831</c:v>
                </c:pt>
                <c:pt idx="392">
                  <c:v>36861</c:v>
                </c:pt>
                <c:pt idx="393">
                  <c:v>36892</c:v>
                </c:pt>
                <c:pt idx="394">
                  <c:v>36923</c:v>
                </c:pt>
                <c:pt idx="395">
                  <c:v>36951</c:v>
                </c:pt>
                <c:pt idx="396">
                  <c:v>36982</c:v>
                </c:pt>
                <c:pt idx="397">
                  <c:v>37012</c:v>
                </c:pt>
                <c:pt idx="398">
                  <c:v>37043</c:v>
                </c:pt>
                <c:pt idx="399">
                  <c:v>37073</c:v>
                </c:pt>
                <c:pt idx="400">
                  <c:v>37104</c:v>
                </c:pt>
                <c:pt idx="401">
                  <c:v>37135</c:v>
                </c:pt>
                <c:pt idx="402">
                  <c:v>37165</c:v>
                </c:pt>
                <c:pt idx="403">
                  <c:v>37196</c:v>
                </c:pt>
                <c:pt idx="404">
                  <c:v>37226</c:v>
                </c:pt>
                <c:pt idx="405">
                  <c:v>37257</c:v>
                </c:pt>
                <c:pt idx="406">
                  <c:v>37288</c:v>
                </c:pt>
                <c:pt idx="407">
                  <c:v>37316</c:v>
                </c:pt>
                <c:pt idx="408">
                  <c:v>37347</c:v>
                </c:pt>
                <c:pt idx="409">
                  <c:v>37377</c:v>
                </c:pt>
                <c:pt idx="410">
                  <c:v>37408</c:v>
                </c:pt>
                <c:pt idx="411">
                  <c:v>37438</c:v>
                </c:pt>
                <c:pt idx="412">
                  <c:v>37469</c:v>
                </c:pt>
                <c:pt idx="413">
                  <c:v>37500</c:v>
                </c:pt>
                <c:pt idx="414">
                  <c:v>37530</c:v>
                </c:pt>
                <c:pt idx="415">
                  <c:v>37561</c:v>
                </c:pt>
                <c:pt idx="416">
                  <c:v>37591</c:v>
                </c:pt>
                <c:pt idx="417">
                  <c:v>37622</c:v>
                </c:pt>
                <c:pt idx="418">
                  <c:v>37653</c:v>
                </c:pt>
                <c:pt idx="419">
                  <c:v>37681</c:v>
                </c:pt>
                <c:pt idx="420">
                  <c:v>37712</c:v>
                </c:pt>
                <c:pt idx="421">
                  <c:v>37742</c:v>
                </c:pt>
                <c:pt idx="422">
                  <c:v>37773</c:v>
                </c:pt>
                <c:pt idx="423">
                  <c:v>37803</c:v>
                </c:pt>
                <c:pt idx="424">
                  <c:v>37834</c:v>
                </c:pt>
                <c:pt idx="425">
                  <c:v>37865</c:v>
                </c:pt>
                <c:pt idx="426">
                  <c:v>37895</c:v>
                </c:pt>
                <c:pt idx="427">
                  <c:v>37926</c:v>
                </c:pt>
                <c:pt idx="428">
                  <c:v>37956</c:v>
                </c:pt>
                <c:pt idx="429">
                  <c:v>37987</c:v>
                </c:pt>
                <c:pt idx="430">
                  <c:v>38018</c:v>
                </c:pt>
                <c:pt idx="431">
                  <c:v>38047</c:v>
                </c:pt>
                <c:pt idx="432">
                  <c:v>38078</c:v>
                </c:pt>
                <c:pt idx="433">
                  <c:v>38108</c:v>
                </c:pt>
                <c:pt idx="434">
                  <c:v>38139</c:v>
                </c:pt>
                <c:pt idx="435">
                  <c:v>38169</c:v>
                </c:pt>
                <c:pt idx="436">
                  <c:v>38200</c:v>
                </c:pt>
                <c:pt idx="437">
                  <c:v>38231</c:v>
                </c:pt>
                <c:pt idx="438">
                  <c:v>38261</c:v>
                </c:pt>
                <c:pt idx="439">
                  <c:v>38292</c:v>
                </c:pt>
                <c:pt idx="440">
                  <c:v>38322</c:v>
                </c:pt>
                <c:pt idx="441">
                  <c:v>38353</c:v>
                </c:pt>
                <c:pt idx="442">
                  <c:v>38384</c:v>
                </c:pt>
                <c:pt idx="443">
                  <c:v>38412</c:v>
                </c:pt>
                <c:pt idx="444">
                  <c:v>38443</c:v>
                </c:pt>
                <c:pt idx="445">
                  <c:v>38473</c:v>
                </c:pt>
                <c:pt idx="446">
                  <c:v>38504</c:v>
                </c:pt>
                <c:pt idx="447">
                  <c:v>38534</c:v>
                </c:pt>
                <c:pt idx="448">
                  <c:v>38565</c:v>
                </c:pt>
                <c:pt idx="449">
                  <c:v>38596</c:v>
                </c:pt>
                <c:pt idx="450">
                  <c:v>38626</c:v>
                </c:pt>
                <c:pt idx="451">
                  <c:v>38657</c:v>
                </c:pt>
                <c:pt idx="452">
                  <c:v>38687</c:v>
                </c:pt>
                <c:pt idx="453">
                  <c:v>38718</c:v>
                </c:pt>
                <c:pt idx="454">
                  <c:v>38749</c:v>
                </c:pt>
                <c:pt idx="455">
                  <c:v>38777</c:v>
                </c:pt>
                <c:pt idx="456">
                  <c:v>38808</c:v>
                </c:pt>
                <c:pt idx="457">
                  <c:v>38838</c:v>
                </c:pt>
                <c:pt idx="458">
                  <c:v>38869</c:v>
                </c:pt>
                <c:pt idx="459">
                  <c:v>38899</c:v>
                </c:pt>
                <c:pt idx="460">
                  <c:v>38930</c:v>
                </c:pt>
                <c:pt idx="461">
                  <c:v>38961</c:v>
                </c:pt>
                <c:pt idx="462">
                  <c:v>38991</c:v>
                </c:pt>
                <c:pt idx="463">
                  <c:v>39022</c:v>
                </c:pt>
                <c:pt idx="464">
                  <c:v>39052</c:v>
                </c:pt>
                <c:pt idx="465">
                  <c:v>39083</c:v>
                </c:pt>
                <c:pt idx="466">
                  <c:v>39114</c:v>
                </c:pt>
                <c:pt idx="467">
                  <c:v>39142</c:v>
                </c:pt>
                <c:pt idx="468">
                  <c:v>39173</c:v>
                </c:pt>
                <c:pt idx="469">
                  <c:v>39203</c:v>
                </c:pt>
                <c:pt idx="470">
                  <c:v>39234</c:v>
                </c:pt>
                <c:pt idx="471">
                  <c:v>39264</c:v>
                </c:pt>
                <c:pt idx="472">
                  <c:v>39295</c:v>
                </c:pt>
                <c:pt idx="473">
                  <c:v>39326</c:v>
                </c:pt>
                <c:pt idx="474">
                  <c:v>39356</c:v>
                </c:pt>
                <c:pt idx="475">
                  <c:v>39387</c:v>
                </c:pt>
                <c:pt idx="476">
                  <c:v>39417</c:v>
                </c:pt>
                <c:pt idx="477">
                  <c:v>39448</c:v>
                </c:pt>
                <c:pt idx="478">
                  <c:v>39479</c:v>
                </c:pt>
                <c:pt idx="479">
                  <c:v>39508</c:v>
                </c:pt>
                <c:pt idx="480">
                  <c:v>39539</c:v>
                </c:pt>
                <c:pt idx="481">
                  <c:v>39569</c:v>
                </c:pt>
                <c:pt idx="482">
                  <c:v>39600</c:v>
                </c:pt>
                <c:pt idx="483">
                  <c:v>39630</c:v>
                </c:pt>
                <c:pt idx="484">
                  <c:v>39661</c:v>
                </c:pt>
                <c:pt idx="485">
                  <c:v>39692</c:v>
                </c:pt>
                <c:pt idx="486">
                  <c:v>39722</c:v>
                </c:pt>
                <c:pt idx="487">
                  <c:v>39753</c:v>
                </c:pt>
                <c:pt idx="488">
                  <c:v>39783</c:v>
                </c:pt>
                <c:pt idx="489">
                  <c:v>39814</c:v>
                </c:pt>
                <c:pt idx="490">
                  <c:v>39845</c:v>
                </c:pt>
                <c:pt idx="491">
                  <c:v>39873</c:v>
                </c:pt>
                <c:pt idx="492">
                  <c:v>39904</c:v>
                </c:pt>
                <c:pt idx="493">
                  <c:v>39934</c:v>
                </c:pt>
                <c:pt idx="494">
                  <c:v>39965</c:v>
                </c:pt>
                <c:pt idx="495">
                  <c:v>39995</c:v>
                </c:pt>
                <c:pt idx="496">
                  <c:v>40026</c:v>
                </c:pt>
                <c:pt idx="497">
                  <c:v>40057</c:v>
                </c:pt>
                <c:pt idx="498">
                  <c:v>40087</c:v>
                </c:pt>
                <c:pt idx="499">
                  <c:v>40118</c:v>
                </c:pt>
                <c:pt idx="500">
                  <c:v>40148</c:v>
                </c:pt>
                <c:pt idx="501">
                  <c:v>40179</c:v>
                </c:pt>
                <c:pt idx="502">
                  <c:v>40210</c:v>
                </c:pt>
                <c:pt idx="503">
                  <c:v>40238</c:v>
                </c:pt>
                <c:pt idx="504">
                  <c:v>40269</c:v>
                </c:pt>
                <c:pt idx="505">
                  <c:v>40299</c:v>
                </c:pt>
                <c:pt idx="506">
                  <c:v>40330</c:v>
                </c:pt>
                <c:pt idx="507">
                  <c:v>40360</c:v>
                </c:pt>
                <c:pt idx="508">
                  <c:v>40391</c:v>
                </c:pt>
                <c:pt idx="509">
                  <c:v>40422</c:v>
                </c:pt>
                <c:pt idx="510">
                  <c:v>40452</c:v>
                </c:pt>
                <c:pt idx="511">
                  <c:v>40483</c:v>
                </c:pt>
                <c:pt idx="512">
                  <c:v>40513</c:v>
                </c:pt>
                <c:pt idx="513">
                  <c:v>40544</c:v>
                </c:pt>
                <c:pt idx="514">
                  <c:v>40575</c:v>
                </c:pt>
                <c:pt idx="515">
                  <c:v>40603</c:v>
                </c:pt>
                <c:pt idx="516">
                  <c:v>40634</c:v>
                </c:pt>
                <c:pt idx="517">
                  <c:v>40664</c:v>
                </c:pt>
                <c:pt idx="518">
                  <c:v>40695</c:v>
                </c:pt>
                <c:pt idx="519">
                  <c:v>40725</c:v>
                </c:pt>
                <c:pt idx="520">
                  <c:v>40756</c:v>
                </c:pt>
                <c:pt idx="521">
                  <c:v>40787</c:v>
                </c:pt>
                <c:pt idx="522">
                  <c:v>40817</c:v>
                </c:pt>
                <c:pt idx="523">
                  <c:v>40848</c:v>
                </c:pt>
                <c:pt idx="524">
                  <c:v>40878</c:v>
                </c:pt>
                <c:pt idx="525">
                  <c:v>40909</c:v>
                </c:pt>
                <c:pt idx="526">
                  <c:v>40940</c:v>
                </c:pt>
                <c:pt idx="527">
                  <c:v>40969</c:v>
                </c:pt>
                <c:pt idx="528">
                  <c:v>41000</c:v>
                </c:pt>
                <c:pt idx="529">
                  <c:v>41030</c:v>
                </c:pt>
                <c:pt idx="530">
                  <c:v>41061</c:v>
                </c:pt>
                <c:pt idx="531">
                  <c:v>41091</c:v>
                </c:pt>
                <c:pt idx="532">
                  <c:v>41122</c:v>
                </c:pt>
                <c:pt idx="533">
                  <c:v>41153</c:v>
                </c:pt>
                <c:pt idx="534">
                  <c:v>41183</c:v>
                </c:pt>
                <c:pt idx="535">
                  <c:v>41214</c:v>
                </c:pt>
                <c:pt idx="536">
                  <c:v>41244</c:v>
                </c:pt>
                <c:pt idx="537">
                  <c:v>41275</c:v>
                </c:pt>
                <c:pt idx="538">
                  <c:v>41306</c:v>
                </c:pt>
                <c:pt idx="539">
                  <c:v>41334</c:v>
                </c:pt>
                <c:pt idx="540">
                  <c:v>41365</c:v>
                </c:pt>
                <c:pt idx="541">
                  <c:v>41395</c:v>
                </c:pt>
                <c:pt idx="542">
                  <c:v>41426</c:v>
                </c:pt>
                <c:pt idx="543">
                  <c:v>41456</c:v>
                </c:pt>
                <c:pt idx="544">
                  <c:v>41487</c:v>
                </c:pt>
                <c:pt idx="545">
                  <c:v>41518</c:v>
                </c:pt>
                <c:pt idx="546">
                  <c:v>41548</c:v>
                </c:pt>
                <c:pt idx="547">
                  <c:v>41579</c:v>
                </c:pt>
                <c:pt idx="548">
                  <c:v>41609</c:v>
                </c:pt>
                <c:pt idx="549">
                  <c:v>41640</c:v>
                </c:pt>
                <c:pt idx="550">
                  <c:v>41671</c:v>
                </c:pt>
                <c:pt idx="551">
                  <c:v>41699</c:v>
                </c:pt>
                <c:pt idx="552">
                  <c:v>41730</c:v>
                </c:pt>
                <c:pt idx="553">
                  <c:v>41760</c:v>
                </c:pt>
                <c:pt idx="554">
                  <c:v>41791</c:v>
                </c:pt>
                <c:pt idx="555">
                  <c:v>41821</c:v>
                </c:pt>
                <c:pt idx="556">
                  <c:v>41852</c:v>
                </c:pt>
                <c:pt idx="557">
                  <c:v>41883</c:v>
                </c:pt>
                <c:pt idx="558">
                  <c:v>41913</c:v>
                </c:pt>
                <c:pt idx="559">
                  <c:v>41944</c:v>
                </c:pt>
                <c:pt idx="560">
                  <c:v>41974</c:v>
                </c:pt>
                <c:pt idx="561">
                  <c:v>42005</c:v>
                </c:pt>
                <c:pt idx="562">
                  <c:v>42036</c:v>
                </c:pt>
                <c:pt idx="563">
                  <c:v>42064</c:v>
                </c:pt>
                <c:pt idx="564">
                  <c:v>42095</c:v>
                </c:pt>
                <c:pt idx="565">
                  <c:v>42125</c:v>
                </c:pt>
                <c:pt idx="566">
                  <c:v>42156</c:v>
                </c:pt>
                <c:pt idx="567">
                  <c:v>42186</c:v>
                </c:pt>
                <c:pt idx="568">
                  <c:v>42217</c:v>
                </c:pt>
                <c:pt idx="569">
                  <c:v>42248</c:v>
                </c:pt>
                <c:pt idx="570">
                  <c:v>42278</c:v>
                </c:pt>
                <c:pt idx="571">
                  <c:v>42309</c:v>
                </c:pt>
                <c:pt idx="572">
                  <c:v>42339</c:v>
                </c:pt>
                <c:pt idx="573">
                  <c:v>42370</c:v>
                </c:pt>
                <c:pt idx="574">
                  <c:v>42401</c:v>
                </c:pt>
                <c:pt idx="575">
                  <c:v>42430</c:v>
                </c:pt>
                <c:pt idx="576">
                  <c:v>42461</c:v>
                </c:pt>
                <c:pt idx="577">
                  <c:v>42491</c:v>
                </c:pt>
                <c:pt idx="578">
                  <c:v>42522</c:v>
                </c:pt>
                <c:pt idx="579">
                  <c:v>42552</c:v>
                </c:pt>
                <c:pt idx="580">
                  <c:v>42583</c:v>
                </c:pt>
                <c:pt idx="581">
                  <c:v>42614</c:v>
                </c:pt>
                <c:pt idx="582">
                  <c:v>42644</c:v>
                </c:pt>
                <c:pt idx="583">
                  <c:v>42675</c:v>
                </c:pt>
                <c:pt idx="584">
                  <c:v>42705</c:v>
                </c:pt>
                <c:pt idx="585">
                  <c:v>42736</c:v>
                </c:pt>
                <c:pt idx="586">
                  <c:v>42767</c:v>
                </c:pt>
                <c:pt idx="587">
                  <c:v>42795</c:v>
                </c:pt>
                <c:pt idx="588">
                  <c:v>42826</c:v>
                </c:pt>
                <c:pt idx="589">
                  <c:v>42856</c:v>
                </c:pt>
                <c:pt idx="590">
                  <c:v>42887</c:v>
                </c:pt>
                <c:pt idx="591">
                  <c:v>42917</c:v>
                </c:pt>
                <c:pt idx="592">
                  <c:v>42948</c:v>
                </c:pt>
                <c:pt idx="593">
                  <c:v>42979</c:v>
                </c:pt>
                <c:pt idx="594">
                  <c:v>43009</c:v>
                </c:pt>
                <c:pt idx="595">
                  <c:v>43040</c:v>
                </c:pt>
                <c:pt idx="596">
                  <c:v>43070</c:v>
                </c:pt>
                <c:pt idx="597">
                  <c:v>43101</c:v>
                </c:pt>
                <c:pt idx="598">
                  <c:v>43132</c:v>
                </c:pt>
                <c:pt idx="599">
                  <c:v>43160</c:v>
                </c:pt>
                <c:pt idx="600">
                  <c:v>43191</c:v>
                </c:pt>
                <c:pt idx="601">
                  <c:v>43221</c:v>
                </c:pt>
                <c:pt idx="602">
                  <c:v>43252</c:v>
                </c:pt>
                <c:pt idx="603">
                  <c:v>43282</c:v>
                </c:pt>
                <c:pt idx="604">
                  <c:v>43313</c:v>
                </c:pt>
                <c:pt idx="605">
                  <c:v>43344</c:v>
                </c:pt>
                <c:pt idx="606">
                  <c:v>43374</c:v>
                </c:pt>
                <c:pt idx="607">
                  <c:v>43405</c:v>
                </c:pt>
                <c:pt idx="608">
                  <c:v>43435</c:v>
                </c:pt>
                <c:pt idx="609">
                  <c:v>43466</c:v>
                </c:pt>
                <c:pt idx="610">
                  <c:v>43497</c:v>
                </c:pt>
                <c:pt idx="611">
                  <c:v>43525</c:v>
                </c:pt>
                <c:pt idx="612">
                  <c:v>43556</c:v>
                </c:pt>
                <c:pt idx="613">
                  <c:v>43586</c:v>
                </c:pt>
                <c:pt idx="614">
                  <c:v>43617</c:v>
                </c:pt>
                <c:pt idx="615">
                  <c:v>43647</c:v>
                </c:pt>
                <c:pt idx="616">
                  <c:v>43678</c:v>
                </c:pt>
                <c:pt idx="617">
                  <c:v>43709</c:v>
                </c:pt>
                <c:pt idx="618">
                  <c:v>43739</c:v>
                </c:pt>
                <c:pt idx="619">
                  <c:v>43770</c:v>
                </c:pt>
                <c:pt idx="620">
                  <c:v>43800</c:v>
                </c:pt>
                <c:pt idx="621">
                  <c:v>43831</c:v>
                </c:pt>
                <c:pt idx="622">
                  <c:v>43862</c:v>
                </c:pt>
                <c:pt idx="623">
                  <c:v>43891</c:v>
                </c:pt>
                <c:pt idx="624">
                  <c:v>43922</c:v>
                </c:pt>
                <c:pt idx="625">
                  <c:v>43952</c:v>
                </c:pt>
                <c:pt idx="626">
                  <c:v>43983</c:v>
                </c:pt>
                <c:pt idx="627">
                  <c:v>44013</c:v>
                </c:pt>
                <c:pt idx="628">
                  <c:v>44044</c:v>
                </c:pt>
                <c:pt idx="629">
                  <c:v>44075</c:v>
                </c:pt>
                <c:pt idx="630">
                  <c:v>44105</c:v>
                </c:pt>
                <c:pt idx="631">
                  <c:v>44136</c:v>
                </c:pt>
                <c:pt idx="632">
                  <c:v>44166</c:v>
                </c:pt>
                <c:pt idx="633">
                  <c:v>44197</c:v>
                </c:pt>
                <c:pt idx="634">
                  <c:v>44228</c:v>
                </c:pt>
                <c:pt idx="635">
                  <c:v>44256</c:v>
                </c:pt>
                <c:pt idx="636">
                  <c:v>44287</c:v>
                </c:pt>
                <c:pt idx="637">
                  <c:v>44317</c:v>
                </c:pt>
                <c:pt idx="638">
                  <c:v>44348</c:v>
                </c:pt>
                <c:pt idx="639">
                  <c:v>44378</c:v>
                </c:pt>
                <c:pt idx="640">
                  <c:v>44409</c:v>
                </c:pt>
                <c:pt idx="641">
                  <c:v>44440</c:v>
                </c:pt>
                <c:pt idx="642">
                  <c:v>44470</c:v>
                </c:pt>
                <c:pt idx="643">
                  <c:v>44501</c:v>
                </c:pt>
                <c:pt idx="644">
                  <c:v>44531</c:v>
                </c:pt>
                <c:pt idx="645">
                  <c:v>44562</c:v>
                </c:pt>
                <c:pt idx="646">
                  <c:v>44593</c:v>
                </c:pt>
                <c:pt idx="647">
                  <c:v>44621</c:v>
                </c:pt>
                <c:pt idx="648">
                  <c:v>44652</c:v>
                </c:pt>
                <c:pt idx="649">
                  <c:v>44682</c:v>
                </c:pt>
                <c:pt idx="650">
                  <c:v>44713</c:v>
                </c:pt>
                <c:pt idx="651">
                  <c:v>44743</c:v>
                </c:pt>
              </c:numCache>
            </c:numRef>
          </c:cat>
          <c:val>
            <c:numRef>
              <c:f>★資本稼働率!$K$2:$K$653</c:f>
              <c:numCache>
                <c:formatCode>#,##0.0;[Red]\-#,##0.0</c:formatCode>
                <c:ptCount val="652"/>
                <c:pt idx="59">
                  <c:v>148.34241546126555</c:v>
                </c:pt>
                <c:pt idx="60">
                  <c:v>147.77733410855288</c:v>
                </c:pt>
                <c:pt idx="61">
                  <c:v>147.21225275584021</c:v>
                </c:pt>
                <c:pt idx="62">
                  <c:v>146.64717140312754</c:v>
                </c:pt>
                <c:pt idx="63">
                  <c:v>146.08209005041488</c:v>
                </c:pt>
                <c:pt idx="64">
                  <c:v>145.51700869770221</c:v>
                </c:pt>
                <c:pt idx="65">
                  <c:v>144.95192734498954</c:v>
                </c:pt>
                <c:pt idx="66">
                  <c:v>144.38684599227687</c:v>
                </c:pt>
                <c:pt idx="67">
                  <c:v>143.82176463956421</c:v>
                </c:pt>
                <c:pt idx="68">
                  <c:v>143.25668328685154</c:v>
                </c:pt>
                <c:pt idx="69">
                  <c:v>142.69160193413887</c:v>
                </c:pt>
                <c:pt idx="70">
                  <c:v>142.12652058142621</c:v>
                </c:pt>
                <c:pt idx="71">
                  <c:v>141.56143922871354</c:v>
                </c:pt>
                <c:pt idx="72">
                  <c:v>140.99635787600087</c:v>
                </c:pt>
                <c:pt idx="73">
                  <c:v>140.4312765232882</c:v>
                </c:pt>
                <c:pt idx="74">
                  <c:v>139.86619517057554</c:v>
                </c:pt>
                <c:pt idx="75">
                  <c:v>139.30111381786287</c:v>
                </c:pt>
                <c:pt idx="76">
                  <c:v>138.7360324651502</c:v>
                </c:pt>
                <c:pt idx="77">
                  <c:v>138.17095111243754</c:v>
                </c:pt>
                <c:pt idx="78">
                  <c:v>137.60586975972487</c:v>
                </c:pt>
                <c:pt idx="79">
                  <c:v>137.0407884070122</c:v>
                </c:pt>
                <c:pt idx="80">
                  <c:v>136.47570705429953</c:v>
                </c:pt>
                <c:pt idx="81">
                  <c:v>135.91062570158687</c:v>
                </c:pt>
                <c:pt idx="82">
                  <c:v>135.3455443488742</c:v>
                </c:pt>
                <c:pt idx="83">
                  <c:v>134.78046299616153</c:v>
                </c:pt>
                <c:pt idx="84">
                  <c:v>134.21538164344886</c:v>
                </c:pt>
                <c:pt idx="85">
                  <c:v>133.6503002907362</c:v>
                </c:pt>
                <c:pt idx="86">
                  <c:v>133.08521893802353</c:v>
                </c:pt>
                <c:pt idx="87">
                  <c:v>132.52013758531086</c:v>
                </c:pt>
                <c:pt idx="88">
                  <c:v>131.9550562325982</c:v>
                </c:pt>
                <c:pt idx="89">
                  <c:v>131.38997487988553</c:v>
                </c:pt>
                <c:pt idx="90">
                  <c:v>130.82489352717286</c:v>
                </c:pt>
                <c:pt idx="91">
                  <c:v>130.25981217446019</c:v>
                </c:pt>
                <c:pt idx="92">
                  <c:v>129.6947308217471</c:v>
                </c:pt>
                <c:pt idx="93">
                  <c:v>130.1104604993227</c:v>
                </c:pt>
                <c:pt idx="94">
                  <c:v>130.5261901768983</c:v>
                </c:pt>
                <c:pt idx="95">
                  <c:v>130.94191985447389</c:v>
                </c:pt>
                <c:pt idx="96">
                  <c:v>131.35764953204949</c:v>
                </c:pt>
                <c:pt idx="97">
                  <c:v>131.77337920962509</c:v>
                </c:pt>
                <c:pt idx="98">
                  <c:v>132.18910888720069</c:v>
                </c:pt>
                <c:pt idx="99">
                  <c:v>132.60483856477629</c:v>
                </c:pt>
                <c:pt idx="100">
                  <c:v>133.02056824235189</c:v>
                </c:pt>
                <c:pt idx="101">
                  <c:v>133.43629791992748</c:v>
                </c:pt>
                <c:pt idx="102">
                  <c:v>133.85202759750308</c:v>
                </c:pt>
                <c:pt idx="103">
                  <c:v>134.26775727507868</c:v>
                </c:pt>
                <c:pt idx="104">
                  <c:v>134.68348695265428</c:v>
                </c:pt>
                <c:pt idx="105">
                  <c:v>135.09921663022988</c:v>
                </c:pt>
                <c:pt idx="106">
                  <c:v>135.51494630780547</c:v>
                </c:pt>
                <c:pt idx="107">
                  <c:v>135.93067598538107</c:v>
                </c:pt>
                <c:pt idx="108">
                  <c:v>136.34640566295667</c:v>
                </c:pt>
                <c:pt idx="109">
                  <c:v>136.76213534053227</c:v>
                </c:pt>
                <c:pt idx="110">
                  <c:v>137.17786501810787</c:v>
                </c:pt>
                <c:pt idx="111">
                  <c:v>137.59359469568346</c:v>
                </c:pt>
                <c:pt idx="112">
                  <c:v>138.00932437325906</c:v>
                </c:pt>
                <c:pt idx="113">
                  <c:v>138.42505405083466</c:v>
                </c:pt>
                <c:pt idx="114">
                  <c:v>138.84078372841026</c:v>
                </c:pt>
                <c:pt idx="115">
                  <c:v>139.25651340598586</c:v>
                </c:pt>
                <c:pt idx="116">
                  <c:v>139.67224308356145</c:v>
                </c:pt>
                <c:pt idx="117">
                  <c:v>140.08797276113705</c:v>
                </c:pt>
                <c:pt idx="118">
                  <c:v>140.50370243871265</c:v>
                </c:pt>
                <c:pt idx="119">
                  <c:v>140.91943211628825</c:v>
                </c:pt>
                <c:pt idx="120">
                  <c:v>141.33516179386385</c:v>
                </c:pt>
                <c:pt idx="121">
                  <c:v>141.75089147143945</c:v>
                </c:pt>
                <c:pt idx="122">
                  <c:v>142.16662114901504</c:v>
                </c:pt>
                <c:pt idx="123">
                  <c:v>142.58235082659064</c:v>
                </c:pt>
                <c:pt idx="124">
                  <c:v>142.99808050416624</c:v>
                </c:pt>
                <c:pt idx="125">
                  <c:v>143.41381018174184</c:v>
                </c:pt>
                <c:pt idx="126">
                  <c:v>143.82953985931744</c:v>
                </c:pt>
                <c:pt idx="127">
                  <c:v>144.24526953689303</c:v>
                </c:pt>
                <c:pt idx="128">
                  <c:v>144.66099921446863</c:v>
                </c:pt>
                <c:pt idx="129">
                  <c:v>145.07672889204423</c:v>
                </c:pt>
                <c:pt idx="130">
                  <c:v>145.49245856961983</c:v>
                </c:pt>
                <c:pt idx="131">
                  <c:v>145.90818824719543</c:v>
                </c:pt>
                <c:pt idx="132">
                  <c:v>146.32391792477102</c:v>
                </c:pt>
                <c:pt idx="133">
                  <c:v>146.73964760234662</c:v>
                </c:pt>
                <c:pt idx="134">
                  <c:v>147.15537727992222</c:v>
                </c:pt>
                <c:pt idx="135">
                  <c:v>147.57110695749782</c:v>
                </c:pt>
                <c:pt idx="136">
                  <c:v>147.98683663507342</c:v>
                </c:pt>
                <c:pt idx="137">
                  <c:v>148.40256631264901</c:v>
                </c:pt>
                <c:pt idx="138">
                  <c:v>148.81829599022461</c:v>
                </c:pt>
                <c:pt idx="139">
                  <c:v>149.23402566780021</c:v>
                </c:pt>
                <c:pt idx="140">
                  <c:v>149.64975534537584</c:v>
                </c:pt>
                <c:pt idx="141">
                  <c:v>149.45316026838347</c:v>
                </c:pt>
                <c:pt idx="142">
                  <c:v>149.2565651913911</c:v>
                </c:pt>
                <c:pt idx="143">
                  <c:v>149.05997011439874</c:v>
                </c:pt>
                <c:pt idx="144">
                  <c:v>148.86337503740637</c:v>
                </c:pt>
                <c:pt idx="145">
                  <c:v>148.666779960414</c:v>
                </c:pt>
                <c:pt idx="146">
                  <c:v>148.47018488342164</c:v>
                </c:pt>
                <c:pt idx="147">
                  <c:v>148.27358980642927</c:v>
                </c:pt>
                <c:pt idx="148">
                  <c:v>148.0769947294369</c:v>
                </c:pt>
                <c:pt idx="149">
                  <c:v>147.88039965244454</c:v>
                </c:pt>
                <c:pt idx="150">
                  <c:v>147.68380457545217</c:v>
                </c:pt>
                <c:pt idx="151">
                  <c:v>147.4872094984598</c:v>
                </c:pt>
                <c:pt idx="152">
                  <c:v>147.29061442146744</c:v>
                </c:pt>
                <c:pt idx="153">
                  <c:v>147.09401934447507</c:v>
                </c:pt>
                <c:pt idx="154">
                  <c:v>146.89742426748271</c:v>
                </c:pt>
                <c:pt idx="155">
                  <c:v>146.70082919049034</c:v>
                </c:pt>
                <c:pt idx="156">
                  <c:v>146.50423411349797</c:v>
                </c:pt>
                <c:pt idx="157">
                  <c:v>146.30763903650561</c:v>
                </c:pt>
                <c:pt idx="158">
                  <c:v>146.11104395951324</c:v>
                </c:pt>
                <c:pt idx="159">
                  <c:v>145.91444888252087</c:v>
                </c:pt>
                <c:pt idx="160">
                  <c:v>145.71785380552851</c:v>
                </c:pt>
                <c:pt idx="161">
                  <c:v>145.52125872853614</c:v>
                </c:pt>
                <c:pt idx="162">
                  <c:v>145.32466365154391</c:v>
                </c:pt>
                <c:pt idx="163">
                  <c:v>145.88207289235621</c:v>
                </c:pt>
                <c:pt idx="164">
                  <c:v>146.4394821331685</c:v>
                </c:pt>
                <c:pt idx="165">
                  <c:v>146.99689137398079</c:v>
                </c:pt>
                <c:pt idx="166">
                  <c:v>147.55430061479308</c:v>
                </c:pt>
                <c:pt idx="167">
                  <c:v>148.11170985560537</c:v>
                </c:pt>
                <c:pt idx="168">
                  <c:v>148.66911909641766</c:v>
                </c:pt>
                <c:pt idx="169">
                  <c:v>149.22652833722995</c:v>
                </c:pt>
                <c:pt idx="170">
                  <c:v>149.78393757804224</c:v>
                </c:pt>
                <c:pt idx="171">
                  <c:v>150.34134681885453</c:v>
                </c:pt>
                <c:pt idx="172">
                  <c:v>150.89875605966682</c:v>
                </c:pt>
                <c:pt idx="173">
                  <c:v>151.45616530047911</c:v>
                </c:pt>
                <c:pt idx="174">
                  <c:v>152.0135745412914</c:v>
                </c:pt>
                <c:pt idx="175">
                  <c:v>152.5709837821037</c:v>
                </c:pt>
                <c:pt idx="176">
                  <c:v>153.12839302291599</c:v>
                </c:pt>
                <c:pt idx="177">
                  <c:v>153.68580226372828</c:v>
                </c:pt>
                <c:pt idx="178">
                  <c:v>154.24321150454057</c:v>
                </c:pt>
                <c:pt idx="179">
                  <c:v>154.80062074535286</c:v>
                </c:pt>
                <c:pt idx="180">
                  <c:v>155.35802998616515</c:v>
                </c:pt>
                <c:pt idx="181">
                  <c:v>155.91543922697744</c:v>
                </c:pt>
                <c:pt idx="182">
                  <c:v>156.47284846778973</c:v>
                </c:pt>
                <c:pt idx="183">
                  <c:v>157.03025770860202</c:v>
                </c:pt>
                <c:pt idx="184">
                  <c:v>157.58766694941431</c:v>
                </c:pt>
                <c:pt idx="185">
                  <c:v>158.1450761902266</c:v>
                </c:pt>
                <c:pt idx="186">
                  <c:v>158.70248543103889</c:v>
                </c:pt>
                <c:pt idx="187">
                  <c:v>159.25989467185119</c:v>
                </c:pt>
                <c:pt idx="188">
                  <c:v>159.81730391266348</c:v>
                </c:pt>
                <c:pt idx="189">
                  <c:v>160.37471315347577</c:v>
                </c:pt>
                <c:pt idx="190">
                  <c:v>160.93212239428806</c:v>
                </c:pt>
                <c:pt idx="191">
                  <c:v>161.48953163510035</c:v>
                </c:pt>
                <c:pt idx="192">
                  <c:v>162.04694087591264</c:v>
                </c:pt>
                <c:pt idx="193">
                  <c:v>162.60435011672493</c:v>
                </c:pt>
                <c:pt idx="194">
                  <c:v>163.16175935753722</c:v>
                </c:pt>
                <c:pt idx="195">
                  <c:v>163.71916859834951</c:v>
                </c:pt>
                <c:pt idx="196">
                  <c:v>164.2765778391618</c:v>
                </c:pt>
                <c:pt idx="197">
                  <c:v>164.83398707997409</c:v>
                </c:pt>
                <c:pt idx="198">
                  <c:v>165.39139632078638</c:v>
                </c:pt>
                <c:pt idx="199">
                  <c:v>165.94880556159868</c:v>
                </c:pt>
                <c:pt idx="200">
                  <c:v>166.50621480241097</c:v>
                </c:pt>
                <c:pt idx="201">
                  <c:v>167.06362404322326</c:v>
                </c:pt>
                <c:pt idx="202">
                  <c:v>167.62103328403555</c:v>
                </c:pt>
                <c:pt idx="203">
                  <c:v>168.17844252484784</c:v>
                </c:pt>
                <c:pt idx="204">
                  <c:v>168.73585176566013</c:v>
                </c:pt>
                <c:pt idx="205">
                  <c:v>169.29326100647242</c:v>
                </c:pt>
                <c:pt idx="206">
                  <c:v>169.85067024728471</c:v>
                </c:pt>
                <c:pt idx="207">
                  <c:v>170.408079488097</c:v>
                </c:pt>
                <c:pt idx="208">
                  <c:v>170.96548872890929</c:v>
                </c:pt>
                <c:pt idx="209">
                  <c:v>171.52289796972158</c:v>
                </c:pt>
                <c:pt idx="210">
                  <c:v>172.08030721053387</c:v>
                </c:pt>
                <c:pt idx="211">
                  <c:v>172.63771645134617</c:v>
                </c:pt>
                <c:pt idx="212">
                  <c:v>173.19512569215846</c:v>
                </c:pt>
                <c:pt idx="213">
                  <c:v>173.75253493297075</c:v>
                </c:pt>
                <c:pt idx="214">
                  <c:v>174.30994417378304</c:v>
                </c:pt>
                <c:pt idx="215">
                  <c:v>174.86735341459533</c:v>
                </c:pt>
                <c:pt idx="216">
                  <c:v>175.42476265540762</c:v>
                </c:pt>
                <c:pt idx="217">
                  <c:v>175.98217189621991</c:v>
                </c:pt>
                <c:pt idx="218">
                  <c:v>176.5395811370322</c:v>
                </c:pt>
                <c:pt idx="219">
                  <c:v>177.09699037784449</c:v>
                </c:pt>
                <c:pt idx="220">
                  <c:v>177.65439961865678</c:v>
                </c:pt>
                <c:pt idx="221">
                  <c:v>178.21180885946907</c:v>
                </c:pt>
                <c:pt idx="222">
                  <c:v>178.76921810028136</c:v>
                </c:pt>
                <c:pt idx="223">
                  <c:v>179.32662734109365</c:v>
                </c:pt>
                <c:pt idx="224">
                  <c:v>179.88403658190595</c:v>
                </c:pt>
                <c:pt idx="225">
                  <c:v>180.44144582271824</c:v>
                </c:pt>
                <c:pt idx="226">
                  <c:v>180.99885506353053</c:v>
                </c:pt>
                <c:pt idx="227">
                  <c:v>181.55626430434282</c:v>
                </c:pt>
                <c:pt idx="228">
                  <c:v>182.11367354515511</c:v>
                </c:pt>
                <c:pt idx="229">
                  <c:v>182.6710827859674</c:v>
                </c:pt>
                <c:pt idx="230">
                  <c:v>183.22849202677969</c:v>
                </c:pt>
                <c:pt idx="231">
                  <c:v>183.78590126759198</c:v>
                </c:pt>
                <c:pt idx="232">
                  <c:v>184.34331050840427</c:v>
                </c:pt>
                <c:pt idx="233">
                  <c:v>184.90071974921656</c:v>
                </c:pt>
                <c:pt idx="234">
                  <c:v>185.45812899002885</c:v>
                </c:pt>
                <c:pt idx="235">
                  <c:v>186.01553823084114</c:v>
                </c:pt>
                <c:pt idx="236">
                  <c:v>186.57294747165344</c:v>
                </c:pt>
                <c:pt idx="237">
                  <c:v>187.13035671246573</c:v>
                </c:pt>
                <c:pt idx="238">
                  <c:v>187.68776595327802</c:v>
                </c:pt>
                <c:pt idx="239">
                  <c:v>188.24517519409031</c:v>
                </c:pt>
                <c:pt idx="240">
                  <c:v>188.8025844349026</c:v>
                </c:pt>
                <c:pt idx="241">
                  <c:v>189.35999367571489</c:v>
                </c:pt>
                <c:pt idx="242">
                  <c:v>189.91740291652718</c:v>
                </c:pt>
                <c:pt idx="243">
                  <c:v>190.47481215733947</c:v>
                </c:pt>
                <c:pt idx="244">
                  <c:v>191.03222139815176</c:v>
                </c:pt>
                <c:pt idx="245">
                  <c:v>191.58963063896405</c:v>
                </c:pt>
                <c:pt idx="246">
                  <c:v>192.14703987977634</c:v>
                </c:pt>
                <c:pt idx="247">
                  <c:v>192.70444912058863</c:v>
                </c:pt>
                <c:pt idx="248">
                  <c:v>193.26185836140093</c:v>
                </c:pt>
                <c:pt idx="249">
                  <c:v>193.81926760221322</c:v>
                </c:pt>
                <c:pt idx="250">
                  <c:v>194.37667684302551</c:v>
                </c:pt>
                <c:pt idx="251">
                  <c:v>194.9340860838378</c:v>
                </c:pt>
                <c:pt idx="252">
                  <c:v>195.49149532465009</c:v>
                </c:pt>
                <c:pt idx="253">
                  <c:v>196.04890456546238</c:v>
                </c:pt>
                <c:pt idx="254">
                  <c:v>196.60631380627467</c:v>
                </c:pt>
                <c:pt idx="255">
                  <c:v>197.16372304708696</c:v>
                </c:pt>
                <c:pt idx="256">
                  <c:v>197.72113228789925</c:v>
                </c:pt>
                <c:pt idx="257">
                  <c:v>198.27854152871154</c:v>
                </c:pt>
                <c:pt idx="258">
                  <c:v>198.83595076952383</c:v>
                </c:pt>
                <c:pt idx="259">
                  <c:v>199.39336001033612</c:v>
                </c:pt>
                <c:pt idx="260">
                  <c:v>199.95076925114842</c:v>
                </c:pt>
                <c:pt idx="261">
                  <c:v>200.50817849196071</c:v>
                </c:pt>
                <c:pt idx="262">
                  <c:v>201.065587732773</c:v>
                </c:pt>
                <c:pt idx="263">
                  <c:v>201.62299697358529</c:v>
                </c:pt>
                <c:pt idx="264">
                  <c:v>202.18040621439758</c:v>
                </c:pt>
                <c:pt idx="265">
                  <c:v>202.73781545520987</c:v>
                </c:pt>
                <c:pt idx="266">
                  <c:v>203.29522469602216</c:v>
                </c:pt>
                <c:pt idx="267">
                  <c:v>203.85263393683445</c:v>
                </c:pt>
                <c:pt idx="268">
                  <c:v>204.41004317764674</c:v>
                </c:pt>
                <c:pt idx="269">
                  <c:v>204.96745241845903</c:v>
                </c:pt>
                <c:pt idx="270">
                  <c:v>205.52486165927132</c:v>
                </c:pt>
                <c:pt idx="271">
                  <c:v>206.08227090008361</c:v>
                </c:pt>
                <c:pt idx="272">
                  <c:v>206.63968014089619</c:v>
                </c:pt>
                <c:pt idx="273">
                  <c:v>206.57670037889125</c:v>
                </c:pt>
                <c:pt idx="274">
                  <c:v>206.5137206168863</c:v>
                </c:pt>
                <c:pt idx="275">
                  <c:v>206.45074085488136</c:v>
                </c:pt>
                <c:pt idx="276">
                  <c:v>206.38776109287642</c:v>
                </c:pt>
                <c:pt idx="277">
                  <c:v>206.32478133087147</c:v>
                </c:pt>
                <c:pt idx="278">
                  <c:v>206.26180156886653</c:v>
                </c:pt>
                <c:pt idx="279">
                  <c:v>206.19882180686159</c:v>
                </c:pt>
                <c:pt idx="280">
                  <c:v>206.13584204485664</c:v>
                </c:pt>
                <c:pt idx="281">
                  <c:v>206.0728622828517</c:v>
                </c:pt>
                <c:pt idx="282">
                  <c:v>206.00988252084676</c:v>
                </c:pt>
                <c:pt idx="283">
                  <c:v>205.94690275884182</c:v>
                </c:pt>
                <c:pt idx="284">
                  <c:v>205.88392299683687</c:v>
                </c:pt>
                <c:pt idx="285">
                  <c:v>205.82094323483193</c:v>
                </c:pt>
                <c:pt idx="286">
                  <c:v>205.75796347282699</c:v>
                </c:pt>
                <c:pt idx="287">
                  <c:v>205.69498371082204</c:v>
                </c:pt>
                <c:pt idx="288">
                  <c:v>205.6320039488171</c:v>
                </c:pt>
                <c:pt idx="289">
                  <c:v>205.56902418681216</c:v>
                </c:pt>
                <c:pt idx="290">
                  <c:v>205.50604442480721</c:v>
                </c:pt>
                <c:pt idx="291">
                  <c:v>205.44306466280227</c:v>
                </c:pt>
                <c:pt idx="292">
                  <c:v>205.38008490079733</c:v>
                </c:pt>
                <c:pt idx="293">
                  <c:v>205.31710513879239</c:v>
                </c:pt>
                <c:pt idx="294">
                  <c:v>205.25412537678744</c:v>
                </c:pt>
                <c:pt idx="295">
                  <c:v>205.1911456147825</c:v>
                </c:pt>
                <c:pt idx="296">
                  <c:v>205.12816585277756</c:v>
                </c:pt>
                <c:pt idx="297">
                  <c:v>205.06518609077261</c:v>
                </c:pt>
                <c:pt idx="298">
                  <c:v>205.00220632876767</c:v>
                </c:pt>
                <c:pt idx="299">
                  <c:v>204.93922656676273</c:v>
                </c:pt>
                <c:pt idx="300">
                  <c:v>204.87624680475778</c:v>
                </c:pt>
                <c:pt idx="301">
                  <c:v>204.81326704275284</c:v>
                </c:pt>
                <c:pt idx="302">
                  <c:v>204.7502872807479</c:v>
                </c:pt>
                <c:pt idx="303">
                  <c:v>204.68730751874295</c:v>
                </c:pt>
                <c:pt idx="304">
                  <c:v>204.62432775673801</c:v>
                </c:pt>
                <c:pt idx="305">
                  <c:v>204.56134799473307</c:v>
                </c:pt>
                <c:pt idx="306">
                  <c:v>204.49836823272813</c:v>
                </c:pt>
                <c:pt idx="307">
                  <c:v>204.43538847072318</c:v>
                </c:pt>
                <c:pt idx="308">
                  <c:v>204.37240870871824</c:v>
                </c:pt>
                <c:pt idx="309">
                  <c:v>204.3094289467133</c:v>
                </c:pt>
                <c:pt idx="310">
                  <c:v>204.24644918470835</c:v>
                </c:pt>
                <c:pt idx="311">
                  <c:v>204.18346942270341</c:v>
                </c:pt>
                <c:pt idx="312">
                  <c:v>204.12048966069847</c:v>
                </c:pt>
                <c:pt idx="313">
                  <c:v>204.05750989869352</c:v>
                </c:pt>
                <c:pt idx="314">
                  <c:v>203.99453013668858</c:v>
                </c:pt>
                <c:pt idx="315">
                  <c:v>203.93155037468364</c:v>
                </c:pt>
                <c:pt idx="316">
                  <c:v>203.8685706126787</c:v>
                </c:pt>
                <c:pt idx="317">
                  <c:v>203.80559085067375</c:v>
                </c:pt>
                <c:pt idx="318">
                  <c:v>203.74261108866881</c:v>
                </c:pt>
                <c:pt idx="319">
                  <c:v>203.67963132666387</c:v>
                </c:pt>
                <c:pt idx="320">
                  <c:v>203.61665156465892</c:v>
                </c:pt>
                <c:pt idx="321">
                  <c:v>203.55367180265398</c:v>
                </c:pt>
                <c:pt idx="322">
                  <c:v>203.49069204064904</c:v>
                </c:pt>
                <c:pt idx="323">
                  <c:v>203.42771227864409</c:v>
                </c:pt>
                <c:pt idx="324">
                  <c:v>203.36473251663915</c:v>
                </c:pt>
                <c:pt idx="325">
                  <c:v>203.30175275463421</c:v>
                </c:pt>
                <c:pt idx="326">
                  <c:v>203.23877299262926</c:v>
                </c:pt>
                <c:pt idx="327">
                  <c:v>203.17579323062432</c:v>
                </c:pt>
                <c:pt idx="328">
                  <c:v>203.11281346861938</c:v>
                </c:pt>
                <c:pt idx="329">
                  <c:v>203.04983370661444</c:v>
                </c:pt>
                <c:pt idx="330">
                  <c:v>202.98685394460949</c:v>
                </c:pt>
                <c:pt idx="331">
                  <c:v>202.92387418260455</c:v>
                </c:pt>
                <c:pt idx="332">
                  <c:v>202.86089442059961</c:v>
                </c:pt>
                <c:pt idx="333">
                  <c:v>202.79791465859466</c:v>
                </c:pt>
                <c:pt idx="334">
                  <c:v>202.73493489658972</c:v>
                </c:pt>
                <c:pt idx="335">
                  <c:v>202.67195513458478</c:v>
                </c:pt>
                <c:pt idx="336">
                  <c:v>202.60897537257983</c:v>
                </c:pt>
                <c:pt idx="337">
                  <c:v>202.54599561057489</c:v>
                </c:pt>
                <c:pt idx="338">
                  <c:v>202.48301584856995</c:v>
                </c:pt>
                <c:pt idx="339">
                  <c:v>202.42003608656501</c:v>
                </c:pt>
                <c:pt idx="340">
                  <c:v>202.35705632456006</c:v>
                </c:pt>
                <c:pt idx="341">
                  <c:v>202.29407656255512</c:v>
                </c:pt>
                <c:pt idx="342">
                  <c:v>202.23109680055018</c:v>
                </c:pt>
                <c:pt idx="343">
                  <c:v>202.16811703854523</c:v>
                </c:pt>
                <c:pt idx="344">
                  <c:v>202.10513727654083</c:v>
                </c:pt>
                <c:pt idx="345">
                  <c:v>201.23288235060619</c:v>
                </c:pt>
                <c:pt idx="346">
                  <c:v>200.36062742467155</c:v>
                </c:pt>
                <c:pt idx="347">
                  <c:v>199.48837249873691</c:v>
                </c:pt>
                <c:pt idx="348">
                  <c:v>198.61611757280227</c:v>
                </c:pt>
                <c:pt idx="349">
                  <c:v>197.74386264686763</c:v>
                </c:pt>
                <c:pt idx="350">
                  <c:v>196.87160772093299</c:v>
                </c:pt>
                <c:pt idx="351">
                  <c:v>195.99935279499834</c:v>
                </c:pt>
                <c:pt idx="352">
                  <c:v>195.1270978690637</c:v>
                </c:pt>
                <c:pt idx="353">
                  <c:v>194.25484294312906</c:v>
                </c:pt>
                <c:pt idx="354">
                  <c:v>193.38258801719442</c:v>
                </c:pt>
                <c:pt idx="355">
                  <c:v>192.51033309125978</c:v>
                </c:pt>
                <c:pt idx="356">
                  <c:v>191.63807816532514</c:v>
                </c:pt>
                <c:pt idx="357">
                  <c:v>190.7658232393905</c:v>
                </c:pt>
                <c:pt idx="358">
                  <c:v>189.89356831345586</c:v>
                </c:pt>
                <c:pt idx="359">
                  <c:v>189.02131338752122</c:v>
                </c:pt>
                <c:pt idx="360">
                  <c:v>188.14905846158658</c:v>
                </c:pt>
                <c:pt idx="361">
                  <c:v>187.27680353565194</c:v>
                </c:pt>
                <c:pt idx="362">
                  <c:v>186.4045486097173</c:v>
                </c:pt>
                <c:pt idx="363">
                  <c:v>185.53229368378265</c:v>
                </c:pt>
                <c:pt idx="364">
                  <c:v>184.66003875784801</c:v>
                </c:pt>
                <c:pt idx="365">
                  <c:v>183.78778383191337</c:v>
                </c:pt>
                <c:pt idx="366">
                  <c:v>182.91552890597873</c:v>
                </c:pt>
                <c:pt idx="367">
                  <c:v>182.04327398004409</c:v>
                </c:pt>
                <c:pt idx="368">
                  <c:v>181.17101905410959</c:v>
                </c:pt>
                <c:pt idx="369">
                  <c:v>180.56637121447736</c:v>
                </c:pt>
                <c:pt idx="370">
                  <c:v>179.96172337484512</c:v>
                </c:pt>
                <c:pt idx="371">
                  <c:v>179.35707553521289</c:v>
                </c:pt>
                <c:pt idx="372">
                  <c:v>178.75242769558065</c:v>
                </c:pt>
                <c:pt idx="373">
                  <c:v>178.14777985594841</c:v>
                </c:pt>
                <c:pt idx="374">
                  <c:v>177.54313201631618</c:v>
                </c:pt>
                <c:pt idx="375">
                  <c:v>176.93848417668394</c:v>
                </c:pt>
                <c:pt idx="376">
                  <c:v>176.33383633705171</c:v>
                </c:pt>
                <c:pt idx="377">
                  <c:v>175.72918849741947</c:v>
                </c:pt>
                <c:pt idx="378">
                  <c:v>175.12454065778724</c:v>
                </c:pt>
                <c:pt idx="379">
                  <c:v>174.519892818155</c:v>
                </c:pt>
                <c:pt idx="380">
                  <c:v>173.91524497852276</c:v>
                </c:pt>
                <c:pt idx="381">
                  <c:v>173.31059713889053</c:v>
                </c:pt>
                <c:pt idx="382">
                  <c:v>172.70594929925829</c:v>
                </c:pt>
                <c:pt idx="383">
                  <c:v>172.10130145962606</c:v>
                </c:pt>
                <c:pt idx="384">
                  <c:v>171.49665361999382</c:v>
                </c:pt>
                <c:pt idx="385">
                  <c:v>170.89200578036159</c:v>
                </c:pt>
                <c:pt idx="386">
                  <c:v>170.28735794072935</c:v>
                </c:pt>
                <c:pt idx="387">
                  <c:v>169.68271010109711</c:v>
                </c:pt>
                <c:pt idx="388">
                  <c:v>169.07806226146488</c:v>
                </c:pt>
                <c:pt idx="389">
                  <c:v>168.47341442183264</c:v>
                </c:pt>
                <c:pt idx="390">
                  <c:v>167.86876658220041</c:v>
                </c:pt>
                <c:pt idx="391">
                  <c:v>167.26411874256817</c:v>
                </c:pt>
                <c:pt idx="392">
                  <c:v>166.65947090293594</c:v>
                </c:pt>
                <c:pt idx="393">
                  <c:v>166.0548230633037</c:v>
                </c:pt>
                <c:pt idx="394">
                  <c:v>165.45017522367147</c:v>
                </c:pt>
                <c:pt idx="395">
                  <c:v>164.84552738403923</c:v>
                </c:pt>
                <c:pt idx="396">
                  <c:v>164.24087954440699</c:v>
                </c:pt>
                <c:pt idx="397">
                  <c:v>163.63623170477476</c:v>
                </c:pt>
                <c:pt idx="398">
                  <c:v>163.03158386514252</c:v>
                </c:pt>
                <c:pt idx="399">
                  <c:v>162.42693602551029</c:v>
                </c:pt>
                <c:pt idx="400">
                  <c:v>161.82228818587805</c:v>
                </c:pt>
                <c:pt idx="401">
                  <c:v>161.21764034624582</c:v>
                </c:pt>
                <c:pt idx="402">
                  <c:v>160.61299250661358</c:v>
                </c:pt>
                <c:pt idx="403">
                  <c:v>160.00834466698134</c:v>
                </c:pt>
                <c:pt idx="404">
                  <c:v>159.40369682734911</c:v>
                </c:pt>
                <c:pt idx="405">
                  <c:v>158.79904898771687</c:v>
                </c:pt>
                <c:pt idx="406">
                  <c:v>158.19440114808464</c:v>
                </c:pt>
                <c:pt idx="407">
                  <c:v>157.5897533084524</c:v>
                </c:pt>
                <c:pt idx="408">
                  <c:v>156.98510546882017</c:v>
                </c:pt>
                <c:pt idx="409">
                  <c:v>156.38045762918793</c:v>
                </c:pt>
                <c:pt idx="410">
                  <c:v>155.77580978955569</c:v>
                </c:pt>
                <c:pt idx="411">
                  <c:v>155.17116194992346</c:v>
                </c:pt>
                <c:pt idx="412">
                  <c:v>154.56651411029122</c:v>
                </c:pt>
                <c:pt idx="413">
                  <c:v>153.96186627065899</c:v>
                </c:pt>
                <c:pt idx="414">
                  <c:v>153.35721843102675</c:v>
                </c:pt>
                <c:pt idx="415">
                  <c:v>152.75257059139452</c:v>
                </c:pt>
                <c:pt idx="416">
                  <c:v>152.14792275176228</c:v>
                </c:pt>
                <c:pt idx="417">
                  <c:v>151.54327491213004</c:v>
                </c:pt>
                <c:pt idx="418">
                  <c:v>150.93862707249781</c:v>
                </c:pt>
                <c:pt idx="419">
                  <c:v>150.33397923286557</c:v>
                </c:pt>
                <c:pt idx="420">
                  <c:v>149.72933139323334</c:v>
                </c:pt>
                <c:pt idx="421">
                  <c:v>149.1246835536011</c:v>
                </c:pt>
                <c:pt idx="422">
                  <c:v>148.52003571396887</c:v>
                </c:pt>
                <c:pt idx="423">
                  <c:v>147.91538787433663</c:v>
                </c:pt>
                <c:pt idx="424">
                  <c:v>147.31074003470439</c:v>
                </c:pt>
                <c:pt idx="425">
                  <c:v>146.70609219507216</c:v>
                </c:pt>
                <c:pt idx="426">
                  <c:v>146.10144435543992</c:v>
                </c:pt>
                <c:pt idx="427">
                  <c:v>145.49679651580769</c:v>
                </c:pt>
                <c:pt idx="428">
                  <c:v>144.89214867617545</c:v>
                </c:pt>
                <c:pt idx="429">
                  <c:v>144.28750083654322</c:v>
                </c:pt>
                <c:pt idx="430">
                  <c:v>143.68285299691098</c:v>
                </c:pt>
                <c:pt idx="431">
                  <c:v>143.07820515727875</c:v>
                </c:pt>
                <c:pt idx="432">
                  <c:v>142.47355731764651</c:v>
                </c:pt>
                <c:pt idx="433">
                  <c:v>141.86890947801427</c:v>
                </c:pt>
                <c:pt idx="434">
                  <c:v>141.26426163838204</c:v>
                </c:pt>
                <c:pt idx="435">
                  <c:v>140.6596137987498</c:v>
                </c:pt>
                <c:pt idx="436">
                  <c:v>140.05496595911757</c:v>
                </c:pt>
                <c:pt idx="437">
                  <c:v>139.45031811948533</c:v>
                </c:pt>
                <c:pt idx="438">
                  <c:v>138.8456702798531</c:v>
                </c:pt>
                <c:pt idx="439">
                  <c:v>138.24102244022086</c:v>
                </c:pt>
                <c:pt idx="440">
                  <c:v>137.63637460058862</c:v>
                </c:pt>
                <c:pt idx="441">
                  <c:v>137.03172676095639</c:v>
                </c:pt>
                <c:pt idx="442">
                  <c:v>136.42707892132415</c:v>
                </c:pt>
                <c:pt idx="443">
                  <c:v>135.82243108169192</c:v>
                </c:pt>
                <c:pt idx="444">
                  <c:v>135.21778324205968</c:v>
                </c:pt>
                <c:pt idx="445">
                  <c:v>134.61313540242745</c:v>
                </c:pt>
                <c:pt idx="446">
                  <c:v>134.00848756279521</c:v>
                </c:pt>
                <c:pt idx="447">
                  <c:v>133.40383972316297</c:v>
                </c:pt>
                <c:pt idx="448">
                  <c:v>132.79919188353074</c:v>
                </c:pt>
                <c:pt idx="449">
                  <c:v>132.1945440438985</c:v>
                </c:pt>
                <c:pt idx="450">
                  <c:v>131.58989620426627</c:v>
                </c:pt>
                <c:pt idx="451">
                  <c:v>130.98524836463403</c:v>
                </c:pt>
                <c:pt idx="452">
                  <c:v>130.3806005250018</c:v>
                </c:pt>
                <c:pt idx="453">
                  <c:v>129.77595268536956</c:v>
                </c:pt>
                <c:pt idx="454">
                  <c:v>129.17130484573732</c:v>
                </c:pt>
                <c:pt idx="455">
                  <c:v>128.56665700610509</c:v>
                </c:pt>
                <c:pt idx="456">
                  <c:v>127.96200916647285</c:v>
                </c:pt>
                <c:pt idx="457">
                  <c:v>127.35736132684062</c:v>
                </c:pt>
                <c:pt idx="458">
                  <c:v>126.75271348720838</c:v>
                </c:pt>
                <c:pt idx="459">
                  <c:v>126.14806564757615</c:v>
                </c:pt>
                <c:pt idx="460">
                  <c:v>125.54341780794391</c:v>
                </c:pt>
                <c:pt idx="461">
                  <c:v>124.93876996831168</c:v>
                </c:pt>
                <c:pt idx="462">
                  <c:v>124.33412212867944</c:v>
                </c:pt>
                <c:pt idx="463">
                  <c:v>123.7294742890472</c:v>
                </c:pt>
                <c:pt idx="464">
                  <c:v>123.12482644941497</c:v>
                </c:pt>
                <c:pt idx="465">
                  <c:v>122.52017860978273</c:v>
                </c:pt>
                <c:pt idx="466">
                  <c:v>121.9155307701505</c:v>
                </c:pt>
                <c:pt idx="467">
                  <c:v>121.31088293051826</c:v>
                </c:pt>
                <c:pt idx="468">
                  <c:v>120.70623509088603</c:v>
                </c:pt>
                <c:pt idx="469">
                  <c:v>120.10158725125379</c:v>
                </c:pt>
                <c:pt idx="470">
                  <c:v>119.49693941162155</c:v>
                </c:pt>
                <c:pt idx="471">
                  <c:v>118.89229157198932</c:v>
                </c:pt>
                <c:pt idx="472">
                  <c:v>118.28764373235708</c:v>
                </c:pt>
                <c:pt idx="473">
                  <c:v>117.68299589272485</c:v>
                </c:pt>
                <c:pt idx="474">
                  <c:v>117.07834805309261</c:v>
                </c:pt>
                <c:pt idx="475">
                  <c:v>116.47370021346038</c:v>
                </c:pt>
                <c:pt idx="476">
                  <c:v>115.86905237382814</c:v>
                </c:pt>
                <c:pt idx="477">
                  <c:v>115.2644045341959</c:v>
                </c:pt>
                <c:pt idx="478">
                  <c:v>114.65975669456367</c:v>
                </c:pt>
                <c:pt idx="479">
                  <c:v>114.05510885493143</c:v>
                </c:pt>
                <c:pt idx="480">
                  <c:v>113.4504610152992</c:v>
                </c:pt>
                <c:pt idx="481">
                  <c:v>112.84581317566696</c:v>
                </c:pt>
                <c:pt idx="482">
                  <c:v>112.24116533603473</c:v>
                </c:pt>
                <c:pt idx="483">
                  <c:v>111.63651749640249</c:v>
                </c:pt>
                <c:pt idx="484">
                  <c:v>111.03186965677025</c:v>
                </c:pt>
                <c:pt idx="485">
                  <c:v>110.42722181713802</c:v>
                </c:pt>
                <c:pt idx="486">
                  <c:v>109.82257397750578</c:v>
                </c:pt>
                <c:pt idx="487">
                  <c:v>109.21792613787355</c:v>
                </c:pt>
                <c:pt idx="488">
                  <c:v>108.61327829824089</c:v>
                </c:pt>
                <c:pt idx="489">
                  <c:v>108.09840510165056</c:v>
                </c:pt>
                <c:pt idx="490">
                  <c:v>107.58353190506023</c:v>
                </c:pt>
                <c:pt idx="491">
                  <c:v>107.0686587084699</c:v>
                </c:pt>
                <c:pt idx="492">
                  <c:v>106.55378551187957</c:v>
                </c:pt>
                <c:pt idx="493">
                  <c:v>106.03891231528924</c:v>
                </c:pt>
                <c:pt idx="494">
                  <c:v>105.52403911869891</c:v>
                </c:pt>
                <c:pt idx="495">
                  <c:v>105.00916592210858</c:v>
                </c:pt>
                <c:pt idx="496">
                  <c:v>104.49429272551825</c:v>
                </c:pt>
                <c:pt idx="497">
                  <c:v>103.97941952892792</c:v>
                </c:pt>
                <c:pt idx="498">
                  <c:v>103.46454633233759</c:v>
                </c:pt>
                <c:pt idx="499">
                  <c:v>102.94967313574726</c:v>
                </c:pt>
                <c:pt idx="500">
                  <c:v>102.43479993915693</c:v>
                </c:pt>
                <c:pt idx="501">
                  <c:v>101.9199267425666</c:v>
                </c:pt>
                <c:pt idx="502">
                  <c:v>101.40505354597627</c:v>
                </c:pt>
                <c:pt idx="503">
                  <c:v>100.89018034938594</c:v>
                </c:pt>
                <c:pt idx="504">
                  <c:v>100.37530715279561</c:v>
                </c:pt>
                <c:pt idx="505">
                  <c:v>99.860433956205284</c:v>
                </c:pt>
                <c:pt idx="506">
                  <c:v>99.345560759614955</c:v>
                </c:pt>
                <c:pt idx="507">
                  <c:v>98.830687563024625</c:v>
                </c:pt>
                <c:pt idx="508">
                  <c:v>98.315814366434296</c:v>
                </c:pt>
                <c:pt idx="509">
                  <c:v>97.800941169843966</c:v>
                </c:pt>
                <c:pt idx="510">
                  <c:v>97.286067973253637</c:v>
                </c:pt>
                <c:pt idx="511">
                  <c:v>96.771194776663307</c:v>
                </c:pt>
                <c:pt idx="512">
                  <c:v>96.256321580072864</c:v>
                </c:pt>
                <c:pt idx="513">
                  <c:v>96.576864737054365</c:v>
                </c:pt>
                <c:pt idx="514">
                  <c:v>96.897407894035865</c:v>
                </c:pt>
                <c:pt idx="515">
                  <c:v>97.217951051017366</c:v>
                </c:pt>
                <c:pt idx="516">
                  <c:v>97.538494207998866</c:v>
                </c:pt>
                <c:pt idx="517">
                  <c:v>97.859037364980367</c:v>
                </c:pt>
                <c:pt idx="518">
                  <c:v>98.179580521961867</c:v>
                </c:pt>
                <c:pt idx="519">
                  <c:v>98.500123678943368</c:v>
                </c:pt>
                <c:pt idx="520">
                  <c:v>98.820666835924868</c:v>
                </c:pt>
                <c:pt idx="521">
                  <c:v>99.141209992906369</c:v>
                </c:pt>
                <c:pt idx="522">
                  <c:v>99.461753149887869</c:v>
                </c:pt>
                <c:pt idx="523">
                  <c:v>99.78229630686937</c:v>
                </c:pt>
                <c:pt idx="524">
                  <c:v>100.10283946385087</c:v>
                </c:pt>
                <c:pt idx="525">
                  <c:v>100.42338262083237</c:v>
                </c:pt>
                <c:pt idx="526">
                  <c:v>100.74392577781387</c:v>
                </c:pt>
                <c:pt idx="527">
                  <c:v>101.06446893479537</c:v>
                </c:pt>
                <c:pt idx="528">
                  <c:v>101.38501209177687</c:v>
                </c:pt>
                <c:pt idx="529">
                  <c:v>101.70555524875837</c:v>
                </c:pt>
                <c:pt idx="530">
                  <c:v>102.02609840573987</c:v>
                </c:pt>
                <c:pt idx="531">
                  <c:v>102.34664156272137</c:v>
                </c:pt>
                <c:pt idx="532">
                  <c:v>102.66718471970287</c:v>
                </c:pt>
                <c:pt idx="533">
                  <c:v>102.98772787668437</c:v>
                </c:pt>
                <c:pt idx="534">
                  <c:v>103.30827103366587</c:v>
                </c:pt>
                <c:pt idx="535">
                  <c:v>103.62881419064738</c:v>
                </c:pt>
                <c:pt idx="536">
                  <c:v>103.94935734762888</c:v>
                </c:pt>
                <c:pt idx="537">
                  <c:v>104.26990050461038</c:v>
                </c:pt>
                <c:pt idx="538">
                  <c:v>104.59044366159188</c:v>
                </c:pt>
                <c:pt idx="539">
                  <c:v>104.91098681857338</c:v>
                </c:pt>
                <c:pt idx="540">
                  <c:v>105.23152997555488</c:v>
                </c:pt>
                <c:pt idx="541">
                  <c:v>105.55207313253638</c:v>
                </c:pt>
                <c:pt idx="542">
                  <c:v>105.87261628951788</c:v>
                </c:pt>
                <c:pt idx="543">
                  <c:v>106.19315944649938</c:v>
                </c:pt>
                <c:pt idx="544">
                  <c:v>106.51370260348088</c:v>
                </c:pt>
                <c:pt idx="545">
                  <c:v>106.83424576046238</c:v>
                </c:pt>
                <c:pt idx="546">
                  <c:v>107.15478891744388</c:v>
                </c:pt>
                <c:pt idx="547">
                  <c:v>107.47533207442538</c:v>
                </c:pt>
                <c:pt idx="548">
                  <c:v>107.79587523140685</c:v>
                </c:pt>
                <c:pt idx="549">
                  <c:v>108.13005898505638</c:v>
                </c:pt>
                <c:pt idx="550">
                  <c:v>108.46424273870591</c:v>
                </c:pt>
                <c:pt idx="551">
                  <c:v>108.79842649235543</c:v>
                </c:pt>
                <c:pt idx="552">
                  <c:v>109.13261024600496</c:v>
                </c:pt>
                <c:pt idx="553">
                  <c:v>109.46679399965448</c:v>
                </c:pt>
                <c:pt idx="554">
                  <c:v>109.80097775330401</c:v>
                </c:pt>
                <c:pt idx="555">
                  <c:v>110.13516150695354</c:v>
                </c:pt>
                <c:pt idx="556">
                  <c:v>110.46934526060306</c:v>
                </c:pt>
                <c:pt idx="557">
                  <c:v>110.80352901425259</c:v>
                </c:pt>
                <c:pt idx="558">
                  <c:v>111.13771276790212</c:v>
                </c:pt>
                <c:pt idx="559">
                  <c:v>111.47189652155164</c:v>
                </c:pt>
                <c:pt idx="560">
                  <c:v>111.80608027520117</c:v>
                </c:pt>
                <c:pt idx="561">
                  <c:v>112.14026402885069</c:v>
                </c:pt>
                <c:pt idx="562">
                  <c:v>112.47444778250022</c:v>
                </c:pt>
                <c:pt idx="563">
                  <c:v>112.80863153614975</c:v>
                </c:pt>
                <c:pt idx="564">
                  <c:v>113.14281528979927</c:v>
                </c:pt>
                <c:pt idx="565">
                  <c:v>113.4769990434488</c:v>
                </c:pt>
                <c:pt idx="566">
                  <c:v>113.81118279709833</c:v>
                </c:pt>
                <c:pt idx="567">
                  <c:v>114.14536655074785</c:v>
                </c:pt>
                <c:pt idx="568">
                  <c:v>114.47955030439738</c:v>
                </c:pt>
                <c:pt idx="569">
                  <c:v>114.8137340580469</c:v>
                </c:pt>
                <c:pt idx="570">
                  <c:v>115.14791781169643</c:v>
                </c:pt>
                <c:pt idx="571">
                  <c:v>115.48210156534596</c:v>
                </c:pt>
                <c:pt idx="572">
                  <c:v>115.81628531899548</c:v>
                </c:pt>
                <c:pt idx="573">
                  <c:v>116.15046907264501</c:v>
                </c:pt>
                <c:pt idx="574">
                  <c:v>116.48465282629454</c:v>
                </c:pt>
                <c:pt idx="575">
                  <c:v>116.81883657994406</c:v>
                </c:pt>
                <c:pt idx="576">
                  <c:v>117.15302033359359</c:v>
                </c:pt>
                <c:pt idx="577">
                  <c:v>117.48720408724311</c:v>
                </c:pt>
                <c:pt idx="578">
                  <c:v>117.82138784089264</c:v>
                </c:pt>
                <c:pt idx="579">
                  <c:v>118.15557159454217</c:v>
                </c:pt>
                <c:pt idx="580">
                  <c:v>118.48975534819169</c:v>
                </c:pt>
                <c:pt idx="581">
                  <c:v>118.82393910184122</c:v>
                </c:pt>
                <c:pt idx="582">
                  <c:v>119.15812285549075</c:v>
                </c:pt>
                <c:pt idx="583">
                  <c:v>119.49230660914027</c:v>
                </c:pt>
                <c:pt idx="584">
                  <c:v>119.8264903627898</c:v>
                </c:pt>
                <c:pt idx="585">
                  <c:v>120.16067411643932</c:v>
                </c:pt>
                <c:pt idx="586">
                  <c:v>120.49485787008885</c:v>
                </c:pt>
                <c:pt idx="587">
                  <c:v>120.82904162373838</c:v>
                </c:pt>
                <c:pt idx="588">
                  <c:v>121.1632253773879</c:v>
                </c:pt>
                <c:pt idx="589">
                  <c:v>121.49740913103743</c:v>
                </c:pt>
                <c:pt idx="590">
                  <c:v>121.83159288468696</c:v>
                </c:pt>
                <c:pt idx="591">
                  <c:v>122.16577663833648</c:v>
                </c:pt>
                <c:pt idx="592">
                  <c:v>122.49996039198601</c:v>
                </c:pt>
                <c:pt idx="593">
                  <c:v>122.83414414563553</c:v>
                </c:pt>
                <c:pt idx="594">
                  <c:v>123.16832789928506</c:v>
                </c:pt>
                <c:pt idx="595">
                  <c:v>123.50251165293459</c:v>
                </c:pt>
                <c:pt idx="596">
                  <c:v>123.83669540658408</c:v>
                </c:pt>
                <c:pt idx="597">
                  <c:v>123.74668947131754</c:v>
                </c:pt>
                <c:pt idx="598">
                  <c:v>123.65668353605099</c:v>
                </c:pt>
                <c:pt idx="599">
                  <c:v>123.56667760078444</c:v>
                </c:pt>
                <c:pt idx="600">
                  <c:v>123.4766716655179</c:v>
                </c:pt>
                <c:pt idx="601">
                  <c:v>123.38666573025135</c:v>
                </c:pt>
                <c:pt idx="602">
                  <c:v>123.29665979498481</c:v>
                </c:pt>
                <c:pt idx="603">
                  <c:v>123.20665385971826</c:v>
                </c:pt>
                <c:pt idx="604">
                  <c:v>123.11664792445171</c:v>
                </c:pt>
                <c:pt idx="605">
                  <c:v>123.02664198918517</c:v>
                </c:pt>
                <c:pt idx="606">
                  <c:v>122.93663605391862</c:v>
                </c:pt>
                <c:pt idx="607">
                  <c:v>122.84663011865207</c:v>
                </c:pt>
                <c:pt idx="608">
                  <c:v>122.75662418338553</c:v>
                </c:pt>
                <c:pt idx="609">
                  <c:v>122.66661824811898</c:v>
                </c:pt>
                <c:pt idx="610">
                  <c:v>122.57661231285243</c:v>
                </c:pt>
                <c:pt idx="611">
                  <c:v>122.48660637758589</c:v>
                </c:pt>
                <c:pt idx="612">
                  <c:v>122.39660044231934</c:v>
                </c:pt>
                <c:pt idx="613">
                  <c:v>122.30659450705279</c:v>
                </c:pt>
                <c:pt idx="614">
                  <c:v>122.21658857178625</c:v>
                </c:pt>
                <c:pt idx="615">
                  <c:v>122.1265826365197</c:v>
                </c:pt>
                <c:pt idx="616">
                  <c:v>122.03657670125315</c:v>
                </c:pt>
                <c:pt idx="617">
                  <c:v>121.94657076598661</c:v>
                </c:pt>
                <c:pt idx="618">
                  <c:v>121.85656483072006</c:v>
                </c:pt>
                <c:pt idx="619">
                  <c:v>121.76655889545351</c:v>
                </c:pt>
                <c:pt idx="620">
                  <c:v>121.67655296018697</c:v>
                </c:pt>
                <c:pt idx="621">
                  <c:v>121.58654702492042</c:v>
                </c:pt>
                <c:pt idx="622">
                  <c:v>121.49654108965387</c:v>
                </c:pt>
                <c:pt idx="623">
                  <c:v>121.40653515438733</c:v>
                </c:pt>
                <c:pt idx="624">
                  <c:v>121.31652921912078</c:v>
                </c:pt>
                <c:pt idx="625">
                  <c:v>121.22652328385423</c:v>
                </c:pt>
                <c:pt idx="626">
                  <c:v>121.13651734858769</c:v>
                </c:pt>
                <c:pt idx="627">
                  <c:v>121.04651141332114</c:v>
                </c:pt>
                <c:pt idx="628">
                  <c:v>120.95650547805459</c:v>
                </c:pt>
                <c:pt idx="629">
                  <c:v>120.86649954278805</c:v>
                </c:pt>
                <c:pt idx="630">
                  <c:v>120.7764936075215</c:v>
                </c:pt>
                <c:pt idx="631">
                  <c:v>120.68648767225496</c:v>
                </c:pt>
                <c:pt idx="632">
                  <c:v>120.59648173698841</c:v>
                </c:pt>
                <c:pt idx="633">
                  <c:v>120.50647580172186</c:v>
                </c:pt>
                <c:pt idx="634">
                  <c:v>120.41646986645532</c:v>
                </c:pt>
                <c:pt idx="635">
                  <c:v>120.32646393118877</c:v>
                </c:pt>
                <c:pt idx="636">
                  <c:v>120.23645799592222</c:v>
                </c:pt>
                <c:pt idx="637">
                  <c:v>120.14645206065568</c:v>
                </c:pt>
                <c:pt idx="638">
                  <c:v>120.05644612538913</c:v>
                </c:pt>
                <c:pt idx="639">
                  <c:v>119.96644019012258</c:v>
                </c:pt>
                <c:pt idx="640">
                  <c:v>119.87643425485604</c:v>
                </c:pt>
                <c:pt idx="641">
                  <c:v>119.78642831958949</c:v>
                </c:pt>
                <c:pt idx="642">
                  <c:v>119.69642238432294</c:v>
                </c:pt>
                <c:pt idx="643">
                  <c:v>119.6064164490564</c:v>
                </c:pt>
                <c:pt idx="644">
                  <c:v>119.51641051378985</c:v>
                </c:pt>
                <c:pt idx="645">
                  <c:v>119.4264045785233</c:v>
                </c:pt>
                <c:pt idx="646">
                  <c:v>119.33639864325676</c:v>
                </c:pt>
                <c:pt idx="647">
                  <c:v>119.24639270799021</c:v>
                </c:pt>
                <c:pt idx="648">
                  <c:v>119.15638677272366</c:v>
                </c:pt>
                <c:pt idx="649">
                  <c:v>119.06638083745712</c:v>
                </c:pt>
                <c:pt idx="650">
                  <c:v>118.97637490219057</c:v>
                </c:pt>
                <c:pt idx="651">
                  <c:v>118.88636896692402</c:v>
                </c:pt>
              </c:numCache>
            </c:numRef>
          </c:val>
          <c:smooth val="0"/>
          <c:extLst>
            <c:ext xmlns:c16="http://schemas.microsoft.com/office/drawing/2014/chart" uri="{C3380CC4-5D6E-409C-BE32-E72D297353CC}">
              <c16:uniqueId val="{00000001-D3B4-49D6-B25B-0EFB1280A228}"/>
            </c:ext>
          </c:extLst>
        </c:ser>
        <c:ser>
          <c:idx val="3"/>
          <c:order val="3"/>
          <c:tx>
            <c:strRef>
              <c:f>★資本稼働率!$P$1</c:f>
              <c:strCache>
                <c:ptCount val="1"/>
                <c:pt idx="0">
                  <c:v>推計生産能力</c:v>
                </c:pt>
              </c:strCache>
            </c:strRef>
          </c:tx>
          <c:spPr>
            <a:ln w="28575" cap="rnd">
              <a:solidFill>
                <a:schemeClr val="tx1">
                  <a:lumMod val="85000"/>
                  <a:lumOff val="15000"/>
                </a:schemeClr>
              </a:solidFill>
              <a:round/>
            </a:ln>
            <a:effectLst/>
          </c:spPr>
          <c:marker>
            <c:symbol val="none"/>
          </c:marker>
          <c:cat>
            <c:numRef>
              <c:f>★資本稼働率!$A$2:$A$653</c:f>
              <c:numCache>
                <c:formatCode>yyyy"年"m"月";@</c:formatCode>
                <c:ptCount val="652"/>
                <c:pt idx="0">
                  <c:v>24929</c:v>
                </c:pt>
                <c:pt idx="1">
                  <c:v>24959</c:v>
                </c:pt>
                <c:pt idx="2">
                  <c:v>24990</c:v>
                </c:pt>
                <c:pt idx="3">
                  <c:v>25020</c:v>
                </c:pt>
                <c:pt idx="4">
                  <c:v>25051</c:v>
                </c:pt>
                <c:pt idx="5">
                  <c:v>25082</c:v>
                </c:pt>
                <c:pt idx="6">
                  <c:v>25112</c:v>
                </c:pt>
                <c:pt idx="7">
                  <c:v>25143</c:v>
                </c:pt>
                <c:pt idx="8">
                  <c:v>25173</c:v>
                </c:pt>
                <c:pt idx="9">
                  <c:v>25204</c:v>
                </c:pt>
                <c:pt idx="10">
                  <c:v>25235</c:v>
                </c:pt>
                <c:pt idx="11">
                  <c:v>25263</c:v>
                </c:pt>
                <c:pt idx="12">
                  <c:v>25294</c:v>
                </c:pt>
                <c:pt idx="13">
                  <c:v>25324</c:v>
                </c:pt>
                <c:pt idx="14">
                  <c:v>25355</c:v>
                </c:pt>
                <c:pt idx="15">
                  <c:v>25385</c:v>
                </c:pt>
                <c:pt idx="16">
                  <c:v>25416</c:v>
                </c:pt>
                <c:pt idx="17">
                  <c:v>25447</c:v>
                </c:pt>
                <c:pt idx="18">
                  <c:v>25477</c:v>
                </c:pt>
                <c:pt idx="19">
                  <c:v>25508</c:v>
                </c:pt>
                <c:pt idx="20">
                  <c:v>25538</c:v>
                </c:pt>
                <c:pt idx="21">
                  <c:v>25569</c:v>
                </c:pt>
                <c:pt idx="22">
                  <c:v>25600</c:v>
                </c:pt>
                <c:pt idx="23">
                  <c:v>25628</c:v>
                </c:pt>
                <c:pt idx="24">
                  <c:v>25659</c:v>
                </c:pt>
                <c:pt idx="25">
                  <c:v>25689</c:v>
                </c:pt>
                <c:pt idx="26">
                  <c:v>25720</c:v>
                </c:pt>
                <c:pt idx="27">
                  <c:v>25750</c:v>
                </c:pt>
                <c:pt idx="28">
                  <c:v>25781</c:v>
                </c:pt>
                <c:pt idx="29">
                  <c:v>25812</c:v>
                </c:pt>
                <c:pt idx="30">
                  <c:v>25842</c:v>
                </c:pt>
                <c:pt idx="31">
                  <c:v>25873</c:v>
                </c:pt>
                <c:pt idx="32">
                  <c:v>25903</c:v>
                </c:pt>
                <c:pt idx="33">
                  <c:v>25934</c:v>
                </c:pt>
                <c:pt idx="34">
                  <c:v>25965</c:v>
                </c:pt>
                <c:pt idx="35">
                  <c:v>25993</c:v>
                </c:pt>
                <c:pt idx="36">
                  <c:v>26024</c:v>
                </c:pt>
                <c:pt idx="37">
                  <c:v>26054</c:v>
                </c:pt>
                <c:pt idx="38">
                  <c:v>26085</c:v>
                </c:pt>
                <c:pt idx="39">
                  <c:v>26115</c:v>
                </c:pt>
                <c:pt idx="40">
                  <c:v>26146</c:v>
                </c:pt>
                <c:pt idx="41">
                  <c:v>26177</c:v>
                </c:pt>
                <c:pt idx="42">
                  <c:v>26207</c:v>
                </c:pt>
                <c:pt idx="43">
                  <c:v>26238</c:v>
                </c:pt>
                <c:pt idx="44">
                  <c:v>26268</c:v>
                </c:pt>
                <c:pt idx="45">
                  <c:v>26299</c:v>
                </c:pt>
                <c:pt idx="46">
                  <c:v>26330</c:v>
                </c:pt>
                <c:pt idx="47">
                  <c:v>26359</c:v>
                </c:pt>
                <c:pt idx="48">
                  <c:v>26390</c:v>
                </c:pt>
                <c:pt idx="49">
                  <c:v>26420</c:v>
                </c:pt>
                <c:pt idx="50">
                  <c:v>26451</c:v>
                </c:pt>
                <c:pt idx="51">
                  <c:v>26481</c:v>
                </c:pt>
                <c:pt idx="52">
                  <c:v>26512</c:v>
                </c:pt>
                <c:pt idx="53">
                  <c:v>26543</c:v>
                </c:pt>
                <c:pt idx="54">
                  <c:v>26573</c:v>
                </c:pt>
                <c:pt idx="55">
                  <c:v>26604</c:v>
                </c:pt>
                <c:pt idx="56">
                  <c:v>26634</c:v>
                </c:pt>
                <c:pt idx="57">
                  <c:v>26665</c:v>
                </c:pt>
                <c:pt idx="58">
                  <c:v>26696</c:v>
                </c:pt>
                <c:pt idx="59">
                  <c:v>26724</c:v>
                </c:pt>
                <c:pt idx="60">
                  <c:v>26755</c:v>
                </c:pt>
                <c:pt idx="61">
                  <c:v>26785</c:v>
                </c:pt>
                <c:pt idx="62">
                  <c:v>26816</c:v>
                </c:pt>
                <c:pt idx="63">
                  <c:v>26846</c:v>
                </c:pt>
                <c:pt idx="64">
                  <c:v>26877</c:v>
                </c:pt>
                <c:pt idx="65">
                  <c:v>26908</c:v>
                </c:pt>
                <c:pt idx="66">
                  <c:v>26938</c:v>
                </c:pt>
                <c:pt idx="67">
                  <c:v>26969</c:v>
                </c:pt>
                <c:pt idx="68">
                  <c:v>26999</c:v>
                </c:pt>
                <c:pt idx="69">
                  <c:v>27030</c:v>
                </c:pt>
                <c:pt idx="70">
                  <c:v>27061</c:v>
                </c:pt>
                <c:pt idx="71">
                  <c:v>27089</c:v>
                </c:pt>
                <c:pt idx="72">
                  <c:v>27120</c:v>
                </c:pt>
                <c:pt idx="73">
                  <c:v>27150</c:v>
                </c:pt>
                <c:pt idx="74">
                  <c:v>27181</c:v>
                </c:pt>
                <c:pt idx="75">
                  <c:v>27211</c:v>
                </c:pt>
                <c:pt idx="76">
                  <c:v>27242</c:v>
                </c:pt>
                <c:pt idx="77">
                  <c:v>27273</c:v>
                </c:pt>
                <c:pt idx="78">
                  <c:v>27303</c:v>
                </c:pt>
                <c:pt idx="79">
                  <c:v>27334</c:v>
                </c:pt>
                <c:pt idx="80">
                  <c:v>27364</c:v>
                </c:pt>
                <c:pt idx="81">
                  <c:v>27395</c:v>
                </c:pt>
                <c:pt idx="82">
                  <c:v>27426</c:v>
                </c:pt>
                <c:pt idx="83">
                  <c:v>27454</c:v>
                </c:pt>
                <c:pt idx="84">
                  <c:v>27485</c:v>
                </c:pt>
                <c:pt idx="85">
                  <c:v>27515</c:v>
                </c:pt>
                <c:pt idx="86">
                  <c:v>27546</c:v>
                </c:pt>
                <c:pt idx="87">
                  <c:v>27576</c:v>
                </c:pt>
                <c:pt idx="88">
                  <c:v>27607</c:v>
                </c:pt>
                <c:pt idx="89">
                  <c:v>27638</c:v>
                </c:pt>
                <c:pt idx="90">
                  <c:v>27668</c:v>
                </c:pt>
                <c:pt idx="91">
                  <c:v>27699</c:v>
                </c:pt>
                <c:pt idx="92">
                  <c:v>27729</c:v>
                </c:pt>
                <c:pt idx="93">
                  <c:v>27760</c:v>
                </c:pt>
                <c:pt idx="94">
                  <c:v>27791</c:v>
                </c:pt>
                <c:pt idx="95">
                  <c:v>27820</c:v>
                </c:pt>
                <c:pt idx="96">
                  <c:v>27851</c:v>
                </c:pt>
                <c:pt idx="97">
                  <c:v>27881</c:v>
                </c:pt>
                <c:pt idx="98">
                  <c:v>27912</c:v>
                </c:pt>
                <c:pt idx="99">
                  <c:v>27942</c:v>
                </c:pt>
                <c:pt idx="100">
                  <c:v>27973</c:v>
                </c:pt>
                <c:pt idx="101">
                  <c:v>28004</c:v>
                </c:pt>
                <c:pt idx="102">
                  <c:v>28034</c:v>
                </c:pt>
                <c:pt idx="103">
                  <c:v>28065</c:v>
                </c:pt>
                <c:pt idx="104">
                  <c:v>28095</c:v>
                </c:pt>
                <c:pt idx="105">
                  <c:v>28126</c:v>
                </c:pt>
                <c:pt idx="106">
                  <c:v>28157</c:v>
                </c:pt>
                <c:pt idx="107">
                  <c:v>28185</c:v>
                </c:pt>
                <c:pt idx="108">
                  <c:v>28216</c:v>
                </c:pt>
                <c:pt idx="109">
                  <c:v>28246</c:v>
                </c:pt>
                <c:pt idx="110">
                  <c:v>28277</c:v>
                </c:pt>
                <c:pt idx="111">
                  <c:v>28307</c:v>
                </c:pt>
                <c:pt idx="112">
                  <c:v>28338</c:v>
                </c:pt>
                <c:pt idx="113">
                  <c:v>28369</c:v>
                </c:pt>
                <c:pt idx="114">
                  <c:v>28399</c:v>
                </c:pt>
                <c:pt idx="115">
                  <c:v>28430</c:v>
                </c:pt>
                <c:pt idx="116">
                  <c:v>28460</c:v>
                </c:pt>
                <c:pt idx="117">
                  <c:v>28491</c:v>
                </c:pt>
                <c:pt idx="118">
                  <c:v>28522</c:v>
                </c:pt>
                <c:pt idx="119">
                  <c:v>28550</c:v>
                </c:pt>
                <c:pt idx="120">
                  <c:v>28581</c:v>
                </c:pt>
                <c:pt idx="121">
                  <c:v>28611</c:v>
                </c:pt>
                <c:pt idx="122">
                  <c:v>28642</c:v>
                </c:pt>
                <c:pt idx="123">
                  <c:v>28672</c:v>
                </c:pt>
                <c:pt idx="124">
                  <c:v>28703</c:v>
                </c:pt>
                <c:pt idx="125">
                  <c:v>28734</c:v>
                </c:pt>
                <c:pt idx="126">
                  <c:v>28764</c:v>
                </c:pt>
                <c:pt idx="127">
                  <c:v>28795</c:v>
                </c:pt>
                <c:pt idx="128">
                  <c:v>28825</c:v>
                </c:pt>
                <c:pt idx="129">
                  <c:v>28856</c:v>
                </c:pt>
                <c:pt idx="130">
                  <c:v>28887</c:v>
                </c:pt>
                <c:pt idx="131">
                  <c:v>28915</c:v>
                </c:pt>
                <c:pt idx="132">
                  <c:v>28946</c:v>
                </c:pt>
                <c:pt idx="133">
                  <c:v>28976</c:v>
                </c:pt>
                <c:pt idx="134">
                  <c:v>29007</c:v>
                </c:pt>
                <c:pt idx="135">
                  <c:v>29037</c:v>
                </c:pt>
                <c:pt idx="136">
                  <c:v>29068</c:v>
                </c:pt>
                <c:pt idx="137">
                  <c:v>29099</c:v>
                </c:pt>
                <c:pt idx="138">
                  <c:v>29129</c:v>
                </c:pt>
                <c:pt idx="139">
                  <c:v>29160</c:v>
                </c:pt>
                <c:pt idx="140">
                  <c:v>29190</c:v>
                </c:pt>
                <c:pt idx="141">
                  <c:v>29221</c:v>
                </c:pt>
                <c:pt idx="142">
                  <c:v>29252</c:v>
                </c:pt>
                <c:pt idx="143">
                  <c:v>29281</c:v>
                </c:pt>
                <c:pt idx="144">
                  <c:v>29312</c:v>
                </c:pt>
                <c:pt idx="145">
                  <c:v>29342</c:v>
                </c:pt>
                <c:pt idx="146">
                  <c:v>29373</c:v>
                </c:pt>
                <c:pt idx="147">
                  <c:v>29403</c:v>
                </c:pt>
                <c:pt idx="148">
                  <c:v>29434</c:v>
                </c:pt>
                <c:pt idx="149">
                  <c:v>29465</c:v>
                </c:pt>
                <c:pt idx="150">
                  <c:v>29495</c:v>
                </c:pt>
                <c:pt idx="151">
                  <c:v>29526</c:v>
                </c:pt>
                <c:pt idx="152">
                  <c:v>29556</c:v>
                </c:pt>
                <c:pt idx="153">
                  <c:v>29587</c:v>
                </c:pt>
                <c:pt idx="154">
                  <c:v>29618</c:v>
                </c:pt>
                <c:pt idx="155">
                  <c:v>29646</c:v>
                </c:pt>
                <c:pt idx="156">
                  <c:v>29677</c:v>
                </c:pt>
                <c:pt idx="157">
                  <c:v>29707</c:v>
                </c:pt>
                <c:pt idx="158">
                  <c:v>29738</c:v>
                </c:pt>
                <c:pt idx="159">
                  <c:v>29768</c:v>
                </c:pt>
                <c:pt idx="160">
                  <c:v>29799</c:v>
                </c:pt>
                <c:pt idx="161">
                  <c:v>29830</c:v>
                </c:pt>
                <c:pt idx="162">
                  <c:v>29860</c:v>
                </c:pt>
                <c:pt idx="163">
                  <c:v>29891</c:v>
                </c:pt>
                <c:pt idx="164">
                  <c:v>29921</c:v>
                </c:pt>
                <c:pt idx="165">
                  <c:v>29952</c:v>
                </c:pt>
                <c:pt idx="166">
                  <c:v>29983</c:v>
                </c:pt>
                <c:pt idx="167">
                  <c:v>30011</c:v>
                </c:pt>
                <c:pt idx="168">
                  <c:v>30042</c:v>
                </c:pt>
                <c:pt idx="169">
                  <c:v>30072</c:v>
                </c:pt>
                <c:pt idx="170">
                  <c:v>30103</c:v>
                </c:pt>
                <c:pt idx="171">
                  <c:v>30133</c:v>
                </c:pt>
                <c:pt idx="172">
                  <c:v>30164</c:v>
                </c:pt>
                <c:pt idx="173">
                  <c:v>30195</c:v>
                </c:pt>
                <c:pt idx="174">
                  <c:v>30225</c:v>
                </c:pt>
                <c:pt idx="175">
                  <c:v>30256</c:v>
                </c:pt>
                <c:pt idx="176">
                  <c:v>30286</c:v>
                </c:pt>
                <c:pt idx="177">
                  <c:v>30317</c:v>
                </c:pt>
                <c:pt idx="178">
                  <c:v>30348</c:v>
                </c:pt>
                <c:pt idx="179">
                  <c:v>30376</c:v>
                </c:pt>
                <c:pt idx="180">
                  <c:v>30407</c:v>
                </c:pt>
                <c:pt idx="181">
                  <c:v>30437</c:v>
                </c:pt>
                <c:pt idx="182">
                  <c:v>30468</c:v>
                </c:pt>
                <c:pt idx="183">
                  <c:v>30498</c:v>
                </c:pt>
                <c:pt idx="184">
                  <c:v>30529</c:v>
                </c:pt>
                <c:pt idx="185">
                  <c:v>30560</c:v>
                </c:pt>
                <c:pt idx="186">
                  <c:v>30590</c:v>
                </c:pt>
                <c:pt idx="187">
                  <c:v>30621</c:v>
                </c:pt>
                <c:pt idx="188">
                  <c:v>30651</c:v>
                </c:pt>
                <c:pt idx="189">
                  <c:v>30682</c:v>
                </c:pt>
                <c:pt idx="190">
                  <c:v>30713</c:v>
                </c:pt>
                <c:pt idx="191">
                  <c:v>30742</c:v>
                </c:pt>
                <c:pt idx="192">
                  <c:v>30773</c:v>
                </c:pt>
                <c:pt idx="193">
                  <c:v>30803</c:v>
                </c:pt>
                <c:pt idx="194">
                  <c:v>30834</c:v>
                </c:pt>
                <c:pt idx="195">
                  <c:v>30864</c:v>
                </c:pt>
                <c:pt idx="196">
                  <c:v>30895</c:v>
                </c:pt>
                <c:pt idx="197">
                  <c:v>30926</c:v>
                </c:pt>
                <c:pt idx="198">
                  <c:v>30956</c:v>
                </c:pt>
                <c:pt idx="199">
                  <c:v>30987</c:v>
                </c:pt>
                <c:pt idx="200">
                  <c:v>31017</c:v>
                </c:pt>
                <c:pt idx="201">
                  <c:v>31048</c:v>
                </c:pt>
                <c:pt idx="202">
                  <c:v>31079</c:v>
                </c:pt>
                <c:pt idx="203">
                  <c:v>31107</c:v>
                </c:pt>
                <c:pt idx="204">
                  <c:v>31138</c:v>
                </c:pt>
                <c:pt idx="205">
                  <c:v>31168</c:v>
                </c:pt>
                <c:pt idx="206">
                  <c:v>31199</c:v>
                </c:pt>
                <c:pt idx="207">
                  <c:v>31229</c:v>
                </c:pt>
                <c:pt idx="208">
                  <c:v>31260</c:v>
                </c:pt>
                <c:pt idx="209">
                  <c:v>31291</c:v>
                </c:pt>
                <c:pt idx="210">
                  <c:v>31321</c:v>
                </c:pt>
                <c:pt idx="211">
                  <c:v>31352</c:v>
                </c:pt>
                <c:pt idx="212">
                  <c:v>31382</c:v>
                </c:pt>
                <c:pt idx="213">
                  <c:v>31413</c:v>
                </c:pt>
                <c:pt idx="214">
                  <c:v>31444</c:v>
                </c:pt>
                <c:pt idx="215">
                  <c:v>31472</c:v>
                </c:pt>
                <c:pt idx="216">
                  <c:v>31503</c:v>
                </c:pt>
                <c:pt idx="217">
                  <c:v>31533</c:v>
                </c:pt>
                <c:pt idx="218">
                  <c:v>31564</c:v>
                </c:pt>
                <c:pt idx="219">
                  <c:v>31594</c:v>
                </c:pt>
                <c:pt idx="220">
                  <c:v>31625</c:v>
                </c:pt>
                <c:pt idx="221">
                  <c:v>31656</c:v>
                </c:pt>
                <c:pt idx="222">
                  <c:v>31686</c:v>
                </c:pt>
                <c:pt idx="223">
                  <c:v>31717</c:v>
                </c:pt>
                <c:pt idx="224">
                  <c:v>31747</c:v>
                </c:pt>
                <c:pt idx="225">
                  <c:v>31778</c:v>
                </c:pt>
                <c:pt idx="226">
                  <c:v>31809</c:v>
                </c:pt>
                <c:pt idx="227">
                  <c:v>31837</c:v>
                </c:pt>
                <c:pt idx="228">
                  <c:v>31868</c:v>
                </c:pt>
                <c:pt idx="229">
                  <c:v>31898</c:v>
                </c:pt>
                <c:pt idx="230">
                  <c:v>31929</c:v>
                </c:pt>
                <c:pt idx="231">
                  <c:v>31959</c:v>
                </c:pt>
                <c:pt idx="232">
                  <c:v>31990</c:v>
                </c:pt>
                <c:pt idx="233">
                  <c:v>32021</c:v>
                </c:pt>
                <c:pt idx="234">
                  <c:v>32051</c:v>
                </c:pt>
                <c:pt idx="235">
                  <c:v>32082</c:v>
                </c:pt>
                <c:pt idx="236">
                  <c:v>32112</c:v>
                </c:pt>
                <c:pt idx="237">
                  <c:v>32143</c:v>
                </c:pt>
                <c:pt idx="238">
                  <c:v>32174</c:v>
                </c:pt>
                <c:pt idx="239">
                  <c:v>32203</c:v>
                </c:pt>
                <c:pt idx="240">
                  <c:v>32234</c:v>
                </c:pt>
                <c:pt idx="241">
                  <c:v>32264</c:v>
                </c:pt>
                <c:pt idx="242">
                  <c:v>32295</c:v>
                </c:pt>
                <c:pt idx="243">
                  <c:v>32325</c:v>
                </c:pt>
                <c:pt idx="244">
                  <c:v>32356</c:v>
                </c:pt>
                <c:pt idx="245">
                  <c:v>32387</c:v>
                </c:pt>
                <c:pt idx="246">
                  <c:v>32417</c:v>
                </c:pt>
                <c:pt idx="247">
                  <c:v>32448</c:v>
                </c:pt>
                <c:pt idx="248">
                  <c:v>32478</c:v>
                </c:pt>
                <c:pt idx="249">
                  <c:v>32509</c:v>
                </c:pt>
                <c:pt idx="250">
                  <c:v>32540</c:v>
                </c:pt>
                <c:pt idx="251">
                  <c:v>32568</c:v>
                </c:pt>
                <c:pt idx="252">
                  <c:v>32599</c:v>
                </c:pt>
                <c:pt idx="253">
                  <c:v>32629</c:v>
                </c:pt>
                <c:pt idx="254">
                  <c:v>32660</c:v>
                </c:pt>
                <c:pt idx="255">
                  <c:v>32690</c:v>
                </c:pt>
                <c:pt idx="256">
                  <c:v>32721</c:v>
                </c:pt>
                <c:pt idx="257">
                  <c:v>32752</c:v>
                </c:pt>
                <c:pt idx="258">
                  <c:v>32782</c:v>
                </c:pt>
                <c:pt idx="259">
                  <c:v>32813</c:v>
                </c:pt>
                <c:pt idx="260">
                  <c:v>32843</c:v>
                </c:pt>
                <c:pt idx="261">
                  <c:v>32874</c:v>
                </c:pt>
                <c:pt idx="262">
                  <c:v>32905</c:v>
                </c:pt>
                <c:pt idx="263">
                  <c:v>32933</c:v>
                </c:pt>
                <c:pt idx="264">
                  <c:v>32964</c:v>
                </c:pt>
                <c:pt idx="265">
                  <c:v>32994</c:v>
                </c:pt>
                <c:pt idx="266">
                  <c:v>33025</c:v>
                </c:pt>
                <c:pt idx="267">
                  <c:v>33055</c:v>
                </c:pt>
                <c:pt idx="268">
                  <c:v>33086</c:v>
                </c:pt>
                <c:pt idx="269">
                  <c:v>33117</c:v>
                </c:pt>
                <c:pt idx="270">
                  <c:v>33147</c:v>
                </c:pt>
                <c:pt idx="271">
                  <c:v>33178</c:v>
                </c:pt>
                <c:pt idx="272">
                  <c:v>33208</c:v>
                </c:pt>
                <c:pt idx="273">
                  <c:v>33239</c:v>
                </c:pt>
                <c:pt idx="274">
                  <c:v>33270</c:v>
                </c:pt>
                <c:pt idx="275">
                  <c:v>33298</c:v>
                </c:pt>
                <c:pt idx="276">
                  <c:v>33329</c:v>
                </c:pt>
                <c:pt idx="277">
                  <c:v>33359</c:v>
                </c:pt>
                <c:pt idx="278">
                  <c:v>33390</c:v>
                </c:pt>
                <c:pt idx="279">
                  <c:v>33420</c:v>
                </c:pt>
                <c:pt idx="280">
                  <c:v>33451</c:v>
                </c:pt>
                <c:pt idx="281">
                  <c:v>33482</c:v>
                </c:pt>
                <c:pt idx="282">
                  <c:v>33512</c:v>
                </c:pt>
                <c:pt idx="283">
                  <c:v>33543</c:v>
                </c:pt>
                <c:pt idx="284">
                  <c:v>33573</c:v>
                </c:pt>
                <c:pt idx="285">
                  <c:v>33604</c:v>
                </c:pt>
                <c:pt idx="286">
                  <c:v>33635</c:v>
                </c:pt>
                <c:pt idx="287">
                  <c:v>33664</c:v>
                </c:pt>
                <c:pt idx="288">
                  <c:v>33695</c:v>
                </c:pt>
                <c:pt idx="289">
                  <c:v>33725</c:v>
                </c:pt>
                <c:pt idx="290">
                  <c:v>33756</c:v>
                </c:pt>
                <c:pt idx="291">
                  <c:v>33786</c:v>
                </c:pt>
                <c:pt idx="292">
                  <c:v>33817</c:v>
                </c:pt>
                <c:pt idx="293">
                  <c:v>33848</c:v>
                </c:pt>
                <c:pt idx="294">
                  <c:v>33878</c:v>
                </c:pt>
                <c:pt idx="295">
                  <c:v>33909</c:v>
                </c:pt>
                <c:pt idx="296">
                  <c:v>33939</c:v>
                </c:pt>
                <c:pt idx="297">
                  <c:v>33970</c:v>
                </c:pt>
                <c:pt idx="298">
                  <c:v>34001</c:v>
                </c:pt>
                <c:pt idx="299">
                  <c:v>34029</c:v>
                </c:pt>
                <c:pt idx="300">
                  <c:v>34060</c:v>
                </c:pt>
                <c:pt idx="301">
                  <c:v>34090</c:v>
                </c:pt>
                <c:pt idx="302">
                  <c:v>34121</c:v>
                </c:pt>
                <c:pt idx="303">
                  <c:v>34151</c:v>
                </c:pt>
                <c:pt idx="304">
                  <c:v>34182</c:v>
                </c:pt>
                <c:pt idx="305">
                  <c:v>34213</c:v>
                </c:pt>
                <c:pt idx="306">
                  <c:v>34243</c:v>
                </c:pt>
                <c:pt idx="307">
                  <c:v>34274</c:v>
                </c:pt>
                <c:pt idx="308">
                  <c:v>34304</c:v>
                </c:pt>
                <c:pt idx="309">
                  <c:v>34335</c:v>
                </c:pt>
                <c:pt idx="310">
                  <c:v>34366</c:v>
                </c:pt>
                <c:pt idx="311">
                  <c:v>34394</c:v>
                </c:pt>
                <c:pt idx="312">
                  <c:v>34425</c:v>
                </c:pt>
                <c:pt idx="313">
                  <c:v>34455</c:v>
                </c:pt>
                <c:pt idx="314">
                  <c:v>34486</c:v>
                </c:pt>
                <c:pt idx="315">
                  <c:v>34516</c:v>
                </c:pt>
                <c:pt idx="316">
                  <c:v>34547</c:v>
                </c:pt>
                <c:pt idx="317">
                  <c:v>34578</c:v>
                </c:pt>
                <c:pt idx="318">
                  <c:v>34608</c:v>
                </c:pt>
                <c:pt idx="319">
                  <c:v>34639</c:v>
                </c:pt>
                <c:pt idx="320">
                  <c:v>34669</c:v>
                </c:pt>
                <c:pt idx="321">
                  <c:v>34700</c:v>
                </c:pt>
                <c:pt idx="322">
                  <c:v>34731</c:v>
                </c:pt>
                <c:pt idx="323">
                  <c:v>34759</c:v>
                </c:pt>
                <c:pt idx="324">
                  <c:v>34790</c:v>
                </c:pt>
                <c:pt idx="325">
                  <c:v>34820</c:v>
                </c:pt>
                <c:pt idx="326">
                  <c:v>34851</c:v>
                </c:pt>
                <c:pt idx="327">
                  <c:v>34881</c:v>
                </c:pt>
                <c:pt idx="328">
                  <c:v>34912</c:v>
                </c:pt>
                <c:pt idx="329">
                  <c:v>34943</c:v>
                </c:pt>
                <c:pt idx="330">
                  <c:v>34973</c:v>
                </c:pt>
                <c:pt idx="331">
                  <c:v>35004</c:v>
                </c:pt>
                <c:pt idx="332">
                  <c:v>35034</c:v>
                </c:pt>
                <c:pt idx="333">
                  <c:v>35065</c:v>
                </c:pt>
                <c:pt idx="334">
                  <c:v>35096</c:v>
                </c:pt>
                <c:pt idx="335">
                  <c:v>35125</c:v>
                </c:pt>
                <c:pt idx="336">
                  <c:v>35156</c:v>
                </c:pt>
                <c:pt idx="337">
                  <c:v>35186</c:v>
                </c:pt>
                <c:pt idx="338">
                  <c:v>35217</c:v>
                </c:pt>
                <c:pt idx="339">
                  <c:v>35247</c:v>
                </c:pt>
                <c:pt idx="340">
                  <c:v>35278</c:v>
                </c:pt>
                <c:pt idx="341">
                  <c:v>35309</c:v>
                </c:pt>
                <c:pt idx="342">
                  <c:v>35339</c:v>
                </c:pt>
                <c:pt idx="343">
                  <c:v>35370</c:v>
                </c:pt>
                <c:pt idx="344">
                  <c:v>35400</c:v>
                </c:pt>
                <c:pt idx="345">
                  <c:v>35431</c:v>
                </c:pt>
                <c:pt idx="346">
                  <c:v>35462</c:v>
                </c:pt>
                <c:pt idx="347">
                  <c:v>35490</c:v>
                </c:pt>
                <c:pt idx="348">
                  <c:v>35521</c:v>
                </c:pt>
                <c:pt idx="349">
                  <c:v>35551</c:v>
                </c:pt>
                <c:pt idx="350">
                  <c:v>35582</c:v>
                </c:pt>
                <c:pt idx="351">
                  <c:v>35612</c:v>
                </c:pt>
                <c:pt idx="352">
                  <c:v>35643</c:v>
                </c:pt>
                <c:pt idx="353">
                  <c:v>35674</c:v>
                </c:pt>
                <c:pt idx="354">
                  <c:v>35704</c:v>
                </c:pt>
                <c:pt idx="355">
                  <c:v>35735</c:v>
                </c:pt>
                <c:pt idx="356">
                  <c:v>35765</c:v>
                </c:pt>
                <c:pt idx="357">
                  <c:v>35796</c:v>
                </c:pt>
                <c:pt idx="358">
                  <c:v>35827</c:v>
                </c:pt>
                <c:pt idx="359">
                  <c:v>35855</c:v>
                </c:pt>
                <c:pt idx="360">
                  <c:v>35886</c:v>
                </c:pt>
                <c:pt idx="361">
                  <c:v>35916</c:v>
                </c:pt>
                <c:pt idx="362">
                  <c:v>35947</c:v>
                </c:pt>
                <c:pt idx="363">
                  <c:v>35977</c:v>
                </c:pt>
                <c:pt idx="364">
                  <c:v>36008</c:v>
                </c:pt>
                <c:pt idx="365">
                  <c:v>36039</c:v>
                </c:pt>
                <c:pt idx="366">
                  <c:v>36069</c:v>
                </c:pt>
                <c:pt idx="367">
                  <c:v>36100</c:v>
                </c:pt>
                <c:pt idx="368">
                  <c:v>36130</c:v>
                </c:pt>
                <c:pt idx="369">
                  <c:v>36161</c:v>
                </c:pt>
                <c:pt idx="370">
                  <c:v>36192</c:v>
                </c:pt>
                <c:pt idx="371">
                  <c:v>36220</c:v>
                </c:pt>
                <c:pt idx="372">
                  <c:v>36251</c:v>
                </c:pt>
                <c:pt idx="373">
                  <c:v>36281</c:v>
                </c:pt>
                <c:pt idx="374">
                  <c:v>36312</c:v>
                </c:pt>
                <c:pt idx="375">
                  <c:v>36342</c:v>
                </c:pt>
                <c:pt idx="376">
                  <c:v>36373</c:v>
                </c:pt>
                <c:pt idx="377">
                  <c:v>36404</c:v>
                </c:pt>
                <c:pt idx="378">
                  <c:v>36434</c:v>
                </c:pt>
                <c:pt idx="379">
                  <c:v>36465</c:v>
                </c:pt>
                <c:pt idx="380">
                  <c:v>36495</c:v>
                </c:pt>
                <c:pt idx="381">
                  <c:v>36526</c:v>
                </c:pt>
                <c:pt idx="382">
                  <c:v>36557</c:v>
                </c:pt>
                <c:pt idx="383">
                  <c:v>36586</c:v>
                </c:pt>
                <c:pt idx="384">
                  <c:v>36617</c:v>
                </c:pt>
                <c:pt idx="385">
                  <c:v>36647</c:v>
                </c:pt>
                <c:pt idx="386">
                  <c:v>36678</c:v>
                </c:pt>
                <c:pt idx="387">
                  <c:v>36708</c:v>
                </c:pt>
                <c:pt idx="388">
                  <c:v>36739</c:v>
                </c:pt>
                <c:pt idx="389">
                  <c:v>36770</c:v>
                </c:pt>
                <c:pt idx="390">
                  <c:v>36800</c:v>
                </c:pt>
                <c:pt idx="391">
                  <c:v>36831</c:v>
                </c:pt>
                <c:pt idx="392">
                  <c:v>36861</c:v>
                </c:pt>
                <c:pt idx="393">
                  <c:v>36892</c:v>
                </c:pt>
                <c:pt idx="394">
                  <c:v>36923</c:v>
                </c:pt>
                <c:pt idx="395">
                  <c:v>36951</c:v>
                </c:pt>
                <c:pt idx="396">
                  <c:v>36982</c:v>
                </c:pt>
                <c:pt idx="397">
                  <c:v>37012</c:v>
                </c:pt>
                <c:pt idx="398">
                  <c:v>37043</c:v>
                </c:pt>
                <c:pt idx="399">
                  <c:v>37073</c:v>
                </c:pt>
                <c:pt idx="400">
                  <c:v>37104</c:v>
                </c:pt>
                <c:pt idx="401">
                  <c:v>37135</c:v>
                </c:pt>
                <c:pt idx="402">
                  <c:v>37165</c:v>
                </c:pt>
                <c:pt idx="403">
                  <c:v>37196</c:v>
                </c:pt>
                <c:pt idx="404">
                  <c:v>37226</c:v>
                </c:pt>
                <c:pt idx="405">
                  <c:v>37257</c:v>
                </c:pt>
                <c:pt idx="406">
                  <c:v>37288</c:v>
                </c:pt>
                <c:pt idx="407">
                  <c:v>37316</c:v>
                </c:pt>
                <c:pt idx="408">
                  <c:v>37347</c:v>
                </c:pt>
                <c:pt idx="409">
                  <c:v>37377</c:v>
                </c:pt>
                <c:pt idx="410">
                  <c:v>37408</c:v>
                </c:pt>
                <c:pt idx="411">
                  <c:v>37438</c:v>
                </c:pt>
                <c:pt idx="412">
                  <c:v>37469</c:v>
                </c:pt>
                <c:pt idx="413">
                  <c:v>37500</c:v>
                </c:pt>
                <c:pt idx="414">
                  <c:v>37530</c:v>
                </c:pt>
                <c:pt idx="415">
                  <c:v>37561</c:v>
                </c:pt>
                <c:pt idx="416">
                  <c:v>37591</c:v>
                </c:pt>
                <c:pt idx="417">
                  <c:v>37622</c:v>
                </c:pt>
                <c:pt idx="418">
                  <c:v>37653</c:v>
                </c:pt>
                <c:pt idx="419">
                  <c:v>37681</c:v>
                </c:pt>
                <c:pt idx="420">
                  <c:v>37712</c:v>
                </c:pt>
                <c:pt idx="421">
                  <c:v>37742</c:v>
                </c:pt>
                <c:pt idx="422">
                  <c:v>37773</c:v>
                </c:pt>
                <c:pt idx="423">
                  <c:v>37803</c:v>
                </c:pt>
                <c:pt idx="424">
                  <c:v>37834</c:v>
                </c:pt>
                <c:pt idx="425">
                  <c:v>37865</c:v>
                </c:pt>
                <c:pt idx="426">
                  <c:v>37895</c:v>
                </c:pt>
                <c:pt idx="427">
                  <c:v>37926</c:v>
                </c:pt>
                <c:pt idx="428">
                  <c:v>37956</c:v>
                </c:pt>
                <c:pt idx="429">
                  <c:v>37987</c:v>
                </c:pt>
                <c:pt idx="430">
                  <c:v>38018</c:v>
                </c:pt>
                <c:pt idx="431">
                  <c:v>38047</c:v>
                </c:pt>
                <c:pt idx="432">
                  <c:v>38078</c:v>
                </c:pt>
                <c:pt idx="433">
                  <c:v>38108</c:v>
                </c:pt>
                <c:pt idx="434">
                  <c:v>38139</c:v>
                </c:pt>
                <c:pt idx="435">
                  <c:v>38169</c:v>
                </c:pt>
                <c:pt idx="436">
                  <c:v>38200</c:v>
                </c:pt>
                <c:pt idx="437">
                  <c:v>38231</c:v>
                </c:pt>
                <c:pt idx="438">
                  <c:v>38261</c:v>
                </c:pt>
                <c:pt idx="439">
                  <c:v>38292</c:v>
                </c:pt>
                <c:pt idx="440">
                  <c:v>38322</c:v>
                </c:pt>
                <c:pt idx="441">
                  <c:v>38353</c:v>
                </c:pt>
                <c:pt idx="442">
                  <c:v>38384</c:v>
                </c:pt>
                <c:pt idx="443">
                  <c:v>38412</c:v>
                </c:pt>
                <c:pt idx="444">
                  <c:v>38443</c:v>
                </c:pt>
                <c:pt idx="445">
                  <c:v>38473</c:v>
                </c:pt>
                <c:pt idx="446">
                  <c:v>38504</c:v>
                </c:pt>
                <c:pt idx="447">
                  <c:v>38534</c:v>
                </c:pt>
                <c:pt idx="448">
                  <c:v>38565</c:v>
                </c:pt>
                <c:pt idx="449">
                  <c:v>38596</c:v>
                </c:pt>
                <c:pt idx="450">
                  <c:v>38626</c:v>
                </c:pt>
                <c:pt idx="451">
                  <c:v>38657</c:v>
                </c:pt>
                <c:pt idx="452">
                  <c:v>38687</c:v>
                </c:pt>
                <c:pt idx="453">
                  <c:v>38718</c:v>
                </c:pt>
                <c:pt idx="454">
                  <c:v>38749</c:v>
                </c:pt>
                <c:pt idx="455">
                  <c:v>38777</c:v>
                </c:pt>
                <c:pt idx="456">
                  <c:v>38808</c:v>
                </c:pt>
                <c:pt idx="457">
                  <c:v>38838</c:v>
                </c:pt>
                <c:pt idx="458">
                  <c:v>38869</c:v>
                </c:pt>
                <c:pt idx="459">
                  <c:v>38899</c:v>
                </c:pt>
                <c:pt idx="460">
                  <c:v>38930</c:v>
                </c:pt>
                <c:pt idx="461">
                  <c:v>38961</c:v>
                </c:pt>
                <c:pt idx="462">
                  <c:v>38991</c:v>
                </c:pt>
                <c:pt idx="463">
                  <c:v>39022</c:v>
                </c:pt>
                <c:pt idx="464">
                  <c:v>39052</c:v>
                </c:pt>
                <c:pt idx="465">
                  <c:v>39083</c:v>
                </c:pt>
                <c:pt idx="466">
                  <c:v>39114</c:v>
                </c:pt>
                <c:pt idx="467">
                  <c:v>39142</c:v>
                </c:pt>
                <c:pt idx="468">
                  <c:v>39173</c:v>
                </c:pt>
                <c:pt idx="469">
                  <c:v>39203</c:v>
                </c:pt>
                <c:pt idx="470">
                  <c:v>39234</c:v>
                </c:pt>
                <c:pt idx="471">
                  <c:v>39264</c:v>
                </c:pt>
                <c:pt idx="472">
                  <c:v>39295</c:v>
                </c:pt>
                <c:pt idx="473">
                  <c:v>39326</c:v>
                </c:pt>
                <c:pt idx="474">
                  <c:v>39356</c:v>
                </c:pt>
                <c:pt idx="475">
                  <c:v>39387</c:v>
                </c:pt>
                <c:pt idx="476">
                  <c:v>39417</c:v>
                </c:pt>
                <c:pt idx="477">
                  <c:v>39448</c:v>
                </c:pt>
                <c:pt idx="478">
                  <c:v>39479</c:v>
                </c:pt>
                <c:pt idx="479">
                  <c:v>39508</c:v>
                </c:pt>
                <c:pt idx="480">
                  <c:v>39539</c:v>
                </c:pt>
                <c:pt idx="481">
                  <c:v>39569</c:v>
                </c:pt>
                <c:pt idx="482">
                  <c:v>39600</c:v>
                </c:pt>
                <c:pt idx="483">
                  <c:v>39630</c:v>
                </c:pt>
                <c:pt idx="484">
                  <c:v>39661</c:v>
                </c:pt>
                <c:pt idx="485">
                  <c:v>39692</c:v>
                </c:pt>
                <c:pt idx="486">
                  <c:v>39722</c:v>
                </c:pt>
                <c:pt idx="487">
                  <c:v>39753</c:v>
                </c:pt>
                <c:pt idx="488">
                  <c:v>39783</c:v>
                </c:pt>
                <c:pt idx="489">
                  <c:v>39814</c:v>
                </c:pt>
                <c:pt idx="490">
                  <c:v>39845</c:v>
                </c:pt>
                <c:pt idx="491">
                  <c:v>39873</c:v>
                </c:pt>
                <c:pt idx="492">
                  <c:v>39904</c:v>
                </c:pt>
                <c:pt idx="493">
                  <c:v>39934</c:v>
                </c:pt>
                <c:pt idx="494">
                  <c:v>39965</c:v>
                </c:pt>
                <c:pt idx="495">
                  <c:v>39995</c:v>
                </c:pt>
                <c:pt idx="496">
                  <c:v>40026</c:v>
                </c:pt>
                <c:pt idx="497">
                  <c:v>40057</c:v>
                </c:pt>
                <c:pt idx="498">
                  <c:v>40087</c:v>
                </c:pt>
                <c:pt idx="499">
                  <c:v>40118</c:v>
                </c:pt>
                <c:pt idx="500">
                  <c:v>40148</c:v>
                </c:pt>
                <c:pt idx="501">
                  <c:v>40179</c:v>
                </c:pt>
                <c:pt idx="502">
                  <c:v>40210</c:v>
                </c:pt>
                <c:pt idx="503">
                  <c:v>40238</c:v>
                </c:pt>
                <c:pt idx="504">
                  <c:v>40269</c:v>
                </c:pt>
                <c:pt idx="505">
                  <c:v>40299</c:v>
                </c:pt>
                <c:pt idx="506">
                  <c:v>40330</c:v>
                </c:pt>
                <c:pt idx="507">
                  <c:v>40360</c:v>
                </c:pt>
                <c:pt idx="508">
                  <c:v>40391</c:v>
                </c:pt>
                <c:pt idx="509">
                  <c:v>40422</c:v>
                </c:pt>
                <c:pt idx="510">
                  <c:v>40452</c:v>
                </c:pt>
                <c:pt idx="511">
                  <c:v>40483</c:v>
                </c:pt>
                <c:pt idx="512">
                  <c:v>40513</c:v>
                </c:pt>
                <c:pt idx="513">
                  <c:v>40544</c:v>
                </c:pt>
                <c:pt idx="514">
                  <c:v>40575</c:v>
                </c:pt>
                <c:pt idx="515">
                  <c:v>40603</c:v>
                </c:pt>
                <c:pt idx="516">
                  <c:v>40634</c:v>
                </c:pt>
                <c:pt idx="517">
                  <c:v>40664</c:v>
                </c:pt>
                <c:pt idx="518">
                  <c:v>40695</c:v>
                </c:pt>
                <c:pt idx="519">
                  <c:v>40725</c:v>
                </c:pt>
                <c:pt idx="520">
                  <c:v>40756</c:v>
                </c:pt>
                <c:pt idx="521">
                  <c:v>40787</c:v>
                </c:pt>
                <c:pt idx="522">
                  <c:v>40817</c:v>
                </c:pt>
                <c:pt idx="523">
                  <c:v>40848</c:v>
                </c:pt>
                <c:pt idx="524">
                  <c:v>40878</c:v>
                </c:pt>
                <c:pt idx="525">
                  <c:v>40909</c:v>
                </c:pt>
                <c:pt idx="526">
                  <c:v>40940</c:v>
                </c:pt>
                <c:pt idx="527">
                  <c:v>40969</c:v>
                </c:pt>
                <c:pt idx="528">
                  <c:v>41000</c:v>
                </c:pt>
                <c:pt idx="529">
                  <c:v>41030</c:v>
                </c:pt>
                <c:pt idx="530">
                  <c:v>41061</c:v>
                </c:pt>
                <c:pt idx="531">
                  <c:v>41091</c:v>
                </c:pt>
                <c:pt idx="532">
                  <c:v>41122</c:v>
                </c:pt>
                <c:pt idx="533">
                  <c:v>41153</c:v>
                </c:pt>
                <c:pt idx="534">
                  <c:v>41183</c:v>
                </c:pt>
                <c:pt idx="535">
                  <c:v>41214</c:v>
                </c:pt>
                <c:pt idx="536">
                  <c:v>41244</c:v>
                </c:pt>
                <c:pt idx="537">
                  <c:v>41275</c:v>
                </c:pt>
                <c:pt idx="538">
                  <c:v>41306</c:v>
                </c:pt>
                <c:pt idx="539">
                  <c:v>41334</c:v>
                </c:pt>
                <c:pt idx="540">
                  <c:v>41365</c:v>
                </c:pt>
                <c:pt idx="541">
                  <c:v>41395</c:v>
                </c:pt>
                <c:pt idx="542">
                  <c:v>41426</c:v>
                </c:pt>
                <c:pt idx="543">
                  <c:v>41456</c:v>
                </c:pt>
                <c:pt idx="544">
                  <c:v>41487</c:v>
                </c:pt>
                <c:pt idx="545">
                  <c:v>41518</c:v>
                </c:pt>
                <c:pt idx="546">
                  <c:v>41548</c:v>
                </c:pt>
                <c:pt idx="547">
                  <c:v>41579</c:v>
                </c:pt>
                <c:pt idx="548">
                  <c:v>41609</c:v>
                </c:pt>
                <c:pt idx="549">
                  <c:v>41640</c:v>
                </c:pt>
                <c:pt idx="550">
                  <c:v>41671</c:v>
                </c:pt>
                <c:pt idx="551">
                  <c:v>41699</c:v>
                </c:pt>
                <c:pt idx="552">
                  <c:v>41730</c:v>
                </c:pt>
                <c:pt idx="553">
                  <c:v>41760</c:v>
                </c:pt>
                <c:pt idx="554">
                  <c:v>41791</c:v>
                </c:pt>
                <c:pt idx="555">
                  <c:v>41821</c:v>
                </c:pt>
                <c:pt idx="556">
                  <c:v>41852</c:v>
                </c:pt>
                <c:pt idx="557">
                  <c:v>41883</c:v>
                </c:pt>
                <c:pt idx="558">
                  <c:v>41913</c:v>
                </c:pt>
                <c:pt idx="559">
                  <c:v>41944</c:v>
                </c:pt>
                <c:pt idx="560">
                  <c:v>41974</c:v>
                </c:pt>
                <c:pt idx="561">
                  <c:v>42005</c:v>
                </c:pt>
                <c:pt idx="562">
                  <c:v>42036</c:v>
                </c:pt>
                <c:pt idx="563">
                  <c:v>42064</c:v>
                </c:pt>
                <c:pt idx="564">
                  <c:v>42095</c:v>
                </c:pt>
                <c:pt idx="565">
                  <c:v>42125</c:v>
                </c:pt>
                <c:pt idx="566">
                  <c:v>42156</c:v>
                </c:pt>
                <c:pt idx="567">
                  <c:v>42186</c:v>
                </c:pt>
                <c:pt idx="568">
                  <c:v>42217</c:v>
                </c:pt>
                <c:pt idx="569">
                  <c:v>42248</c:v>
                </c:pt>
                <c:pt idx="570">
                  <c:v>42278</c:v>
                </c:pt>
                <c:pt idx="571">
                  <c:v>42309</c:v>
                </c:pt>
                <c:pt idx="572">
                  <c:v>42339</c:v>
                </c:pt>
                <c:pt idx="573">
                  <c:v>42370</c:v>
                </c:pt>
                <c:pt idx="574">
                  <c:v>42401</c:v>
                </c:pt>
                <c:pt idx="575">
                  <c:v>42430</c:v>
                </c:pt>
                <c:pt idx="576">
                  <c:v>42461</c:v>
                </c:pt>
                <c:pt idx="577">
                  <c:v>42491</c:v>
                </c:pt>
                <c:pt idx="578">
                  <c:v>42522</c:v>
                </c:pt>
                <c:pt idx="579">
                  <c:v>42552</c:v>
                </c:pt>
                <c:pt idx="580">
                  <c:v>42583</c:v>
                </c:pt>
                <c:pt idx="581">
                  <c:v>42614</c:v>
                </c:pt>
                <c:pt idx="582">
                  <c:v>42644</c:v>
                </c:pt>
                <c:pt idx="583">
                  <c:v>42675</c:v>
                </c:pt>
                <c:pt idx="584">
                  <c:v>42705</c:v>
                </c:pt>
                <c:pt idx="585">
                  <c:v>42736</c:v>
                </c:pt>
                <c:pt idx="586">
                  <c:v>42767</c:v>
                </c:pt>
                <c:pt idx="587">
                  <c:v>42795</c:v>
                </c:pt>
                <c:pt idx="588">
                  <c:v>42826</c:v>
                </c:pt>
                <c:pt idx="589">
                  <c:v>42856</c:v>
                </c:pt>
                <c:pt idx="590">
                  <c:v>42887</c:v>
                </c:pt>
                <c:pt idx="591">
                  <c:v>42917</c:v>
                </c:pt>
                <c:pt idx="592">
                  <c:v>42948</c:v>
                </c:pt>
                <c:pt idx="593">
                  <c:v>42979</c:v>
                </c:pt>
                <c:pt idx="594">
                  <c:v>43009</c:v>
                </c:pt>
                <c:pt idx="595">
                  <c:v>43040</c:v>
                </c:pt>
                <c:pt idx="596">
                  <c:v>43070</c:v>
                </c:pt>
                <c:pt idx="597">
                  <c:v>43101</c:v>
                </c:pt>
                <c:pt idx="598">
                  <c:v>43132</c:v>
                </c:pt>
                <c:pt idx="599">
                  <c:v>43160</c:v>
                </c:pt>
                <c:pt idx="600">
                  <c:v>43191</c:v>
                </c:pt>
                <c:pt idx="601">
                  <c:v>43221</c:v>
                </c:pt>
                <c:pt idx="602">
                  <c:v>43252</c:v>
                </c:pt>
                <c:pt idx="603">
                  <c:v>43282</c:v>
                </c:pt>
                <c:pt idx="604">
                  <c:v>43313</c:v>
                </c:pt>
                <c:pt idx="605">
                  <c:v>43344</c:v>
                </c:pt>
                <c:pt idx="606">
                  <c:v>43374</c:v>
                </c:pt>
                <c:pt idx="607">
                  <c:v>43405</c:v>
                </c:pt>
                <c:pt idx="608">
                  <c:v>43435</c:v>
                </c:pt>
                <c:pt idx="609">
                  <c:v>43466</c:v>
                </c:pt>
                <c:pt idx="610">
                  <c:v>43497</c:v>
                </c:pt>
                <c:pt idx="611">
                  <c:v>43525</c:v>
                </c:pt>
                <c:pt idx="612">
                  <c:v>43556</c:v>
                </c:pt>
                <c:pt idx="613">
                  <c:v>43586</c:v>
                </c:pt>
                <c:pt idx="614">
                  <c:v>43617</c:v>
                </c:pt>
                <c:pt idx="615">
                  <c:v>43647</c:v>
                </c:pt>
                <c:pt idx="616">
                  <c:v>43678</c:v>
                </c:pt>
                <c:pt idx="617">
                  <c:v>43709</c:v>
                </c:pt>
                <c:pt idx="618">
                  <c:v>43739</c:v>
                </c:pt>
                <c:pt idx="619">
                  <c:v>43770</c:v>
                </c:pt>
                <c:pt idx="620">
                  <c:v>43800</c:v>
                </c:pt>
                <c:pt idx="621">
                  <c:v>43831</c:v>
                </c:pt>
                <c:pt idx="622">
                  <c:v>43862</c:v>
                </c:pt>
                <c:pt idx="623">
                  <c:v>43891</c:v>
                </c:pt>
                <c:pt idx="624">
                  <c:v>43922</c:v>
                </c:pt>
                <c:pt idx="625">
                  <c:v>43952</c:v>
                </c:pt>
                <c:pt idx="626">
                  <c:v>43983</c:v>
                </c:pt>
                <c:pt idx="627">
                  <c:v>44013</c:v>
                </c:pt>
                <c:pt idx="628">
                  <c:v>44044</c:v>
                </c:pt>
                <c:pt idx="629">
                  <c:v>44075</c:v>
                </c:pt>
                <c:pt idx="630">
                  <c:v>44105</c:v>
                </c:pt>
                <c:pt idx="631">
                  <c:v>44136</c:v>
                </c:pt>
                <c:pt idx="632">
                  <c:v>44166</c:v>
                </c:pt>
                <c:pt idx="633">
                  <c:v>44197</c:v>
                </c:pt>
                <c:pt idx="634">
                  <c:v>44228</c:v>
                </c:pt>
                <c:pt idx="635">
                  <c:v>44256</c:v>
                </c:pt>
                <c:pt idx="636">
                  <c:v>44287</c:v>
                </c:pt>
                <c:pt idx="637">
                  <c:v>44317</c:v>
                </c:pt>
                <c:pt idx="638">
                  <c:v>44348</c:v>
                </c:pt>
                <c:pt idx="639">
                  <c:v>44378</c:v>
                </c:pt>
                <c:pt idx="640">
                  <c:v>44409</c:v>
                </c:pt>
                <c:pt idx="641">
                  <c:v>44440</c:v>
                </c:pt>
                <c:pt idx="642">
                  <c:v>44470</c:v>
                </c:pt>
                <c:pt idx="643">
                  <c:v>44501</c:v>
                </c:pt>
                <c:pt idx="644">
                  <c:v>44531</c:v>
                </c:pt>
                <c:pt idx="645">
                  <c:v>44562</c:v>
                </c:pt>
                <c:pt idx="646">
                  <c:v>44593</c:v>
                </c:pt>
                <c:pt idx="647">
                  <c:v>44621</c:v>
                </c:pt>
                <c:pt idx="648">
                  <c:v>44652</c:v>
                </c:pt>
                <c:pt idx="649">
                  <c:v>44682</c:v>
                </c:pt>
                <c:pt idx="650">
                  <c:v>44713</c:v>
                </c:pt>
                <c:pt idx="651">
                  <c:v>44743</c:v>
                </c:pt>
              </c:numCache>
            </c:numRef>
          </c:cat>
          <c:val>
            <c:numRef>
              <c:f>★資本稼働率!$P$2:$P$653</c:f>
              <c:numCache>
                <c:formatCode>General</c:formatCode>
                <c:ptCount val="652"/>
                <c:pt idx="59" formatCode="#,##0.0;[Red]\-#,##0.0">
                  <c:v>154.10568980545068</c:v>
                </c:pt>
                <c:pt idx="60" formatCode="#,##0.0;[Red]\-#,##0.0">
                  <c:v>131.76911344782371</c:v>
                </c:pt>
                <c:pt idx="61" formatCode="#,##0.0;[Red]\-#,##0.0">
                  <c:v>138.06072975729776</c:v>
                </c:pt>
                <c:pt idx="62" formatCode="#,##0.0;[Red]\-#,##0.0">
                  <c:v>138.41777298678619</c:v>
                </c:pt>
                <c:pt idx="63" formatCode="#,##0.0;[Red]\-#,##0.0">
                  <c:v>137.45095653415527</c:v>
                </c:pt>
                <c:pt idx="64" formatCode="#,##0.0;[Red]\-#,##0.0">
                  <c:v>138.6457519364856</c:v>
                </c:pt>
                <c:pt idx="65" formatCode="#,##0.0;[Red]\-#,##0.0">
                  <c:v>140.2207613118118</c:v>
                </c:pt>
                <c:pt idx="66" formatCode="#,##0.0;[Red]\-#,##0.0">
                  <c:v>142.70147701609787</c:v>
                </c:pt>
                <c:pt idx="67" formatCode="#,##0.0;[Red]\-#,##0.0">
                  <c:v>144.84488424488134</c:v>
                </c:pt>
                <c:pt idx="68" formatCode="#,##0.0;[Red]\-#,##0.0">
                  <c:v>145.05252988772247</c:v>
                </c:pt>
                <c:pt idx="69" formatCode="#,##0.0;[Red]\-#,##0.0">
                  <c:v>138.73857333875679</c:v>
                </c:pt>
                <c:pt idx="70" formatCode="#,##0.0;[Red]\-#,##0.0">
                  <c:v>139.55827088742964</c:v>
                </c:pt>
                <c:pt idx="71" formatCode="#,##0.0;[Red]\-#,##0.0">
                  <c:v>136.14609311588649</c:v>
                </c:pt>
                <c:pt idx="72" formatCode="#,##0.0;[Red]\-#,##0.0">
                  <c:v>130.91852374561282</c:v>
                </c:pt>
                <c:pt idx="73" formatCode="#,##0.0;[Red]\-#,##0.0">
                  <c:v>123.98204088572589</c:v>
                </c:pt>
                <c:pt idx="74" formatCode="#,##0.0;[Red]\-#,##0.0">
                  <c:v>122.98545718868795</c:v>
                </c:pt>
                <c:pt idx="75" formatCode="#,##0.0;[Red]\-#,##0.0">
                  <c:v>127.04788854450507</c:v>
                </c:pt>
                <c:pt idx="76" formatCode="#,##0.0;[Red]\-#,##0.0">
                  <c:v>129.77982399471981</c:v>
                </c:pt>
                <c:pt idx="77" formatCode="#,##0.0;[Red]\-#,##0.0">
                  <c:v>134.28821661485557</c:v>
                </c:pt>
                <c:pt idx="78" formatCode="#,##0.0;[Red]\-#,##0.0">
                  <c:v>134.02915741126151</c:v>
                </c:pt>
                <c:pt idx="79" formatCode="#,##0.0;[Red]\-#,##0.0">
                  <c:v>133.33396929604578</c:v>
                </c:pt>
                <c:pt idx="80" formatCode="#,##0.0;[Red]\-#,##0.0">
                  <c:v>127.57583138376678</c:v>
                </c:pt>
                <c:pt idx="81" formatCode="#,##0.0;[Red]\-#,##0.0">
                  <c:v>122.97209258005708</c:v>
                </c:pt>
                <c:pt idx="82" formatCode="#,##0.0;[Red]\-#,##0.0">
                  <c:v>121.91006595357855</c:v>
                </c:pt>
                <c:pt idx="83" formatCode="#,##0.0;[Red]\-#,##0.0">
                  <c:v>123.78498399380365</c:v>
                </c:pt>
                <c:pt idx="84" formatCode="#,##0.0;[Red]\-#,##0.0">
                  <c:v>140.23388753974183</c:v>
                </c:pt>
                <c:pt idx="85" formatCode="#,##0.0;[Red]\-#,##0.0">
                  <c:v>142.84969611429068</c:v>
                </c:pt>
                <c:pt idx="86" formatCode="#,##0.0;[Red]\-#,##0.0">
                  <c:v>140.75959557484578</c:v>
                </c:pt>
                <c:pt idx="87" formatCode="#,##0.0;[Red]\-#,##0.0">
                  <c:v>139.83985907403914</c:v>
                </c:pt>
                <c:pt idx="88" formatCode="#,##0.0;[Red]\-#,##0.0">
                  <c:v>138.87093369118642</c:v>
                </c:pt>
                <c:pt idx="89" formatCode="#,##0.0;[Red]\-#,##0.0">
                  <c:v>136.62635963985556</c:v>
                </c:pt>
                <c:pt idx="90" formatCode="#,##0.0;[Red]\-#,##0.0">
                  <c:v>137.75698248129441</c:v>
                </c:pt>
                <c:pt idx="91" formatCode="#,##0.0;[Red]\-#,##0.0">
                  <c:v>137.17489614001559</c:v>
                </c:pt>
                <c:pt idx="92" formatCode="#,##0.0;[Red]\-#,##0.0">
                  <c:v>144.1976757569121</c:v>
                </c:pt>
                <c:pt idx="93" formatCode="#,##0.0;[Red]\-#,##0.0">
                  <c:v>145.82333358529525</c:v>
                </c:pt>
                <c:pt idx="94" formatCode="#,##0.0;[Red]\-#,##0.0">
                  <c:v>144.00832038249939</c:v>
                </c:pt>
                <c:pt idx="95" formatCode="#,##0.0;[Red]\-#,##0.0">
                  <c:v>141.63382085794677</c:v>
                </c:pt>
                <c:pt idx="96" formatCode="#,##0.0;[Red]\-#,##0.0">
                  <c:v>142.42679354724669</c:v>
                </c:pt>
                <c:pt idx="97" formatCode="#,##0.0;[Red]\-#,##0.0">
                  <c:v>141.5799393876097</c:v>
                </c:pt>
                <c:pt idx="98" formatCode="#,##0.0;[Red]\-#,##0.0">
                  <c:v>142.80477356876486</c:v>
                </c:pt>
                <c:pt idx="99" formatCode="#,##0.0;[Red]\-#,##0.0">
                  <c:v>142.49879455090434</c:v>
                </c:pt>
                <c:pt idx="100" formatCode="#,##0.0;[Red]\-#,##0.0">
                  <c:v>141.39475202298624</c:v>
                </c:pt>
                <c:pt idx="101" formatCode="#,##0.0;[Red]\-#,##0.0">
                  <c:v>137.59310955284067</c:v>
                </c:pt>
                <c:pt idx="102" formatCode="#,##0.0;[Red]\-#,##0.0">
                  <c:v>134.56281072045536</c:v>
                </c:pt>
                <c:pt idx="103" formatCode="#,##0.0;[Red]\-#,##0.0">
                  <c:v>134.12816137165669</c:v>
                </c:pt>
                <c:pt idx="104" formatCode="#,##0.0;[Red]\-#,##0.0">
                  <c:v>137.327063612004</c:v>
                </c:pt>
                <c:pt idx="105" formatCode="#,##0.0;[Red]\-#,##0.0">
                  <c:v>140.88957418693033</c:v>
                </c:pt>
                <c:pt idx="106" formatCode="#,##0.0;[Red]\-#,##0.0">
                  <c:v>141.80145220653904</c:v>
                </c:pt>
                <c:pt idx="107" formatCode="#,##0.0;[Red]\-#,##0.0">
                  <c:v>141.66162795772934</c:v>
                </c:pt>
                <c:pt idx="108" formatCode="#,##0.0;[Red]\-#,##0.0">
                  <c:v>144.6765013686751</c:v>
                </c:pt>
                <c:pt idx="109" formatCode="#,##0.0;[Red]\-#,##0.0">
                  <c:v>145.35662827083939</c:v>
                </c:pt>
                <c:pt idx="110" formatCode="#,##0.0;[Red]\-#,##0.0">
                  <c:v>144.58279247216154</c:v>
                </c:pt>
                <c:pt idx="111" formatCode="#,##0.0;[Red]\-#,##0.0">
                  <c:v>143.34956239115581</c:v>
                </c:pt>
                <c:pt idx="112" formatCode="#,##0.0;[Red]\-#,##0.0">
                  <c:v>146.47549925716518</c:v>
                </c:pt>
                <c:pt idx="113" formatCode="#,##0.0;[Red]\-#,##0.0">
                  <c:v>148.00926177258489</c:v>
                </c:pt>
                <c:pt idx="114" formatCode="#,##0.0;[Red]\-#,##0.0">
                  <c:v>149.3383316649597</c:v>
                </c:pt>
                <c:pt idx="115" formatCode="#,##0.0;[Red]\-#,##0.0">
                  <c:v>150.17977512084892</c:v>
                </c:pt>
                <c:pt idx="116" formatCode="#,##0.0;[Red]\-#,##0.0">
                  <c:v>150.05490993448072</c:v>
                </c:pt>
                <c:pt idx="117" formatCode="#,##0.0;[Red]\-#,##0.0">
                  <c:v>154.03917204610536</c:v>
                </c:pt>
                <c:pt idx="118" formatCode="#,##0.0;[Red]\-#,##0.0">
                  <c:v>155.72826379908278</c:v>
                </c:pt>
                <c:pt idx="119" formatCode="#,##0.0;[Red]\-#,##0.0">
                  <c:v>161.05580623521598</c:v>
                </c:pt>
                <c:pt idx="120" formatCode="#,##0.0;[Red]\-#,##0.0">
                  <c:v>161.52174338318946</c:v>
                </c:pt>
                <c:pt idx="121" formatCode="#,##0.0;[Red]\-#,##0.0">
                  <c:v>160.19598247149264</c:v>
                </c:pt>
                <c:pt idx="122" formatCode="#,##0.0;[Red]\-#,##0.0">
                  <c:v>160.22064761545673</c:v>
                </c:pt>
                <c:pt idx="123" formatCode="#,##0.0;[Red]\-#,##0.0">
                  <c:v>158.72512770039131</c:v>
                </c:pt>
                <c:pt idx="124" formatCode="#,##0.0;[Red]\-#,##0.0">
                  <c:v>152.23781826158736</c:v>
                </c:pt>
                <c:pt idx="125" formatCode="#,##0.0;[Red]\-#,##0.0">
                  <c:v>145.16589470164331</c:v>
                </c:pt>
                <c:pt idx="126" formatCode="#,##0.0;[Red]\-#,##0.0">
                  <c:v>147.83398054866754</c:v>
                </c:pt>
                <c:pt idx="127" formatCode="#,##0.0;[Red]\-#,##0.0">
                  <c:v>151.67252289338006</c:v>
                </c:pt>
                <c:pt idx="128" formatCode="#,##0.0;[Red]\-#,##0.0">
                  <c:v>154.79380306830507</c:v>
                </c:pt>
                <c:pt idx="129" formatCode="#,##0.0;[Red]\-#,##0.0">
                  <c:v>156.94211548195909</c:v>
                </c:pt>
                <c:pt idx="130" formatCode="#,##0.0;[Red]\-#,##0.0">
                  <c:v>149.27731378685542</c:v>
                </c:pt>
                <c:pt idx="131" formatCode="#,##0.0;[Red]\-#,##0.0">
                  <c:v>147.45362823710894</c:v>
                </c:pt>
                <c:pt idx="132" formatCode="#,##0.0;[Red]\-#,##0.0">
                  <c:v>143.9950644836083</c:v>
                </c:pt>
                <c:pt idx="133" formatCode="#,##0.0;[Red]\-#,##0.0">
                  <c:v>150.43648490500459</c:v>
                </c:pt>
                <c:pt idx="134" formatCode="#,##0.0;[Red]\-#,##0.0">
                  <c:v>152.35538989994836</c:v>
                </c:pt>
                <c:pt idx="135" formatCode="#,##0.0;[Red]\-#,##0.0">
                  <c:v>157.57599362894041</c:v>
                </c:pt>
                <c:pt idx="136" formatCode="#,##0.0;[Red]\-#,##0.0">
                  <c:v>160.35180004636166</c:v>
                </c:pt>
                <c:pt idx="137" formatCode="#,##0.0;[Red]\-#,##0.0">
                  <c:v>160.20554272489721</c:v>
                </c:pt>
                <c:pt idx="138" formatCode="#,##0.0;[Red]\-#,##0.0">
                  <c:v>159.87309107946237</c:v>
                </c:pt>
                <c:pt idx="139" formatCode="#,##0.0;[Red]\-#,##0.0">
                  <c:v>158.10676206948656</c:v>
                </c:pt>
                <c:pt idx="140" formatCode="#,##0.0;[Red]\-#,##0.0">
                  <c:v>158.93051045723854</c:v>
                </c:pt>
                <c:pt idx="141" formatCode="#,##0.0;[Red]\-#,##0.0">
                  <c:v>164.82948582672265</c:v>
                </c:pt>
                <c:pt idx="142" formatCode="#,##0.0;[Red]\-#,##0.0">
                  <c:v>156.5936671113804</c:v>
                </c:pt>
                <c:pt idx="143" formatCode="#,##0.0;[Red]\-#,##0.0">
                  <c:v>155.8029784140781</c:v>
                </c:pt>
                <c:pt idx="144" formatCode="#,##0.0;[Red]\-#,##0.0">
                  <c:v>154.09106937371158</c:v>
                </c:pt>
                <c:pt idx="145" formatCode="#,##0.0;[Red]\-#,##0.0">
                  <c:v>158.55372359226783</c:v>
                </c:pt>
                <c:pt idx="146" formatCode="#,##0.0;[Red]\-#,##0.0">
                  <c:v>157.41003927748915</c:v>
                </c:pt>
                <c:pt idx="147" formatCode="#,##0.0;[Red]\-#,##0.0">
                  <c:v>155.06106844365701</c:v>
                </c:pt>
                <c:pt idx="148" formatCode="#,##0.0;[Red]\-#,##0.0">
                  <c:v>153.90887765269048</c:v>
                </c:pt>
                <c:pt idx="149" formatCode="#,##0.0;[Red]\-#,##0.0">
                  <c:v>151.88348556291999</c:v>
                </c:pt>
                <c:pt idx="150" formatCode="#,##0.0;[Red]\-#,##0.0">
                  <c:v>152.32342712436264</c:v>
                </c:pt>
                <c:pt idx="151" formatCode="#,##0.0;[Red]\-#,##0.0">
                  <c:v>151.08697388706878</c:v>
                </c:pt>
                <c:pt idx="152" formatCode="#,##0.0;[Red]\-#,##0.0">
                  <c:v>145.57281065467038</c:v>
                </c:pt>
                <c:pt idx="153" formatCode="#,##0.0;[Red]\-#,##0.0">
                  <c:v>142.87531499902235</c:v>
                </c:pt>
                <c:pt idx="154" formatCode="#,##0.0;[Red]\-#,##0.0">
                  <c:v>142.59474871667405</c:v>
                </c:pt>
                <c:pt idx="155" formatCode="#,##0.0;[Red]\-#,##0.0">
                  <c:v>142.53093334454303</c:v>
                </c:pt>
                <c:pt idx="156" formatCode="#,##0.0;[Red]\-#,##0.0">
                  <c:v>139.75300878748391</c:v>
                </c:pt>
                <c:pt idx="157" formatCode="#,##0.0;[Red]\-#,##0.0">
                  <c:v>145.87971084884293</c:v>
                </c:pt>
                <c:pt idx="158" formatCode="#,##0.0;[Red]\-#,##0.0">
                  <c:v>151.11143090310443</c:v>
                </c:pt>
                <c:pt idx="159" formatCode="#,##0.0;[Red]\-#,##0.0">
                  <c:v>151.73240590467842</c:v>
                </c:pt>
                <c:pt idx="160" formatCode="#,##0.0;[Red]\-#,##0.0">
                  <c:v>152.40855239176349</c:v>
                </c:pt>
                <c:pt idx="161" formatCode="#,##0.0;[Red]\-#,##0.0">
                  <c:v>153.00798021634304</c:v>
                </c:pt>
                <c:pt idx="162" formatCode="#,##0.0;[Red]\-#,##0.0">
                  <c:v>153.79611272192875</c:v>
                </c:pt>
                <c:pt idx="163" formatCode="#,##0.0;[Red]\-#,##0.0">
                  <c:v>155.0655894612037</c:v>
                </c:pt>
                <c:pt idx="164" formatCode="#,##0.0;[Red]\-#,##0.0">
                  <c:v>154.9829810842927</c:v>
                </c:pt>
                <c:pt idx="165" formatCode="#,##0.0;[Red]\-#,##0.0">
                  <c:v>148.077448433673</c:v>
                </c:pt>
                <c:pt idx="166" formatCode="#,##0.0;[Red]\-#,##0.0">
                  <c:v>156.34947189250246</c:v>
                </c:pt>
                <c:pt idx="167" formatCode="#,##0.0;[Red]\-#,##0.0">
                  <c:v>155.90736433294109</c:v>
                </c:pt>
                <c:pt idx="168" formatCode="#,##0.0;[Red]\-#,##0.0">
                  <c:v>152.61952705262172</c:v>
                </c:pt>
                <c:pt idx="169" formatCode="#,##0.0;[Red]\-#,##0.0">
                  <c:v>150.03525833684316</c:v>
                </c:pt>
                <c:pt idx="170" formatCode="#,##0.0;[Red]\-#,##0.0">
                  <c:v>149.70265229405774</c:v>
                </c:pt>
                <c:pt idx="171" formatCode="#,##0.0;[Red]\-#,##0.0">
                  <c:v>150.16141973056139</c:v>
                </c:pt>
                <c:pt idx="172" formatCode="#,##0.0;[Red]\-#,##0.0">
                  <c:v>151.66153827766601</c:v>
                </c:pt>
                <c:pt idx="173" formatCode="#,##0.0;[Red]\-#,##0.0">
                  <c:v>154.50437616961426</c:v>
                </c:pt>
                <c:pt idx="174" formatCode="#,##0.0;[Red]\-#,##0.0">
                  <c:v>155.01237902588383</c:v>
                </c:pt>
                <c:pt idx="175" formatCode="#,##0.0;[Red]\-#,##0.0">
                  <c:v>154.52703365289031</c:v>
                </c:pt>
                <c:pt idx="176" formatCode="#,##0.0;[Red]\-#,##0.0">
                  <c:v>154.18642087380817</c:v>
                </c:pt>
                <c:pt idx="177" formatCode="#,##0.0;[Red]\-#,##0.0">
                  <c:v>146.99577884877604</c:v>
                </c:pt>
                <c:pt idx="178" formatCode="#,##0.0;[Red]\-#,##0.0">
                  <c:v>152.77190721297552</c:v>
                </c:pt>
                <c:pt idx="179" formatCode="#,##0.0;[Red]\-#,##0.0">
                  <c:v>151.38657939455274</c:v>
                </c:pt>
                <c:pt idx="180" formatCode="#,##0.0;[Red]\-#,##0.0">
                  <c:v>153.03836782131498</c:v>
                </c:pt>
                <c:pt idx="181" formatCode="#,##0.0;[Red]\-#,##0.0">
                  <c:v>149.47019734178411</c:v>
                </c:pt>
                <c:pt idx="182" formatCode="#,##0.0;[Red]\-#,##0.0">
                  <c:v>145.49315494292381</c:v>
                </c:pt>
                <c:pt idx="183" formatCode="#,##0.0;[Red]\-#,##0.0">
                  <c:v>144.02102847695892</c:v>
                </c:pt>
                <c:pt idx="184" formatCode="#,##0.0;[Red]\-#,##0.0">
                  <c:v>143.18311431827118</c:v>
                </c:pt>
                <c:pt idx="185" formatCode="#,##0.0;[Red]\-#,##0.0">
                  <c:v>143.55430152660273</c:v>
                </c:pt>
                <c:pt idx="186" formatCode="#,##0.0;[Red]\-#,##0.0">
                  <c:v>143.94373290585469</c:v>
                </c:pt>
                <c:pt idx="187" formatCode="#,##0.0;[Red]\-#,##0.0">
                  <c:v>144.98486990648175</c:v>
                </c:pt>
                <c:pt idx="188" formatCode="#,##0.0;[Red]\-#,##0.0">
                  <c:v>147.25444719450385</c:v>
                </c:pt>
                <c:pt idx="189" formatCode="#,##0.0;[Red]\-#,##0.0">
                  <c:v>142.89139217985667</c:v>
                </c:pt>
                <c:pt idx="190" formatCode="#,##0.0;[Red]\-#,##0.0">
                  <c:v>146.24424297121857</c:v>
                </c:pt>
                <c:pt idx="191" formatCode="#,##0.0;[Red]\-#,##0.0">
                  <c:v>146.38510013593714</c:v>
                </c:pt>
                <c:pt idx="192" formatCode="#,##0.0;[Red]\-#,##0.0">
                  <c:v>148.02497063055515</c:v>
                </c:pt>
                <c:pt idx="193" formatCode="#,##0.0;[Red]\-#,##0.0">
                  <c:v>150.89341608760614</c:v>
                </c:pt>
                <c:pt idx="194" formatCode="#,##0.0;[Red]\-#,##0.0">
                  <c:v>148.14120025898549</c:v>
                </c:pt>
                <c:pt idx="195" formatCode="#,##0.0;[Red]\-#,##0.0">
                  <c:v>146.95607242653321</c:v>
                </c:pt>
                <c:pt idx="196" formatCode="#,##0.0;[Red]\-#,##0.0">
                  <c:v>146.3150890422346</c:v>
                </c:pt>
                <c:pt idx="197" formatCode="#,##0.0;[Red]\-#,##0.0">
                  <c:v>144.86315347230089</c:v>
                </c:pt>
                <c:pt idx="198" formatCode="#,##0.0;[Red]\-#,##0.0">
                  <c:v>143.40206563383566</c:v>
                </c:pt>
                <c:pt idx="199" formatCode="#,##0.0;[Red]\-#,##0.0">
                  <c:v>143.01116332765054</c:v>
                </c:pt>
                <c:pt idx="200" formatCode="#,##0.0;[Red]\-#,##0.0">
                  <c:v>142.24507801151466</c:v>
                </c:pt>
                <c:pt idx="201" formatCode="#,##0.0;[Red]\-#,##0.0">
                  <c:v>141.32822871775778</c:v>
                </c:pt>
                <c:pt idx="202" formatCode="#,##0.0;[Red]\-#,##0.0">
                  <c:v>141.64487680266953</c:v>
                </c:pt>
                <c:pt idx="203" formatCode="#,##0.0;[Red]\-#,##0.0">
                  <c:v>141.55892486378431</c:v>
                </c:pt>
                <c:pt idx="204" formatCode="#,##0.0;[Red]\-#,##0.0">
                  <c:v>147.40168607957065</c:v>
                </c:pt>
                <c:pt idx="205" formatCode="#,##0.0;[Red]\-#,##0.0">
                  <c:v>149.34768271556993</c:v>
                </c:pt>
                <c:pt idx="206" formatCode="#,##0.0;[Red]\-#,##0.0">
                  <c:v>150.74051274771955</c:v>
                </c:pt>
                <c:pt idx="207" formatCode="#,##0.0;[Red]\-#,##0.0">
                  <c:v>149.88465016975164</c:v>
                </c:pt>
                <c:pt idx="208" formatCode="#,##0.0;[Red]\-#,##0.0">
                  <c:v>149.56594054449204</c:v>
                </c:pt>
                <c:pt idx="209" formatCode="#,##0.0;[Red]\-#,##0.0">
                  <c:v>148.33264681890506</c:v>
                </c:pt>
                <c:pt idx="210" formatCode="#,##0.0;[Red]\-#,##0.0">
                  <c:v>147.23012239566123</c:v>
                </c:pt>
                <c:pt idx="211" formatCode="#,##0.0;[Red]\-#,##0.0">
                  <c:v>148.37042458424321</c:v>
                </c:pt>
                <c:pt idx="212" formatCode="#,##0.0;[Red]\-#,##0.0">
                  <c:v>148.63686116603753</c:v>
                </c:pt>
                <c:pt idx="213" formatCode="#,##0.0;[Red]\-#,##0.0">
                  <c:v>148.39009989358681</c:v>
                </c:pt>
                <c:pt idx="214" formatCode="#,##0.0;[Red]\-#,##0.0">
                  <c:v>151.076904960462</c:v>
                </c:pt>
                <c:pt idx="215" formatCode="#,##0.0;[Red]\-#,##0.0">
                  <c:v>151.18045971457497</c:v>
                </c:pt>
                <c:pt idx="216" formatCode="#,##0.0;[Red]\-#,##0.0">
                  <c:v>153.26442480755071</c:v>
                </c:pt>
                <c:pt idx="217" formatCode="#,##0.0;[Red]\-#,##0.0">
                  <c:v>153.65472492595367</c:v>
                </c:pt>
                <c:pt idx="218" formatCode="#,##0.0;[Red]\-#,##0.0">
                  <c:v>155.62603212303998</c:v>
                </c:pt>
                <c:pt idx="219" formatCode="#,##0.0;[Red]\-#,##0.0">
                  <c:v>158.51784123832374</c:v>
                </c:pt>
                <c:pt idx="220" formatCode="#,##0.0;[Red]\-#,##0.0">
                  <c:v>159.23802018655914</c:v>
                </c:pt>
                <c:pt idx="221" formatCode="#,##0.0;[Red]\-#,##0.0">
                  <c:v>161.34721276925666</c:v>
                </c:pt>
                <c:pt idx="222" formatCode="#,##0.0;[Red]\-#,##0.0">
                  <c:v>162.49421922530243</c:v>
                </c:pt>
                <c:pt idx="223" formatCode="#,##0.0;[Red]\-#,##0.0">
                  <c:v>162.49577737287663</c:v>
                </c:pt>
                <c:pt idx="224" formatCode="#,##0.0;[Red]\-#,##0.0">
                  <c:v>162.67713281539125</c:v>
                </c:pt>
                <c:pt idx="225" formatCode="#,##0.0;[Red]\-#,##0.0">
                  <c:v>163.68199896481823</c:v>
                </c:pt>
                <c:pt idx="226" formatCode="#,##0.0;[Red]\-#,##0.0">
                  <c:v>163.80126746082269</c:v>
                </c:pt>
                <c:pt idx="227" formatCode="#,##0.0;[Red]\-#,##0.0">
                  <c:v>163.02128241062573</c:v>
                </c:pt>
                <c:pt idx="228" formatCode="#,##0.0;[Red]\-#,##0.0">
                  <c:v>162.25507223460414</c:v>
                </c:pt>
                <c:pt idx="229" formatCode="#,##0.0;[Red]\-#,##0.0">
                  <c:v>162.80179288130037</c:v>
                </c:pt>
                <c:pt idx="230" formatCode="#,##0.0;[Red]\-#,##0.0">
                  <c:v>165.84554178592902</c:v>
                </c:pt>
                <c:pt idx="231" formatCode="#,##0.0;[Red]\-#,##0.0">
                  <c:v>169.77485645566816</c:v>
                </c:pt>
                <c:pt idx="232" formatCode="#,##0.0;[Red]\-#,##0.0">
                  <c:v>171.45609611628547</c:v>
                </c:pt>
                <c:pt idx="233" formatCode="#,##0.0;[Red]\-#,##0.0">
                  <c:v>176.34411327019086</c:v>
                </c:pt>
                <c:pt idx="234" formatCode="#,##0.0;[Red]\-#,##0.0">
                  <c:v>180.91315657006999</c:v>
                </c:pt>
                <c:pt idx="235" formatCode="#,##0.0;[Red]\-#,##0.0">
                  <c:v>184.41578539893149</c:v>
                </c:pt>
                <c:pt idx="236" formatCode="#,##0.0;[Red]\-#,##0.0">
                  <c:v>185.21944111218048</c:v>
                </c:pt>
                <c:pt idx="237" formatCode="#,##0.0;[Red]\-#,##0.0">
                  <c:v>184.32564167879468</c:v>
                </c:pt>
                <c:pt idx="238" formatCode="#,##0.0;[Red]\-#,##0.0">
                  <c:v>187.40722255273002</c:v>
                </c:pt>
                <c:pt idx="239" formatCode="#,##0.0;[Red]\-#,##0.0">
                  <c:v>185.76097586824392</c:v>
                </c:pt>
                <c:pt idx="240" formatCode="#,##0.0;[Red]\-#,##0.0">
                  <c:v>185.29756569018889</c:v>
                </c:pt>
                <c:pt idx="241" formatCode="#,##0.0;[Red]\-#,##0.0">
                  <c:v>177.9107776977271</c:v>
                </c:pt>
                <c:pt idx="242" formatCode="#,##0.0;[Red]\-#,##0.0">
                  <c:v>180.55897209486659</c:v>
                </c:pt>
                <c:pt idx="243" formatCode="#,##0.0;[Red]\-#,##0.0">
                  <c:v>184.06672250551949</c:v>
                </c:pt>
                <c:pt idx="244" formatCode="#,##0.0;[Red]\-#,##0.0">
                  <c:v>185.85450454535902</c:v>
                </c:pt>
                <c:pt idx="245" formatCode="#,##0.0;[Red]\-#,##0.0">
                  <c:v>186.97052760405376</c:v>
                </c:pt>
                <c:pt idx="246" formatCode="#,##0.0;[Red]\-#,##0.0">
                  <c:v>186.40664805380672</c:v>
                </c:pt>
                <c:pt idx="247" formatCode="#,##0.0;[Red]\-#,##0.0">
                  <c:v>186.89738422910546</c:v>
                </c:pt>
                <c:pt idx="248" formatCode="#,##0.0;[Red]\-#,##0.0">
                  <c:v>186.82949701608729</c:v>
                </c:pt>
                <c:pt idx="249" formatCode="#,##0.0;[Red]\-#,##0.0">
                  <c:v>189.66331693646981</c:v>
                </c:pt>
                <c:pt idx="250" formatCode="#,##0.0;[Red]\-#,##0.0">
                  <c:v>196.04133895004017</c:v>
                </c:pt>
                <c:pt idx="251" formatCode="#,##0.0;[Red]\-#,##0.0">
                  <c:v>194.80955276842511</c:v>
                </c:pt>
                <c:pt idx="252" formatCode="#,##0.0;[Red]\-#,##0.0">
                  <c:v>188.97914257927985</c:v>
                </c:pt>
                <c:pt idx="253" formatCode="#,##0.0;[Red]\-#,##0.0">
                  <c:v>187.00565648182044</c:v>
                </c:pt>
                <c:pt idx="254" formatCode="#,##0.0;[Red]\-#,##0.0">
                  <c:v>189.581840235492</c:v>
                </c:pt>
                <c:pt idx="255" formatCode="#,##0.0;[Red]\-#,##0.0">
                  <c:v>191.20481884106186</c:v>
                </c:pt>
                <c:pt idx="256" formatCode="#,##0.0;[Red]\-#,##0.0">
                  <c:v>192.10341855397505</c:v>
                </c:pt>
                <c:pt idx="257" formatCode="#,##0.0;[Red]\-#,##0.0">
                  <c:v>193.98632689315954</c:v>
                </c:pt>
                <c:pt idx="258" formatCode="#,##0.0;[Red]\-#,##0.0">
                  <c:v>194.47776669656852</c:v>
                </c:pt>
                <c:pt idx="259" formatCode="#,##0.0;[Red]\-#,##0.0">
                  <c:v>195.44565928301816</c:v>
                </c:pt>
                <c:pt idx="260" formatCode="#,##0.0;[Red]\-#,##0.0">
                  <c:v>196.28863261376875</c:v>
                </c:pt>
                <c:pt idx="261" formatCode="#,##0.0;[Red]\-#,##0.0">
                  <c:v>195.20257416697746</c:v>
                </c:pt>
                <c:pt idx="262" formatCode="#,##0.0;[Red]\-#,##0.0">
                  <c:v>208.40074208484384</c:v>
                </c:pt>
                <c:pt idx="263" formatCode="#,##0.0;[Red]\-#,##0.0">
                  <c:v>203.09084579904123</c:v>
                </c:pt>
                <c:pt idx="264" formatCode="#,##0.0;[Red]\-#,##0.0">
                  <c:v>204.17729985334398</c:v>
                </c:pt>
                <c:pt idx="265" formatCode="#,##0.0;[Red]\-#,##0.0">
                  <c:v>204.32084955735561</c:v>
                </c:pt>
                <c:pt idx="266" formatCode="#,##0.0;[Red]\-#,##0.0">
                  <c:v>207.93544975875895</c:v>
                </c:pt>
                <c:pt idx="267" formatCode="#,##0.0;[Red]\-#,##0.0">
                  <c:v>209.27548394581419</c:v>
                </c:pt>
                <c:pt idx="268" formatCode="#,##0.0;[Red]\-#,##0.0">
                  <c:v>210.14790919264115</c:v>
                </c:pt>
                <c:pt idx="269" formatCode="#,##0.0;[Red]\-#,##0.0">
                  <c:v>209.0170872604069</c:v>
                </c:pt>
                <c:pt idx="270" formatCode="#,##0.0;[Red]\-#,##0.0">
                  <c:v>208.96791610190689</c:v>
                </c:pt>
                <c:pt idx="271" formatCode="#,##0.0;[Red]\-#,##0.0">
                  <c:v>209.29495842667052</c:v>
                </c:pt>
                <c:pt idx="272" formatCode="#,##0.0;[Red]\-#,##0.0">
                  <c:v>208.73228505485071</c:v>
                </c:pt>
                <c:pt idx="273" formatCode="#,##0.0;[Red]\-#,##0.0">
                  <c:v>214.9930729713339</c:v>
                </c:pt>
                <c:pt idx="274" formatCode="#,##0.0;[Red]\-#,##0.0">
                  <c:v>205.31721169218918</c:v>
                </c:pt>
                <c:pt idx="275" formatCode="#,##0.0;[Red]\-#,##0.0">
                  <c:v>205.60478879525147</c:v>
                </c:pt>
                <c:pt idx="276" formatCode="#,##0.0;[Red]\-#,##0.0">
                  <c:v>202.27556154535245</c:v>
                </c:pt>
                <c:pt idx="277" formatCode="#,##0.0;[Red]\-#,##0.0">
                  <c:v>205.77428883946391</c:v>
                </c:pt>
                <c:pt idx="278" formatCode="#,##0.0;[Red]\-#,##0.0">
                  <c:v>205.81310338966139</c:v>
                </c:pt>
                <c:pt idx="279" formatCode="#,##0.0;[Red]\-#,##0.0">
                  <c:v>205.14730535095839</c:v>
                </c:pt>
                <c:pt idx="280" formatCode="#,##0.0;[Red]\-#,##0.0">
                  <c:v>204.66772943431602</c:v>
                </c:pt>
                <c:pt idx="281" formatCode="#,##0.0;[Red]\-#,##0.0">
                  <c:v>204.25893974122636</c:v>
                </c:pt>
                <c:pt idx="282" formatCode="#,##0.0;[Red]\-#,##0.0">
                  <c:v>204.12525656560678</c:v>
                </c:pt>
                <c:pt idx="283" formatCode="#,##0.0;[Red]\-#,##0.0">
                  <c:v>205.83280083434946</c:v>
                </c:pt>
                <c:pt idx="284" formatCode="#,##0.0;[Red]\-#,##0.0">
                  <c:v>207.61774838085671</c:v>
                </c:pt>
                <c:pt idx="285" formatCode="#,##0.0;[Red]\-#,##0.0">
                  <c:v>210.89871989004459</c:v>
                </c:pt>
                <c:pt idx="286" formatCode="#,##0.0;[Red]\-#,##0.0">
                  <c:v>209.65528271421644</c:v>
                </c:pt>
                <c:pt idx="287" formatCode="#,##0.0;[Red]\-#,##0.0">
                  <c:v>206.20258637273733</c:v>
                </c:pt>
                <c:pt idx="288" formatCode="#,##0.0;[Red]\-#,##0.0">
                  <c:v>218.33776823633283</c:v>
                </c:pt>
                <c:pt idx="289" formatCode="#,##0.0;[Red]\-#,##0.0">
                  <c:v>213.74192837140373</c:v>
                </c:pt>
                <c:pt idx="290" formatCode="#,##0.0;[Red]\-#,##0.0">
                  <c:v>211.66805765505831</c:v>
                </c:pt>
                <c:pt idx="291" formatCode="#,##0.0;[Red]\-#,##0.0">
                  <c:v>210.27711108047376</c:v>
                </c:pt>
                <c:pt idx="292" formatCode="#,##0.0;[Red]\-#,##0.0">
                  <c:v>209.88843706408352</c:v>
                </c:pt>
                <c:pt idx="293" formatCode="#,##0.0;[Red]\-#,##0.0">
                  <c:v>207.96784428004196</c:v>
                </c:pt>
                <c:pt idx="294" formatCode="#,##0.0;[Red]\-#,##0.0">
                  <c:v>207.82808919482542</c:v>
                </c:pt>
                <c:pt idx="295" formatCode="#,##0.0;[Red]\-#,##0.0">
                  <c:v>207.05973411404801</c:v>
                </c:pt>
                <c:pt idx="296" formatCode="#,##0.0;[Red]\-#,##0.0">
                  <c:v>207.75382104695348</c:v>
                </c:pt>
                <c:pt idx="297" formatCode="#,##0.0;[Red]\-#,##0.0">
                  <c:v>211.49958599440433</c:v>
                </c:pt>
                <c:pt idx="298" formatCode="#,##0.0;[Red]\-#,##0.0">
                  <c:v>209.08044377921854</c:v>
                </c:pt>
                <c:pt idx="299" formatCode="#,##0.0;[Red]\-#,##0.0">
                  <c:v>206.79271031020596</c:v>
                </c:pt>
                <c:pt idx="300" formatCode="#,##0.0;[Red]\-#,##0.0">
                  <c:v>208.94483526872665</c:v>
                </c:pt>
                <c:pt idx="301" formatCode="#,##0.0;[Red]\-#,##0.0">
                  <c:v>201.33374160836959</c:v>
                </c:pt>
                <c:pt idx="302" formatCode="#,##0.0;[Red]\-#,##0.0">
                  <c:v>203.12920212841914</c:v>
                </c:pt>
                <c:pt idx="303" formatCode="#,##0.0;[Red]\-#,##0.0">
                  <c:v>205.45302628843399</c:v>
                </c:pt>
                <c:pt idx="304" formatCode="#,##0.0;[Red]\-#,##0.0">
                  <c:v>206.89188520313968</c:v>
                </c:pt>
                <c:pt idx="305" formatCode="#,##0.0;[Red]\-#,##0.0">
                  <c:v>208.88977343396164</c:v>
                </c:pt>
                <c:pt idx="306" formatCode="#,##0.0;[Red]\-#,##0.0">
                  <c:v>209.76233733063438</c:v>
                </c:pt>
                <c:pt idx="307" formatCode="#,##0.0;[Red]\-#,##0.0">
                  <c:v>208.90554755476921</c:v>
                </c:pt>
                <c:pt idx="308" formatCode="#,##0.0;[Red]\-#,##0.0">
                  <c:v>206.83207239984728</c:v>
                </c:pt>
                <c:pt idx="309" formatCode="#,##0.0;[Red]\-#,##0.0">
                  <c:v>205.51186010764053</c:v>
                </c:pt>
                <c:pt idx="310" formatCode="#,##0.0;[Red]\-#,##0.0">
                  <c:v>203.62514771692878</c:v>
                </c:pt>
                <c:pt idx="311" formatCode="#,##0.0;[Red]\-#,##0.0">
                  <c:v>203.98132578565435</c:v>
                </c:pt>
                <c:pt idx="312" formatCode="#,##0.0;[Red]\-#,##0.0">
                  <c:v>204.88306303809716</c:v>
                </c:pt>
                <c:pt idx="313" formatCode="#,##0.0;[Red]\-#,##0.0">
                  <c:v>206.15527328481238</c:v>
                </c:pt>
                <c:pt idx="314" formatCode="#,##0.0;[Red]\-#,##0.0">
                  <c:v>205.79260244344599</c:v>
                </c:pt>
                <c:pt idx="315" formatCode="#,##0.0;[Red]\-#,##0.0">
                  <c:v>202.69191405134234</c:v>
                </c:pt>
                <c:pt idx="316" formatCode="#,##0.0;[Red]\-#,##0.0">
                  <c:v>202.26264130490554</c:v>
                </c:pt>
                <c:pt idx="317" formatCode="#,##0.0;[Red]\-#,##0.0">
                  <c:v>199.5199272841808</c:v>
                </c:pt>
                <c:pt idx="318" formatCode="#,##0.0;[Red]\-#,##0.0">
                  <c:v>197.27909488463456</c:v>
                </c:pt>
                <c:pt idx="319" formatCode="#,##0.0;[Red]\-#,##0.0">
                  <c:v>198.90623976672288</c:v>
                </c:pt>
                <c:pt idx="320" formatCode="#,##0.0;[Red]\-#,##0.0">
                  <c:v>197.08668612105362</c:v>
                </c:pt>
                <c:pt idx="321" formatCode="#,##0.0;[Red]\-#,##0.0">
                  <c:v>197.73820217938373</c:v>
                </c:pt>
                <c:pt idx="322" formatCode="#,##0.0;[Red]\-#,##0.0">
                  <c:v>193.86296593784766</c:v>
                </c:pt>
                <c:pt idx="323" formatCode="#,##0.0;[Red]\-#,##0.0">
                  <c:v>192.30347204178514</c:v>
                </c:pt>
                <c:pt idx="324" formatCode="#,##0.0;[Red]\-#,##0.0">
                  <c:v>193.61131600260185</c:v>
                </c:pt>
                <c:pt idx="325" formatCode="#,##0.0;[Red]\-#,##0.0">
                  <c:v>191.05679883871218</c:v>
                </c:pt>
                <c:pt idx="326" formatCode="#,##0.0;[Red]\-#,##0.0">
                  <c:v>193.60189158428159</c:v>
                </c:pt>
                <c:pt idx="327" formatCode="#,##0.0;[Red]\-#,##0.0">
                  <c:v>196.4141928378296</c:v>
                </c:pt>
                <c:pt idx="328" formatCode="#,##0.0;[Red]\-#,##0.0">
                  <c:v>197.32277100699</c:v>
                </c:pt>
                <c:pt idx="329" formatCode="#,##0.0;[Red]\-#,##0.0">
                  <c:v>197.72502846700695</c:v>
                </c:pt>
                <c:pt idx="330" formatCode="#,##0.0;[Red]\-#,##0.0">
                  <c:v>200.59447493267106</c:v>
                </c:pt>
                <c:pt idx="331" formatCode="#,##0.0;[Red]\-#,##0.0">
                  <c:v>201.00265417796223</c:v>
                </c:pt>
                <c:pt idx="332" formatCode="#,##0.0;[Red]\-#,##0.0">
                  <c:v>201.58978492378574</c:v>
                </c:pt>
                <c:pt idx="333" formatCode="#,##0.0;[Red]\-#,##0.0">
                  <c:v>204.20890511502083</c:v>
                </c:pt>
                <c:pt idx="334" formatCode="#,##0.0;[Red]\-#,##0.0">
                  <c:v>206.92958350834934</c:v>
                </c:pt>
                <c:pt idx="335" formatCode="#,##0.0;[Red]\-#,##0.0">
                  <c:v>206.53775381671497</c:v>
                </c:pt>
                <c:pt idx="336" formatCode="#,##0.0;[Red]\-#,##0.0">
                  <c:v>206.98912329356804</c:v>
                </c:pt>
                <c:pt idx="337" formatCode="#,##0.0;[Red]\-#,##0.0">
                  <c:v>209.99765386391408</c:v>
                </c:pt>
                <c:pt idx="338" formatCode="#,##0.0;[Red]\-#,##0.0">
                  <c:v>208.93814382979886</c:v>
                </c:pt>
                <c:pt idx="339" formatCode="#,##0.0;[Red]\-#,##0.0">
                  <c:v>206.075213694361</c:v>
                </c:pt>
                <c:pt idx="340" formatCode="#,##0.0;[Red]\-#,##0.0">
                  <c:v>207.386032163381</c:v>
                </c:pt>
                <c:pt idx="341" formatCode="#,##0.0;[Red]\-#,##0.0">
                  <c:v>207.37791328020248</c:v>
                </c:pt>
                <c:pt idx="342" formatCode="#,##0.0;[Red]\-#,##0.0">
                  <c:v>205.98500128026186</c:v>
                </c:pt>
                <c:pt idx="343" formatCode="#,##0.0;[Red]\-#,##0.0">
                  <c:v>204.61809750896822</c:v>
                </c:pt>
                <c:pt idx="344" formatCode="#,##0.0;[Red]\-#,##0.0">
                  <c:v>206.13365002511054</c:v>
                </c:pt>
                <c:pt idx="345" formatCode="#,##0.0;[Red]\-#,##0.0">
                  <c:v>201.30161447375968</c:v>
                </c:pt>
                <c:pt idx="346" formatCode="#,##0.0;[Red]\-#,##0.0">
                  <c:v>197.44918648768265</c:v>
                </c:pt>
                <c:pt idx="347" formatCode="#,##0.0;[Red]\-#,##0.0">
                  <c:v>196.98818932799264</c:v>
                </c:pt>
                <c:pt idx="348" formatCode="#,##0.0;[Red]\-#,##0.0">
                  <c:v>191.80760329510196</c:v>
                </c:pt>
                <c:pt idx="349" formatCode="#,##0.0;[Red]\-#,##0.0">
                  <c:v>194.72492345844609</c:v>
                </c:pt>
                <c:pt idx="350" formatCode="#,##0.0;[Red]\-#,##0.0">
                  <c:v>189.94298420117295</c:v>
                </c:pt>
                <c:pt idx="351" formatCode="#,##0.0;[Red]\-#,##0.0">
                  <c:v>189.2636994558662</c:v>
                </c:pt>
                <c:pt idx="352" formatCode="#,##0.0;[Red]\-#,##0.0">
                  <c:v>188.52961151001148</c:v>
                </c:pt>
                <c:pt idx="353" formatCode="#,##0.0;[Red]\-#,##0.0">
                  <c:v>187.73457657649431</c:v>
                </c:pt>
                <c:pt idx="354" formatCode="#,##0.0;[Red]\-#,##0.0">
                  <c:v>186.07749359812843</c:v>
                </c:pt>
                <c:pt idx="355" formatCode="#,##0.0;[Red]\-#,##0.0">
                  <c:v>185.82691278163935</c:v>
                </c:pt>
                <c:pt idx="356" formatCode="#,##0.0;[Red]\-#,##0.0">
                  <c:v>183.84021575885345</c:v>
                </c:pt>
                <c:pt idx="357" formatCode="#,##0.0;[Red]\-#,##0.0">
                  <c:v>184.00143219684267</c:v>
                </c:pt>
                <c:pt idx="358" formatCode="#,##0.0;[Red]\-#,##0.0">
                  <c:v>180.4082201120211</c:v>
                </c:pt>
                <c:pt idx="359" formatCode="#,##0.0;[Red]\-#,##0.0">
                  <c:v>177.41426962604331</c:v>
                </c:pt>
                <c:pt idx="360" formatCode="#,##0.0;[Red]\-#,##0.0">
                  <c:v>182.39894509614919</c:v>
                </c:pt>
                <c:pt idx="361" formatCode="#,##0.0;[Red]\-#,##0.0">
                  <c:v>181.08496270382327</c:v>
                </c:pt>
                <c:pt idx="362" formatCode="#,##0.0;[Red]\-#,##0.0">
                  <c:v>180.79359095689671</c:v>
                </c:pt>
                <c:pt idx="363" formatCode="#,##0.0;[Red]\-#,##0.0">
                  <c:v>180.49702805049489</c:v>
                </c:pt>
                <c:pt idx="364" formatCode="#,##0.0;[Red]\-#,##0.0">
                  <c:v>181.36917270691828</c:v>
                </c:pt>
                <c:pt idx="365" formatCode="#,##0.0;[Red]\-#,##0.0">
                  <c:v>183.68402999687396</c:v>
                </c:pt>
                <c:pt idx="366" formatCode="#,##0.0;[Red]\-#,##0.0">
                  <c:v>186.5967886027986</c:v>
                </c:pt>
                <c:pt idx="367" formatCode="#,##0.0;[Red]\-#,##0.0">
                  <c:v>190.36402617839551</c:v>
                </c:pt>
                <c:pt idx="368" formatCode="#,##0.0;[Red]\-#,##0.0">
                  <c:v>187.80295215057205</c:v>
                </c:pt>
                <c:pt idx="369" formatCode="#,##0.0;[Red]\-#,##0.0">
                  <c:v>185.13220394755751</c:v>
                </c:pt>
                <c:pt idx="370" formatCode="#,##0.0;[Red]\-#,##0.0">
                  <c:v>184.60992377972104</c:v>
                </c:pt>
                <c:pt idx="371" formatCode="#,##0.0;[Red]\-#,##0.0">
                  <c:v>185.94690984378937</c:v>
                </c:pt>
                <c:pt idx="372" formatCode="#,##0.0;[Red]\-#,##0.0">
                  <c:v>185.35529364114481</c:v>
                </c:pt>
                <c:pt idx="373" formatCode="#,##0.0;[Red]\-#,##0.0">
                  <c:v>186.89480501452297</c:v>
                </c:pt>
                <c:pt idx="374" formatCode="#,##0.0;[Red]\-#,##0.0">
                  <c:v>186.85893662113094</c:v>
                </c:pt>
                <c:pt idx="375" formatCode="#,##0.0;[Red]\-#,##0.0">
                  <c:v>185.2073796743872</c:v>
                </c:pt>
                <c:pt idx="376" formatCode="#,##0.0;[Red]\-#,##0.0">
                  <c:v>183.11045079611586</c:v>
                </c:pt>
                <c:pt idx="377" formatCode="#,##0.0;[Red]\-#,##0.0">
                  <c:v>179.28194906517319</c:v>
                </c:pt>
                <c:pt idx="378" formatCode="#,##0.0;[Red]\-#,##0.0">
                  <c:v>178.344020919706</c:v>
                </c:pt>
                <c:pt idx="379" formatCode="#,##0.0;[Red]\-#,##0.0">
                  <c:v>177.05545088495694</c:v>
                </c:pt>
                <c:pt idx="380" formatCode="#,##0.0;[Red]\-#,##0.0">
                  <c:v>176.67984705000194</c:v>
                </c:pt>
                <c:pt idx="381" formatCode="#,##0.0;[Red]\-#,##0.0">
                  <c:v>174.13356841318944</c:v>
                </c:pt>
                <c:pt idx="382" formatCode="#,##0.0;[Red]\-#,##0.0">
                  <c:v>174.04279065033415</c:v>
                </c:pt>
                <c:pt idx="383" formatCode="#,##0.0;[Red]\-#,##0.0">
                  <c:v>174.12142527161262</c:v>
                </c:pt>
                <c:pt idx="384" formatCode="#,##0.0;[Red]\-#,##0.0">
                  <c:v>169.93427488553638</c:v>
                </c:pt>
                <c:pt idx="385" formatCode="#,##0.0;[Red]\-#,##0.0">
                  <c:v>175.00301045703984</c:v>
                </c:pt>
                <c:pt idx="386" formatCode="#,##0.0;[Red]\-#,##0.0">
                  <c:v>173.9237246457202</c:v>
                </c:pt>
                <c:pt idx="387" formatCode="#,##0.0;[Red]\-#,##0.0">
                  <c:v>173.13477873730585</c:v>
                </c:pt>
                <c:pt idx="388" formatCode="#,##0.0;[Red]\-#,##0.0">
                  <c:v>172.67726438475856</c:v>
                </c:pt>
                <c:pt idx="389" formatCode="#,##0.0;[Red]\-#,##0.0">
                  <c:v>173.1872301126013</c:v>
                </c:pt>
                <c:pt idx="390" formatCode="#,##0.0;[Red]\-#,##0.0">
                  <c:v>172.9743981726817</c:v>
                </c:pt>
                <c:pt idx="391" formatCode="#,##0.0;[Red]\-#,##0.0">
                  <c:v>172.42251222579171</c:v>
                </c:pt>
                <c:pt idx="392" formatCode="#,##0.0;[Red]\-#,##0.0">
                  <c:v>171.85377826572142</c:v>
                </c:pt>
                <c:pt idx="393" formatCode="#,##0.0;[Red]\-#,##0.0">
                  <c:v>174.35364002903771</c:v>
                </c:pt>
                <c:pt idx="394" formatCode="#,##0.0;[Red]\-#,##0.0">
                  <c:v>176.12049613455787</c:v>
                </c:pt>
                <c:pt idx="395" formatCode="#,##0.0;[Red]\-#,##0.0">
                  <c:v>180.34997883493452</c:v>
                </c:pt>
                <c:pt idx="396" formatCode="#,##0.0;[Red]\-#,##0.0">
                  <c:v>172.22480800324067</c:v>
                </c:pt>
                <c:pt idx="397" formatCode="#,##0.0;[Red]\-#,##0.0">
                  <c:v>161.95433790609115</c:v>
                </c:pt>
                <c:pt idx="398" formatCode="#,##0.0;[Red]\-#,##0.0">
                  <c:v>163.77802634406908</c:v>
                </c:pt>
                <c:pt idx="399" formatCode="#,##0.0;[Red]\-#,##0.0">
                  <c:v>164.82716119526219</c:v>
                </c:pt>
                <c:pt idx="400" formatCode="#,##0.0;[Red]\-#,##0.0">
                  <c:v>165.38750796220424</c:v>
                </c:pt>
                <c:pt idx="401" formatCode="#,##0.0;[Red]\-#,##0.0">
                  <c:v>166.16271964300486</c:v>
                </c:pt>
                <c:pt idx="402" formatCode="#,##0.0;[Red]\-#,##0.0">
                  <c:v>164.96432511642905</c:v>
                </c:pt>
                <c:pt idx="403" formatCode="#,##0.0;[Red]\-#,##0.0">
                  <c:v>165.64387684029913</c:v>
                </c:pt>
                <c:pt idx="404" formatCode="#,##0.0;[Red]\-#,##0.0">
                  <c:v>165.96698539398417</c:v>
                </c:pt>
                <c:pt idx="405" formatCode="#,##0.0;[Red]\-#,##0.0">
                  <c:v>164.88346640638599</c:v>
                </c:pt>
                <c:pt idx="406" formatCode="#,##0.0;[Red]\-#,##0.0">
                  <c:v>164.09611376918298</c:v>
                </c:pt>
                <c:pt idx="407" formatCode="#,##0.0;[Red]\-#,##0.0">
                  <c:v>164.83632679717846</c:v>
                </c:pt>
                <c:pt idx="408" formatCode="#,##0.0;[Red]\-#,##0.0">
                  <c:v>161.7081531229544</c:v>
                </c:pt>
                <c:pt idx="409" formatCode="#,##0.0;[Red]\-#,##0.0">
                  <c:v>158.31126242515654</c:v>
                </c:pt>
                <c:pt idx="410" formatCode="#,##0.0;[Red]\-#,##0.0">
                  <c:v>160.86993283562728</c:v>
                </c:pt>
                <c:pt idx="411" formatCode="#,##0.0;[Red]\-#,##0.0">
                  <c:v>159.44410271694449</c:v>
                </c:pt>
                <c:pt idx="412" formatCode="#,##0.0;[Red]\-#,##0.0">
                  <c:v>158.57361941941588</c:v>
                </c:pt>
                <c:pt idx="413" formatCode="#,##0.0;[Red]\-#,##0.0">
                  <c:v>158.69780303813329</c:v>
                </c:pt>
                <c:pt idx="414" formatCode="#,##0.0;[Red]\-#,##0.0">
                  <c:v>158.76472563753956</c:v>
                </c:pt>
                <c:pt idx="415" formatCode="#,##0.0;[Red]\-#,##0.0">
                  <c:v>158.8111931255275</c:v>
                </c:pt>
                <c:pt idx="416" formatCode="#,##0.0;[Red]\-#,##0.0">
                  <c:v>157.32323341222053</c:v>
                </c:pt>
                <c:pt idx="417" formatCode="#,##0.0;[Red]\-#,##0.0">
                  <c:v>156.90429221273155</c:v>
                </c:pt>
                <c:pt idx="418" formatCode="#,##0.0;[Red]\-#,##0.0">
                  <c:v>154.81123785681032</c:v>
                </c:pt>
                <c:pt idx="419" formatCode="#,##0.0;[Red]\-#,##0.0">
                  <c:v>153.03293457962303</c:v>
                </c:pt>
                <c:pt idx="420" formatCode="#,##0.0;[Red]\-#,##0.0">
                  <c:v>153.99106169085115</c:v>
                </c:pt>
                <c:pt idx="421" formatCode="#,##0.0;[Red]\-#,##0.0">
                  <c:v>152.10859500348857</c:v>
                </c:pt>
                <c:pt idx="422" formatCode="#,##0.0;[Red]\-#,##0.0">
                  <c:v>154.03410255895287</c:v>
                </c:pt>
                <c:pt idx="423" formatCode="#,##0.0;[Red]\-#,##0.0">
                  <c:v>152.52155959787655</c:v>
                </c:pt>
                <c:pt idx="424" formatCode="#,##0.0;[Red]\-#,##0.0">
                  <c:v>150.2375451953593</c:v>
                </c:pt>
                <c:pt idx="425" formatCode="#,##0.0;[Red]\-#,##0.0">
                  <c:v>148.16541851104586</c:v>
                </c:pt>
                <c:pt idx="426" formatCode="#,##0.0;[Red]\-#,##0.0">
                  <c:v>148.23417548178048</c:v>
                </c:pt>
                <c:pt idx="427" formatCode="#,##0.0;[Red]\-#,##0.0">
                  <c:v>145.20560298513468</c:v>
                </c:pt>
                <c:pt idx="428" formatCode="#,##0.0;[Red]\-#,##0.0">
                  <c:v>144.24832783702306</c:v>
                </c:pt>
                <c:pt idx="429" formatCode="#,##0.0;[Red]\-#,##0.0">
                  <c:v>143.79645964096702</c:v>
                </c:pt>
                <c:pt idx="430" formatCode="#,##0.0;[Red]\-#,##0.0">
                  <c:v>143.2924929180235</c:v>
                </c:pt>
                <c:pt idx="431" formatCode="#,##0.0;[Red]\-#,##0.0">
                  <c:v>141.25993982580698</c:v>
                </c:pt>
                <c:pt idx="432" formatCode="#,##0.0;[Red]\-#,##0.0">
                  <c:v>146.55387737263155</c:v>
                </c:pt>
                <c:pt idx="433" formatCode="#,##0.0;[Red]\-#,##0.0">
                  <c:v>141.95327587261673</c:v>
                </c:pt>
                <c:pt idx="434" formatCode="#,##0.0;[Red]\-#,##0.0">
                  <c:v>142.10581622552061</c:v>
                </c:pt>
                <c:pt idx="435" formatCode="#,##0.0;[Red]\-#,##0.0">
                  <c:v>141.97836389117748</c:v>
                </c:pt>
                <c:pt idx="436" formatCode="#,##0.0;[Red]\-#,##0.0">
                  <c:v>143.62978027219955</c:v>
                </c:pt>
                <c:pt idx="437" formatCode="#,##0.0;[Red]\-#,##0.0">
                  <c:v>144.25187766246989</c:v>
                </c:pt>
                <c:pt idx="438" formatCode="#,##0.0;[Red]\-#,##0.0">
                  <c:v>144.76448458890806</c:v>
                </c:pt>
                <c:pt idx="439" formatCode="#,##0.0;[Red]\-#,##0.0">
                  <c:v>138.48618916792228</c:v>
                </c:pt>
                <c:pt idx="440" formatCode="#,##0.0;[Red]\-#,##0.0">
                  <c:v>138.84959440258055</c:v>
                </c:pt>
                <c:pt idx="441" formatCode="#,##0.0;[Red]\-#,##0.0">
                  <c:v>139.61785234739028</c:v>
                </c:pt>
                <c:pt idx="442" formatCode="#,##0.0;[Red]\-#,##0.0">
                  <c:v>140.89817333471683</c:v>
                </c:pt>
                <c:pt idx="443" formatCode="#,##0.0;[Red]\-#,##0.0">
                  <c:v>143.65289157701369</c:v>
                </c:pt>
                <c:pt idx="444" formatCode="#,##0.0;[Red]\-#,##0.0">
                  <c:v>136.69051649412899</c:v>
                </c:pt>
                <c:pt idx="445" formatCode="#,##0.0;[Red]\-#,##0.0">
                  <c:v>134.62650942438614</c:v>
                </c:pt>
                <c:pt idx="446" formatCode="#,##0.0;[Red]\-#,##0.0">
                  <c:v>138.50181873075459</c:v>
                </c:pt>
                <c:pt idx="447" formatCode="#,##0.0;[Red]\-#,##0.0">
                  <c:v>138.4206351080272</c:v>
                </c:pt>
                <c:pt idx="448" formatCode="#,##0.0;[Red]\-#,##0.0">
                  <c:v>138.20829219015465</c:v>
                </c:pt>
                <c:pt idx="449" formatCode="#,##0.0;[Red]\-#,##0.0">
                  <c:v>139.58496134307751</c:v>
                </c:pt>
                <c:pt idx="450" formatCode="#,##0.0;[Red]\-#,##0.0">
                  <c:v>137.890441978045</c:v>
                </c:pt>
                <c:pt idx="451" formatCode="#,##0.0;[Red]\-#,##0.0">
                  <c:v>138.25660044044861</c:v>
                </c:pt>
                <c:pt idx="452" formatCode="#,##0.0;[Red]\-#,##0.0">
                  <c:v>136.16191680034996</c:v>
                </c:pt>
                <c:pt idx="453" formatCode="#,##0.0;[Red]\-#,##0.0">
                  <c:v>134.0263666685243</c:v>
                </c:pt>
                <c:pt idx="454" formatCode="#,##0.0;[Red]\-#,##0.0">
                  <c:v>137.36406433578148</c:v>
                </c:pt>
                <c:pt idx="455" formatCode="#,##0.0;[Red]\-#,##0.0">
                  <c:v>136.08579040586639</c:v>
                </c:pt>
                <c:pt idx="456" formatCode="#,##0.0;[Red]\-#,##0.0">
                  <c:v>135.19515041328631</c:v>
                </c:pt>
                <c:pt idx="457" formatCode="#,##0.0;[Red]\-#,##0.0">
                  <c:v>134.29116045620407</c:v>
                </c:pt>
                <c:pt idx="458" formatCode="#,##0.0;[Red]\-#,##0.0">
                  <c:v>131.40462547618546</c:v>
                </c:pt>
                <c:pt idx="459" formatCode="#,##0.0;[Red]\-#,##0.0">
                  <c:v>130.77309735169345</c:v>
                </c:pt>
                <c:pt idx="460" formatCode="#,##0.0;[Red]\-#,##0.0">
                  <c:v>131.23345922021375</c:v>
                </c:pt>
                <c:pt idx="461" formatCode="#,##0.0;[Red]\-#,##0.0">
                  <c:v>132.21659924023487</c:v>
                </c:pt>
                <c:pt idx="462" formatCode="#,##0.0;[Red]\-#,##0.0">
                  <c:v>131.84792057446154</c:v>
                </c:pt>
                <c:pt idx="463" formatCode="#,##0.0;[Red]\-#,##0.0">
                  <c:v>130.66548824386214</c:v>
                </c:pt>
                <c:pt idx="464" formatCode="#,##0.0;[Red]\-#,##0.0">
                  <c:v>131.08326145247958</c:v>
                </c:pt>
                <c:pt idx="465" formatCode="#,##0.0;[Red]\-#,##0.0">
                  <c:v>126.45527294083981</c:v>
                </c:pt>
                <c:pt idx="466" formatCode="#,##0.0;[Red]\-#,##0.0">
                  <c:v>127.18242957652009</c:v>
                </c:pt>
                <c:pt idx="467" formatCode="#,##0.0;[Red]\-#,##0.0">
                  <c:v>126.28005621209007</c:v>
                </c:pt>
                <c:pt idx="468" formatCode="#,##0.0;[Red]\-#,##0.0">
                  <c:v>127.17600431083909</c:v>
                </c:pt>
                <c:pt idx="469" formatCode="#,##0.0;[Red]\-#,##0.0">
                  <c:v>123.46768778884831</c:v>
                </c:pt>
                <c:pt idx="470" formatCode="#,##0.0;[Red]\-#,##0.0">
                  <c:v>122.60950197800531</c:v>
                </c:pt>
                <c:pt idx="471" formatCode="#,##0.0;[Red]\-#,##0.0">
                  <c:v>122.75779632180846</c:v>
                </c:pt>
                <c:pt idx="472" formatCode="#,##0.0;[Red]\-#,##0.0">
                  <c:v>118.30613373362505</c:v>
                </c:pt>
                <c:pt idx="473" formatCode="#,##0.0;[Red]\-#,##0.0">
                  <c:v>114.24504805430935</c:v>
                </c:pt>
                <c:pt idx="474" formatCode="#,##0.0;[Red]\-#,##0.0">
                  <c:v>113.27578006717042</c:v>
                </c:pt>
                <c:pt idx="475" formatCode="#,##0.0;[Red]\-#,##0.0">
                  <c:v>113.48140039438931</c:v>
                </c:pt>
                <c:pt idx="476" formatCode="#,##0.0;[Red]\-#,##0.0">
                  <c:v>111.87195191640218</c:v>
                </c:pt>
                <c:pt idx="477" formatCode="#,##0.0;[Red]\-#,##0.0">
                  <c:v>108.9580191908631</c:v>
                </c:pt>
                <c:pt idx="478" formatCode="#,##0.0;[Red]\-#,##0.0">
                  <c:v>109.61197553294963</c:v>
                </c:pt>
                <c:pt idx="479" formatCode="#,##0.0;[Red]\-#,##0.0">
                  <c:v>110.31540274460197</c:v>
                </c:pt>
                <c:pt idx="480" formatCode="#,##0.0;[Red]\-#,##0.0">
                  <c:v>114.11732117380134</c:v>
                </c:pt>
                <c:pt idx="481" formatCode="#,##0.0;[Red]\-#,##0.0">
                  <c:v>108.74026243676862</c:v>
                </c:pt>
                <c:pt idx="482" formatCode="#,##0.0;[Red]\-#,##0.0">
                  <c:v>108.74013145080755</c:v>
                </c:pt>
                <c:pt idx="483" formatCode="#,##0.0;[Red]\-#,##0.0">
                  <c:v>109.07426556347912</c:v>
                </c:pt>
                <c:pt idx="484" formatCode="#,##0.0;[Red]\-#,##0.0">
                  <c:v>111.79525604102344</c:v>
                </c:pt>
                <c:pt idx="485" formatCode="#,##0.0;[Red]\-#,##0.0">
                  <c:v>112.31898221668111</c:v>
                </c:pt>
                <c:pt idx="486" formatCode="#,##0.0;[Red]\-#,##0.0">
                  <c:v>112.32123621933047</c:v>
                </c:pt>
                <c:pt idx="487" formatCode="#,##0.0;[Red]\-#,##0.0">
                  <c:v>110.09726597615639</c:v>
                </c:pt>
                <c:pt idx="488" formatCode="#,##0.0;[Red]\-#,##0.0">
                  <c:v>111.75585367919615</c:v>
                </c:pt>
                <c:pt idx="489" formatCode="#,##0.0;[Red]\-#,##0.0">
                  <c:v>100.75168936319157</c:v>
                </c:pt>
                <c:pt idx="490" formatCode="#,##0.0;[Red]\-#,##0.0">
                  <c:v>105.96020952577317</c:v>
                </c:pt>
                <c:pt idx="491" formatCode="#,##0.0;[Red]\-#,##0.0">
                  <c:v>110.92539511592653</c:v>
                </c:pt>
                <c:pt idx="492" formatCode="#,##0.0;[Red]\-#,##0.0">
                  <c:v>117.12099709594071</c:v>
                </c:pt>
                <c:pt idx="493" formatCode="#,##0.0;[Red]\-#,##0.0">
                  <c:v>109.28480200846261</c:v>
                </c:pt>
                <c:pt idx="494" formatCode="#,##0.0;[Red]\-#,##0.0">
                  <c:v>108.81919207219664</c:v>
                </c:pt>
                <c:pt idx="495" formatCode="#,##0.0;[Red]\-#,##0.0">
                  <c:v>104.24607447062517</c:v>
                </c:pt>
                <c:pt idx="496" formatCode="#,##0.0;[Red]\-#,##0.0">
                  <c:v>100.333989991946</c:v>
                </c:pt>
                <c:pt idx="497" formatCode="#,##0.0;[Red]\-#,##0.0">
                  <c:v>100.04993399559251</c:v>
                </c:pt>
                <c:pt idx="498" formatCode="#,##0.0;[Red]\-#,##0.0">
                  <c:v>100.75763249603287</c:v>
                </c:pt>
                <c:pt idx="499" formatCode="#,##0.0;[Red]\-#,##0.0">
                  <c:v>101.5851071434422</c:v>
                </c:pt>
                <c:pt idx="500" formatCode="#,##0.0;[Red]\-#,##0.0">
                  <c:v>99.449110105100573</c:v>
                </c:pt>
                <c:pt idx="501" formatCode="#,##0.0;[Red]\-#,##0.0">
                  <c:v>103.33950000423674</c:v>
                </c:pt>
                <c:pt idx="502" formatCode="#,##0.0;[Red]\-#,##0.0">
                  <c:v>100.91617802133405</c:v>
                </c:pt>
                <c:pt idx="503" formatCode="#,##0.0;[Red]\-#,##0.0">
                  <c:v>98.932610710250742</c:v>
                </c:pt>
                <c:pt idx="504" formatCode="#,##0.0;[Red]\-#,##0.0">
                  <c:v>98.985836416184682</c:v>
                </c:pt>
                <c:pt idx="505" formatCode="#,##0.0;[Red]\-#,##0.0">
                  <c:v>101.42781397839721</c:v>
                </c:pt>
                <c:pt idx="506" formatCode="#,##0.0;[Red]\-#,##0.0">
                  <c:v>99.38198519186794</c:v>
                </c:pt>
                <c:pt idx="507" formatCode="#,##0.0;[Red]\-#,##0.0">
                  <c:v>100.572159965476</c:v>
                </c:pt>
                <c:pt idx="508" formatCode="#,##0.0;[Red]\-#,##0.0">
                  <c:v>100.62528734758843</c:v>
                </c:pt>
                <c:pt idx="509" formatCode="#,##0.0;[Red]\-#,##0.0">
                  <c:v>99.573614939047204</c:v>
                </c:pt>
                <c:pt idx="510" formatCode="#,##0.0;[Red]\-#,##0.0">
                  <c:v>99.776191368775144</c:v>
                </c:pt>
                <c:pt idx="511" formatCode="#,##0.0;[Red]\-#,##0.0">
                  <c:v>99.971572042907624</c:v>
                </c:pt>
                <c:pt idx="512" formatCode="#,##0.0;[Red]\-#,##0.0">
                  <c:v>101.44665441439184</c:v>
                </c:pt>
                <c:pt idx="513" formatCode="#,##0.0;[Red]\-#,##0.0">
                  <c:v>102.87494955035574</c:v>
                </c:pt>
                <c:pt idx="514" formatCode="#,##0.0;[Red]\-#,##0.0">
                  <c:v>104.781948608481</c:v>
                </c:pt>
                <c:pt idx="515" formatCode="#,##0.0;[Red]\-#,##0.0">
                  <c:v>99.521213185997567</c:v>
                </c:pt>
                <c:pt idx="516" formatCode="#,##0.0;[Red]\-#,##0.0">
                  <c:v>100.67618834654472</c:v>
                </c:pt>
                <c:pt idx="517" formatCode="#,##0.0;[Red]\-#,##0.0">
                  <c:v>98.616585495103109</c:v>
                </c:pt>
                <c:pt idx="518" formatCode="#,##0.0;[Red]\-#,##0.0">
                  <c:v>100.40772245936148</c:v>
                </c:pt>
                <c:pt idx="519" formatCode="#,##0.0;[Red]\-#,##0.0">
                  <c:v>99.437405783160088</c:v>
                </c:pt>
                <c:pt idx="520" formatCode="#,##0.0;[Red]\-#,##0.0">
                  <c:v>101.94256767729097</c:v>
                </c:pt>
                <c:pt idx="521" formatCode="#,##0.0;[Red]\-#,##0.0">
                  <c:v>102.57402137972028</c:v>
                </c:pt>
                <c:pt idx="522" formatCode="#,##0.0;[Red]\-#,##0.0">
                  <c:v>98.644311560095559</c:v>
                </c:pt>
                <c:pt idx="523" formatCode="#,##0.0;[Red]\-#,##0.0">
                  <c:v>98.714906523370686</c:v>
                </c:pt>
                <c:pt idx="524" formatCode="#,##0.0;[Red]\-#,##0.0">
                  <c:v>98.753489793525461</c:v>
                </c:pt>
                <c:pt idx="525" formatCode="#,##0.0;[Red]\-#,##0.0">
                  <c:v>100.19731902649335</c:v>
                </c:pt>
                <c:pt idx="526" formatCode="#,##0.0;[Red]\-#,##0.0">
                  <c:v>103.43701050582837</c:v>
                </c:pt>
                <c:pt idx="527" formatCode="#,##0.0;[Red]\-#,##0.0">
                  <c:v>101.78427732949314</c:v>
                </c:pt>
                <c:pt idx="528" formatCode="#,##0.0;[Red]\-#,##0.0">
                  <c:v>96.8453088683506</c:v>
                </c:pt>
                <c:pt idx="529" formatCode="#,##0.0;[Red]\-#,##0.0">
                  <c:v>97.189673906959712</c:v>
                </c:pt>
                <c:pt idx="530" formatCode="#,##0.0;[Red]\-#,##0.0">
                  <c:v>100.12895589344654</c:v>
                </c:pt>
                <c:pt idx="531" formatCode="#,##0.0;[Red]\-#,##0.0">
                  <c:v>99.970540365452393</c:v>
                </c:pt>
                <c:pt idx="532" formatCode="#,##0.0;[Red]\-#,##0.0">
                  <c:v>99.447029982477545</c:v>
                </c:pt>
                <c:pt idx="533" formatCode="#,##0.0;[Red]\-#,##0.0">
                  <c:v>101.32793152112619</c:v>
                </c:pt>
                <c:pt idx="534" formatCode="#,##0.0;[Red]\-#,##0.0">
                  <c:v>101.04269631445092</c:v>
                </c:pt>
                <c:pt idx="535" formatCode="#,##0.0;[Red]\-#,##0.0">
                  <c:v>102.35564670795787</c:v>
                </c:pt>
                <c:pt idx="536" formatCode="#,##0.0;[Red]\-#,##0.0">
                  <c:v>101.44323127614359</c:v>
                </c:pt>
                <c:pt idx="537" formatCode="#,##0.0;[Red]\-#,##0.0">
                  <c:v>103.9894485124583</c:v>
                </c:pt>
                <c:pt idx="538" formatCode="#,##0.0;[Red]\-#,##0.0">
                  <c:v>103.32975076295418</c:v>
                </c:pt>
                <c:pt idx="539" formatCode="#,##0.0;[Red]\-#,##0.0">
                  <c:v>104.37575968711946</c:v>
                </c:pt>
                <c:pt idx="540" formatCode="#,##0.0;[Red]\-#,##0.0">
                  <c:v>105.99483445209057</c:v>
                </c:pt>
                <c:pt idx="541" formatCode="#,##0.0;[Red]\-#,##0.0">
                  <c:v>108.78805087367246</c:v>
                </c:pt>
                <c:pt idx="542" formatCode="#,##0.0;[Red]\-#,##0.0">
                  <c:v>107.41812960894327</c:v>
                </c:pt>
                <c:pt idx="543" formatCode="#,##0.0;[Red]\-#,##0.0">
                  <c:v>112.62814267095425</c:v>
                </c:pt>
                <c:pt idx="544" formatCode="#,##0.0;[Red]\-#,##0.0">
                  <c:v>111.70783737046318</c:v>
                </c:pt>
                <c:pt idx="545" formatCode="#,##0.0;[Red]\-#,##0.0">
                  <c:v>112.4823197288068</c:v>
                </c:pt>
                <c:pt idx="546" formatCode="#,##0.0;[Red]\-#,##0.0">
                  <c:v>114.3407912115911</c:v>
                </c:pt>
                <c:pt idx="547" formatCode="#,##0.0;[Red]\-#,##0.0">
                  <c:v>114.85557758044332</c:v>
                </c:pt>
                <c:pt idx="548" formatCode="#,##0.0;[Red]\-#,##0.0">
                  <c:v>114.89140011304571</c:v>
                </c:pt>
                <c:pt idx="549" formatCode="#,##0.0;[Red]\-#,##0.0">
                  <c:v>115.3406696876653</c:v>
                </c:pt>
                <c:pt idx="550" formatCode="#,##0.0;[Red]\-#,##0.0">
                  <c:v>114.4371272128017</c:v>
                </c:pt>
                <c:pt idx="551" formatCode="#,##0.0;[Red]\-#,##0.0">
                  <c:v>111.5012140107295</c:v>
                </c:pt>
                <c:pt idx="552" formatCode="#,##0.0;[Red]\-#,##0.0">
                  <c:v>103.67619117646353</c:v>
                </c:pt>
                <c:pt idx="553" formatCode="#,##0.0;[Red]\-#,##0.0">
                  <c:v>106.09464002608196</c:v>
                </c:pt>
                <c:pt idx="554" formatCode="#,##0.0;[Red]\-#,##0.0">
                  <c:v>105.38668001096238</c:v>
                </c:pt>
                <c:pt idx="555" formatCode="#,##0.0;[Red]\-#,##0.0">
                  <c:v>105.72584543902471</c:v>
                </c:pt>
                <c:pt idx="556" formatCode="#,##0.0;[Red]\-#,##0.0">
                  <c:v>107.30379663469979</c:v>
                </c:pt>
                <c:pt idx="557" formatCode="#,##0.0;[Red]\-#,##0.0">
                  <c:v>106.56275898441959</c:v>
                </c:pt>
                <c:pt idx="558" formatCode="#,##0.0;[Red]\-#,##0.0">
                  <c:v>108.49671001360211</c:v>
                </c:pt>
                <c:pt idx="559" formatCode="#,##0.0;[Red]\-#,##0.0">
                  <c:v>108.17416024314694</c:v>
                </c:pt>
                <c:pt idx="560" formatCode="#,##0.0;[Red]\-#,##0.0">
                  <c:v>107.25416430931409</c:v>
                </c:pt>
                <c:pt idx="561" formatCode="#,##0.0;[Red]\-#,##0.0">
                  <c:v>106.8603403935052</c:v>
                </c:pt>
                <c:pt idx="562" formatCode="#,##0.0;[Red]\-#,##0.0">
                  <c:v>102.83771620793549</c:v>
                </c:pt>
                <c:pt idx="563" formatCode="#,##0.0;[Red]\-#,##0.0">
                  <c:v>100.57636490069079</c:v>
                </c:pt>
                <c:pt idx="564" formatCode="#,##0.0;[Red]\-#,##0.0">
                  <c:v>119.55827042736644</c:v>
                </c:pt>
                <c:pt idx="565" formatCode="#,##0.0;[Red]\-#,##0.0">
                  <c:v>118.73104748202344</c:v>
                </c:pt>
                <c:pt idx="566" formatCode="#,##0.0;[Red]\-#,##0.0">
                  <c:v>119.3107605245806</c:v>
                </c:pt>
                <c:pt idx="567" formatCode="#,##0.0;[Red]\-#,##0.0">
                  <c:v>118.06107260366497</c:v>
                </c:pt>
                <c:pt idx="568" formatCode="#,##0.0;[Red]\-#,##0.0">
                  <c:v>118.65218295475172</c:v>
                </c:pt>
                <c:pt idx="569" formatCode="#,##0.0;[Red]\-#,##0.0">
                  <c:v>119.42191687723135</c:v>
                </c:pt>
                <c:pt idx="570" formatCode="#,##0.0;[Red]\-#,##0.0">
                  <c:v>120.02184864600648</c:v>
                </c:pt>
                <c:pt idx="571" formatCode="#,##0.0;[Red]\-#,##0.0">
                  <c:v>121.3789590063782</c:v>
                </c:pt>
                <c:pt idx="572" formatCode="#,##0.0;[Red]\-#,##0.0">
                  <c:v>122.28073500069894</c:v>
                </c:pt>
                <c:pt idx="573" formatCode="#,##0.0;[Red]\-#,##0.0">
                  <c:v>123.17483607141837</c:v>
                </c:pt>
                <c:pt idx="574" formatCode="#,##0.0;[Red]\-#,##0.0">
                  <c:v>122.40469066209951</c:v>
                </c:pt>
                <c:pt idx="575" formatCode="#,##0.0;[Red]\-#,##0.0">
                  <c:v>123.25829504923527</c:v>
                </c:pt>
                <c:pt idx="576" formatCode="#,##0.0;[Red]\-#,##0.0">
                  <c:v>123.56872031196986</c:v>
                </c:pt>
                <c:pt idx="577" formatCode="#,##0.0;[Red]\-#,##0.0">
                  <c:v>123.84064561230926</c:v>
                </c:pt>
                <c:pt idx="578" formatCode="#,##0.0;[Red]\-#,##0.0">
                  <c:v>122.91819964160655</c:v>
                </c:pt>
                <c:pt idx="579" formatCode="#,##0.0;[Red]\-#,##0.0">
                  <c:v>124.06449615984468</c:v>
                </c:pt>
                <c:pt idx="580" formatCode="#,##0.0;[Red]\-#,##0.0">
                  <c:v>124.95985113382598</c:v>
                </c:pt>
                <c:pt idx="581" formatCode="#,##0.0;[Red]\-#,##0.0">
                  <c:v>125.93102696042325</c:v>
                </c:pt>
                <c:pt idx="582" formatCode="#,##0.0;[Red]\-#,##0.0">
                  <c:v>124.54210404217488</c:v>
                </c:pt>
                <c:pt idx="583" formatCode="#,##0.0;[Red]\-#,##0.0">
                  <c:v>123.81481453497432</c:v>
                </c:pt>
                <c:pt idx="584" formatCode="#,##0.0;[Red]\-#,##0.0">
                  <c:v>125.10408455348011</c:v>
                </c:pt>
                <c:pt idx="585" formatCode="#,##0.0;[Red]\-#,##0.0">
                  <c:v>126.09445448623114</c:v>
                </c:pt>
                <c:pt idx="586" formatCode="#,##0.0;[Red]\-#,##0.0">
                  <c:v>128.17721671622917</c:v>
                </c:pt>
                <c:pt idx="587" formatCode="#,##0.0;[Red]\-#,##0.0">
                  <c:v>128.08391941886285</c:v>
                </c:pt>
                <c:pt idx="588" formatCode="#,##0.0;[Red]\-#,##0.0">
                  <c:v>129.74681888134074</c:v>
                </c:pt>
                <c:pt idx="589" formatCode="#,##0.0;[Red]\-#,##0.0">
                  <c:v>130.55712591925041</c:v>
                </c:pt>
                <c:pt idx="590" formatCode="#,##0.0;[Red]\-#,##0.0">
                  <c:v>129.77645552108154</c:v>
                </c:pt>
                <c:pt idx="591" formatCode="#,##0.0;[Red]\-#,##0.0">
                  <c:v>130.16657741316786</c:v>
                </c:pt>
                <c:pt idx="592" formatCode="#,##0.0;[Red]\-#,##0.0">
                  <c:v>128.81287197568773</c:v>
                </c:pt>
                <c:pt idx="593" formatCode="#,##0.0;[Red]\-#,##0.0">
                  <c:v>128.21140125948239</c:v>
                </c:pt>
                <c:pt idx="594" formatCode="#,##0.0;[Red]\-#,##0.0">
                  <c:v>129.56101487114969</c:v>
                </c:pt>
                <c:pt idx="595" formatCode="#,##0.0;[Red]\-#,##0.0">
                  <c:v>129.84157086312561</c:v>
                </c:pt>
                <c:pt idx="596" formatCode="#,##0.0;[Red]\-#,##0.0">
                  <c:v>131.18960542562834</c:v>
                </c:pt>
                <c:pt idx="597" formatCode="#,##0.0;[Red]\-#,##0.0">
                  <c:v>130.48850140781863</c:v>
                </c:pt>
                <c:pt idx="598" formatCode="#,##0.0;[Red]\-#,##0.0">
                  <c:v>133.39958658536329</c:v>
                </c:pt>
                <c:pt idx="599" formatCode="#,##0.0;[Red]\-#,##0.0">
                  <c:v>131.54220354702517</c:v>
                </c:pt>
                <c:pt idx="600" formatCode="#,##0.0;[Red]\-#,##0.0">
                  <c:v>128.40701168554531</c:v>
                </c:pt>
                <c:pt idx="601" formatCode="#,##0.0;[Red]\-#,##0.0">
                  <c:v>122.8680919347299</c:v>
                </c:pt>
                <c:pt idx="602" formatCode="#,##0.0;[Red]\-#,##0.0">
                  <c:v>123.43281510507035</c:v>
                </c:pt>
                <c:pt idx="603" formatCode="#,##0.0;[Red]\-#,##0.0">
                  <c:v>125.71228541063823</c:v>
                </c:pt>
                <c:pt idx="604" formatCode="#,##0.0;[Red]\-#,##0.0">
                  <c:v>124.79353782394898</c:v>
                </c:pt>
                <c:pt idx="605" formatCode="#,##0.0;[Red]\-#,##0.0">
                  <c:v>125.23927517123244</c:v>
                </c:pt>
                <c:pt idx="606" formatCode="#,##0.0;[Red]\-#,##0.0">
                  <c:v>122.72270739454646</c:v>
                </c:pt>
                <c:pt idx="607" formatCode="#,##0.0;[Red]\-#,##0.0">
                  <c:v>122.93230332999272</c:v>
                </c:pt>
                <c:pt idx="608" formatCode="#,##0.0;[Red]\-#,##0.0">
                  <c:v>123.02872080755027</c:v>
                </c:pt>
                <c:pt idx="609" formatCode="#,##0.0;[Red]\-#,##0.0">
                  <c:v>122.36776707938962</c:v>
                </c:pt>
                <c:pt idx="610" formatCode="#,##0.0;[Red]\-#,##0.0">
                  <c:v>122.22206424952684</c:v>
                </c:pt>
                <c:pt idx="611" formatCode="#,##0.0;[Red]\-#,##0.0">
                  <c:v>123.02025618568146</c:v>
                </c:pt>
                <c:pt idx="612" formatCode="#,##0.0;[Red]\-#,##0.0">
                  <c:v>120.45699611216882</c:v>
                </c:pt>
                <c:pt idx="613" formatCode="#,##0.0;[Red]\-#,##0.0">
                  <c:v>121.43542360915302</c:v>
                </c:pt>
                <c:pt idx="614" formatCode="#,##0.0;[Red]\-#,##0.0">
                  <c:v>121.07123102626949</c:v>
                </c:pt>
                <c:pt idx="615" formatCode="#,##0.0;[Red]\-#,##0.0">
                  <c:v>120.08140182887237</c:v>
                </c:pt>
                <c:pt idx="616" formatCode="#,##0.0;[Red]\-#,##0.0">
                  <c:v>122.58057608473385</c:v>
                </c:pt>
                <c:pt idx="617" formatCode="#,##0.0;[Red]\-#,##0.0">
                  <c:v>121.01703089814444</c:v>
                </c:pt>
                <c:pt idx="618" formatCode="#,##0.0;[Red]\-#,##0.0">
                  <c:v>121.89865066135081</c:v>
                </c:pt>
                <c:pt idx="619" formatCode="#,##0.0;[Red]\-#,##0.0">
                  <c:v>121.67025746091045</c:v>
                </c:pt>
                <c:pt idx="620" formatCode="#,##0.0;[Red]\-#,##0.0">
                  <c:v>119.88433344390299</c:v>
                </c:pt>
                <c:pt idx="621" formatCode="#,##0.0;[Red]\-#,##0.0">
                  <c:v>120.83275993663861</c:v>
                </c:pt>
                <c:pt idx="622" formatCode="#,##0.0;[Red]\-#,##0.0">
                  <c:v>119.22714440372388</c:v>
                </c:pt>
                <c:pt idx="623" formatCode="#,##0.0;[Red]\-#,##0.0">
                  <c:v>119.64287465888819</c:v>
                </c:pt>
                <c:pt idx="624" formatCode="#,##0.0;[Red]\-#,##0.0">
                  <c:v>123.48083352946702</c:v>
                </c:pt>
                <c:pt idx="625" formatCode="#,##0.0;[Red]\-#,##0.0">
                  <c:v>126.57255140140002</c:v>
                </c:pt>
                <c:pt idx="626" formatCode="#,##0.0;[Red]\-#,##0.0">
                  <c:v>123.52160487911516</c:v>
                </c:pt>
                <c:pt idx="627" formatCode="#,##0.0;[Red]\-#,##0.0">
                  <c:v>118.42986627330396</c:v>
                </c:pt>
                <c:pt idx="628" formatCode="#,##0.0;[Red]\-#,##0.0">
                  <c:v>118.24489083402497</c:v>
                </c:pt>
                <c:pt idx="629" formatCode="#,##0.0;[Red]\-#,##0.0">
                  <c:v>120.49747006152228</c:v>
                </c:pt>
                <c:pt idx="630" formatCode="#,##0.0;[Red]\-#,##0.0">
                  <c:v>120.92439437210447</c:v>
                </c:pt>
                <c:pt idx="631" formatCode="#,##0.0;[Red]\-#,##0.0">
                  <c:v>123.75444579724098</c:v>
                </c:pt>
                <c:pt idx="632" formatCode="#,##0.0;[Red]\-#,##0.0">
                  <c:v>121.05134836544289</c:v>
                </c:pt>
                <c:pt idx="633" formatCode="#,##0.0;[Red]\-#,##0.0">
                  <c:v>121.73955434099966</c:v>
                </c:pt>
                <c:pt idx="634" formatCode="#,##0.0;[Red]\-#,##0.0">
                  <c:v>121.25970362179908</c:v>
                </c:pt>
                <c:pt idx="635" formatCode="#,##0.0;[Red]\-#,##0.0">
                  <c:v>121.4888311078148</c:v>
                </c:pt>
              </c:numCache>
            </c:numRef>
          </c:val>
          <c:smooth val="0"/>
          <c:extLst>
            <c:ext xmlns:c16="http://schemas.microsoft.com/office/drawing/2014/chart" uri="{C3380CC4-5D6E-409C-BE32-E72D297353CC}">
              <c16:uniqueId val="{00000003-D3B4-49D6-B25B-0EFB1280A228}"/>
            </c:ext>
          </c:extLst>
        </c:ser>
        <c:dLbls>
          <c:showLegendKey val="0"/>
          <c:showVal val="0"/>
          <c:showCatName val="0"/>
          <c:showSerName val="0"/>
          <c:showPercent val="0"/>
          <c:showBubbleSize val="0"/>
        </c:dLbls>
        <c:smooth val="0"/>
        <c:axId val="669706896"/>
        <c:axId val="669718544"/>
      </c:lineChart>
      <c:dateAx>
        <c:axId val="669706896"/>
        <c:scaling>
          <c:orientation val="minMax"/>
        </c:scaling>
        <c:delete val="0"/>
        <c:axPos val="b"/>
        <c:numFmt formatCode="yyyy&quot;年&quot;m&quot;月&quot;;@"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9718544"/>
        <c:crosses val="autoZero"/>
        <c:auto val="1"/>
        <c:lblOffset val="100"/>
        <c:baseTimeUnit val="months"/>
      </c:dateAx>
      <c:valAx>
        <c:axId val="669718544"/>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9706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'★図18　公的非住宅'!$B$1</c:f>
              <c:strCache>
                <c:ptCount val="1"/>
                <c:pt idx="0">
                  <c:v>成長実現ケース</c:v>
                </c:pt>
              </c:strCache>
            </c:strRef>
          </c:tx>
          <c:spPr>
            <a:ln w="28575" cap="rnd">
              <a:solidFill>
                <a:schemeClr val="accent1"/>
              </a:solidFill>
              <a:round/>
            </a:ln>
            <a:effectLst/>
          </c:spPr>
          <c:marker>
            <c:symbol val="none"/>
          </c:marker>
          <c:cat>
            <c:numRef>
              <c:f>'★図18　公的非住宅'!$A$2:$A$57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'★図18　公的非住宅'!$B$2:$B$57</c:f>
              <c:numCache>
                <c:formatCode>#,##0_);[Red]\(#,##0\)</c:formatCode>
                <c:ptCount val="56"/>
                <c:pt idx="0">
                  <c:v>52625.431821695216</c:v>
                </c:pt>
                <c:pt idx="1">
                  <c:v>52968.802714956102</c:v>
                </c:pt>
                <c:pt idx="2">
                  <c:v>50421.513314383847</c:v>
                </c:pt>
                <c:pt idx="3">
                  <c:v>44205.767500736722</c:v>
                </c:pt>
                <c:pt idx="4">
                  <c:v>41202.14601206415</c:v>
                </c:pt>
                <c:pt idx="5">
                  <c:v>37619.325192198623</c:v>
                </c:pt>
                <c:pt idx="6">
                  <c:v>37726.933350944273</c:v>
                </c:pt>
                <c:pt idx="7">
                  <c:v>38865.962509917081</c:v>
                </c:pt>
                <c:pt idx="8">
                  <c:v>40886.250045990455</c:v>
                </c:pt>
                <c:pt idx="9">
                  <c:v>38756.208790382501</c:v>
                </c:pt>
                <c:pt idx="10">
                  <c:v>41245.022416101732</c:v>
                </c:pt>
                <c:pt idx="11">
                  <c:v>46835.513427197802</c:v>
                </c:pt>
                <c:pt idx="12">
                  <c:v>55326.119467974335</c:v>
                </c:pt>
                <c:pt idx="13">
                  <c:v>57791.663358336991</c:v>
                </c:pt>
                <c:pt idx="14">
                  <c:v>52698.94915362668</c:v>
                </c:pt>
                <c:pt idx="15">
                  <c:v>48053.394024849236</c:v>
                </c:pt>
                <c:pt idx="16">
                  <c:v>46134.702004971121</c:v>
                </c:pt>
                <c:pt idx="17">
                  <c:v>45080.024366319471</c:v>
                </c:pt>
                <c:pt idx="18">
                  <c:v>41086.205086666465</c:v>
                </c:pt>
                <c:pt idx="19">
                  <c:v>39279.185919731259</c:v>
                </c:pt>
                <c:pt idx="20">
                  <c:v>34486.799161285642</c:v>
                </c:pt>
                <c:pt idx="21">
                  <c:v>31315.076687863988</c:v>
                </c:pt>
                <c:pt idx="22">
                  <c:v>29690.450854777802</c:v>
                </c:pt>
                <c:pt idx="23">
                  <c:v>28165.556551721071</c:v>
                </c:pt>
                <c:pt idx="24">
                  <c:v>20962.026390163614</c:v>
                </c:pt>
                <c:pt idx="25">
                  <c:v>17301.983807989003</c:v>
                </c:pt>
                <c:pt idx="26">
                  <c:v>16224.427528678531</c:v>
                </c:pt>
                <c:pt idx="27">
                  <c:v>14760.282435585716</c:v>
                </c:pt>
                <c:pt idx="28">
                  <c:v>15590.329151572929</c:v>
                </c:pt>
                <c:pt idx="29">
                  <c:v>17290.817538634466</c:v>
                </c:pt>
                <c:pt idx="30">
                  <c:v>18339.251129248478</c:v>
                </c:pt>
                <c:pt idx="31">
                  <c:v>19275.757944687764</c:v>
                </c:pt>
                <c:pt idx="32">
                  <c:v>23079.182682844104</c:v>
                </c:pt>
                <c:pt idx="33">
                  <c:v>26871.151702076073</c:v>
                </c:pt>
                <c:pt idx="34">
                  <c:v>32867.215961007081</c:v>
                </c:pt>
                <c:pt idx="35">
                  <c:v>42911.002668863453</c:v>
                </c:pt>
                <c:pt idx="36">
                  <c:v>46329.036287384544</c:v>
                </c:pt>
                <c:pt idx="37">
                  <c:v>49594.870071955353</c:v>
                </c:pt>
                <c:pt idx="38">
                  <c:v>47997.470870965437</c:v>
                </c:pt>
                <c:pt idx="39">
                  <c:v>47761.132496565646</c:v>
                </c:pt>
                <c:pt idx="40">
                  <c:v>49539.440422019507</c:v>
                </c:pt>
                <c:pt idx="41">
                  <c:v>48402.872247675696</c:v>
                </c:pt>
                <c:pt idx="42">
                  <c:v>47321.489369718001</c:v>
                </c:pt>
                <c:pt idx="43">
                  <c:v>48201.090914491411</c:v>
                </c:pt>
                <c:pt idx="44">
                  <c:v>48269.937936216375</c:v>
                </c:pt>
                <c:pt idx="45">
                  <c:v>48315.34911375821</c:v>
                </c:pt>
                <c:pt idx="46">
                  <c:v>48522.658102340785</c:v>
                </c:pt>
                <c:pt idx="47">
                  <c:v>48471.399388251804</c:v>
                </c:pt>
                <c:pt idx="48">
                  <c:v>48418.764110286611</c:v>
                </c:pt>
                <c:pt idx="49">
                  <c:v>48366.533260890865</c:v>
                </c:pt>
                <c:pt idx="50">
                  <c:v>48394.106985290782</c:v>
                </c:pt>
                <c:pt idx="51">
                  <c:v>48414.801826803166</c:v>
                </c:pt>
                <c:pt idx="52">
                  <c:v>48431.377278977336</c:v>
                </c:pt>
                <c:pt idx="53">
                  <c:v>48416.163808416757</c:v>
                </c:pt>
                <c:pt idx="54">
                  <c:v>48406.957878444249</c:v>
                </c:pt>
                <c:pt idx="55">
                  <c:v>48404.990173137187</c:v>
                </c:pt>
              </c:numCache>
            </c:numRef>
          </c:val>
          <c:smooth val="0"/>
          <c:extLst>
            <c:ext xmlns:c16="http://schemas.microsoft.com/office/drawing/2014/chart" uri="{C3380CC4-5D6E-409C-BE32-E72D297353CC}">
              <c16:uniqueId val="{00000000-170B-4AE8-AA60-19E3ACD80537}"/>
            </c:ext>
          </c:extLst>
        </c:ser>
        <c:ser>
          <c:idx val="1"/>
          <c:order val="1"/>
          <c:tx>
            <c:strRef>
              <c:f>'★図18　公的非住宅'!$C$1</c:f>
              <c:strCache>
                <c:ptCount val="1"/>
                <c:pt idx="0">
                  <c:v>ベースラインケース</c:v>
                </c:pt>
              </c:strCache>
            </c:strRef>
          </c:tx>
          <c:spPr>
            <a:ln w="28575" cap="rnd">
              <a:solidFill>
                <a:schemeClr val="accent2"/>
              </a:solidFill>
              <a:round/>
            </a:ln>
            <a:effectLst/>
          </c:spPr>
          <c:marker>
            <c:symbol val="none"/>
          </c:marker>
          <c:cat>
            <c:numRef>
              <c:f>'★図18　公的非住宅'!$A$2:$A$57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'★図18　公的非住宅'!$C$2:$C$57</c:f>
              <c:numCache>
                <c:formatCode>#,##0_);[Red]\(#,##0\)</c:formatCode>
                <c:ptCount val="56"/>
                <c:pt idx="0">
                  <c:v>52625.431821695216</c:v>
                </c:pt>
                <c:pt idx="1">
                  <c:v>52968.802714956102</c:v>
                </c:pt>
                <c:pt idx="2">
                  <c:v>50421.513314383847</c:v>
                </c:pt>
                <c:pt idx="3">
                  <c:v>44205.767500736722</c:v>
                </c:pt>
                <c:pt idx="4">
                  <c:v>41202.14601206415</c:v>
                </c:pt>
                <c:pt idx="5">
                  <c:v>37619.325192198623</c:v>
                </c:pt>
                <c:pt idx="6">
                  <c:v>37726.933350944273</c:v>
                </c:pt>
                <c:pt idx="7">
                  <c:v>38865.962509917081</c:v>
                </c:pt>
                <c:pt idx="8">
                  <c:v>40886.250045990455</c:v>
                </c:pt>
                <c:pt idx="9">
                  <c:v>38756.208790382501</c:v>
                </c:pt>
                <c:pt idx="10">
                  <c:v>41245.022416101732</c:v>
                </c:pt>
                <c:pt idx="11">
                  <c:v>46835.513427197802</c:v>
                </c:pt>
                <c:pt idx="12">
                  <c:v>55326.119467974335</c:v>
                </c:pt>
                <c:pt idx="13">
                  <c:v>57791.663358336991</c:v>
                </c:pt>
                <c:pt idx="14">
                  <c:v>52698.94915362668</c:v>
                </c:pt>
                <c:pt idx="15">
                  <c:v>48053.394024849236</c:v>
                </c:pt>
                <c:pt idx="16">
                  <c:v>46134.702004971121</c:v>
                </c:pt>
                <c:pt idx="17">
                  <c:v>45080.024366319471</c:v>
                </c:pt>
                <c:pt idx="18">
                  <c:v>41086.205086666465</c:v>
                </c:pt>
                <c:pt idx="19">
                  <c:v>39279.185919731259</c:v>
                </c:pt>
                <c:pt idx="20">
                  <c:v>34486.799161285642</c:v>
                </c:pt>
                <c:pt idx="21">
                  <c:v>31315.076687863988</c:v>
                </c:pt>
                <c:pt idx="22">
                  <c:v>29690.450854777802</c:v>
                </c:pt>
                <c:pt idx="23">
                  <c:v>28165.556551721071</c:v>
                </c:pt>
                <c:pt idx="24">
                  <c:v>20962.026390163614</c:v>
                </c:pt>
                <c:pt idx="25">
                  <c:v>17301.983807989003</c:v>
                </c:pt>
                <c:pt idx="26">
                  <c:v>16224.427528678531</c:v>
                </c:pt>
                <c:pt idx="27">
                  <c:v>14760.282435585716</c:v>
                </c:pt>
                <c:pt idx="28">
                  <c:v>15590.329151572929</c:v>
                </c:pt>
                <c:pt idx="29">
                  <c:v>17290.817538634466</c:v>
                </c:pt>
                <c:pt idx="30">
                  <c:v>18339.251129248478</c:v>
                </c:pt>
                <c:pt idx="31">
                  <c:v>19275.757944687764</c:v>
                </c:pt>
                <c:pt idx="32">
                  <c:v>23079.182682844104</c:v>
                </c:pt>
                <c:pt idx="33">
                  <c:v>26871.151702076073</c:v>
                </c:pt>
                <c:pt idx="34">
                  <c:v>32867.215961007081</c:v>
                </c:pt>
                <c:pt idx="35">
                  <c:v>42911.002668863453</c:v>
                </c:pt>
                <c:pt idx="36">
                  <c:v>46329.036287384544</c:v>
                </c:pt>
                <c:pt idx="37">
                  <c:v>49594.870071955353</c:v>
                </c:pt>
                <c:pt idx="38">
                  <c:v>47997.470870965437</c:v>
                </c:pt>
                <c:pt idx="39">
                  <c:v>47761.132496565646</c:v>
                </c:pt>
                <c:pt idx="40">
                  <c:v>49539.440422019507</c:v>
                </c:pt>
                <c:pt idx="41">
                  <c:v>48402.872247675696</c:v>
                </c:pt>
                <c:pt idx="42">
                  <c:v>47321.489369718001</c:v>
                </c:pt>
                <c:pt idx="43">
                  <c:v>48201.090914491411</c:v>
                </c:pt>
                <c:pt idx="44">
                  <c:v>48269.937936216375</c:v>
                </c:pt>
                <c:pt idx="45">
                  <c:v>48315.34911375821</c:v>
                </c:pt>
                <c:pt idx="46">
                  <c:v>48522.658102340785</c:v>
                </c:pt>
                <c:pt idx="47">
                  <c:v>48471.399388251804</c:v>
                </c:pt>
                <c:pt idx="48">
                  <c:v>48418.764110286611</c:v>
                </c:pt>
                <c:pt idx="49">
                  <c:v>48366.533260890865</c:v>
                </c:pt>
                <c:pt idx="50">
                  <c:v>48394.106985290782</c:v>
                </c:pt>
                <c:pt idx="51">
                  <c:v>48414.801826803166</c:v>
                </c:pt>
                <c:pt idx="52">
                  <c:v>48431.377278977336</c:v>
                </c:pt>
                <c:pt idx="53">
                  <c:v>48416.163808416757</c:v>
                </c:pt>
                <c:pt idx="54">
                  <c:v>48406.957878444249</c:v>
                </c:pt>
                <c:pt idx="55">
                  <c:v>48404.990173137187</c:v>
                </c:pt>
              </c:numCache>
            </c:numRef>
          </c:val>
          <c:smooth val="0"/>
          <c:extLst>
            <c:ext xmlns:c16="http://schemas.microsoft.com/office/drawing/2014/chart" uri="{C3380CC4-5D6E-409C-BE32-E72D297353CC}">
              <c16:uniqueId val="{00000001-170B-4AE8-AA60-19E3ACD80537}"/>
            </c:ext>
          </c:extLst>
        </c:ser>
        <c:ser>
          <c:idx val="2"/>
          <c:order val="2"/>
          <c:tx>
            <c:strRef>
              <c:f>'[2]図10　需要側合計'!#REF!</c:f>
              <c:strCache>
                <c:ptCount val="1"/>
                <c:pt idx="0">
                  <c:v>#REF!</c:v>
                </c:pt>
              </c:strCache>
            </c:strRef>
          </c:tx>
          <c:spPr>
            <a:ln w="28575" cap="rnd">
              <a:solidFill>
                <a:schemeClr val="accent2"/>
              </a:solidFill>
              <a:prstDash val="sysDash"/>
              <a:round/>
            </a:ln>
            <a:effectLst/>
          </c:spPr>
          <c:marker>
            <c:symbol val="none"/>
          </c:marker>
          <c:cat>
            <c:numRef>
              <c:f>'★図18　公的非住宅'!$A$2:$A$57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'[2]図10　需要側合計'!#REF!</c:f>
              <c:numCache>
                <c:formatCode>General</c:formatCode>
                <c:ptCount val="1"/>
                <c:pt idx="0">
                  <c:v>1</c:v>
                </c:pt>
              </c:numCache>
            </c:numRef>
          </c:val>
          <c:smooth val="0"/>
          <c:extLst>
            <c:ext xmlns:c16="http://schemas.microsoft.com/office/drawing/2014/chart" uri="{C3380CC4-5D6E-409C-BE32-E72D297353CC}">
              <c16:uniqueId val="{00000002-170B-4AE8-AA60-19E3ACD80537}"/>
            </c:ext>
          </c:extLst>
        </c:ser>
        <c:ser>
          <c:idx val="3"/>
          <c:order val="3"/>
          <c:tx>
            <c:strRef>
              <c:f>'★図18　公的非住宅'!$D$1</c:f>
              <c:strCache>
                <c:ptCount val="1"/>
                <c:pt idx="0">
                  <c:v>現実</c:v>
                </c:pt>
              </c:strCache>
            </c:strRef>
          </c:tx>
          <c:spPr>
            <a:ln w="28575" cap="rnd">
              <a:solidFill>
                <a:schemeClr val="tx1"/>
              </a:solidFill>
              <a:round/>
            </a:ln>
            <a:effectLst/>
          </c:spPr>
          <c:marker>
            <c:symbol val="none"/>
          </c:marker>
          <c:cat>
            <c:numRef>
              <c:f>'★図18　公的非住宅'!$A$2:$A$57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'★図18　公的非住宅'!$D$2:$D$57</c:f>
              <c:numCache>
                <c:formatCode>#,##0_);[Red]\(#,##0\)</c:formatCode>
                <c:ptCount val="56"/>
                <c:pt idx="0">
                  <c:v>52625.431821695216</c:v>
                </c:pt>
                <c:pt idx="1">
                  <c:v>52968.802714956102</c:v>
                </c:pt>
                <c:pt idx="2">
                  <c:v>50421.513314383847</c:v>
                </c:pt>
                <c:pt idx="3">
                  <c:v>44205.767500736722</c:v>
                </c:pt>
                <c:pt idx="4">
                  <c:v>41202.14601206415</c:v>
                </c:pt>
                <c:pt idx="5">
                  <c:v>37619.325192198623</c:v>
                </c:pt>
                <c:pt idx="6">
                  <c:v>37726.933350944273</c:v>
                </c:pt>
                <c:pt idx="7">
                  <c:v>38865.962509917081</c:v>
                </c:pt>
                <c:pt idx="8">
                  <c:v>40886.250045990455</c:v>
                </c:pt>
                <c:pt idx="9">
                  <c:v>38756.208790382501</c:v>
                </c:pt>
                <c:pt idx="10">
                  <c:v>41245.022416101732</c:v>
                </c:pt>
                <c:pt idx="11">
                  <c:v>46835.513427197802</c:v>
                </c:pt>
                <c:pt idx="12">
                  <c:v>55326.119467974335</c:v>
                </c:pt>
                <c:pt idx="13">
                  <c:v>57791.663358336991</c:v>
                </c:pt>
                <c:pt idx="14">
                  <c:v>52698.94915362668</c:v>
                </c:pt>
                <c:pt idx="15">
                  <c:v>48053.394024849236</c:v>
                </c:pt>
                <c:pt idx="16">
                  <c:v>46134.702004971121</c:v>
                </c:pt>
                <c:pt idx="17">
                  <c:v>45080.024366319471</c:v>
                </c:pt>
                <c:pt idx="18">
                  <c:v>41086.205086666465</c:v>
                </c:pt>
                <c:pt idx="19">
                  <c:v>39279.185919731259</c:v>
                </c:pt>
                <c:pt idx="20">
                  <c:v>34486.799161285642</c:v>
                </c:pt>
                <c:pt idx="21">
                  <c:v>31315.076687863988</c:v>
                </c:pt>
                <c:pt idx="22">
                  <c:v>29690.450854777802</c:v>
                </c:pt>
                <c:pt idx="23">
                  <c:v>28165.556551721071</c:v>
                </c:pt>
                <c:pt idx="24">
                  <c:v>20962.026390163614</c:v>
                </c:pt>
                <c:pt idx="25">
                  <c:v>17301.983807989003</c:v>
                </c:pt>
                <c:pt idx="26">
                  <c:v>16224.427528678531</c:v>
                </c:pt>
                <c:pt idx="27">
                  <c:v>14760.282435585716</c:v>
                </c:pt>
                <c:pt idx="28">
                  <c:v>15590.329151572929</c:v>
                </c:pt>
                <c:pt idx="29">
                  <c:v>17290.817538634466</c:v>
                </c:pt>
                <c:pt idx="30">
                  <c:v>18339.251129248478</c:v>
                </c:pt>
                <c:pt idx="31">
                  <c:v>19275.757944687764</c:v>
                </c:pt>
                <c:pt idx="32">
                  <c:v>23079.182682844104</c:v>
                </c:pt>
                <c:pt idx="33">
                  <c:v>26871.151702076073</c:v>
                </c:pt>
                <c:pt idx="34">
                  <c:v>32867.215961007081</c:v>
                </c:pt>
                <c:pt idx="35">
                  <c:v>42911.002668863453</c:v>
                </c:pt>
                <c:pt idx="36">
                  <c:v>46329.036287384544</c:v>
                </c:pt>
                <c:pt idx="37">
                  <c:v>49594.870071955353</c:v>
                </c:pt>
                <c:pt idx="38">
                  <c:v>47997.470870965437</c:v>
                </c:pt>
                <c:pt idx="39">
                  <c:v>47761.132496565646</c:v>
                </c:pt>
                <c:pt idx="40">
                  <c:v>49539.440422019507</c:v>
                </c:pt>
                <c:pt idx="41">
                  <c:v>48402.872247675696</c:v>
                </c:pt>
                <c:pt idx="42">
                  <c:v>47321.489369718001</c:v>
                </c:pt>
              </c:numCache>
            </c:numRef>
          </c:val>
          <c:smooth val="0"/>
          <c:extLst>
            <c:ext xmlns:c16="http://schemas.microsoft.com/office/drawing/2014/chart" uri="{C3380CC4-5D6E-409C-BE32-E72D297353CC}">
              <c16:uniqueId val="{00000003-170B-4AE8-AA60-19E3ACD80537}"/>
            </c:ext>
          </c:extLst>
        </c:ser>
        <c:dLbls>
          <c:showLegendKey val="0"/>
          <c:showVal val="0"/>
          <c:showCatName val="0"/>
          <c:showSerName val="0"/>
          <c:showPercent val="0"/>
          <c:showBubbleSize val="0"/>
        </c:dLbls>
        <c:smooth val="0"/>
        <c:axId val="231813167"/>
        <c:axId val="231797359"/>
      </c:lineChart>
      <c:catAx>
        <c:axId val="231813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797359"/>
        <c:crosses val="autoZero"/>
        <c:auto val="1"/>
        <c:lblAlgn val="ctr"/>
        <c:lblOffset val="100"/>
        <c:noMultiLvlLbl val="0"/>
      </c:catAx>
      <c:valAx>
        <c:axId val="231797359"/>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813167"/>
        <c:crosses val="autoZero"/>
        <c:crossBetween val="between"/>
      </c:valAx>
      <c:spPr>
        <a:noFill/>
        <a:ln>
          <a:noFill/>
        </a:ln>
        <a:effectLst/>
      </c:spPr>
    </c:plotArea>
    <c:legend>
      <c:legendPos val="b"/>
      <c:legendEntry>
        <c:idx val="2"/>
        <c:delete val="1"/>
      </c:legendEntry>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'★図19　公的土木'!$B$1</c:f>
              <c:strCache>
                <c:ptCount val="1"/>
                <c:pt idx="0">
                  <c:v>成長実現ケース</c:v>
                </c:pt>
              </c:strCache>
            </c:strRef>
          </c:tx>
          <c:spPr>
            <a:ln w="28575" cap="rnd">
              <a:solidFill>
                <a:schemeClr val="accent1"/>
              </a:solidFill>
              <a:round/>
            </a:ln>
            <a:effectLst/>
          </c:spPr>
          <c:marker>
            <c:symbol val="none"/>
          </c:marker>
          <c:cat>
            <c:numRef>
              <c:f>'★図19　公的土木'!$A$2:$A$57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'★図19　公的土木'!$B$2:$B$57</c:f>
              <c:numCache>
                <c:formatCode>#,##0_);[Red]\(#,##0\)</c:formatCode>
                <c:ptCount val="56"/>
                <c:pt idx="0">
                  <c:v>202914.43510561698</c:v>
                </c:pt>
                <c:pt idx="1">
                  <c:v>201061.51597687128</c:v>
                </c:pt>
                <c:pt idx="2">
                  <c:v>205116.61976260578</c:v>
                </c:pt>
                <c:pt idx="3">
                  <c:v>208059.28149195394</c:v>
                </c:pt>
                <c:pt idx="4">
                  <c:v>205529.40862902641</c:v>
                </c:pt>
                <c:pt idx="5">
                  <c:v>200436.81777592422</c:v>
                </c:pt>
                <c:pt idx="6">
                  <c:v>219883.88842543331</c:v>
                </c:pt>
                <c:pt idx="7">
                  <c:v>233292.84543566033</c:v>
                </c:pt>
                <c:pt idx="8">
                  <c:v>247349.75768353729</c:v>
                </c:pt>
                <c:pt idx="9">
                  <c:v>242065.11969696454</c:v>
                </c:pt>
                <c:pt idx="10">
                  <c:v>249237.29668246288</c:v>
                </c:pt>
                <c:pt idx="11">
                  <c:v>257100.85993504935</c:v>
                </c:pt>
                <c:pt idx="12">
                  <c:v>284527.81732235401</c:v>
                </c:pt>
                <c:pt idx="13">
                  <c:v>307141.71781202551</c:v>
                </c:pt>
                <c:pt idx="14">
                  <c:v>307844.33882815018</c:v>
                </c:pt>
                <c:pt idx="15">
                  <c:v>309328.09627163329</c:v>
                </c:pt>
                <c:pt idx="16">
                  <c:v>335999.3103311382</c:v>
                </c:pt>
                <c:pt idx="17">
                  <c:v>307638.1702635102</c:v>
                </c:pt>
                <c:pt idx="18">
                  <c:v>316032.85761857359</c:v>
                </c:pt>
                <c:pt idx="19">
                  <c:v>321962.11012480356</c:v>
                </c:pt>
                <c:pt idx="20">
                  <c:v>288365.18616223783</c:v>
                </c:pt>
                <c:pt idx="21">
                  <c:v>289550.86796045094</c:v>
                </c:pt>
                <c:pt idx="22">
                  <c:v>270958.53636404313</c:v>
                </c:pt>
                <c:pt idx="23">
                  <c:v>241013.9918968468</c:v>
                </c:pt>
                <c:pt idx="24">
                  <c:v>215353.05639483486</c:v>
                </c:pt>
                <c:pt idx="25">
                  <c:v>196635.03038323642</c:v>
                </c:pt>
                <c:pt idx="26">
                  <c:v>177831.62141183708</c:v>
                </c:pt>
                <c:pt idx="27">
                  <c:v>165996.1534714429</c:v>
                </c:pt>
                <c:pt idx="28">
                  <c:v>154155.20868274386</c:v>
                </c:pt>
                <c:pt idx="29">
                  <c:v>161129.789063484</c:v>
                </c:pt>
                <c:pt idx="30">
                  <c:v>170407.43092706206</c:v>
                </c:pt>
                <c:pt idx="31">
                  <c:v>152808.06984018526</c:v>
                </c:pt>
                <c:pt idx="32">
                  <c:v>145353.89553726726</c:v>
                </c:pt>
                <c:pt idx="33">
                  <c:v>152615.44266419049</c:v>
                </c:pt>
                <c:pt idx="34">
                  <c:v>150196.69366653039</c:v>
                </c:pt>
                <c:pt idx="35">
                  <c:v>141850.29847867921</c:v>
                </c:pt>
                <c:pt idx="36">
                  <c:v>151234.07808652165</c:v>
                </c:pt>
                <c:pt idx="37">
                  <c:v>154123.39811104312</c:v>
                </c:pt>
                <c:pt idx="38">
                  <c:v>149699.28775416251</c:v>
                </c:pt>
                <c:pt idx="39">
                  <c:v>153667.14719482133</c:v>
                </c:pt>
                <c:pt idx="40">
                  <c:v>162156.55899855541</c:v>
                </c:pt>
                <c:pt idx="41">
                  <c:v>164523.90745529771</c:v>
                </c:pt>
                <c:pt idx="42">
                  <c:v>166157.89453033096</c:v>
                </c:pt>
                <c:pt idx="43">
                  <c:v>154230.57949000053</c:v>
                </c:pt>
                <c:pt idx="44">
                  <c:v>154816.71652206933</c:v>
                </c:pt>
                <c:pt idx="45">
                  <c:v>155669.62131672044</c:v>
                </c:pt>
                <c:pt idx="46">
                  <c:v>155712.40282065407</c:v>
                </c:pt>
                <c:pt idx="47">
                  <c:v>154157.5718260775</c:v>
                </c:pt>
                <c:pt idx="48">
                  <c:v>154625.82531742484</c:v>
                </c:pt>
                <c:pt idx="49">
                  <c:v>154868.7862154911</c:v>
                </c:pt>
                <c:pt idx="50">
                  <c:v>154975.15400307285</c:v>
                </c:pt>
                <c:pt idx="51">
                  <c:v>155001.56024990685</c:v>
                </c:pt>
                <c:pt idx="52">
                  <c:v>154890.21673877118</c:v>
                </c:pt>
                <c:pt idx="53">
                  <c:v>154753.18572512403</c:v>
                </c:pt>
                <c:pt idx="54">
                  <c:v>154852.45470829846</c:v>
                </c:pt>
                <c:pt idx="55">
                  <c:v>154890.22627344407</c:v>
                </c:pt>
              </c:numCache>
            </c:numRef>
          </c:val>
          <c:smooth val="0"/>
          <c:extLst>
            <c:ext xmlns:c16="http://schemas.microsoft.com/office/drawing/2014/chart" uri="{C3380CC4-5D6E-409C-BE32-E72D297353CC}">
              <c16:uniqueId val="{00000000-9CED-4DD1-AD4B-1F2C43A9031D}"/>
            </c:ext>
          </c:extLst>
        </c:ser>
        <c:ser>
          <c:idx val="1"/>
          <c:order val="1"/>
          <c:tx>
            <c:strRef>
              <c:f>'★図19　公的土木'!$C$1</c:f>
              <c:strCache>
                <c:ptCount val="1"/>
                <c:pt idx="0">
                  <c:v>ベースラインケース</c:v>
                </c:pt>
              </c:strCache>
            </c:strRef>
          </c:tx>
          <c:spPr>
            <a:ln w="28575" cap="rnd">
              <a:solidFill>
                <a:schemeClr val="accent2"/>
              </a:solidFill>
              <a:round/>
            </a:ln>
            <a:effectLst/>
          </c:spPr>
          <c:marker>
            <c:symbol val="none"/>
          </c:marker>
          <c:cat>
            <c:numRef>
              <c:f>'★図19　公的土木'!$A$2:$A$57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'★図19　公的土木'!$C$2:$C$57</c:f>
              <c:numCache>
                <c:formatCode>#,##0_);[Red]\(#,##0\)</c:formatCode>
                <c:ptCount val="56"/>
                <c:pt idx="0">
                  <c:v>202914.43510561698</c:v>
                </c:pt>
                <c:pt idx="1">
                  <c:v>201061.51597687128</c:v>
                </c:pt>
                <c:pt idx="2">
                  <c:v>205116.61976260578</c:v>
                </c:pt>
                <c:pt idx="3">
                  <c:v>208059.28149195394</c:v>
                </c:pt>
                <c:pt idx="4">
                  <c:v>205529.40862902641</c:v>
                </c:pt>
                <c:pt idx="5">
                  <c:v>200436.81777592422</c:v>
                </c:pt>
                <c:pt idx="6">
                  <c:v>219883.88842543331</c:v>
                </c:pt>
                <c:pt idx="7">
                  <c:v>233292.84543566033</c:v>
                </c:pt>
                <c:pt idx="8">
                  <c:v>247349.75768353729</c:v>
                </c:pt>
                <c:pt idx="9">
                  <c:v>242065.11969696454</c:v>
                </c:pt>
                <c:pt idx="10">
                  <c:v>249237.29668246288</c:v>
                </c:pt>
                <c:pt idx="11">
                  <c:v>257100.85993504935</c:v>
                </c:pt>
                <c:pt idx="12">
                  <c:v>284527.81732235401</c:v>
                </c:pt>
                <c:pt idx="13">
                  <c:v>307141.71781202551</c:v>
                </c:pt>
                <c:pt idx="14">
                  <c:v>307844.33882815018</c:v>
                </c:pt>
                <c:pt idx="15">
                  <c:v>309328.09627163329</c:v>
                </c:pt>
                <c:pt idx="16">
                  <c:v>335999.3103311382</c:v>
                </c:pt>
                <c:pt idx="17">
                  <c:v>307638.1702635102</c:v>
                </c:pt>
                <c:pt idx="18">
                  <c:v>316032.85761857359</c:v>
                </c:pt>
                <c:pt idx="19">
                  <c:v>321962.11012480356</c:v>
                </c:pt>
                <c:pt idx="20">
                  <c:v>288365.18616223783</c:v>
                </c:pt>
                <c:pt idx="21">
                  <c:v>289550.86796045094</c:v>
                </c:pt>
                <c:pt idx="22">
                  <c:v>270958.53636404313</c:v>
                </c:pt>
                <c:pt idx="23">
                  <c:v>241013.9918968468</c:v>
                </c:pt>
                <c:pt idx="24">
                  <c:v>215353.05639483486</c:v>
                </c:pt>
                <c:pt idx="25">
                  <c:v>196635.03038323642</c:v>
                </c:pt>
                <c:pt idx="26">
                  <c:v>177831.62141183708</c:v>
                </c:pt>
                <c:pt idx="27">
                  <c:v>165996.1534714429</c:v>
                </c:pt>
                <c:pt idx="28">
                  <c:v>154155.20868274386</c:v>
                </c:pt>
                <c:pt idx="29">
                  <c:v>161129.789063484</c:v>
                </c:pt>
                <c:pt idx="30">
                  <c:v>170407.43092706206</c:v>
                </c:pt>
                <c:pt idx="31">
                  <c:v>152808.06984018526</c:v>
                </c:pt>
                <c:pt idx="32">
                  <c:v>145353.89553726726</c:v>
                </c:pt>
                <c:pt idx="33">
                  <c:v>152615.44266419049</c:v>
                </c:pt>
                <c:pt idx="34">
                  <c:v>150196.69366653039</c:v>
                </c:pt>
                <c:pt idx="35">
                  <c:v>141850.29847867921</c:v>
                </c:pt>
                <c:pt idx="36">
                  <c:v>151234.07808652165</c:v>
                </c:pt>
                <c:pt idx="37">
                  <c:v>154123.39811104312</c:v>
                </c:pt>
                <c:pt idx="38">
                  <c:v>149699.28775416251</c:v>
                </c:pt>
                <c:pt idx="39">
                  <c:v>153667.14719482133</c:v>
                </c:pt>
                <c:pt idx="40">
                  <c:v>162156.55899855541</c:v>
                </c:pt>
                <c:pt idx="41">
                  <c:v>164523.90745529771</c:v>
                </c:pt>
                <c:pt idx="42">
                  <c:v>166157.89453033096</c:v>
                </c:pt>
                <c:pt idx="43">
                  <c:v>154230.57949000053</c:v>
                </c:pt>
                <c:pt idx="44">
                  <c:v>154816.71652206933</c:v>
                </c:pt>
                <c:pt idx="45">
                  <c:v>155669.62131672044</c:v>
                </c:pt>
                <c:pt idx="46">
                  <c:v>155712.40282065407</c:v>
                </c:pt>
                <c:pt idx="47">
                  <c:v>154157.5718260775</c:v>
                </c:pt>
                <c:pt idx="48">
                  <c:v>154625.82531742484</c:v>
                </c:pt>
                <c:pt idx="49">
                  <c:v>154868.7862154911</c:v>
                </c:pt>
                <c:pt idx="50">
                  <c:v>154975.15400307285</c:v>
                </c:pt>
                <c:pt idx="51">
                  <c:v>155001.56024990685</c:v>
                </c:pt>
                <c:pt idx="52">
                  <c:v>154890.21673877118</c:v>
                </c:pt>
                <c:pt idx="53">
                  <c:v>154753.18572512403</c:v>
                </c:pt>
                <c:pt idx="54">
                  <c:v>154852.45470829846</c:v>
                </c:pt>
                <c:pt idx="55">
                  <c:v>154890.22627344407</c:v>
                </c:pt>
              </c:numCache>
            </c:numRef>
          </c:val>
          <c:smooth val="0"/>
          <c:extLst>
            <c:ext xmlns:c16="http://schemas.microsoft.com/office/drawing/2014/chart" uri="{C3380CC4-5D6E-409C-BE32-E72D297353CC}">
              <c16:uniqueId val="{00000001-9CED-4DD1-AD4B-1F2C43A9031D}"/>
            </c:ext>
          </c:extLst>
        </c:ser>
        <c:ser>
          <c:idx val="2"/>
          <c:order val="2"/>
          <c:tx>
            <c:strRef>
              <c:f>'[2]図10　需要側合計'!#REF!</c:f>
              <c:strCache>
                <c:ptCount val="1"/>
                <c:pt idx="0">
                  <c:v>#REF!</c:v>
                </c:pt>
              </c:strCache>
            </c:strRef>
          </c:tx>
          <c:spPr>
            <a:ln w="28575" cap="rnd">
              <a:solidFill>
                <a:schemeClr val="accent2"/>
              </a:solidFill>
              <a:prstDash val="sysDash"/>
              <a:round/>
            </a:ln>
            <a:effectLst/>
          </c:spPr>
          <c:marker>
            <c:symbol val="none"/>
          </c:marker>
          <c:cat>
            <c:numRef>
              <c:f>'★図19　公的土木'!$A$2:$A$57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'[2]図10　需要側合計'!#REF!</c:f>
              <c:numCache>
                <c:formatCode>General</c:formatCode>
                <c:ptCount val="1"/>
                <c:pt idx="0">
                  <c:v>1</c:v>
                </c:pt>
              </c:numCache>
            </c:numRef>
          </c:val>
          <c:smooth val="0"/>
          <c:extLst>
            <c:ext xmlns:c16="http://schemas.microsoft.com/office/drawing/2014/chart" uri="{C3380CC4-5D6E-409C-BE32-E72D297353CC}">
              <c16:uniqueId val="{00000002-9CED-4DD1-AD4B-1F2C43A9031D}"/>
            </c:ext>
          </c:extLst>
        </c:ser>
        <c:ser>
          <c:idx val="3"/>
          <c:order val="3"/>
          <c:tx>
            <c:strRef>
              <c:f>'★図19　公的土木'!$D$1</c:f>
              <c:strCache>
                <c:ptCount val="1"/>
                <c:pt idx="0">
                  <c:v>現実</c:v>
                </c:pt>
              </c:strCache>
            </c:strRef>
          </c:tx>
          <c:spPr>
            <a:ln w="28575" cap="rnd">
              <a:solidFill>
                <a:schemeClr val="tx1"/>
              </a:solidFill>
              <a:round/>
            </a:ln>
            <a:effectLst/>
          </c:spPr>
          <c:marker>
            <c:symbol val="none"/>
          </c:marker>
          <c:cat>
            <c:numRef>
              <c:f>'★図19　公的土木'!$A$2:$A$57</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'★図19　公的土木'!$D$2:$D$57</c:f>
              <c:numCache>
                <c:formatCode>#,##0_);[Red]\(#,##0\)</c:formatCode>
                <c:ptCount val="56"/>
                <c:pt idx="0">
                  <c:v>202914.43510561698</c:v>
                </c:pt>
                <c:pt idx="1">
                  <c:v>201061.51597687128</c:v>
                </c:pt>
                <c:pt idx="2">
                  <c:v>205116.61976260578</c:v>
                </c:pt>
                <c:pt idx="3">
                  <c:v>208059.28149195394</c:v>
                </c:pt>
                <c:pt idx="4">
                  <c:v>205529.40862902641</c:v>
                </c:pt>
                <c:pt idx="5">
                  <c:v>200436.81777592422</c:v>
                </c:pt>
                <c:pt idx="6">
                  <c:v>219883.88842543331</c:v>
                </c:pt>
                <c:pt idx="7">
                  <c:v>233292.84543566033</c:v>
                </c:pt>
                <c:pt idx="8">
                  <c:v>247349.75768353729</c:v>
                </c:pt>
                <c:pt idx="9">
                  <c:v>242065.11969696454</c:v>
                </c:pt>
                <c:pt idx="10">
                  <c:v>249237.29668246288</c:v>
                </c:pt>
                <c:pt idx="11">
                  <c:v>257100.85993504935</c:v>
                </c:pt>
                <c:pt idx="12">
                  <c:v>284527.81732235401</c:v>
                </c:pt>
                <c:pt idx="13">
                  <c:v>307141.71781202551</c:v>
                </c:pt>
                <c:pt idx="14">
                  <c:v>307844.33882815018</c:v>
                </c:pt>
                <c:pt idx="15">
                  <c:v>309328.09627163329</c:v>
                </c:pt>
                <c:pt idx="16">
                  <c:v>335999.3103311382</c:v>
                </c:pt>
                <c:pt idx="17">
                  <c:v>307638.1702635102</c:v>
                </c:pt>
                <c:pt idx="18">
                  <c:v>316032.85761857359</c:v>
                </c:pt>
                <c:pt idx="19">
                  <c:v>321962.11012480356</c:v>
                </c:pt>
                <c:pt idx="20">
                  <c:v>288365.18616223783</c:v>
                </c:pt>
                <c:pt idx="21">
                  <c:v>289550.86796045094</c:v>
                </c:pt>
                <c:pt idx="22">
                  <c:v>270958.53636404313</c:v>
                </c:pt>
                <c:pt idx="23">
                  <c:v>241013.9918968468</c:v>
                </c:pt>
                <c:pt idx="24">
                  <c:v>215353.05639483486</c:v>
                </c:pt>
                <c:pt idx="25">
                  <c:v>196635.03038323642</c:v>
                </c:pt>
                <c:pt idx="26">
                  <c:v>177831.62141183708</c:v>
                </c:pt>
                <c:pt idx="27">
                  <c:v>165996.1534714429</c:v>
                </c:pt>
                <c:pt idx="28">
                  <c:v>154155.20868274386</c:v>
                </c:pt>
                <c:pt idx="29">
                  <c:v>161129.789063484</c:v>
                </c:pt>
                <c:pt idx="30">
                  <c:v>170407.43092706206</c:v>
                </c:pt>
                <c:pt idx="31">
                  <c:v>152808.06984018526</c:v>
                </c:pt>
                <c:pt idx="32">
                  <c:v>145353.89553726726</c:v>
                </c:pt>
                <c:pt idx="33">
                  <c:v>152615.44266419049</c:v>
                </c:pt>
                <c:pt idx="34">
                  <c:v>150196.69366653039</c:v>
                </c:pt>
                <c:pt idx="35">
                  <c:v>141850.29847867921</c:v>
                </c:pt>
                <c:pt idx="36">
                  <c:v>151234.07808652165</c:v>
                </c:pt>
                <c:pt idx="37">
                  <c:v>154123.39811104312</c:v>
                </c:pt>
                <c:pt idx="38">
                  <c:v>149699.28775416251</c:v>
                </c:pt>
                <c:pt idx="39">
                  <c:v>153667.14719482133</c:v>
                </c:pt>
                <c:pt idx="40">
                  <c:v>162156.55899855541</c:v>
                </c:pt>
                <c:pt idx="41">
                  <c:v>164523.90745529771</c:v>
                </c:pt>
                <c:pt idx="42">
                  <c:v>166157.89453033096</c:v>
                </c:pt>
              </c:numCache>
            </c:numRef>
          </c:val>
          <c:smooth val="0"/>
          <c:extLst>
            <c:ext xmlns:c16="http://schemas.microsoft.com/office/drawing/2014/chart" uri="{C3380CC4-5D6E-409C-BE32-E72D297353CC}">
              <c16:uniqueId val="{00000003-9CED-4DD1-AD4B-1F2C43A9031D}"/>
            </c:ext>
          </c:extLst>
        </c:ser>
        <c:dLbls>
          <c:showLegendKey val="0"/>
          <c:showVal val="0"/>
          <c:showCatName val="0"/>
          <c:showSerName val="0"/>
          <c:showPercent val="0"/>
          <c:showBubbleSize val="0"/>
        </c:dLbls>
        <c:smooth val="0"/>
        <c:axId val="231813167"/>
        <c:axId val="231797359"/>
      </c:lineChart>
      <c:catAx>
        <c:axId val="231813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797359"/>
        <c:crosses val="autoZero"/>
        <c:auto val="1"/>
        <c:lblAlgn val="ctr"/>
        <c:lblOffset val="100"/>
        <c:noMultiLvlLbl val="0"/>
      </c:catAx>
      <c:valAx>
        <c:axId val="231797359"/>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813167"/>
        <c:crosses val="autoZero"/>
        <c:crossBetween val="between"/>
      </c:valAx>
      <c:spPr>
        <a:noFill/>
        <a:ln>
          <a:noFill/>
        </a:ln>
        <a:effectLst/>
      </c:spPr>
    </c:plotArea>
    <c:legend>
      <c:legendPos val="b"/>
      <c:legendEntry>
        <c:idx val="2"/>
        <c:delete val="1"/>
      </c:legendEntry>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集計図表!$B$1</c:f>
              <c:strCache>
                <c:ptCount val="1"/>
                <c:pt idx="0">
                  <c:v>供給側予測
（成長実現ケース）</c:v>
                </c:pt>
              </c:strCache>
            </c:strRef>
          </c:tx>
          <c:spPr>
            <a:ln w="28575" cap="rnd">
              <a:solidFill>
                <a:schemeClr val="accent1"/>
              </a:solidFill>
              <a:prstDash val="solid"/>
              <a:round/>
            </a:ln>
            <a:effectLst/>
          </c:spPr>
          <c:marker>
            <c:symbol val="none"/>
          </c:marker>
          <c:cat>
            <c:numRef>
              <c:f>集計図表!$A$2:$A$57</c:f>
              <c:numCache>
                <c:formatCode>0_);[Red]\(0\)</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集計図表!$B$2:$B$57</c:f>
              <c:numCache>
                <c:formatCode>#,##0.0;[Red]\-#,##0.0</c:formatCode>
                <c:ptCount val="56"/>
                <c:pt idx="0">
                  <c:v>67.561164047159934</c:v>
                </c:pt>
                <c:pt idx="1">
                  <c:v>65.624971464099985</c:v>
                </c:pt>
                <c:pt idx="2">
                  <c:v>66.156322702856116</c:v>
                </c:pt>
                <c:pt idx="3">
                  <c:v>63.142281931843861</c:v>
                </c:pt>
                <c:pt idx="4">
                  <c:v>63.05966532765612</c:v>
                </c:pt>
                <c:pt idx="5">
                  <c:v>63.683949725459222</c:v>
                </c:pt>
                <c:pt idx="6">
                  <c:v>68.292115114852692</c:v>
                </c:pt>
                <c:pt idx="7">
                  <c:v>75.574779202608468</c:v>
                </c:pt>
                <c:pt idx="8">
                  <c:v>83.081255366915329</c:v>
                </c:pt>
                <c:pt idx="9">
                  <c:v>86.253728205168557</c:v>
                </c:pt>
                <c:pt idx="10">
                  <c:v>93.001869481936907</c:v>
                </c:pt>
                <c:pt idx="11">
                  <c:v>93.007407912184632</c:v>
                </c:pt>
                <c:pt idx="12">
                  <c:v>93.624337829754367</c:v>
                </c:pt>
                <c:pt idx="13">
                  <c:v>91.15208117216828</c:v>
                </c:pt>
                <c:pt idx="14">
                  <c:v>87.92687013193536</c:v>
                </c:pt>
                <c:pt idx="15">
                  <c:v>85.291185695646433</c:v>
                </c:pt>
                <c:pt idx="16">
                  <c:v>91.379542875690703</c:v>
                </c:pt>
                <c:pt idx="17">
                  <c:v>84.214724991048442</c:v>
                </c:pt>
                <c:pt idx="18">
                  <c:v>79.212836784281521</c:v>
                </c:pt>
                <c:pt idx="19">
                  <c:v>77.995531695557034</c:v>
                </c:pt>
                <c:pt idx="20">
                  <c:v>73.537797712155438</c:v>
                </c:pt>
                <c:pt idx="21">
                  <c:v>71.218682389267883</c:v>
                </c:pt>
                <c:pt idx="22">
                  <c:v>66.639352951853184</c:v>
                </c:pt>
                <c:pt idx="23">
                  <c:v>62.460839192366635</c:v>
                </c:pt>
                <c:pt idx="24">
                  <c:v>59.792852910741175</c:v>
                </c:pt>
                <c:pt idx="25">
                  <c:v>57.899793350860477</c:v>
                </c:pt>
                <c:pt idx="26">
                  <c:v>56.504847532275413</c:v>
                </c:pt>
                <c:pt idx="27">
                  <c:v>52.375461380397788</c:v>
                </c:pt>
                <c:pt idx="28">
                  <c:v>49.893397362326738</c:v>
                </c:pt>
                <c:pt idx="29">
                  <c:v>46.274517776524192</c:v>
                </c:pt>
                <c:pt idx="30">
                  <c:v>44.697776782772671</c:v>
                </c:pt>
                <c:pt idx="31">
                  <c:v>44.606994860838995</c:v>
                </c:pt>
                <c:pt idx="32">
                  <c:v>44.968161798681095</c:v>
                </c:pt>
                <c:pt idx="33">
                  <c:v>48.819848128962548</c:v>
                </c:pt>
                <c:pt idx="34">
                  <c:v>48.559379057289568</c:v>
                </c:pt>
                <c:pt idx="35">
                  <c:v>53.957338020544512</c:v>
                </c:pt>
                <c:pt idx="36">
                  <c:v>58.1088236980126</c:v>
                </c:pt>
                <c:pt idx="37">
                  <c:v>59.917292942574221</c:v>
                </c:pt>
                <c:pt idx="38">
                  <c:v>58.832847782626693</c:v>
                </c:pt>
                <c:pt idx="39">
                  <c:v>58.327032016486555</c:v>
                </c:pt>
                <c:pt idx="40">
                  <c:v>56.566115425904549</c:v>
                </c:pt>
                <c:pt idx="41">
                  <c:v>56.763666163192902</c:v>
                </c:pt>
                <c:pt idx="42">
                  <c:v>57.458868916883702</c:v>
                </c:pt>
                <c:pt idx="43">
                  <c:v>58.042768393034059</c:v>
                </c:pt>
                <c:pt idx="44">
                  <c:v>60.205181867849952</c:v>
                </c:pt>
                <c:pt idx="45">
                  <c:v>62.465431417205473</c:v>
                </c:pt>
                <c:pt idx="46">
                  <c:v>64.799516402449726</c:v>
                </c:pt>
                <c:pt idx="47">
                  <c:v>67.237168962413904</c:v>
                </c:pt>
                <c:pt idx="48">
                  <c:v>69.782613955719071</c:v>
                </c:pt>
                <c:pt idx="49">
                  <c:v>72.440260673150462</c:v>
                </c:pt>
                <c:pt idx="50">
                  <c:v>75.214709908079413</c:v>
                </c:pt>
                <c:pt idx="51">
                  <c:v>78.043256131113978</c:v>
                </c:pt>
                <c:pt idx="52">
                  <c:v>80.992163332322505</c:v>
                </c:pt>
                <c:pt idx="53">
                  <c:v>84.066205136473499</c:v>
                </c:pt>
                <c:pt idx="54">
                  <c:v>87.27035002023166</c:v>
                </c:pt>
                <c:pt idx="55">
                  <c:v>90.609768438297777</c:v>
                </c:pt>
              </c:numCache>
            </c:numRef>
          </c:val>
          <c:smooth val="0"/>
          <c:extLst>
            <c:ext xmlns:c16="http://schemas.microsoft.com/office/drawing/2014/chart" uri="{C3380CC4-5D6E-409C-BE32-E72D297353CC}">
              <c16:uniqueId val="{00000000-DC40-480A-AFD1-E6C40E7DBC79}"/>
            </c:ext>
          </c:extLst>
        </c:ser>
        <c:ser>
          <c:idx val="1"/>
          <c:order val="1"/>
          <c:tx>
            <c:strRef>
              <c:f>集計図表!$C$1</c:f>
              <c:strCache>
                <c:ptCount val="1"/>
                <c:pt idx="0">
                  <c:v>供給側予測
（ベースラインケース）</c:v>
                </c:pt>
              </c:strCache>
            </c:strRef>
          </c:tx>
          <c:spPr>
            <a:ln w="28575" cap="rnd">
              <a:solidFill>
                <a:schemeClr val="accent2"/>
              </a:solidFill>
              <a:prstDash val="solid"/>
              <a:round/>
            </a:ln>
            <a:effectLst/>
          </c:spPr>
          <c:marker>
            <c:symbol val="none"/>
          </c:marker>
          <c:cat>
            <c:numRef>
              <c:f>集計図表!$A$2:$A$57</c:f>
              <c:numCache>
                <c:formatCode>0_);[Red]\(0\)</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集計図表!$C$2:$C$57</c:f>
              <c:numCache>
                <c:formatCode>#,##0.0;[Red]\-#,##0.0</c:formatCode>
                <c:ptCount val="56"/>
                <c:pt idx="0">
                  <c:v>67.561164047159934</c:v>
                </c:pt>
                <c:pt idx="1">
                  <c:v>65.624971464099985</c:v>
                </c:pt>
                <c:pt idx="2">
                  <c:v>66.156322702856116</c:v>
                </c:pt>
                <c:pt idx="3">
                  <c:v>63.142281931843861</c:v>
                </c:pt>
                <c:pt idx="4">
                  <c:v>63.05966532765612</c:v>
                </c:pt>
                <c:pt idx="5">
                  <c:v>63.683949725459222</c:v>
                </c:pt>
                <c:pt idx="6">
                  <c:v>68.292115114852692</c:v>
                </c:pt>
                <c:pt idx="7">
                  <c:v>75.574779202608468</c:v>
                </c:pt>
                <c:pt idx="8">
                  <c:v>83.081255366915329</c:v>
                </c:pt>
                <c:pt idx="9">
                  <c:v>86.253728205168557</c:v>
                </c:pt>
                <c:pt idx="10">
                  <c:v>93.001869481936907</c:v>
                </c:pt>
                <c:pt idx="11">
                  <c:v>93.007407912184632</c:v>
                </c:pt>
                <c:pt idx="12">
                  <c:v>93.624337829754367</c:v>
                </c:pt>
                <c:pt idx="13">
                  <c:v>91.15208117216828</c:v>
                </c:pt>
                <c:pt idx="14">
                  <c:v>87.92687013193536</c:v>
                </c:pt>
                <c:pt idx="15">
                  <c:v>85.291185695646433</c:v>
                </c:pt>
                <c:pt idx="16">
                  <c:v>91.379542875690703</c:v>
                </c:pt>
                <c:pt idx="17">
                  <c:v>84.214724991048442</c:v>
                </c:pt>
                <c:pt idx="18">
                  <c:v>79.212836784281521</c:v>
                </c:pt>
                <c:pt idx="19">
                  <c:v>77.995531695557034</c:v>
                </c:pt>
                <c:pt idx="20">
                  <c:v>73.537797712155438</c:v>
                </c:pt>
                <c:pt idx="21">
                  <c:v>71.218682389267883</c:v>
                </c:pt>
                <c:pt idx="22">
                  <c:v>66.639352951853184</c:v>
                </c:pt>
                <c:pt idx="23">
                  <c:v>62.460839192366635</c:v>
                </c:pt>
                <c:pt idx="24">
                  <c:v>59.792852910741175</c:v>
                </c:pt>
                <c:pt idx="25">
                  <c:v>57.899793350860477</c:v>
                </c:pt>
                <c:pt idx="26">
                  <c:v>56.504847532275413</c:v>
                </c:pt>
                <c:pt idx="27">
                  <c:v>52.375461380397788</c:v>
                </c:pt>
                <c:pt idx="28">
                  <c:v>49.893397362326738</c:v>
                </c:pt>
                <c:pt idx="29">
                  <c:v>46.274517776524192</c:v>
                </c:pt>
                <c:pt idx="30">
                  <c:v>44.697776782772671</c:v>
                </c:pt>
                <c:pt idx="31">
                  <c:v>44.606994860838995</c:v>
                </c:pt>
                <c:pt idx="32">
                  <c:v>44.968161798681095</c:v>
                </c:pt>
                <c:pt idx="33">
                  <c:v>48.819848128962548</c:v>
                </c:pt>
                <c:pt idx="34">
                  <c:v>48.559379057289568</c:v>
                </c:pt>
                <c:pt idx="35">
                  <c:v>53.957338020544512</c:v>
                </c:pt>
                <c:pt idx="36">
                  <c:v>58.1088236980126</c:v>
                </c:pt>
                <c:pt idx="37">
                  <c:v>59.917292942574221</c:v>
                </c:pt>
                <c:pt idx="38">
                  <c:v>58.832847782626693</c:v>
                </c:pt>
                <c:pt idx="39">
                  <c:v>58.327032016486555</c:v>
                </c:pt>
                <c:pt idx="40">
                  <c:v>56.566115425904549</c:v>
                </c:pt>
                <c:pt idx="41">
                  <c:v>56.763666163192902</c:v>
                </c:pt>
                <c:pt idx="42">
                  <c:v>57.458868916883702</c:v>
                </c:pt>
                <c:pt idx="43">
                  <c:v>56.014261845727745</c:v>
                </c:pt>
                <c:pt idx="44">
                  <c:v>56.485257580918571</c:v>
                </c:pt>
                <c:pt idx="45">
                  <c:v>56.954844718869786</c:v>
                </c:pt>
                <c:pt idx="46">
                  <c:v>56.848294817577695</c:v>
                </c:pt>
                <c:pt idx="47">
                  <c:v>56.708082765638721</c:v>
                </c:pt>
                <c:pt idx="48">
                  <c:v>56.532425858752035</c:v>
                </c:pt>
                <c:pt idx="49">
                  <c:v>56.319472271824921</c:v>
                </c:pt>
                <c:pt idx="50">
                  <c:v>56.067297439117709</c:v>
                </c:pt>
                <c:pt idx="51">
                  <c:v>55.943151221501935</c:v>
                </c:pt>
                <c:pt idx="52">
                  <c:v>55.785275516979212</c:v>
                </c:pt>
                <c:pt idx="53">
                  <c:v>55.591878819111571</c:v>
                </c:pt>
                <c:pt idx="54">
                  <c:v>55.361100173429932</c:v>
                </c:pt>
                <c:pt idx="55">
                  <c:v>55.091005515889577</c:v>
                </c:pt>
              </c:numCache>
            </c:numRef>
          </c:val>
          <c:smooth val="0"/>
          <c:extLst>
            <c:ext xmlns:c16="http://schemas.microsoft.com/office/drawing/2014/chart" uri="{C3380CC4-5D6E-409C-BE32-E72D297353CC}">
              <c16:uniqueId val="{00000001-DC40-480A-AFD1-E6C40E7DBC79}"/>
            </c:ext>
          </c:extLst>
        </c:ser>
        <c:ser>
          <c:idx val="3"/>
          <c:order val="2"/>
          <c:tx>
            <c:strRef>
              <c:f>'[3]図17　需給合計'!#REF!</c:f>
              <c:strCache>
                <c:ptCount val="1"/>
                <c:pt idx="0">
                  <c:v>#REF!</c:v>
                </c:pt>
              </c:strCache>
            </c:strRef>
          </c:tx>
          <c:spPr>
            <a:ln w="28575" cap="rnd">
              <a:solidFill>
                <a:schemeClr val="tx1"/>
              </a:solidFill>
              <a:round/>
            </a:ln>
            <a:effectLst/>
          </c:spPr>
          <c:marker>
            <c:symbol val="none"/>
          </c:marker>
          <c:cat>
            <c:numRef>
              <c:f>集計図表!$A$2:$A$57</c:f>
              <c:numCache>
                <c:formatCode>0_);[Red]\(0\)</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'[3]図17　需給合計'!#REF!</c:f>
              <c:numCache>
                <c:formatCode>General</c:formatCode>
                <c:ptCount val="1"/>
                <c:pt idx="0">
                  <c:v>1</c:v>
                </c:pt>
              </c:numCache>
            </c:numRef>
          </c:val>
          <c:smooth val="0"/>
          <c:extLst>
            <c:ext xmlns:c16="http://schemas.microsoft.com/office/drawing/2014/chart" uri="{C3380CC4-5D6E-409C-BE32-E72D297353CC}">
              <c16:uniqueId val="{00000002-DC40-480A-AFD1-E6C40E7DBC79}"/>
            </c:ext>
          </c:extLst>
        </c:ser>
        <c:ser>
          <c:idx val="2"/>
          <c:order val="3"/>
          <c:tx>
            <c:strRef>
              <c:f>集計図表!$D$1</c:f>
              <c:strCache>
                <c:ptCount val="1"/>
                <c:pt idx="0">
                  <c:v>供給側予測
（ベースラインケース
、就業率維持）</c:v>
                </c:pt>
              </c:strCache>
            </c:strRef>
          </c:tx>
          <c:spPr>
            <a:ln w="28575" cap="rnd" cmpd="dbl">
              <a:solidFill>
                <a:schemeClr val="accent2"/>
              </a:solidFill>
              <a:round/>
            </a:ln>
            <a:effectLst/>
          </c:spPr>
          <c:marker>
            <c:symbol val="none"/>
          </c:marker>
          <c:cat>
            <c:numRef>
              <c:f>集計図表!$A$2:$A$57</c:f>
              <c:numCache>
                <c:formatCode>0_);[Red]\(0\)</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集計図表!$D$2:$D$57</c:f>
              <c:numCache>
                <c:formatCode>#,##0.0;[Red]\-#,##0.0</c:formatCode>
                <c:ptCount val="56"/>
                <c:pt idx="0">
                  <c:v>67.561164047159934</c:v>
                </c:pt>
                <c:pt idx="1">
                  <c:v>65.624971464099985</c:v>
                </c:pt>
                <c:pt idx="2">
                  <c:v>66.156322702856116</c:v>
                </c:pt>
                <c:pt idx="3">
                  <c:v>63.142281931843861</c:v>
                </c:pt>
                <c:pt idx="4">
                  <c:v>63.05966532765612</c:v>
                </c:pt>
                <c:pt idx="5">
                  <c:v>63.683949725459222</c:v>
                </c:pt>
                <c:pt idx="6">
                  <c:v>68.292115114852692</c:v>
                </c:pt>
                <c:pt idx="7">
                  <c:v>75.574779202608468</c:v>
                </c:pt>
                <c:pt idx="8">
                  <c:v>83.081255366915329</c:v>
                </c:pt>
                <c:pt idx="9">
                  <c:v>86.253728205168557</c:v>
                </c:pt>
                <c:pt idx="10">
                  <c:v>93.001869481936907</c:v>
                </c:pt>
                <c:pt idx="11">
                  <c:v>93.007407912184632</c:v>
                </c:pt>
                <c:pt idx="12">
                  <c:v>93.624337829754367</c:v>
                </c:pt>
                <c:pt idx="13">
                  <c:v>91.15208117216828</c:v>
                </c:pt>
                <c:pt idx="14">
                  <c:v>87.92687013193536</c:v>
                </c:pt>
                <c:pt idx="15">
                  <c:v>85.291185695646433</c:v>
                </c:pt>
                <c:pt idx="16">
                  <c:v>91.379542875690703</c:v>
                </c:pt>
                <c:pt idx="17">
                  <c:v>84.214724991048442</c:v>
                </c:pt>
                <c:pt idx="18">
                  <c:v>79.212836784281521</c:v>
                </c:pt>
                <c:pt idx="19">
                  <c:v>77.995531695557034</c:v>
                </c:pt>
                <c:pt idx="20">
                  <c:v>73.537797712155438</c:v>
                </c:pt>
                <c:pt idx="21">
                  <c:v>71.218682389267883</c:v>
                </c:pt>
                <c:pt idx="22">
                  <c:v>66.639352951853184</c:v>
                </c:pt>
                <c:pt idx="23">
                  <c:v>62.460839192366635</c:v>
                </c:pt>
                <c:pt idx="24">
                  <c:v>59.792852910741175</c:v>
                </c:pt>
                <c:pt idx="25">
                  <c:v>57.899793350860477</c:v>
                </c:pt>
                <c:pt idx="26">
                  <c:v>56.504847532275413</c:v>
                </c:pt>
                <c:pt idx="27">
                  <c:v>52.375461380397788</c:v>
                </c:pt>
                <c:pt idx="28">
                  <c:v>49.893397362326738</c:v>
                </c:pt>
                <c:pt idx="29">
                  <c:v>46.274517776524192</c:v>
                </c:pt>
                <c:pt idx="30">
                  <c:v>44.697776782772671</c:v>
                </c:pt>
                <c:pt idx="31">
                  <c:v>44.606994860838995</c:v>
                </c:pt>
                <c:pt idx="32">
                  <c:v>44.968161798681095</c:v>
                </c:pt>
                <c:pt idx="33">
                  <c:v>48.819848128962548</c:v>
                </c:pt>
                <c:pt idx="34">
                  <c:v>48.559379057289568</c:v>
                </c:pt>
                <c:pt idx="35">
                  <c:v>53.957338020544512</c:v>
                </c:pt>
                <c:pt idx="36">
                  <c:v>58.1088236980126</c:v>
                </c:pt>
                <c:pt idx="37">
                  <c:v>59.917292942574221</c:v>
                </c:pt>
                <c:pt idx="38">
                  <c:v>58.832847782626693</c:v>
                </c:pt>
                <c:pt idx="39">
                  <c:v>58.327032016486555</c:v>
                </c:pt>
                <c:pt idx="40">
                  <c:v>56.566115425904549</c:v>
                </c:pt>
                <c:pt idx="41">
                  <c:v>56.763666163192902</c:v>
                </c:pt>
                <c:pt idx="42">
                  <c:v>57.458868916883702</c:v>
                </c:pt>
                <c:pt idx="43">
                  <c:v>56.970646246295878</c:v>
                </c:pt>
                <c:pt idx="44">
                  <c:v>57.741150054689136</c:v>
                </c:pt>
                <c:pt idx="45">
                  <c:v>58.524558345073416</c:v>
                </c:pt>
                <c:pt idx="46">
                  <c:v>59.37579851607159</c:v>
                </c:pt>
                <c:pt idx="47">
                  <c:v>60.242502919215056</c:v>
                </c:pt>
                <c:pt idx="48">
                  <c:v>61.124666109846011</c:v>
                </c:pt>
                <c:pt idx="49">
                  <c:v>62.022284439877815</c:v>
                </c:pt>
                <c:pt idx="50">
                  <c:v>62.935355610930827</c:v>
                </c:pt>
                <c:pt idx="51">
                  <c:v>63.842955364158691</c:v>
                </c:pt>
                <c:pt idx="52">
                  <c:v>64.764939419511407</c:v>
                </c:pt>
                <c:pt idx="53">
                  <c:v>65.701270126918814</c:v>
                </c:pt>
                <c:pt idx="54">
                  <c:v>66.651908257156151</c:v>
                </c:pt>
                <c:pt idx="55">
                  <c:v>67.61681256429506</c:v>
                </c:pt>
              </c:numCache>
            </c:numRef>
          </c:val>
          <c:smooth val="0"/>
          <c:extLst>
            <c:ext xmlns:c16="http://schemas.microsoft.com/office/drawing/2014/chart" uri="{C3380CC4-5D6E-409C-BE32-E72D297353CC}">
              <c16:uniqueId val="{00000003-DC40-480A-AFD1-E6C40E7DBC79}"/>
            </c:ext>
          </c:extLst>
        </c:ser>
        <c:ser>
          <c:idx val="4"/>
          <c:order val="4"/>
          <c:tx>
            <c:strRef>
              <c:f>集計図表!$E$1</c:f>
              <c:strCache>
                <c:ptCount val="1"/>
                <c:pt idx="0">
                  <c:v>需要側予測
（成長実現ケース）</c:v>
                </c:pt>
              </c:strCache>
            </c:strRef>
          </c:tx>
          <c:spPr>
            <a:ln w="28575" cap="rnd" cmpd="sng">
              <a:solidFill>
                <a:schemeClr val="accent1"/>
              </a:solidFill>
              <a:prstDash val="sysDash"/>
              <a:round/>
            </a:ln>
            <a:effectLst/>
          </c:spPr>
          <c:marker>
            <c:symbol val="none"/>
          </c:marker>
          <c:cat>
            <c:numRef>
              <c:f>集計図表!$A$2:$A$57</c:f>
              <c:numCache>
                <c:formatCode>0_);[Red]\(0\)</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集計図表!$E$2:$E$57</c:f>
              <c:numCache>
                <c:formatCode>#,##0.0;[Red]\-#,##0.0</c:formatCode>
                <c:ptCount val="56"/>
                <c:pt idx="0">
                  <c:v>67.561164047159934</c:v>
                </c:pt>
                <c:pt idx="1">
                  <c:v>65.624971464099985</c:v>
                </c:pt>
                <c:pt idx="2">
                  <c:v>66.156322702856116</c:v>
                </c:pt>
                <c:pt idx="3">
                  <c:v>63.142281931843861</c:v>
                </c:pt>
                <c:pt idx="4">
                  <c:v>63.05966532765612</c:v>
                </c:pt>
                <c:pt idx="5">
                  <c:v>63.683949725459222</c:v>
                </c:pt>
                <c:pt idx="6">
                  <c:v>68.292115114852692</c:v>
                </c:pt>
                <c:pt idx="7">
                  <c:v>75.574779202608468</c:v>
                </c:pt>
                <c:pt idx="8">
                  <c:v>83.081255366915329</c:v>
                </c:pt>
                <c:pt idx="9">
                  <c:v>86.253728205168557</c:v>
                </c:pt>
                <c:pt idx="10">
                  <c:v>93.001869481936907</c:v>
                </c:pt>
                <c:pt idx="11">
                  <c:v>93.007407912184632</c:v>
                </c:pt>
                <c:pt idx="12">
                  <c:v>93.624337829754367</c:v>
                </c:pt>
                <c:pt idx="13">
                  <c:v>91.15208117216828</c:v>
                </c:pt>
                <c:pt idx="14">
                  <c:v>87.92687013193536</c:v>
                </c:pt>
                <c:pt idx="15">
                  <c:v>85.291185695646433</c:v>
                </c:pt>
                <c:pt idx="16">
                  <c:v>91.379542875690703</c:v>
                </c:pt>
                <c:pt idx="17">
                  <c:v>84.214724991048442</c:v>
                </c:pt>
                <c:pt idx="18">
                  <c:v>79.212836784281521</c:v>
                </c:pt>
                <c:pt idx="19">
                  <c:v>77.995531695557034</c:v>
                </c:pt>
                <c:pt idx="20">
                  <c:v>73.537797712155438</c:v>
                </c:pt>
                <c:pt idx="21">
                  <c:v>71.218682389267883</c:v>
                </c:pt>
                <c:pt idx="22">
                  <c:v>66.639352951853184</c:v>
                </c:pt>
                <c:pt idx="23">
                  <c:v>62.460839192366635</c:v>
                </c:pt>
                <c:pt idx="24">
                  <c:v>59.792852910741175</c:v>
                </c:pt>
                <c:pt idx="25">
                  <c:v>57.899793350860477</c:v>
                </c:pt>
                <c:pt idx="26">
                  <c:v>56.504847532275413</c:v>
                </c:pt>
                <c:pt idx="27">
                  <c:v>52.375461380397788</c:v>
                </c:pt>
                <c:pt idx="28">
                  <c:v>49.893397362326738</c:v>
                </c:pt>
                <c:pt idx="29">
                  <c:v>46.274517776524192</c:v>
                </c:pt>
                <c:pt idx="30">
                  <c:v>44.697776782772671</c:v>
                </c:pt>
                <c:pt idx="31">
                  <c:v>44.606994860838995</c:v>
                </c:pt>
                <c:pt idx="32">
                  <c:v>44.968161798681095</c:v>
                </c:pt>
                <c:pt idx="33">
                  <c:v>48.819848128962548</c:v>
                </c:pt>
                <c:pt idx="34">
                  <c:v>48.559379057289568</c:v>
                </c:pt>
                <c:pt idx="35">
                  <c:v>53.957338020544512</c:v>
                </c:pt>
                <c:pt idx="36">
                  <c:v>58.1088236980126</c:v>
                </c:pt>
                <c:pt idx="37">
                  <c:v>59.917292942574221</c:v>
                </c:pt>
                <c:pt idx="38">
                  <c:v>58.832847782626693</c:v>
                </c:pt>
                <c:pt idx="39">
                  <c:v>58.327032016486555</c:v>
                </c:pt>
                <c:pt idx="40">
                  <c:v>56.566115425904549</c:v>
                </c:pt>
                <c:pt idx="41">
                  <c:v>56.763666163192902</c:v>
                </c:pt>
                <c:pt idx="42">
                  <c:v>57.458868916883702</c:v>
                </c:pt>
                <c:pt idx="43">
                  <c:v>61.035584869894109</c:v>
                </c:pt>
                <c:pt idx="44">
                  <c:v>67.418943062712444</c:v>
                </c:pt>
                <c:pt idx="45">
                  <c:v>72.431916907453427</c:v>
                </c:pt>
                <c:pt idx="46">
                  <c:v>77.391756240401889</c:v>
                </c:pt>
                <c:pt idx="47">
                  <c:v>83.589751114736771</c:v>
                </c:pt>
                <c:pt idx="48">
                  <c:v>87.588044198780011</c:v>
                </c:pt>
                <c:pt idx="49">
                  <c:v>90.719207560842335</c:v>
                </c:pt>
                <c:pt idx="50">
                  <c:v>91.64066649893212</c:v>
                </c:pt>
                <c:pt idx="51">
                  <c:v>90.028225860887716</c:v>
                </c:pt>
                <c:pt idx="52">
                  <c:v>90.56588073819411</c:v>
                </c:pt>
                <c:pt idx="53">
                  <c:v>92.39892754391218</c:v>
                </c:pt>
                <c:pt idx="54">
                  <c:v>94.778502004920185</c:v>
                </c:pt>
                <c:pt idx="55">
                  <c:v>96.866122229711578</c:v>
                </c:pt>
              </c:numCache>
            </c:numRef>
          </c:val>
          <c:smooth val="0"/>
          <c:extLst>
            <c:ext xmlns:c16="http://schemas.microsoft.com/office/drawing/2014/chart" uri="{C3380CC4-5D6E-409C-BE32-E72D297353CC}">
              <c16:uniqueId val="{00000004-DC40-480A-AFD1-E6C40E7DBC79}"/>
            </c:ext>
          </c:extLst>
        </c:ser>
        <c:ser>
          <c:idx val="5"/>
          <c:order val="5"/>
          <c:tx>
            <c:strRef>
              <c:f>集計図表!$F$1</c:f>
              <c:strCache>
                <c:ptCount val="1"/>
                <c:pt idx="0">
                  <c:v>需要側予測
（ベースラインケース）</c:v>
                </c:pt>
              </c:strCache>
            </c:strRef>
          </c:tx>
          <c:spPr>
            <a:ln w="28575" cap="rnd">
              <a:solidFill>
                <a:schemeClr val="accent2"/>
              </a:solidFill>
              <a:prstDash val="sysDash"/>
              <a:round/>
            </a:ln>
            <a:effectLst/>
          </c:spPr>
          <c:marker>
            <c:symbol val="none"/>
          </c:marker>
          <c:cat>
            <c:numRef>
              <c:f>集計図表!$A$2:$A$57</c:f>
              <c:numCache>
                <c:formatCode>0_);[Red]\(0\)</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集計図表!$F$2:$F$57</c:f>
              <c:numCache>
                <c:formatCode>#,##0.0;[Red]\-#,##0.0</c:formatCode>
                <c:ptCount val="56"/>
                <c:pt idx="0">
                  <c:v>67.561164047159934</c:v>
                </c:pt>
                <c:pt idx="1">
                  <c:v>65.624971464099985</c:v>
                </c:pt>
                <c:pt idx="2">
                  <c:v>66.156322702856116</c:v>
                </c:pt>
                <c:pt idx="3">
                  <c:v>63.142281931843861</c:v>
                </c:pt>
                <c:pt idx="4">
                  <c:v>63.05966532765612</c:v>
                </c:pt>
                <c:pt idx="5">
                  <c:v>63.683949725459222</c:v>
                </c:pt>
                <c:pt idx="6">
                  <c:v>68.292115114852692</c:v>
                </c:pt>
                <c:pt idx="7">
                  <c:v>75.574779202608468</c:v>
                </c:pt>
                <c:pt idx="8">
                  <c:v>83.081255366915329</c:v>
                </c:pt>
                <c:pt idx="9">
                  <c:v>86.253728205168557</c:v>
                </c:pt>
                <c:pt idx="10">
                  <c:v>93.001869481936907</c:v>
                </c:pt>
                <c:pt idx="11">
                  <c:v>93.007407912184632</c:v>
                </c:pt>
                <c:pt idx="12">
                  <c:v>93.624337829754367</c:v>
                </c:pt>
                <c:pt idx="13">
                  <c:v>91.15208117216828</c:v>
                </c:pt>
                <c:pt idx="14">
                  <c:v>87.92687013193536</c:v>
                </c:pt>
                <c:pt idx="15">
                  <c:v>85.291185695646433</c:v>
                </c:pt>
                <c:pt idx="16">
                  <c:v>91.379542875690703</c:v>
                </c:pt>
                <c:pt idx="17">
                  <c:v>84.214724991048442</c:v>
                </c:pt>
                <c:pt idx="18">
                  <c:v>79.212836784281521</c:v>
                </c:pt>
                <c:pt idx="19">
                  <c:v>77.995531695557034</c:v>
                </c:pt>
                <c:pt idx="20">
                  <c:v>73.537797712155438</c:v>
                </c:pt>
                <c:pt idx="21">
                  <c:v>71.218682389267883</c:v>
                </c:pt>
                <c:pt idx="22">
                  <c:v>66.639352951853184</c:v>
                </c:pt>
                <c:pt idx="23">
                  <c:v>62.460839192366635</c:v>
                </c:pt>
                <c:pt idx="24">
                  <c:v>59.792852910741175</c:v>
                </c:pt>
                <c:pt idx="25">
                  <c:v>57.899793350860477</c:v>
                </c:pt>
                <c:pt idx="26">
                  <c:v>56.504847532275413</c:v>
                </c:pt>
                <c:pt idx="27">
                  <c:v>52.375461380397788</c:v>
                </c:pt>
                <c:pt idx="28">
                  <c:v>49.893397362326738</c:v>
                </c:pt>
                <c:pt idx="29">
                  <c:v>46.274517776524192</c:v>
                </c:pt>
                <c:pt idx="30">
                  <c:v>44.697776782772671</c:v>
                </c:pt>
                <c:pt idx="31">
                  <c:v>44.606994860838995</c:v>
                </c:pt>
                <c:pt idx="32">
                  <c:v>44.968161798681095</c:v>
                </c:pt>
                <c:pt idx="33">
                  <c:v>48.819848128962548</c:v>
                </c:pt>
                <c:pt idx="34">
                  <c:v>48.559379057289568</c:v>
                </c:pt>
                <c:pt idx="35">
                  <c:v>53.957338020544512</c:v>
                </c:pt>
                <c:pt idx="36">
                  <c:v>58.1088236980126</c:v>
                </c:pt>
                <c:pt idx="37">
                  <c:v>59.917292942574221</c:v>
                </c:pt>
                <c:pt idx="38">
                  <c:v>58.832847782626693</c:v>
                </c:pt>
                <c:pt idx="39">
                  <c:v>58.327032016486555</c:v>
                </c:pt>
                <c:pt idx="40">
                  <c:v>56.566115425904549</c:v>
                </c:pt>
                <c:pt idx="41">
                  <c:v>56.763666163192902</c:v>
                </c:pt>
                <c:pt idx="42">
                  <c:v>57.458868916883702</c:v>
                </c:pt>
                <c:pt idx="43">
                  <c:v>58.318606873390102</c:v>
                </c:pt>
                <c:pt idx="44">
                  <c:v>61.471995708511756</c:v>
                </c:pt>
                <c:pt idx="45">
                  <c:v>61.806424490148757</c:v>
                </c:pt>
                <c:pt idx="46">
                  <c:v>64.046164739013776</c:v>
                </c:pt>
                <c:pt idx="47">
                  <c:v>67.9933398989305</c:v>
                </c:pt>
                <c:pt idx="48">
                  <c:v>69.328219845975099</c:v>
                </c:pt>
                <c:pt idx="49">
                  <c:v>70.984919569562379</c:v>
                </c:pt>
                <c:pt idx="50">
                  <c:v>69.733454808675759</c:v>
                </c:pt>
                <c:pt idx="51">
                  <c:v>65.873193203369041</c:v>
                </c:pt>
                <c:pt idx="52">
                  <c:v>66.83347651522277</c:v>
                </c:pt>
                <c:pt idx="53">
                  <c:v>68.226865292457163</c:v>
                </c:pt>
                <c:pt idx="54">
                  <c:v>69.183702147326457</c:v>
                </c:pt>
                <c:pt idx="55">
                  <c:v>69.696263739234624</c:v>
                </c:pt>
              </c:numCache>
            </c:numRef>
          </c:val>
          <c:smooth val="0"/>
          <c:extLst>
            <c:ext xmlns:c16="http://schemas.microsoft.com/office/drawing/2014/chart" uri="{C3380CC4-5D6E-409C-BE32-E72D297353CC}">
              <c16:uniqueId val="{00000005-DC40-480A-AFD1-E6C40E7DBC79}"/>
            </c:ext>
          </c:extLst>
        </c:ser>
        <c:ser>
          <c:idx val="6"/>
          <c:order val="6"/>
          <c:tx>
            <c:strRef>
              <c:f>集計図表!$G$1</c:f>
              <c:strCache>
                <c:ptCount val="1"/>
                <c:pt idx="0">
                  <c:v>現実</c:v>
                </c:pt>
              </c:strCache>
            </c:strRef>
          </c:tx>
          <c:spPr>
            <a:ln w="28575" cap="rnd">
              <a:solidFill>
                <a:schemeClr val="tx1"/>
              </a:solidFill>
              <a:round/>
            </a:ln>
            <a:effectLst/>
          </c:spPr>
          <c:marker>
            <c:symbol val="none"/>
          </c:marker>
          <c:cat>
            <c:numRef>
              <c:f>集計図表!$A$2:$A$57</c:f>
              <c:numCache>
                <c:formatCode>0_);[Red]\(0\)</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集計図表!$G$2:$G$57</c:f>
              <c:numCache>
                <c:formatCode>#,##0.0;[Red]\-#,##0.0</c:formatCode>
                <c:ptCount val="56"/>
                <c:pt idx="0">
                  <c:v>67.561164047159934</c:v>
                </c:pt>
                <c:pt idx="1">
                  <c:v>65.624971464099985</c:v>
                </c:pt>
                <c:pt idx="2">
                  <c:v>66.156322702856116</c:v>
                </c:pt>
                <c:pt idx="3">
                  <c:v>63.142281931843861</c:v>
                </c:pt>
                <c:pt idx="4">
                  <c:v>63.05966532765612</c:v>
                </c:pt>
                <c:pt idx="5">
                  <c:v>63.683949725459222</c:v>
                </c:pt>
                <c:pt idx="6">
                  <c:v>68.292115114852692</c:v>
                </c:pt>
                <c:pt idx="7">
                  <c:v>75.574779202608468</c:v>
                </c:pt>
                <c:pt idx="8">
                  <c:v>83.081255366915329</c:v>
                </c:pt>
                <c:pt idx="9">
                  <c:v>86.253728205168557</c:v>
                </c:pt>
                <c:pt idx="10">
                  <c:v>93.001869481936907</c:v>
                </c:pt>
                <c:pt idx="11">
                  <c:v>93.007407912184632</c:v>
                </c:pt>
                <c:pt idx="12">
                  <c:v>93.624337829754367</c:v>
                </c:pt>
                <c:pt idx="13">
                  <c:v>91.15208117216828</c:v>
                </c:pt>
                <c:pt idx="14">
                  <c:v>87.92687013193536</c:v>
                </c:pt>
                <c:pt idx="15">
                  <c:v>85.291185695646433</c:v>
                </c:pt>
                <c:pt idx="16">
                  <c:v>91.379542875690703</c:v>
                </c:pt>
                <c:pt idx="17">
                  <c:v>84.214724991048442</c:v>
                </c:pt>
                <c:pt idx="18">
                  <c:v>79.212836784281521</c:v>
                </c:pt>
                <c:pt idx="19">
                  <c:v>77.995531695557034</c:v>
                </c:pt>
                <c:pt idx="20">
                  <c:v>73.537797712155438</c:v>
                </c:pt>
                <c:pt idx="21">
                  <c:v>71.218682389267883</c:v>
                </c:pt>
                <c:pt idx="22">
                  <c:v>66.639352951853184</c:v>
                </c:pt>
                <c:pt idx="23">
                  <c:v>62.460839192366635</c:v>
                </c:pt>
                <c:pt idx="24">
                  <c:v>59.792852910741175</c:v>
                </c:pt>
                <c:pt idx="25">
                  <c:v>57.899793350860477</c:v>
                </c:pt>
                <c:pt idx="26">
                  <c:v>56.504847532275413</c:v>
                </c:pt>
                <c:pt idx="27">
                  <c:v>52.375461380397788</c:v>
                </c:pt>
                <c:pt idx="28">
                  <c:v>49.893397362326738</c:v>
                </c:pt>
                <c:pt idx="29">
                  <c:v>46.274517776524192</c:v>
                </c:pt>
                <c:pt idx="30">
                  <c:v>44.697776782772671</c:v>
                </c:pt>
                <c:pt idx="31">
                  <c:v>44.606994860838995</c:v>
                </c:pt>
                <c:pt idx="32">
                  <c:v>44.968161798681095</c:v>
                </c:pt>
                <c:pt idx="33">
                  <c:v>48.819848128962548</c:v>
                </c:pt>
                <c:pt idx="34">
                  <c:v>48.559379057289568</c:v>
                </c:pt>
                <c:pt idx="35">
                  <c:v>53.957338020544512</c:v>
                </c:pt>
                <c:pt idx="36">
                  <c:v>58.1088236980126</c:v>
                </c:pt>
                <c:pt idx="37">
                  <c:v>59.917292942574221</c:v>
                </c:pt>
                <c:pt idx="38">
                  <c:v>58.832847782626693</c:v>
                </c:pt>
                <c:pt idx="39">
                  <c:v>58.327032016486555</c:v>
                </c:pt>
                <c:pt idx="40">
                  <c:v>56.566115425904549</c:v>
                </c:pt>
                <c:pt idx="41">
                  <c:v>56.763666163192902</c:v>
                </c:pt>
                <c:pt idx="42">
                  <c:v>57.458868916883702</c:v>
                </c:pt>
              </c:numCache>
            </c:numRef>
          </c:val>
          <c:smooth val="0"/>
          <c:extLst>
            <c:ext xmlns:c16="http://schemas.microsoft.com/office/drawing/2014/chart" uri="{C3380CC4-5D6E-409C-BE32-E72D297353CC}">
              <c16:uniqueId val="{00000006-DC40-480A-AFD1-E6C40E7DBC79}"/>
            </c:ext>
          </c:extLst>
        </c:ser>
        <c:dLbls>
          <c:showLegendKey val="0"/>
          <c:showVal val="0"/>
          <c:showCatName val="0"/>
          <c:showSerName val="0"/>
          <c:showPercent val="0"/>
          <c:showBubbleSize val="0"/>
        </c:dLbls>
        <c:smooth val="0"/>
        <c:axId val="231813167"/>
        <c:axId val="231797359"/>
      </c:lineChart>
      <c:catAx>
        <c:axId val="231813167"/>
        <c:scaling>
          <c:orientation val="minMax"/>
        </c:scaling>
        <c:delete val="0"/>
        <c:axPos val="b"/>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797359"/>
        <c:crosses val="autoZero"/>
        <c:auto val="1"/>
        <c:lblAlgn val="ctr"/>
        <c:lblOffset val="100"/>
        <c:noMultiLvlLbl val="0"/>
      </c:catAx>
      <c:valAx>
        <c:axId val="231797359"/>
        <c:scaling>
          <c:orientation val="minMax"/>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813167"/>
        <c:crosses val="autoZero"/>
        <c:crossBetween val="between"/>
      </c:valAx>
      <c:spPr>
        <a:noFill/>
        <a:ln>
          <a:noFill/>
        </a:ln>
        <a:effectLst/>
      </c:spPr>
    </c:plotArea>
    <c:legend>
      <c:legendPos val="b"/>
      <c:legendEntry>
        <c:idx val="2"/>
        <c:delete val="1"/>
      </c:legendEntry>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'★図1図20　需給合計'!$B$1</c:f>
              <c:strCache>
                <c:ptCount val="1"/>
                <c:pt idx="0">
                  <c:v>成長実現ケース（供給側）</c:v>
                </c:pt>
              </c:strCache>
            </c:strRef>
          </c:tx>
          <c:spPr>
            <a:ln w="28575" cap="rnd">
              <a:solidFill>
                <a:schemeClr val="accent1"/>
              </a:solidFill>
              <a:prstDash val="solid"/>
              <a:round/>
            </a:ln>
            <a:effectLst/>
          </c:spPr>
          <c:marker>
            <c:symbol val="none"/>
          </c:marker>
          <c:cat>
            <c:numRef>
              <c:f>'★図1図20　需給合計'!$A$2:$A$57</c:f>
              <c:numCache>
                <c:formatCode>0_);[Red]\(0\)</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'★図1図20　需給合計'!$B$2:$B$57</c:f>
              <c:numCache>
                <c:formatCode>#,##0_);[Red]\(#,##0\)</c:formatCode>
                <c:ptCount val="56"/>
                <c:pt idx="0">
                  <c:v>675611.6404715993</c:v>
                </c:pt>
                <c:pt idx="1">
                  <c:v>656249.71464099991</c:v>
                </c:pt>
                <c:pt idx="2">
                  <c:v>661563.22702856117</c:v>
                </c:pt>
                <c:pt idx="3">
                  <c:v>631422.81931843865</c:v>
                </c:pt>
                <c:pt idx="4">
                  <c:v>630596.65327656118</c:v>
                </c:pt>
                <c:pt idx="5">
                  <c:v>636839.49725459225</c:v>
                </c:pt>
                <c:pt idx="6">
                  <c:v>682921.15114852693</c:v>
                </c:pt>
                <c:pt idx="7">
                  <c:v>755747.79202608461</c:v>
                </c:pt>
                <c:pt idx="8">
                  <c:v>830812.55366915325</c:v>
                </c:pt>
                <c:pt idx="9">
                  <c:v>862537.2820516855</c:v>
                </c:pt>
                <c:pt idx="10">
                  <c:v>930018.694819369</c:v>
                </c:pt>
                <c:pt idx="11">
                  <c:v>930074.07912184636</c:v>
                </c:pt>
                <c:pt idx="12">
                  <c:v>936243.37829754362</c:v>
                </c:pt>
                <c:pt idx="13">
                  <c:v>911520.81172168278</c:v>
                </c:pt>
                <c:pt idx="14">
                  <c:v>879268.70131935354</c:v>
                </c:pt>
                <c:pt idx="15">
                  <c:v>852911.85695646435</c:v>
                </c:pt>
                <c:pt idx="16">
                  <c:v>913795.428756907</c:v>
                </c:pt>
                <c:pt idx="17">
                  <c:v>842147.24991048442</c:v>
                </c:pt>
                <c:pt idx="18">
                  <c:v>792128.36784281523</c:v>
                </c:pt>
                <c:pt idx="19">
                  <c:v>779955.31695557036</c:v>
                </c:pt>
                <c:pt idx="20">
                  <c:v>735377.97712155432</c:v>
                </c:pt>
                <c:pt idx="21">
                  <c:v>712186.82389267883</c:v>
                </c:pt>
                <c:pt idx="22">
                  <c:v>666393.52951853187</c:v>
                </c:pt>
                <c:pt idx="23">
                  <c:v>624608.39192366635</c:v>
                </c:pt>
                <c:pt idx="24">
                  <c:v>597928.52910741174</c:v>
                </c:pt>
                <c:pt idx="25">
                  <c:v>578997.93350860476</c:v>
                </c:pt>
                <c:pt idx="26">
                  <c:v>565048.47532275412</c:v>
                </c:pt>
                <c:pt idx="27">
                  <c:v>523754.61380397785</c:v>
                </c:pt>
                <c:pt idx="28">
                  <c:v>498933.97362326737</c:v>
                </c:pt>
                <c:pt idx="29">
                  <c:v>462745.17776524194</c:v>
                </c:pt>
                <c:pt idx="30">
                  <c:v>446977.76782772673</c:v>
                </c:pt>
                <c:pt idx="31">
                  <c:v>446069.94860838994</c:v>
                </c:pt>
                <c:pt idx="32">
                  <c:v>449681.61798681098</c:v>
                </c:pt>
                <c:pt idx="33">
                  <c:v>488198.48128962546</c:v>
                </c:pt>
                <c:pt idx="34">
                  <c:v>485593.79057289567</c:v>
                </c:pt>
                <c:pt idx="35">
                  <c:v>539573.38020544511</c:v>
                </c:pt>
                <c:pt idx="36">
                  <c:v>581088.23698012601</c:v>
                </c:pt>
                <c:pt idx="37">
                  <c:v>599172.92942574224</c:v>
                </c:pt>
                <c:pt idx="38">
                  <c:v>588328.4778262669</c:v>
                </c:pt>
                <c:pt idx="39">
                  <c:v>583270.32016486558</c:v>
                </c:pt>
                <c:pt idx="40">
                  <c:v>565661.15425904549</c:v>
                </c:pt>
                <c:pt idx="41">
                  <c:v>567636.66163192899</c:v>
                </c:pt>
                <c:pt idx="42">
                  <c:v>574588.68916883704</c:v>
                </c:pt>
                <c:pt idx="43">
                  <c:v>580427.68393034057</c:v>
                </c:pt>
                <c:pt idx="44">
                  <c:v>602051.81867849955</c:v>
                </c:pt>
                <c:pt idx="45">
                  <c:v>624654.31417205476</c:v>
                </c:pt>
                <c:pt idx="46">
                  <c:v>647995.16402449727</c:v>
                </c:pt>
                <c:pt idx="47">
                  <c:v>672371.68962413899</c:v>
                </c:pt>
                <c:pt idx="48">
                  <c:v>697826.13955719071</c:v>
                </c:pt>
                <c:pt idx="49">
                  <c:v>724402.60673150455</c:v>
                </c:pt>
                <c:pt idx="50">
                  <c:v>752147.09908079414</c:v>
                </c:pt>
                <c:pt idx="51">
                  <c:v>780432.56131113984</c:v>
                </c:pt>
                <c:pt idx="52">
                  <c:v>809921.63332322508</c:v>
                </c:pt>
                <c:pt idx="53">
                  <c:v>840662.051364735</c:v>
                </c:pt>
                <c:pt idx="54">
                  <c:v>872703.50020231667</c:v>
                </c:pt>
                <c:pt idx="55">
                  <c:v>906097.68438297778</c:v>
                </c:pt>
              </c:numCache>
            </c:numRef>
          </c:val>
          <c:smooth val="0"/>
          <c:extLst>
            <c:ext xmlns:c16="http://schemas.microsoft.com/office/drawing/2014/chart" uri="{C3380CC4-5D6E-409C-BE32-E72D297353CC}">
              <c16:uniqueId val="{00000000-9C6D-4348-97E2-5AE3866C3AF4}"/>
            </c:ext>
          </c:extLst>
        </c:ser>
        <c:ser>
          <c:idx val="1"/>
          <c:order val="1"/>
          <c:tx>
            <c:strRef>
              <c:f>'★図1図20　需給合計'!$C$1</c:f>
              <c:strCache>
                <c:ptCount val="1"/>
                <c:pt idx="0">
                  <c:v>ベースラインケース（供給側）</c:v>
                </c:pt>
              </c:strCache>
            </c:strRef>
          </c:tx>
          <c:spPr>
            <a:ln w="28575" cap="rnd">
              <a:solidFill>
                <a:schemeClr val="accent2"/>
              </a:solidFill>
              <a:prstDash val="solid"/>
              <a:round/>
            </a:ln>
            <a:effectLst/>
          </c:spPr>
          <c:marker>
            <c:symbol val="none"/>
          </c:marker>
          <c:cat>
            <c:numRef>
              <c:f>'★図1図20　需給合計'!$A$2:$A$57</c:f>
              <c:numCache>
                <c:formatCode>0_);[Red]\(0\)</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'★図1図20　需給合計'!$C$2:$C$57</c:f>
              <c:numCache>
                <c:formatCode>#,##0_);[Red]\(#,##0\)</c:formatCode>
                <c:ptCount val="56"/>
                <c:pt idx="0">
                  <c:v>675611.6404715993</c:v>
                </c:pt>
                <c:pt idx="1">
                  <c:v>656249.71464099991</c:v>
                </c:pt>
                <c:pt idx="2">
                  <c:v>661563.22702856117</c:v>
                </c:pt>
                <c:pt idx="3">
                  <c:v>631422.81931843865</c:v>
                </c:pt>
                <c:pt idx="4">
                  <c:v>630596.65327656118</c:v>
                </c:pt>
                <c:pt idx="5">
                  <c:v>636839.49725459225</c:v>
                </c:pt>
                <c:pt idx="6">
                  <c:v>682921.15114852693</c:v>
                </c:pt>
                <c:pt idx="7">
                  <c:v>755747.79202608461</c:v>
                </c:pt>
                <c:pt idx="8">
                  <c:v>830812.55366915325</c:v>
                </c:pt>
                <c:pt idx="9">
                  <c:v>862537.2820516855</c:v>
                </c:pt>
                <c:pt idx="10">
                  <c:v>930018.694819369</c:v>
                </c:pt>
                <c:pt idx="11">
                  <c:v>930074.07912184636</c:v>
                </c:pt>
                <c:pt idx="12">
                  <c:v>936243.37829754362</c:v>
                </c:pt>
                <c:pt idx="13">
                  <c:v>911520.81172168278</c:v>
                </c:pt>
                <c:pt idx="14">
                  <c:v>879268.70131935354</c:v>
                </c:pt>
                <c:pt idx="15">
                  <c:v>852911.85695646435</c:v>
                </c:pt>
                <c:pt idx="16">
                  <c:v>913795.428756907</c:v>
                </c:pt>
                <c:pt idx="17">
                  <c:v>842147.24991048442</c:v>
                </c:pt>
                <c:pt idx="18">
                  <c:v>792128.36784281523</c:v>
                </c:pt>
                <c:pt idx="19">
                  <c:v>779955.31695557036</c:v>
                </c:pt>
                <c:pt idx="20">
                  <c:v>735377.97712155432</c:v>
                </c:pt>
                <c:pt idx="21">
                  <c:v>712186.82389267883</c:v>
                </c:pt>
                <c:pt idx="22">
                  <c:v>666393.52951853187</c:v>
                </c:pt>
                <c:pt idx="23">
                  <c:v>624608.39192366635</c:v>
                </c:pt>
                <c:pt idx="24">
                  <c:v>597928.52910741174</c:v>
                </c:pt>
                <c:pt idx="25">
                  <c:v>578997.93350860476</c:v>
                </c:pt>
                <c:pt idx="26">
                  <c:v>565048.47532275412</c:v>
                </c:pt>
                <c:pt idx="27">
                  <c:v>523754.61380397785</c:v>
                </c:pt>
                <c:pt idx="28">
                  <c:v>498933.97362326737</c:v>
                </c:pt>
                <c:pt idx="29">
                  <c:v>462745.17776524194</c:v>
                </c:pt>
                <c:pt idx="30">
                  <c:v>446977.76782772673</c:v>
                </c:pt>
                <c:pt idx="31">
                  <c:v>446069.94860838994</c:v>
                </c:pt>
                <c:pt idx="32">
                  <c:v>449681.61798681098</c:v>
                </c:pt>
                <c:pt idx="33">
                  <c:v>488198.48128962546</c:v>
                </c:pt>
                <c:pt idx="34">
                  <c:v>485593.79057289567</c:v>
                </c:pt>
                <c:pt idx="35">
                  <c:v>539573.38020544511</c:v>
                </c:pt>
                <c:pt idx="36">
                  <c:v>581088.23698012601</c:v>
                </c:pt>
                <c:pt idx="37">
                  <c:v>599172.92942574224</c:v>
                </c:pt>
                <c:pt idx="38">
                  <c:v>588328.4778262669</c:v>
                </c:pt>
                <c:pt idx="39">
                  <c:v>583270.32016486558</c:v>
                </c:pt>
                <c:pt idx="40">
                  <c:v>565661.15425904549</c:v>
                </c:pt>
                <c:pt idx="41">
                  <c:v>567636.66163192899</c:v>
                </c:pt>
                <c:pt idx="42">
                  <c:v>574588.68916883704</c:v>
                </c:pt>
                <c:pt idx="43">
                  <c:v>560142.61845727742</c:v>
                </c:pt>
                <c:pt idx="44">
                  <c:v>564852.57580918574</c:v>
                </c:pt>
                <c:pt idx="45">
                  <c:v>569548.44718869787</c:v>
                </c:pt>
                <c:pt idx="46">
                  <c:v>568482.94817577698</c:v>
                </c:pt>
                <c:pt idx="47">
                  <c:v>567080.82765638724</c:v>
                </c:pt>
                <c:pt idx="48">
                  <c:v>565324.25858752034</c:v>
                </c:pt>
                <c:pt idx="49">
                  <c:v>563194.72271824919</c:v>
                </c:pt>
                <c:pt idx="50">
                  <c:v>560672.97439117706</c:v>
                </c:pt>
                <c:pt idx="51">
                  <c:v>559431.51221501932</c:v>
                </c:pt>
                <c:pt idx="52">
                  <c:v>557852.7551697921</c:v>
                </c:pt>
                <c:pt idx="53">
                  <c:v>555918.78819111572</c:v>
                </c:pt>
                <c:pt idx="54">
                  <c:v>553611.00173429935</c:v>
                </c:pt>
                <c:pt idx="55">
                  <c:v>550910.05515889579</c:v>
                </c:pt>
              </c:numCache>
            </c:numRef>
          </c:val>
          <c:smooth val="0"/>
          <c:extLst>
            <c:ext xmlns:c16="http://schemas.microsoft.com/office/drawing/2014/chart" uri="{C3380CC4-5D6E-409C-BE32-E72D297353CC}">
              <c16:uniqueId val="{00000001-9C6D-4348-97E2-5AE3866C3AF4}"/>
            </c:ext>
          </c:extLst>
        </c:ser>
        <c:ser>
          <c:idx val="3"/>
          <c:order val="2"/>
          <c:tx>
            <c:strRef>
              <c:f>'[3]図17　需給合計'!#REF!</c:f>
              <c:strCache>
                <c:ptCount val="1"/>
                <c:pt idx="0">
                  <c:v>#REF!</c:v>
                </c:pt>
              </c:strCache>
            </c:strRef>
          </c:tx>
          <c:spPr>
            <a:ln w="28575" cap="rnd">
              <a:solidFill>
                <a:schemeClr val="tx1"/>
              </a:solidFill>
              <a:round/>
            </a:ln>
            <a:effectLst/>
          </c:spPr>
          <c:marker>
            <c:symbol val="none"/>
          </c:marker>
          <c:cat>
            <c:numRef>
              <c:f>'★図1図20　需給合計'!$A$2:$A$57</c:f>
              <c:numCache>
                <c:formatCode>0_);[Red]\(0\)</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'[3]図17　需給合計'!#REF!</c:f>
              <c:numCache>
                <c:formatCode>General</c:formatCode>
                <c:ptCount val="1"/>
                <c:pt idx="0">
                  <c:v>1</c:v>
                </c:pt>
              </c:numCache>
            </c:numRef>
          </c:val>
          <c:smooth val="0"/>
          <c:extLst>
            <c:ext xmlns:c16="http://schemas.microsoft.com/office/drawing/2014/chart" uri="{C3380CC4-5D6E-409C-BE32-E72D297353CC}">
              <c16:uniqueId val="{00000003-9C6D-4348-97E2-5AE3866C3AF4}"/>
            </c:ext>
          </c:extLst>
        </c:ser>
        <c:ser>
          <c:idx val="2"/>
          <c:order val="3"/>
          <c:tx>
            <c:strRef>
              <c:f>'★図1図20　需給合計'!$D$1</c:f>
              <c:strCache>
                <c:ptCount val="1"/>
                <c:pt idx="0">
                  <c:v>ベースラインケース（供給側、就業率維持）</c:v>
                </c:pt>
              </c:strCache>
            </c:strRef>
          </c:tx>
          <c:spPr>
            <a:ln w="28575" cap="rnd" cmpd="dbl">
              <a:solidFill>
                <a:schemeClr val="accent2"/>
              </a:solidFill>
              <a:round/>
            </a:ln>
            <a:effectLst/>
          </c:spPr>
          <c:marker>
            <c:symbol val="none"/>
          </c:marker>
          <c:cat>
            <c:numRef>
              <c:f>'★図1図20　需給合計'!$A$2:$A$57</c:f>
              <c:numCache>
                <c:formatCode>0_);[Red]\(0\)</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'★図1図20　需給合計'!$D$2:$D$57</c:f>
              <c:numCache>
                <c:formatCode>#,##0_);[Red]\(#,##0\)</c:formatCode>
                <c:ptCount val="56"/>
                <c:pt idx="0">
                  <c:v>675611.6404715993</c:v>
                </c:pt>
                <c:pt idx="1">
                  <c:v>656249.71464099991</c:v>
                </c:pt>
                <c:pt idx="2">
                  <c:v>661563.22702856117</c:v>
                </c:pt>
                <c:pt idx="3">
                  <c:v>631422.81931843865</c:v>
                </c:pt>
                <c:pt idx="4">
                  <c:v>630596.65327656118</c:v>
                </c:pt>
                <c:pt idx="5">
                  <c:v>636839.49725459225</c:v>
                </c:pt>
                <c:pt idx="6">
                  <c:v>682921.15114852693</c:v>
                </c:pt>
                <c:pt idx="7">
                  <c:v>755747.79202608461</c:v>
                </c:pt>
                <c:pt idx="8">
                  <c:v>830812.55366915325</c:v>
                </c:pt>
                <c:pt idx="9">
                  <c:v>862537.2820516855</c:v>
                </c:pt>
                <c:pt idx="10">
                  <c:v>930018.694819369</c:v>
                </c:pt>
                <c:pt idx="11">
                  <c:v>930074.07912184636</c:v>
                </c:pt>
                <c:pt idx="12">
                  <c:v>936243.37829754362</c:v>
                </c:pt>
                <c:pt idx="13">
                  <c:v>911520.81172168278</c:v>
                </c:pt>
                <c:pt idx="14">
                  <c:v>879268.70131935354</c:v>
                </c:pt>
                <c:pt idx="15">
                  <c:v>852911.85695646435</c:v>
                </c:pt>
                <c:pt idx="16">
                  <c:v>913795.428756907</c:v>
                </c:pt>
                <c:pt idx="17">
                  <c:v>842147.24991048442</c:v>
                </c:pt>
                <c:pt idx="18">
                  <c:v>792128.36784281523</c:v>
                </c:pt>
                <c:pt idx="19">
                  <c:v>779955.31695557036</c:v>
                </c:pt>
                <c:pt idx="20">
                  <c:v>735377.97712155432</c:v>
                </c:pt>
                <c:pt idx="21">
                  <c:v>712186.82389267883</c:v>
                </c:pt>
                <c:pt idx="22">
                  <c:v>666393.52951853187</c:v>
                </c:pt>
                <c:pt idx="23">
                  <c:v>624608.39192366635</c:v>
                </c:pt>
                <c:pt idx="24">
                  <c:v>597928.52910741174</c:v>
                </c:pt>
                <c:pt idx="25">
                  <c:v>578997.93350860476</c:v>
                </c:pt>
                <c:pt idx="26">
                  <c:v>565048.47532275412</c:v>
                </c:pt>
                <c:pt idx="27">
                  <c:v>523754.61380397785</c:v>
                </c:pt>
                <c:pt idx="28">
                  <c:v>498933.97362326737</c:v>
                </c:pt>
                <c:pt idx="29">
                  <c:v>462745.17776524194</c:v>
                </c:pt>
                <c:pt idx="30">
                  <c:v>446977.76782772673</c:v>
                </c:pt>
                <c:pt idx="31">
                  <c:v>446069.94860838994</c:v>
                </c:pt>
                <c:pt idx="32">
                  <c:v>449681.61798681098</c:v>
                </c:pt>
                <c:pt idx="33">
                  <c:v>488198.48128962546</c:v>
                </c:pt>
                <c:pt idx="34">
                  <c:v>485593.79057289567</c:v>
                </c:pt>
                <c:pt idx="35">
                  <c:v>539573.38020544511</c:v>
                </c:pt>
                <c:pt idx="36">
                  <c:v>581088.23698012601</c:v>
                </c:pt>
                <c:pt idx="37">
                  <c:v>599172.92942574224</c:v>
                </c:pt>
                <c:pt idx="38">
                  <c:v>588328.4778262669</c:v>
                </c:pt>
                <c:pt idx="39">
                  <c:v>583270.32016486558</c:v>
                </c:pt>
                <c:pt idx="40">
                  <c:v>565661.15425904549</c:v>
                </c:pt>
                <c:pt idx="41">
                  <c:v>567636.66163192899</c:v>
                </c:pt>
                <c:pt idx="42">
                  <c:v>574588.68916883704</c:v>
                </c:pt>
                <c:pt idx="43">
                  <c:v>569706.46246295876</c:v>
                </c:pt>
                <c:pt idx="44">
                  <c:v>577411.50054689136</c:v>
                </c:pt>
                <c:pt idx="45">
                  <c:v>585245.58345073415</c:v>
                </c:pt>
                <c:pt idx="46">
                  <c:v>593757.98516071588</c:v>
                </c:pt>
                <c:pt idx="47">
                  <c:v>602425.02919215057</c:v>
                </c:pt>
                <c:pt idx="48">
                  <c:v>611246.66109846008</c:v>
                </c:pt>
                <c:pt idx="49">
                  <c:v>620222.84439877816</c:v>
                </c:pt>
                <c:pt idx="50">
                  <c:v>629353.55610930827</c:v>
                </c:pt>
                <c:pt idx="51">
                  <c:v>638429.55364158691</c:v>
                </c:pt>
                <c:pt idx="52">
                  <c:v>647649.39419511403</c:v>
                </c:pt>
                <c:pt idx="53">
                  <c:v>657012.70126918808</c:v>
                </c:pt>
                <c:pt idx="54">
                  <c:v>666519.08257156145</c:v>
                </c:pt>
                <c:pt idx="55">
                  <c:v>676168.12564295053</c:v>
                </c:pt>
              </c:numCache>
            </c:numRef>
          </c:val>
          <c:smooth val="0"/>
          <c:extLst>
            <c:ext xmlns:c16="http://schemas.microsoft.com/office/drawing/2014/chart" uri="{C3380CC4-5D6E-409C-BE32-E72D297353CC}">
              <c16:uniqueId val="{00000006-9C6D-4348-97E2-5AE3866C3AF4}"/>
            </c:ext>
          </c:extLst>
        </c:ser>
        <c:ser>
          <c:idx val="4"/>
          <c:order val="4"/>
          <c:tx>
            <c:strRef>
              <c:f>'★図1図20　需給合計'!$E$1</c:f>
              <c:strCache>
                <c:ptCount val="1"/>
                <c:pt idx="0">
                  <c:v>成長実現ケース（需要側）</c:v>
                </c:pt>
              </c:strCache>
            </c:strRef>
          </c:tx>
          <c:spPr>
            <a:ln w="28575" cap="rnd" cmpd="sng">
              <a:solidFill>
                <a:schemeClr val="accent1"/>
              </a:solidFill>
              <a:prstDash val="sysDash"/>
              <a:round/>
            </a:ln>
            <a:effectLst/>
          </c:spPr>
          <c:marker>
            <c:symbol val="none"/>
          </c:marker>
          <c:cat>
            <c:numRef>
              <c:f>'★図1図20　需給合計'!$A$2:$A$57</c:f>
              <c:numCache>
                <c:formatCode>0_);[Red]\(0\)</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'★図1図20　需給合計'!$E$2:$E$57</c:f>
              <c:numCache>
                <c:formatCode>#,##0_);[Red]\(#,##0\)</c:formatCode>
                <c:ptCount val="56"/>
                <c:pt idx="0">
                  <c:v>675611.6404715993</c:v>
                </c:pt>
                <c:pt idx="1">
                  <c:v>656249.71464099991</c:v>
                </c:pt>
                <c:pt idx="2">
                  <c:v>661563.22702856117</c:v>
                </c:pt>
                <c:pt idx="3">
                  <c:v>631422.81931843865</c:v>
                </c:pt>
                <c:pt idx="4">
                  <c:v>630596.65327656118</c:v>
                </c:pt>
                <c:pt idx="5">
                  <c:v>636839.49725459225</c:v>
                </c:pt>
                <c:pt idx="6">
                  <c:v>682921.15114852693</c:v>
                </c:pt>
                <c:pt idx="7">
                  <c:v>755747.79202608461</c:v>
                </c:pt>
                <c:pt idx="8">
                  <c:v>830812.55366915325</c:v>
                </c:pt>
                <c:pt idx="9">
                  <c:v>862537.2820516855</c:v>
                </c:pt>
                <c:pt idx="10">
                  <c:v>930018.694819369</c:v>
                </c:pt>
                <c:pt idx="11">
                  <c:v>930074.07912184636</c:v>
                </c:pt>
                <c:pt idx="12">
                  <c:v>936243.37829754362</c:v>
                </c:pt>
                <c:pt idx="13">
                  <c:v>911520.81172168278</c:v>
                </c:pt>
                <c:pt idx="14">
                  <c:v>879268.70131935354</c:v>
                </c:pt>
                <c:pt idx="15">
                  <c:v>852911.85695646435</c:v>
                </c:pt>
                <c:pt idx="16">
                  <c:v>913795.428756907</c:v>
                </c:pt>
                <c:pt idx="17">
                  <c:v>842147.24991048442</c:v>
                </c:pt>
                <c:pt idx="18">
                  <c:v>792128.36784281523</c:v>
                </c:pt>
                <c:pt idx="19">
                  <c:v>779955.31695557036</c:v>
                </c:pt>
                <c:pt idx="20">
                  <c:v>735377.97712155432</c:v>
                </c:pt>
                <c:pt idx="21">
                  <c:v>712186.82389267883</c:v>
                </c:pt>
                <c:pt idx="22">
                  <c:v>666393.52951853187</c:v>
                </c:pt>
                <c:pt idx="23">
                  <c:v>624608.39192366635</c:v>
                </c:pt>
                <c:pt idx="24">
                  <c:v>597928.52910741174</c:v>
                </c:pt>
                <c:pt idx="25">
                  <c:v>578997.93350860476</c:v>
                </c:pt>
                <c:pt idx="26">
                  <c:v>565048.47532275412</c:v>
                </c:pt>
                <c:pt idx="27">
                  <c:v>523754.61380397785</c:v>
                </c:pt>
                <c:pt idx="28">
                  <c:v>498933.97362326737</c:v>
                </c:pt>
                <c:pt idx="29">
                  <c:v>462745.17776524194</c:v>
                </c:pt>
                <c:pt idx="30">
                  <c:v>446977.76782772673</c:v>
                </c:pt>
                <c:pt idx="31">
                  <c:v>446069.94860838994</c:v>
                </c:pt>
                <c:pt idx="32">
                  <c:v>449681.61798681098</c:v>
                </c:pt>
                <c:pt idx="33">
                  <c:v>488198.48128962546</c:v>
                </c:pt>
                <c:pt idx="34">
                  <c:v>485593.79057289567</c:v>
                </c:pt>
                <c:pt idx="35">
                  <c:v>539573.38020544511</c:v>
                </c:pt>
                <c:pt idx="36">
                  <c:v>581088.23698012601</c:v>
                </c:pt>
                <c:pt idx="37">
                  <c:v>599172.92942574224</c:v>
                </c:pt>
                <c:pt idx="38">
                  <c:v>588328.4778262669</c:v>
                </c:pt>
                <c:pt idx="39">
                  <c:v>583270.32016486558</c:v>
                </c:pt>
                <c:pt idx="40">
                  <c:v>565661.15425904549</c:v>
                </c:pt>
                <c:pt idx="41">
                  <c:v>567636.66163192899</c:v>
                </c:pt>
                <c:pt idx="42">
                  <c:v>574588.68916883704</c:v>
                </c:pt>
                <c:pt idx="43">
                  <c:v>610355.84869894106</c:v>
                </c:pt>
                <c:pt idx="44">
                  <c:v>674189.43062712438</c:v>
                </c:pt>
                <c:pt idx="45">
                  <c:v>724319.16907453421</c:v>
                </c:pt>
                <c:pt idx="46">
                  <c:v>773917.56240401894</c:v>
                </c:pt>
                <c:pt idx="47">
                  <c:v>835897.51114736765</c:v>
                </c:pt>
                <c:pt idx="48">
                  <c:v>875880.44198780006</c:v>
                </c:pt>
                <c:pt idx="49">
                  <c:v>907192.07560842333</c:v>
                </c:pt>
                <c:pt idx="50">
                  <c:v>916406.66498932126</c:v>
                </c:pt>
                <c:pt idx="51">
                  <c:v>900282.25860887719</c:v>
                </c:pt>
                <c:pt idx="52">
                  <c:v>905658.80738194112</c:v>
                </c:pt>
                <c:pt idx="53">
                  <c:v>923989.27543912176</c:v>
                </c:pt>
                <c:pt idx="54">
                  <c:v>947785.02004920179</c:v>
                </c:pt>
                <c:pt idx="55">
                  <c:v>968661.22229711572</c:v>
                </c:pt>
              </c:numCache>
            </c:numRef>
          </c:val>
          <c:smooth val="0"/>
          <c:extLst>
            <c:ext xmlns:c16="http://schemas.microsoft.com/office/drawing/2014/chart" uri="{C3380CC4-5D6E-409C-BE32-E72D297353CC}">
              <c16:uniqueId val="{00000007-9C6D-4348-97E2-5AE3866C3AF4}"/>
            </c:ext>
          </c:extLst>
        </c:ser>
        <c:ser>
          <c:idx val="5"/>
          <c:order val="5"/>
          <c:tx>
            <c:strRef>
              <c:f>'★図1図20　需給合計'!$F$1</c:f>
              <c:strCache>
                <c:ptCount val="1"/>
                <c:pt idx="0">
                  <c:v>ベースラインケース（需要側）</c:v>
                </c:pt>
              </c:strCache>
            </c:strRef>
          </c:tx>
          <c:spPr>
            <a:ln w="28575" cap="rnd">
              <a:solidFill>
                <a:schemeClr val="accent2"/>
              </a:solidFill>
              <a:prstDash val="sysDash"/>
              <a:round/>
            </a:ln>
            <a:effectLst/>
          </c:spPr>
          <c:marker>
            <c:symbol val="none"/>
          </c:marker>
          <c:cat>
            <c:numRef>
              <c:f>'★図1図20　需給合計'!$A$2:$A$57</c:f>
              <c:numCache>
                <c:formatCode>0_);[Red]\(0\)</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'★図1図20　需給合計'!$F$2:$F$57</c:f>
              <c:numCache>
                <c:formatCode>#,##0_);[Red]\(#,##0\)</c:formatCode>
                <c:ptCount val="56"/>
                <c:pt idx="0">
                  <c:v>675611.6404715993</c:v>
                </c:pt>
                <c:pt idx="1">
                  <c:v>656249.71464099991</c:v>
                </c:pt>
                <c:pt idx="2">
                  <c:v>661563.22702856117</c:v>
                </c:pt>
                <c:pt idx="3">
                  <c:v>631422.81931843865</c:v>
                </c:pt>
                <c:pt idx="4">
                  <c:v>630596.65327656118</c:v>
                </c:pt>
                <c:pt idx="5">
                  <c:v>636839.49725459225</c:v>
                </c:pt>
                <c:pt idx="6">
                  <c:v>682921.15114852693</c:v>
                </c:pt>
                <c:pt idx="7">
                  <c:v>755747.79202608461</c:v>
                </c:pt>
                <c:pt idx="8">
                  <c:v>830812.55366915325</c:v>
                </c:pt>
                <c:pt idx="9">
                  <c:v>862537.2820516855</c:v>
                </c:pt>
                <c:pt idx="10">
                  <c:v>930018.694819369</c:v>
                </c:pt>
                <c:pt idx="11">
                  <c:v>930074.07912184636</c:v>
                </c:pt>
                <c:pt idx="12">
                  <c:v>936243.37829754362</c:v>
                </c:pt>
                <c:pt idx="13">
                  <c:v>911520.81172168278</c:v>
                </c:pt>
                <c:pt idx="14">
                  <c:v>879268.70131935354</c:v>
                </c:pt>
                <c:pt idx="15">
                  <c:v>852911.85695646435</c:v>
                </c:pt>
                <c:pt idx="16">
                  <c:v>913795.428756907</c:v>
                </c:pt>
                <c:pt idx="17">
                  <c:v>842147.24991048442</c:v>
                </c:pt>
                <c:pt idx="18">
                  <c:v>792128.36784281523</c:v>
                </c:pt>
                <c:pt idx="19">
                  <c:v>779955.31695557036</c:v>
                </c:pt>
                <c:pt idx="20">
                  <c:v>735377.97712155432</c:v>
                </c:pt>
                <c:pt idx="21">
                  <c:v>712186.82389267883</c:v>
                </c:pt>
                <c:pt idx="22">
                  <c:v>666393.52951853187</c:v>
                </c:pt>
                <c:pt idx="23">
                  <c:v>624608.39192366635</c:v>
                </c:pt>
                <c:pt idx="24">
                  <c:v>597928.52910741174</c:v>
                </c:pt>
                <c:pt idx="25">
                  <c:v>578997.93350860476</c:v>
                </c:pt>
                <c:pt idx="26">
                  <c:v>565048.47532275412</c:v>
                </c:pt>
                <c:pt idx="27">
                  <c:v>523754.61380397785</c:v>
                </c:pt>
                <c:pt idx="28">
                  <c:v>498933.97362326737</c:v>
                </c:pt>
                <c:pt idx="29">
                  <c:v>462745.17776524194</c:v>
                </c:pt>
                <c:pt idx="30">
                  <c:v>446977.76782772673</c:v>
                </c:pt>
                <c:pt idx="31">
                  <c:v>446069.94860838994</c:v>
                </c:pt>
                <c:pt idx="32">
                  <c:v>449681.61798681098</c:v>
                </c:pt>
                <c:pt idx="33">
                  <c:v>488198.48128962546</c:v>
                </c:pt>
                <c:pt idx="34">
                  <c:v>485593.79057289567</c:v>
                </c:pt>
                <c:pt idx="35">
                  <c:v>539573.38020544511</c:v>
                </c:pt>
                <c:pt idx="36">
                  <c:v>581088.23698012601</c:v>
                </c:pt>
                <c:pt idx="37">
                  <c:v>599172.92942574224</c:v>
                </c:pt>
                <c:pt idx="38">
                  <c:v>588328.4778262669</c:v>
                </c:pt>
                <c:pt idx="39">
                  <c:v>583270.32016486558</c:v>
                </c:pt>
                <c:pt idx="40">
                  <c:v>565661.15425904549</c:v>
                </c:pt>
                <c:pt idx="41">
                  <c:v>567636.66163192899</c:v>
                </c:pt>
                <c:pt idx="42">
                  <c:v>574588.68916883704</c:v>
                </c:pt>
                <c:pt idx="43">
                  <c:v>583186.06873390102</c:v>
                </c:pt>
                <c:pt idx="44">
                  <c:v>614719.95708511758</c:v>
                </c:pt>
                <c:pt idx="45">
                  <c:v>618064.2449014876</c:v>
                </c:pt>
                <c:pt idx="46">
                  <c:v>640461.64739013778</c:v>
                </c:pt>
                <c:pt idx="47">
                  <c:v>679933.39898930502</c:v>
                </c:pt>
                <c:pt idx="48">
                  <c:v>693282.19845975097</c:v>
                </c:pt>
                <c:pt idx="49">
                  <c:v>709849.19569562376</c:v>
                </c:pt>
                <c:pt idx="50">
                  <c:v>697334.54808675754</c:v>
                </c:pt>
                <c:pt idx="51">
                  <c:v>658731.93203369039</c:v>
                </c:pt>
                <c:pt idx="52">
                  <c:v>668334.76515222772</c:v>
                </c:pt>
                <c:pt idx="53">
                  <c:v>682268.65292457165</c:v>
                </c:pt>
                <c:pt idx="54">
                  <c:v>691837.02147326455</c:v>
                </c:pt>
                <c:pt idx="55">
                  <c:v>696962.63739234628</c:v>
                </c:pt>
              </c:numCache>
            </c:numRef>
          </c:val>
          <c:smooth val="0"/>
          <c:extLst>
            <c:ext xmlns:c16="http://schemas.microsoft.com/office/drawing/2014/chart" uri="{C3380CC4-5D6E-409C-BE32-E72D297353CC}">
              <c16:uniqueId val="{00000008-9C6D-4348-97E2-5AE3866C3AF4}"/>
            </c:ext>
          </c:extLst>
        </c:ser>
        <c:ser>
          <c:idx val="6"/>
          <c:order val="6"/>
          <c:tx>
            <c:strRef>
              <c:f>'★図1図20　需給合計'!$G$1</c:f>
              <c:strCache>
                <c:ptCount val="1"/>
                <c:pt idx="0">
                  <c:v>現実</c:v>
                </c:pt>
              </c:strCache>
            </c:strRef>
          </c:tx>
          <c:spPr>
            <a:ln w="28575" cap="rnd">
              <a:solidFill>
                <a:schemeClr val="tx1"/>
              </a:solidFill>
              <a:round/>
            </a:ln>
            <a:effectLst/>
          </c:spPr>
          <c:marker>
            <c:symbol val="none"/>
          </c:marker>
          <c:cat>
            <c:numRef>
              <c:f>'★図1図20　需給合計'!$A$2:$A$57</c:f>
              <c:numCache>
                <c:formatCode>0_);[Red]\(0\)</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'★図1図20　需給合計'!$G$2:$G$57</c:f>
              <c:numCache>
                <c:formatCode>#,##0_);[Red]\(#,##0\)</c:formatCode>
                <c:ptCount val="56"/>
                <c:pt idx="0">
                  <c:v>675611.6404715993</c:v>
                </c:pt>
                <c:pt idx="1">
                  <c:v>656249.71464099991</c:v>
                </c:pt>
                <c:pt idx="2">
                  <c:v>661563.22702856117</c:v>
                </c:pt>
                <c:pt idx="3">
                  <c:v>631422.81931843865</c:v>
                </c:pt>
                <c:pt idx="4">
                  <c:v>630596.65327656118</c:v>
                </c:pt>
                <c:pt idx="5">
                  <c:v>636839.49725459225</c:v>
                </c:pt>
                <c:pt idx="6">
                  <c:v>682921.15114852693</c:v>
                </c:pt>
                <c:pt idx="7">
                  <c:v>755747.79202608461</c:v>
                </c:pt>
                <c:pt idx="8">
                  <c:v>830812.55366915325</c:v>
                </c:pt>
                <c:pt idx="9">
                  <c:v>862537.2820516855</c:v>
                </c:pt>
                <c:pt idx="10">
                  <c:v>930018.694819369</c:v>
                </c:pt>
                <c:pt idx="11">
                  <c:v>930074.07912184636</c:v>
                </c:pt>
                <c:pt idx="12">
                  <c:v>936243.37829754362</c:v>
                </c:pt>
                <c:pt idx="13">
                  <c:v>911520.81172168278</c:v>
                </c:pt>
                <c:pt idx="14">
                  <c:v>879268.70131935354</c:v>
                </c:pt>
                <c:pt idx="15">
                  <c:v>852911.85695646435</c:v>
                </c:pt>
                <c:pt idx="16">
                  <c:v>913795.428756907</c:v>
                </c:pt>
                <c:pt idx="17">
                  <c:v>842147.24991048442</c:v>
                </c:pt>
                <c:pt idx="18">
                  <c:v>792128.36784281523</c:v>
                </c:pt>
                <c:pt idx="19">
                  <c:v>779955.31695557036</c:v>
                </c:pt>
                <c:pt idx="20">
                  <c:v>735377.97712155432</c:v>
                </c:pt>
                <c:pt idx="21">
                  <c:v>712186.82389267883</c:v>
                </c:pt>
                <c:pt idx="22">
                  <c:v>666393.52951853187</c:v>
                </c:pt>
                <c:pt idx="23">
                  <c:v>624608.39192366635</c:v>
                </c:pt>
                <c:pt idx="24">
                  <c:v>597928.52910741174</c:v>
                </c:pt>
                <c:pt idx="25">
                  <c:v>578997.93350860476</c:v>
                </c:pt>
                <c:pt idx="26">
                  <c:v>565048.47532275412</c:v>
                </c:pt>
                <c:pt idx="27">
                  <c:v>523754.61380397785</c:v>
                </c:pt>
                <c:pt idx="28">
                  <c:v>498933.97362326737</c:v>
                </c:pt>
                <c:pt idx="29">
                  <c:v>462745.17776524194</c:v>
                </c:pt>
                <c:pt idx="30">
                  <c:v>446977.76782772673</c:v>
                </c:pt>
                <c:pt idx="31">
                  <c:v>446069.94860838994</c:v>
                </c:pt>
                <c:pt idx="32">
                  <c:v>449681.61798681098</c:v>
                </c:pt>
                <c:pt idx="33">
                  <c:v>488198.48128962546</c:v>
                </c:pt>
                <c:pt idx="34">
                  <c:v>485593.79057289567</c:v>
                </c:pt>
                <c:pt idx="35">
                  <c:v>539573.38020544511</c:v>
                </c:pt>
                <c:pt idx="36">
                  <c:v>581088.23698012601</c:v>
                </c:pt>
                <c:pt idx="37">
                  <c:v>599172.92942574224</c:v>
                </c:pt>
                <c:pt idx="38">
                  <c:v>588328.4778262669</c:v>
                </c:pt>
                <c:pt idx="39">
                  <c:v>583270.32016486558</c:v>
                </c:pt>
                <c:pt idx="40">
                  <c:v>565661.15425904549</c:v>
                </c:pt>
                <c:pt idx="41">
                  <c:v>567636.66163192899</c:v>
                </c:pt>
                <c:pt idx="42">
                  <c:v>574588.68916883704</c:v>
                </c:pt>
              </c:numCache>
            </c:numRef>
          </c:val>
          <c:smooth val="0"/>
          <c:extLst>
            <c:ext xmlns:c16="http://schemas.microsoft.com/office/drawing/2014/chart" uri="{C3380CC4-5D6E-409C-BE32-E72D297353CC}">
              <c16:uniqueId val="{00000009-9C6D-4348-97E2-5AE3866C3AF4}"/>
            </c:ext>
          </c:extLst>
        </c:ser>
        <c:dLbls>
          <c:showLegendKey val="0"/>
          <c:showVal val="0"/>
          <c:showCatName val="0"/>
          <c:showSerName val="0"/>
          <c:showPercent val="0"/>
          <c:showBubbleSize val="0"/>
        </c:dLbls>
        <c:smooth val="0"/>
        <c:axId val="231813167"/>
        <c:axId val="231797359"/>
      </c:lineChart>
      <c:catAx>
        <c:axId val="231813167"/>
        <c:scaling>
          <c:orientation val="minMax"/>
        </c:scaling>
        <c:delete val="0"/>
        <c:axPos val="b"/>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797359"/>
        <c:crosses val="autoZero"/>
        <c:auto val="1"/>
        <c:lblAlgn val="ctr"/>
        <c:lblOffset val="100"/>
        <c:noMultiLvlLbl val="0"/>
      </c:catAx>
      <c:valAx>
        <c:axId val="231797359"/>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813167"/>
        <c:crosses val="autoZero"/>
        <c:crossBetween val="between"/>
      </c:valAx>
      <c:spPr>
        <a:noFill/>
        <a:ln>
          <a:noFill/>
        </a:ln>
        <a:effectLst/>
      </c:spPr>
    </c:plotArea>
    <c:legend>
      <c:legendPos val="b"/>
      <c:legendEntry>
        <c:idx val="2"/>
        <c:delete val="1"/>
      </c:legendEntry>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'★物価（暦年）'!$B$3</c:f>
              <c:strCache>
                <c:ptCount val="1"/>
                <c:pt idx="0">
                  <c:v>需給ギャップ</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'★物価（暦年）'!$A$4:$A$59</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'★物価（暦年）'!$B$4:$B$59</c:f>
            </c:numRef>
          </c:val>
          <c:smooth val="0"/>
          <c:extLst>
            <c:ext xmlns:c16="http://schemas.microsoft.com/office/drawing/2014/chart" uri="{C3380CC4-5D6E-409C-BE32-E72D297353CC}">
              <c16:uniqueId val="{00000000-1795-4F6C-8908-F5BD61F114C9}"/>
            </c:ext>
          </c:extLst>
        </c:ser>
        <c:ser>
          <c:idx val="1"/>
          <c:order val="1"/>
          <c:tx>
            <c:strRef>
              <c:f>'★物価（暦年）'!$C$3</c:f>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'★物価（暦年）'!$A$4:$A$59</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'★物価（暦年）'!$C$4:$C$59</c:f>
            </c:numRef>
          </c:val>
          <c:smooth val="0"/>
          <c:extLst>
            <c:ext xmlns:c16="http://schemas.microsoft.com/office/drawing/2014/chart" uri="{C3380CC4-5D6E-409C-BE32-E72D297353CC}">
              <c16:uniqueId val="{00000001-1795-4F6C-8908-F5BD61F114C9}"/>
            </c:ext>
          </c:extLst>
        </c:ser>
        <c:ser>
          <c:idx val="2"/>
          <c:order val="2"/>
          <c:tx>
            <c:strRef>
              <c:f>'★物価（暦年）'!$D$3</c:f>
              <c:strCache>
                <c:ptCount val="1"/>
                <c:pt idx="0">
                  <c:v>名目値</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'★物価（暦年）'!$A$4:$A$59</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'★物価（暦年）'!$D$4:$D$59</c:f>
            </c:numRef>
          </c:val>
          <c:smooth val="0"/>
          <c:extLst>
            <c:ext xmlns:c16="http://schemas.microsoft.com/office/drawing/2014/chart" uri="{C3380CC4-5D6E-409C-BE32-E72D297353CC}">
              <c16:uniqueId val="{00000002-1795-4F6C-8908-F5BD61F114C9}"/>
            </c:ext>
          </c:extLst>
        </c:ser>
        <c:ser>
          <c:idx val="3"/>
          <c:order val="3"/>
          <c:tx>
            <c:strRef>
              <c:f>'★物価（暦年）'!$E$3</c:f>
              <c:strCache>
                <c:ptCount val="1"/>
                <c:pt idx="0">
                  <c:v>実質値
(2015年基準）</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'★物価（暦年）'!$A$4:$A$59</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'★物価（暦年）'!$E$4:$E$59</c:f>
            </c:numRef>
          </c:val>
          <c:smooth val="0"/>
          <c:extLst>
            <c:ext xmlns:c16="http://schemas.microsoft.com/office/drawing/2014/chart" uri="{C3380CC4-5D6E-409C-BE32-E72D297353CC}">
              <c16:uniqueId val="{00000003-1795-4F6C-8908-F5BD61F114C9}"/>
            </c:ext>
          </c:extLst>
        </c:ser>
        <c:ser>
          <c:idx val="4"/>
          <c:order val="4"/>
          <c:tx>
            <c:strRef>
              <c:f>'★物価（暦年）'!$F$3</c:f>
              <c:strCache>
                <c:ptCount val="1"/>
                <c:pt idx="0">
                  <c:v>建設物価(成長実現ケース）</c:v>
                </c:pt>
              </c:strCache>
            </c:strRef>
          </c:tx>
          <c:spPr>
            <a:ln w="28575" cap="rnd">
              <a:solidFill>
                <a:schemeClr val="accent5"/>
              </a:solidFill>
              <a:round/>
            </a:ln>
            <a:effectLst/>
          </c:spPr>
          <c:marker>
            <c:symbol val="none"/>
          </c:marker>
          <c:cat>
            <c:numRef>
              <c:f>'★物価（暦年）'!$A$4:$A$59</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'★物価（暦年）'!$F$4:$F$59</c:f>
              <c:numCache>
                <c:formatCode>#,##0.00_);[Red]\(#,##0.00\)</c:formatCode>
                <c:ptCount val="56"/>
                <c:pt idx="0">
                  <c:v>73.742563221981356</c:v>
                </c:pt>
                <c:pt idx="1">
                  <c:v>75.60809235608663</c:v>
                </c:pt>
                <c:pt idx="2">
                  <c:v>75.97315052110109</c:v>
                </c:pt>
                <c:pt idx="3">
                  <c:v>75.996067559359602</c:v>
                </c:pt>
                <c:pt idx="4">
                  <c:v>77.170749590178971</c:v>
                </c:pt>
                <c:pt idx="5">
                  <c:v>77.249224418576006</c:v>
                </c:pt>
                <c:pt idx="6">
                  <c:v>76.829244399207695</c:v>
                </c:pt>
                <c:pt idx="7">
                  <c:v>77.793785513474219</c:v>
                </c:pt>
                <c:pt idx="8">
                  <c:v>79.170416418206841</c:v>
                </c:pt>
                <c:pt idx="9">
                  <c:v>82.799309662833863</c:v>
                </c:pt>
                <c:pt idx="10">
                  <c:v>86.038625218659703</c:v>
                </c:pt>
                <c:pt idx="11">
                  <c:v>88.316565638479702</c:v>
                </c:pt>
                <c:pt idx="12">
                  <c:v>89.706896690494162</c:v>
                </c:pt>
                <c:pt idx="13">
                  <c:v>90.329508961661332</c:v>
                </c:pt>
                <c:pt idx="14">
                  <c:v>90.664530388495578</c:v>
                </c:pt>
                <c:pt idx="15">
                  <c:v>90.784031601001374</c:v>
                </c:pt>
                <c:pt idx="16">
                  <c:v>91.032007942764238</c:v>
                </c:pt>
                <c:pt idx="17">
                  <c:v>91.560941313347541</c:v>
                </c:pt>
                <c:pt idx="18">
                  <c:v>90.302822124043473</c:v>
                </c:pt>
                <c:pt idx="19">
                  <c:v>89.26678790988349</c:v>
                </c:pt>
                <c:pt idx="20">
                  <c:v>89.265695653275998</c:v>
                </c:pt>
                <c:pt idx="21">
                  <c:v>88.172317588368969</c:v>
                </c:pt>
                <c:pt idx="22">
                  <c:v>87.139025180675105</c:v>
                </c:pt>
                <c:pt idx="23">
                  <c:v>87.381425739035706</c:v>
                </c:pt>
                <c:pt idx="24">
                  <c:v>88.323508498689151</c:v>
                </c:pt>
                <c:pt idx="25">
                  <c:v>89.378757780426909</c:v>
                </c:pt>
                <c:pt idx="26">
                  <c:v>91.022066713391254</c:v>
                </c:pt>
                <c:pt idx="27">
                  <c:v>93.154986717757666</c:v>
                </c:pt>
                <c:pt idx="28">
                  <c:v>96.078437798284398</c:v>
                </c:pt>
                <c:pt idx="29">
                  <c:v>94.216873521942347</c:v>
                </c:pt>
                <c:pt idx="30">
                  <c:v>93.34662863656223</c:v>
                </c:pt>
                <c:pt idx="31">
                  <c:v>94.325345784073207</c:v>
                </c:pt>
                <c:pt idx="32">
                  <c:v>94.209300817269664</c:v>
                </c:pt>
                <c:pt idx="33">
                  <c:v>95.85562123816284</c:v>
                </c:pt>
                <c:pt idx="34">
                  <c:v>98.834027706115975</c:v>
                </c:pt>
                <c:pt idx="35">
                  <c:v>99.94148661396747</c:v>
                </c:pt>
                <c:pt idx="36">
                  <c:v>100.20239456830167</c:v>
                </c:pt>
                <c:pt idx="37">
                  <c:v>101.72563526410492</c:v>
                </c:pt>
                <c:pt idx="38">
                  <c:v>104.69268252571544</c:v>
                </c:pt>
                <c:pt idx="39">
                  <c:v>107.4280621551343</c:v>
                </c:pt>
                <c:pt idx="40">
                  <c:v>108.01611282994898</c:v>
                </c:pt>
                <c:pt idx="41">
                  <c:v>105.93974111255989</c:v>
                </c:pt>
                <c:pt idx="42">
                  <c:v>104.50423625379536</c:v>
                </c:pt>
                <c:pt idx="43">
                  <c:v>104.43370687370472</c:v>
                </c:pt>
                <c:pt idx="44">
                  <c:v>105.61826235996418</c:v>
                </c:pt>
                <c:pt idx="45">
                  <c:v>107.61054373068275</c:v>
                </c:pt>
                <c:pt idx="46">
                  <c:v>109.95261027107983</c:v>
                </c:pt>
                <c:pt idx="47">
                  <c:v>112.43969246177552</c:v>
                </c:pt>
                <c:pt idx="48">
                  <c:v>115.01138251726691</c:v>
                </c:pt>
                <c:pt idx="49">
                  <c:v>117.65044073874365</c:v>
                </c:pt>
                <c:pt idx="50">
                  <c:v>120.35263310996592</c:v>
                </c:pt>
                <c:pt idx="51">
                  <c:v>123.11766687507262</c:v>
                </c:pt>
                <c:pt idx="52">
                  <c:v>125.94646020712155</c:v>
                </c:pt>
                <c:pt idx="53">
                  <c:v>128.84031956880099</c:v>
                </c:pt>
                <c:pt idx="54">
                  <c:v>131.80069217636873</c:v>
                </c:pt>
                <c:pt idx="55">
                  <c:v>134.82909189388337</c:v>
                </c:pt>
              </c:numCache>
            </c:numRef>
          </c:val>
          <c:smooth val="0"/>
          <c:extLst>
            <c:ext xmlns:c16="http://schemas.microsoft.com/office/drawing/2014/chart" uri="{C3380CC4-5D6E-409C-BE32-E72D297353CC}">
              <c16:uniqueId val="{00000004-1795-4F6C-8908-F5BD61F114C9}"/>
            </c:ext>
          </c:extLst>
        </c:ser>
        <c:ser>
          <c:idx val="5"/>
          <c:order val="5"/>
          <c:tx>
            <c:strRef>
              <c:f>'★物価（暦年）'!$G$3</c:f>
              <c:strCache>
                <c:ptCount val="1"/>
                <c:pt idx="0">
                  <c:v>物価上昇率
(成長実現ケース）</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'★物価（暦年）'!$A$4:$A$59</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'★物価（暦年）'!$G$4:$G$59</c:f>
            </c:numRef>
          </c:val>
          <c:smooth val="0"/>
          <c:extLst>
            <c:ext xmlns:c16="http://schemas.microsoft.com/office/drawing/2014/chart" uri="{C3380CC4-5D6E-409C-BE32-E72D297353CC}">
              <c16:uniqueId val="{00000005-1795-4F6C-8908-F5BD61F114C9}"/>
            </c:ext>
          </c:extLst>
        </c:ser>
        <c:ser>
          <c:idx val="6"/>
          <c:order val="6"/>
          <c:tx>
            <c:strRef>
              <c:f>'★物価（暦年）'!$H$3</c:f>
              <c:strCache>
                <c:ptCount val="1"/>
                <c:pt idx="0">
                  <c:v>建設物価(ベースラインケース）</c:v>
                </c:pt>
              </c:strCache>
            </c:strRef>
          </c:tx>
          <c:spPr>
            <a:ln w="28575" cap="rnd">
              <a:solidFill>
                <a:schemeClr val="accent2"/>
              </a:solidFill>
              <a:round/>
            </a:ln>
            <a:effectLst/>
          </c:spPr>
          <c:marker>
            <c:symbol val="none"/>
          </c:marker>
          <c:cat>
            <c:numRef>
              <c:f>'★物価（暦年）'!$A$4:$A$59</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'★物価（暦年）'!$H$4:$H$59</c:f>
              <c:numCache>
                <c:formatCode>#,##0.00_);[Red]\(#,##0.00\)</c:formatCode>
                <c:ptCount val="56"/>
                <c:pt idx="0">
                  <c:v>73.742563221981356</c:v>
                </c:pt>
                <c:pt idx="1">
                  <c:v>75.60809235608663</c:v>
                </c:pt>
                <c:pt idx="2">
                  <c:v>75.97315052110109</c:v>
                </c:pt>
                <c:pt idx="3">
                  <c:v>75.996067559359602</c:v>
                </c:pt>
                <c:pt idx="4">
                  <c:v>77.170749590178971</c:v>
                </c:pt>
                <c:pt idx="5">
                  <c:v>77.249224418576006</c:v>
                </c:pt>
                <c:pt idx="6">
                  <c:v>76.829244399207695</c:v>
                </c:pt>
                <c:pt idx="7">
                  <c:v>77.793785513474219</c:v>
                </c:pt>
                <c:pt idx="8">
                  <c:v>79.170416418206841</c:v>
                </c:pt>
                <c:pt idx="9">
                  <c:v>82.799309662833863</c:v>
                </c:pt>
                <c:pt idx="10">
                  <c:v>86.038625218659703</c:v>
                </c:pt>
                <c:pt idx="11">
                  <c:v>88.316565638479702</c:v>
                </c:pt>
                <c:pt idx="12">
                  <c:v>89.706896690494162</c:v>
                </c:pt>
                <c:pt idx="13">
                  <c:v>90.329508961661332</c:v>
                </c:pt>
                <c:pt idx="14">
                  <c:v>90.664530388495578</c:v>
                </c:pt>
                <c:pt idx="15">
                  <c:v>90.784031601001374</c:v>
                </c:pt>
                <c:pt idx="16">
                  <c:v>91.032007942764238</c:v>
                </c:pt>
                <c:pt idx="17">
                  <c:v>91.560941313347541</c:v>
                </c:pt>
                <c:pt idx="18">
                  <c:v>90.302822124043473</c:v>
                </c:pt>
                <c:pt idx="19">
                  <c:v>89.26678790988349</c:v>
                </c:pt>
                <c:pt idx="20">
                  <c:v>89.265695653275998</c:v>
                </c:pt>
                <c:pt idx="21">
                  <c:v>88.172317588368969</c:v>
                </c:pt>
                <c:pt idx="22">
                  <c:v>87.139025180675105</c:v>
                </c:pt>
                <c:pt idx="23">
                  <c:v>87.381425739035706</c:v>
                </c:pt>
                <c:pt idx="24">
                  <c:v>88.323508498689151</c:v>
                </c:pt>
                <c:pt idx="25">
                  <c:v>89.378757780426909</c:v>
                </c:pt>
                <c:pt idx="26">
                  <c:v>91.022066713391254</c:v>
                </c:pt>
                <c:pt idx="27">
                  <c:v>93.154986717757666</c:v>
                </c:pt>
                <c:pt idx="28">
                  <c:v>96.078437798284398</c:v>
                </c:pt>
                <c:pt idx="29">
                  <c:v>94.216873521942347</c:v>
                </c:pt>
                <c:pt idx="30">
                  <c:v>93.34662863656223</c:v>
                </c:pt>
                <c:pt idx="31">
                  <c:v>94.325345784073207</c:v>
                </c:pt>
                <c:pt idx="32">
                  <c:v>94.209300817269664</c:v>
                </c:pt>
                <c:pt idx="33">
                  <c:v>95.85562123816284</c:v>
                </c:pt>
                <c:pt idx="34">
                  <c:v>98.834027706115975</c:v>
                </c:pt>
                <c:pt idx="35">
                  <c:v>99.94148661396747</c:v>
                </c:pt>
                <c:pt idx="36">
                  <c:v>100.20239456830167</c:v>
                </c:pt>
                <c:pt idx="37">
                  <c:v>101.72563526410492</c:v>
                </c:pt>
                <c:pt idx="38">
                  <c:v>104.69268252571544</c:v>
                </c:pt>
                <c:pt idx="39">
                  <c:v>107.4280621551343</c:v>
                </c:pt>
                <c:pt idx="40">
                  <c:v>108.01611282994898</c:v>
                </c:pt>
                <c:pt idx="41">
                  <c:v>105.93974111255989</c:v>
                </c:pt>
                <c:pt idx="42">
                  <c:v>104.50423625379536</c:v>
                </c:pt>
                <c:pt idx="43">
                  <c:v>104.20130319468319</c:v>
                </c:pt>
                <c:pt idx="44">
                  <c:v>104.81196021662439</c:v>
                </c:pt>
                <c:pt idx="45">
                  <c:v>106.28568545986364</c:v>
                </c:pt>
                <c:pt idx="46">
                  <c:v>108.37027640309888</c:v>
                </c:pt>
                <c:pt idx="47">
                  <c:v>110.75499023994875</c:v>
                </c:pt>
                <c:pt idx="48">
                  <c:v>113.27728515378136</c:v>
                </c:pt>
                <c:pt idx="49">
                  <c:v>115.88268252064255</c:v>
                </c:pt>
                <c:pt idx="50">
                  <c:v>118.55574331433681</c:v>
                </c:pt>
                <c:pt idx="51">
                  <c:v>121.29279754665204</c:v>
                </c:pt>
                <c:pt idx="52">
                  <c:v>124.09374515103657</c:v>
                </c:pt>
                <c:pt idx="53">
                  <c:v>126.95958581901377</c:v>
                </c:pt>
                <c:pt idx="54">
                  <c:v>129.89167470709901</c:v>
                </c:pt>
                <c:pt idx="55">
                  <c:v>132.89149851618555</c:v>
                </c:pt>
              </c:numCache>
            </c:numRef>
          </c:val>
          <c:smooth val="0"/>
          <c:extLst>
            <c:ext xmlns:c16="http://schemas.microsoft.com/office/drawing/2014/chart" uri="{C3380CC4-5D6E-409C-BE32-E72D297353CC}">
              <c16:uniqueId val="{00000006-1795-4F6C-8908-F5BD61F114C9}"/>
            </c:ext>
          </c:extLst>
        </c:ser>
        <c:ser>
          <c:idx val="7"/>
          <c:order val="7"/>
          <c:tx>
            <c:strRef>
              <c:f>'★物価（暦年）'!$I$3</c:f>
              <c:strCache>
                <c:ptCount val="1"/>
                <c:pt idx="0">
                  <c:v>物価上昇率
(ベースラインケース）</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'★物価（暦年）'!$A$4:$A$59</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'★物価（暦年）'!$I$4:$I$59</c:f>
            </c:numRef>
          </c:val>
          <c:smooth val="0"/>
          <c:extLst>
            <c:ext xmlns:c16="http://schemas.microsoft.com/office/drawing/2014/chart" uri="{C3380CC4-5D6E-409C-BE32-E72D297353CC}">
              <c16:uniqueId val="{00000007-1795-4F6C-8908-F5BD61F114C9}"/>
            </c:ext>
          </c:extLst>
        </c:ser>
        <c:ser>
          <c:idx val="8"/>
          <c:order val="8"/>
          <c:tx>
            <c:strRef>
              <c:f>'★物価（暦年）'!$J$3</c:f>
              <c:strCache>
                <c:ptCount val="1"/>
                <c:pt idx="0">
                  <c:v>デフレーター
(実現値）</c:v>
                </c:pt>
              </c:strCache>
            </c:strRef>
          </c:tx>
          <c:spPr>
            <a:ln w="28575" cap="rnd">
              <a:solidFill>
                <a:schemeClr val="tx1"/>
              </a:solidFill>
              <a:round/>
            </a:ln>
            <a:effectLst/>
          </c:spPr>
          <c:marker>
            <c:symbol val="none"/>
          </c:marker>
          <c:cat>
            <c:numRef>
              <c:f>'★物価（暦年）'!$A$4:$A$59</c:f>
              <c:numCache>
                <c:formatCode>General</c:formatCode>
                <c:ptCount val="5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pt idx="51">
                  <c:v>2031</c:v>
                </c:pt>
                <c:pt idx="52">
                  <c:v>2032</c:v>
                </c:pt>
                <c:pt idx="53">
                  <c:v>2033</c:v>
                </c:pt>
                <c:pt idx="54">
                  <c:v>2034</c:v>
                </c:pt>
                <c:pt idx="55">
                  <c:v>2035</c:v>
                </c:pt>
              </c:numCache>
            </c:numRef>
          </c:cat>
          <c:val>
            <c:numRef>
              <c:f>'★物価（暦年）'!$J$4:$J$59</c:f>
              <c:numCache>
                <c:formatCode>#,##0.0;[Red]\-#,##0.0</c:formatCode>
                <c:ptCount val="56"/>
                <c:pt idx="0">
                  <c:v>73.742563221981356</c:v>
                </c:pt>
                <c:pt idx="1">
                  <c:v>75.60809235608663</c:v>
                </c:pt>
                <c:pt idx="2">
                  <c:v>75.97315052110109</c:v>
                </c:pt>
                <c:pt idx="3">
                  <c:v>75.996067559359602</c:v>
                </c:pt>
                <c:pt idx="4">
                  <c:v>77.170749590178971</c:v>
                </c:pt>
                <c:pt idx="5">
                  <c:v>77.249224418576006</c:v>
                </c:pt>
                <c:pt idx="6">
                  <c:v>76.829244399207695</c:v>
                </c:pt>
                <c:pt idx="7">
                  <c:v>77.793785513474219</c:v>
                </c:pt>
                <c:pt idx="8">
                  <c:v>79.170416418206841</c:v>
                </c:pt>
                <c:pt idx="9">
                  <c:v>82.799309662833863</c:v>
                </c:pt>
                <c:pt idx="10">
                  <c:v>86.038625218659703</c:v>
                </c:pt>
                <c:pt idx="11">
                  <c:v>88.316565638479702</c:v>
                </c:pt>
                <c:pt idx="12">
                  <c:v>89.706896690494162</c:v>
                </c:pt>
                <c:pt idx="13">
                  <c:v>90.329508961661332</c:v>
                </c:pt>
                <c:pt idx="14">
                  <c:v>90.664530388495578</c:v>
                </c:pt>
                <c:pt idx="15">
                  <c:v>90.784031601001374</c:v>
                </c:pt>
                <c:pt idx="16">
                  <c:v>91.032007942764238</c:v>
                </c:pt>
                <c:pt idx="17">
                  <c:v>91.560941313347541</c:v>
                </c:pt>
                <c:pt idx="18">
                  <c:v>90.302822124043473</c:v>
                </c:pt>
                <c:pt idx="19">
                  <c:v>89.26678790988349</c:v>
                </c:pt>
                <c:pt idx="20">
                  <c:v>89.265695653275998</c:v>
                </c:pt>
                <c:pt idx="21">
                  <c:v>88.172317588368969</c:v>
                </c:pt>
                <c:pt idx="22">
                  <c:v>87.139025180675105</c:v>
                </c:pt>
                <c:pt idx="23">
                  <c:v>87.381425739035706</c:v>
                </c:pt>
                <c:pt idx="24">
                  <c:v>88.323508498689151</c:v>
                </c:pt>
                <c:pt idx="25">
                  <c:v>89.378757780426909</c:v>
                </c:pt>
                <c:pt idx="26">
                  <c:v>91.022066713391254</c:v>
                </c:pt>
                <c:pt idx="27">
                  <c:v>93.154986717757666</c:v>
                </c:pt>
                <c:pt idx="28">
                  <c:v>96.078437798284398</c:v>
                </c:pt>
                <c:pt idx="29">
                  <c:v>94.216873521942347</c:v>
                </c:pt>
                <c:pt idx="30">
                  <c:v>93.34662863656223</c:v>
                </c:pt>
                <c:pt idx="31">
                  <c:v>94.325345784073207</c:v>
                </c:pt>
                <c:pt idx="32">
                  <c:v>94.209300817269664</c:v>
                </c:pt>
                <c:pt idx="33">
                  <c:v>95.85562123816284</c:v>
                </c:pt>
                <c:pt idx="34">
                  <c:v>98.834027706115975</c:v>
                </c:pt>
                <c:pt idx="35">
                  <c:v>99.94148661396747</c:v>
                </c:pt>
                <c:pt idx="36">
                  <c:v>100.20239456830167</c:v>
                </c:pt>
                <c:pt idx="37">
                  <c:v>101.72563526410492</c:v>
                </c:pt>
                <c:pt idx="38">
                  <c:v>104.69268252571544</c:v>
                </c:pt>
                <c:pt idx="39">
                  <c:v>107.4280621551343</c:v>
                </c:pt>
                <c:pt idx="40">
                  <c:v>108.01611282994898</c:v>
                </c:pt>
              </c:numCache>
            </c:numRef>
          </c:val>
          <c:smooth val="0"/>
          <c:extLst>
            <c:ext xmlns:c16="http://schemas.microsoft.com/office/drawing/2014/chart" uri="{C3380CC4-5D6E-409C-BE32-E72D297353CC}">
              <c16:uniqueId val="{00000008-1795-4F6C-8908-F5BD61F114C9}"/>
            </c:ext>
          </c:extLst>
        </c:ser>
        <c:dLbls>
          <c:showLegendKey val="0"/>
          <c:showVal val="0"/>
          <c:showCatName val="0"/>
          <c:showSerName val="0"/>
          <c:showPercent val="0"/>
          <c:showBubbleSize val="0"/>
        </c:dLbls>
        <c:smooth val="0"/>
        <c:axId val="983517359"/>
        <c:axId val="983515695"/>
      </c:lineChart>
      <c:catAx>
        <c:axId val="9835173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83515695"/>
        <c:crosses val="autoZero"/>
        <c:auto val="1"/>
        <c:lblAlgn val="ctr"/>
        <c:lblOffset val="100"/>
        <c:noMultiLvlLbl val="0"/>
      </c:catAx>
      <c:valAx>
        <c:axId val="983515695"/>
        <c:scaling>
          <c:orientation val="minMax"/>
        </c:scaling>
        <c:delete val="0"/>
        <c:axPos val="l"/>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83517359"/>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★資本稼働率!$Q$1</c:f>
              <c:strCache>
                <c:ptCount val="1"/>
                <c:pt idx="0">
                  <c:v>現実資本稼働率</c:v>
                </c:pt>
              </c:strCache>
            </c:strRef>
          </c:tx>
          <c:spPr>
            <a:ln w="28575" cap="rnd">
              <a:solidFill>
                <a:schemeClr val="tx1">
                  <a:lumMod val="85000"/>
                  <a:lumOff val="15000"/>
                </a:schemeClr>
              </a:solidFill>
              <a:round/>
            </a:ln>
            <a:effectLst/>
          </c:spPr>
          <c:marker>
            <c:symbol val="none"/>
          </c:marker>
          <c:cat>
            <c:numRef>
              <c:f>★資本稼働率!$A$2:$A$652</c:f>
              <c:numCache>
                <c:formatCode>yyyy"年"m"月";@</c:formatCode>
                <c:ptCount val="651"/>
                <c:pt idx="0">
                  <c:v>24929</c:v>
                </c:pt>
                <c:pt idx="1">
                  <c:v>24959</c:v>
                </c:pt>
                <c:pt idx="2">
                  <c:v>24990</c:v>
                </c:pt>
                <c:pt idx="3">
                  <c:v>25020</c:v>
                </c:pt>
                <c:pt idx="4">
                  <c:v>25051</c:v>
                </c:pt>
                <c:pt idx="5">
                  <c:v>25082</c:v>
                </c:pt>
                <c:pt idx="6">
                  <c:v>25112</c:v>
                </c:pt>
                <c:pt idx="7">
                  <c:v>25143</c:v>
                </c:pt>
                <c:pt idx="8">
                  <c:v>25173</c:v>
                </c:pt>
                <c:pt idx="9">
                  <c:v>25204</c:v>
                </c:pt>
                <c:pt idx="10">
                  <c:v>25235</c:v>
                </c:pt>
                <c:pt idx="11">
                  <c:v>25263</c:v>
                </c:pt>
                <c:pt idx="12">
                  <c:v>25294</c:v>
                </c:pt>
                <c:pt idx="13">
                  <c:v>25324</c:v>
                </c:pt>
                <c:pt idx="14">
                  <c:v>25355</c:v>
                </c:pt>
                <c:pt idx="15">
                  <c:v>25385</c:v>
                </c:pt>
                <c:pt idx="16">
                  <c:v>25416</c:v>
                </c:pt>
                <c:pt idx="17">
                  <c:v>25447</c:v>
                </c:pt>
                <c:pt idx="18">
                  <c:v>25477</c:v>
                </c:pt>
                <c:pt idx="19">
                  <c:v>25508</c:v>
                </c:pt>
                <c:pt idx="20">
                  <c:v>25538</c:v>
                </c:pt>
                <c:pt idx="21">
                  <c:v>25569</c:v>
                </c:pt>
                <c:pt idx="22">
                  <c:v>25600</c:v>
                </c:pt>
                <c:pt idx="23">
                  <c:v>25628</c:v>
                </c:pt>
                <c:pt idx="24">
                  <c:v>25659</c:v>
                </c:pt>
                <c:pt idx="25">
                  <c:v>25689</c:v>
                </c:pt>
                <c:pt idx="26">
                  <c:v>25720</c:v>
                </c:pt>
                <c:pt idx="27">
                  <c:v>25750</c:v>
                </c:pt>
                <c:pt idx="28">
                  <c:v>25781</c:v>
                </c:pt>
                <c:pt idx="29">
                  <c:v>25812</c:v>
                </c:pt>
                <c:pt idx="30">
                  <c:v>25842</c:v>
                </c:pt>
                <c:pt idx="31">
                  <c:v>25873</c:v>
                </c:pt>
                <c:pt idx="32">
                  <c:v>25903</c:v>
                </c:pt>
                <c:pt idx="33">
                  <c:v>25934</c:v>
                </c:pt>
                <c:pt idx="34">
                  <c:v>25965</c:v>
                </c:pt>
                <c:pt idx="35">
                  <c:v>25993</c:v>
                </c:pt>
                <c:pt idx="36">
                  <c:v>26024</c:v>
                </c:pt>
                <c:pt idx="37">
                  <c:v>26054</c:v>
                </c:pt>
                <c:pt idx="38">
                  <c:v>26085</c:v>
                </c:pt>
                <c:pt idx="39">
                  <c:v>26115</c:v>
                </c:pt>
                <c:pt idx="40">
                  <c:v>26146</c:v>
                </c:pt>
                <c:pt idx="41">
                  <c:v>26177</c:v>
                </c:pt>
                <c:pt idx="42">
                  <c:v>26207</c:v>
                </c:pt>
                <c:pt idx="43">
                  <c:v>26238</c:v>
                </c:pt>
                <c:pt idx="44">
                  <c:v>26268</c:v>
                </c:pt>
                <c:pt idx="45">
                  <c:v>26299</c:v>
                </c:pt>
                <c:pt idx="46">
                  <c:v>26330</c:v>
                </c:pt>
                <c:pt idx="47">
                  <c:v>26359</c:v>
                </c:pt>
                <c:pt idx="48">
                  <c:v>26390</c:v>
                </c:pt>
                <c:pt idx="49">
                  <c:v>26420</c:v>
                </c:pt>
                <c:pt idx="50">
                  <c:v>26451</c:v>
                </c:pt>
                <c:pt idx="51">
                  <c:v>26481</c:v>
                </c:pt>
                <c:pt idx="52">
                  <c:v>26512</c:v>
                </c:pt>
                <c:pt idx="53">
                  <c:v>26543</c:v>
                </c:pt>
                <c:pt idx="54">
                  <c:v>26573</c:v>
                </c:pt>
                <c:pt idx="55">
                  <c:v>26604</c:v>
                </c:pt>
                <c:pt idx="56">
                  <c:v>26634</c:v>
                </c:pt>
                <c:pt idx="57">
                  <c:v>26665</c:v>
                </c:pt>
                <c:pt idx="58">
                  <c:v>26696</c:v>
                </c:pt>
                <c:pt idx="59">
                  <c:v>26724</c:v>
                </c:pt>
                <c:pt idx="60">
                  <c:v>26755</c:v>
                </c:pt>
                <c:pt idx="61">
                  <c:v>26785</c:v>
                </c:pt>
                <c:pt idx="62">
                  <c:v>26816</c:v>
                </c:pt>
                <c:pt idx="63">
                  <c:v>26846</c:v>
                </c:pt>
                <c:pt idx="64">
                  <c:v>26877</c:v>
                </c:pt>
                <c:pt idx="65">
                  <c:v>26908</c:v>
                </c:pt>
                <c:pt idx="66">
                  <c:v>26938</c:v>
                </c:pt>
                <c:pt idx="67">
                  <c:v>26969</c:v>
                </c:pt>
                <c:pt idx="68">
                  <c:v>26999</c:v>
                </c:pt>
                <c:pt idx="69">
                  <c:v>27030</c:v>
                </c:pt>
                <c:pt idx="70">
                  <c:v>27061</c:v>
                </c:pt>
                <c:pt idx="71">
                  <c:v>27089</c:v>
                </c:pt>
                <c:pt idx="72">
                  <c:v>27120</c:v>
                </c:pt>
                <c:pt idx="73">
                  <c:v>27150</c:v>
                </c:pt>
                <c:pt idx="74">
                  <c:v>27181</c:v>
                </c:pt>
                <c:pt idx="75">
                  <c:v>27211</c:v>
                </c:pt>
                <c:pt idx="76">
                  <c:v>27242</c:v>
                </c:pt>
                <c:pt idx="77">
                  <c:v>27273</c:v>
                </c:pt>
                <c:pt idx="78">
                  <c:v>27303</c:v>
                </c:pt>
                <c:pt idx="79">
                  <c:v>27334</c:v>
                </c:pt>
                <c:pt idx="80">
                  <c:v>27364</c:v>
                </c:pt>
                <c:pt idx="81">
                  <c:v>27395</c:v>
                </c:pt>
                <c:pt idx="82">
                  <c:v>27426</c:v>
                </c:pt>
                <c:pt idx="83">
                  <c:v>27454</c:v>
                </c:pt>
                <c:pt idx="84">
                  <c:v>27485</c:v>
                </c:pt>
                <c:pt idx="85">
                  <c:v>27515</c:v>
                </c:pt>
                <c:pt idx="86">
                  <c:v>27546</c:v>
                </c:pt>
                <c:pt idx="87">
                  <c:v>27576</c:v>
                </c:pt>
                <c:pt idx="88">
                  <c:v>27607</c:v>
                </c:pt>
                <c:pt idx="89">
                  <c:v>27638</c:v>
                </c:pt>
                <c:pt idx="90">
                  <c:v>27668</c:v>
                </c:pt>
                <c:pt idx="91">
                  <c:v>27699</c:v>
                </c:pt>
                <c:pt idx="92">
                  <c:v>27729</c:v>
                </c:pt>
                <c:pt idx="93">
                  <c:v>27760</c:v>
                </c:pt>
                <c:pt idx="94">
                  <c:v>27791</c:v>
                </c:pt>
                <c:pt idx="95">
                  <c:v>27820</c:v>
                </c:pt>
                <c:pt idx="96">
                  <c:v>27851</c:v>
                </c:pt>
                <c:pt idx="97">
                  <c:v>27881</c:v>
                </c:pt>
                <c:pt idx="98">
                  <c:v>27912</c:v>
                </c:pt>
                <c:pt idx="99">
                  <c:v>27942</c:v>
                </c:pt>
                <c:pt idx="100">
                  <c:v>27973</c:v>
                </c:pt>
                <c:pt idx="101">
                  <c:v>28004</c:v>
                </c:pt>
                <c:pt idx="102">
                  <c:v>28034</c:v>
                </c:pt>
                <c:pt idx="103">
                  <c:v>28065</c:v>
                </c:pt>
                <c:pt idx="104">
                  <c:v>28095</c:v>
                </c:pt>
                <c:pt idx="105">
                  <c:v>28126</c:v>
                </c:pt>
                <c:pt idx="106">
                  <c:v>28157</c:v>
                </c:pt>
                <c:pt idx="107">
                  <c:v>28185</c:v>
                </c:pt>
                <c:pt idx="108">
                  <c:v>28216</c:v>
                </c:pt>
                <c:pt idx="109">
                  <c:v>28246</c:v>
                </c:pt>
                <c:pt idx="110">
                  <c:v>28277</c:v>
                </c:pt>
                <c:pt idx="111">
                  <c:v>28307</c:v>
                </c:pt>
                <c:pt idx="112">
                  <c:v>28338</c:v>
                </c:pt>
                <c:pt idx="113">
                  <c:v>28369</c:v>
                </c:pt>
                <c:pt idx="114">
                  <c:v>28399</c:v>
                </c:pt>
                <c:pt idx="115">
                  <c:v>28430</c:v>
                </c:pt>
                <c:pt idx="116">
                  <c:v>28460</c:v>
                </c:pt>
                <c:pt idx="117">
                  <c:v>28491</c:v>
                </c:pt>
                <c:pt idx="118">
                  <c:v>28522</c:v>
                </c:pt>
                <c:pt idx="119">
                  <c:v>28550</c:v>
                </c:pt>
                <c:pt idx="120">
                  <c:v>28581</c:v>
                </c:pt>
                <c:pt idx="121">
                  <c:v>28611</c:v>
                </c:pt>
                <c:pt idx="122">
                  <c:v>28642</c:v>
                </c:pt>
                <c:pt idx="123">
                  <c:v>28672</c:v>
                </c:pt>
                <c:pt idx="124">
                  <c:v>28703</c:v>
                </c:pt>
                <c:pt idx="125">
                  <c:v>28734</c:v>
                </c:pt>
                <c:pt idx="126">
                  <c:v>28764</c:v>
                </c:pt>
                <c:pt idx="127">
                  <c:v>28795</c:v>
                </c:pt>
                <c:pt idx="128">
                  <c:v>28825</c:v>
                </c:pt>
                <c:pt idx="129">
                  <c:v>28856</c:v>
                </c:pt>
                <c:pt idx="130">
                  <c:v>28887</c:v>
                </c:pt>
                <c:pt idx="131">
                  <c:v>28915</c:v>
                </c:pt>
                <c:pt idx="132">
                  <c:v>28946</c:v>
                </c:pt>
                <c:pt idx="133">
                  <c:v>28976</c:v>
                </c:pt>
                <c:pt idx="134">
                  <c:v>29007</c:v>
                </c:pt>
                <c:pt idx="135">
                  <c:v>29037</c:v>
                </c:pt>
                <c:pt idx="136">
                  <c:v>29068</c:v>
                </c:pt>
                <c:pt idx="137">
                  <c:v>29099</c:v>
                </c:pt>
                <c:pt idx="138">
                  <c:v>29129</c:v>
                </c:pt>
                <c:pt idx="139">
                  <c:v>29160</c:v>
                </c:pt>
                <c:pt idx="140">
                  <c:v>29190</c:v>
                </c:pt>
                <c:pt idx="141">
                  <c:v>29221</c:v>
                </c:pt>
                <c:pt idx="142">
                  <c:v>29252</c:v>
                </c:pt>
                <c:pt idx="143">
                  <c:v>29281</c:v>
                </c:pt>
                <c:pt idx="144">
                  <c:v>29312</c:v>
                </c:pt>
                <c:pt idx="145">
                  <c:v>29342</c:v>
                </c:pt>
                <c:pt idx="146">
                  <c:v>29373</c:v>
                </c:pt>
                <c:pt idx="147">
                  <c:v>29403</c:v>
                </c:pt>
                <c:pt idx="148">
                  <c:v>29434</c:v>
                </c:pt>
                <c:pt idx="149">
                  <c:v>29465</c:v>
                </c:pt>
                <c:pt idx="150">
                  <c:v>29495</c:v>
                </c:pt>
                <c:pt idx="151">
                  <c:v>29526</c:v>
                </c:pt>
                <c:pt idx="152">
                  <c:v>29556</c:v>
                </c:pt>
                <c:pt idx="153">
                  <c:v>29587</c:v>
                </c:pt>
                <c:pt idx="154">
                  <c:v>29618</c:v>
                </c:pt>
                <c:pt idx="155">
                  <c:v>29646</c:v>
                </c:pt>
                <c:pt idx="156">
                  <c:v>29677</c:v>
                </c:pt>
                <c:pt idx="157">
                  <c:v>29707</c:v>
                </c:pt>
                <c:pt idx="158">
                  <c:v>29738</c:v>
                </c:pt>
                <c:pt idx="159">
                  <c:v>29768</c:v>
                </c:pt>
                <c:pt idx="160">
                  <c:v>29799</c:v>
                </c:pt>
                <c:pt idx="161">
                  <c:v>29830</c:v>
                </c:pt>
                <c:pt idx="162">
                  <c:v>29860</c:v>
                </c:pt>
                <c:pt idx="163">
                  <c:v>29891</c:v>
                </c:pt>
                <c:pt idx="164">
                  <c:v>29921</c:v>
                </c:pt>
                <c:pt idx="165">
                  <c:v>29952</c:v>
                </c:pt>
                <c:pt idx="166">
                  <c:v>29983</c:v>
                </c:pt>
                <c:pt idx="167">
                  <c:v>30011</c:v>
                </c:pt>
                <c:pt idx="168">
                  <c:v>30042</c:v>
                </c:pt>
                <c:pt idx="169">
                  <c:v>30072</c:v>
                </c:pt>
                <c:pt idx="170">
                  <c:v>30103</c:v>
                </c:pt>
                <c:pt idx="171">
                  <c:v>30133</c:v>
                </c:pt>
                <c:pt idx="172">
                  <c:v>30164</c:v>
                </c:pt>
                <c:pt idx="173">
                  <c:v>30195</c:v>
                </c:pt>
                <c:pt idx="174">
                  <c:v>30225</c:v>
                </c:pt>
                <c:pt idx="175">
                  <c:v>30256</c:v>
                </c:pt>
                <c:pt idx="176">
                  <c:v>30286</c:v>
                </c:pt>
                <c:pt idx="177">
                  <c:v>30317</c:v>
                </c:pt>
                <c:pt idx="178">
                  <c:v>30348</c:v>
                </c:pt>
                <c:pt idx="179">
                  <c:v>30376</c:v>
                </c:pt>
                <c:pt idx="180">
                  <c:v>30407</c:v>
                </c:pt>
                <c:pt idx="181">
                  <c:v>30437</c:v>
                </c:pt>
                <c:pt idx="182">
                  <c:v>30468</c:v>
                </c:pt>
                <c:pt idx="183">
                  <c:v>30498</c:v>
                </c:pt>
                <c:pt idx="184">
                  <c:v>30529</c:v>
                </c:pt>
                <c:pt idx="185">
                  <c:v>30560</c:v>
                </c:pt>
                <c:pt idx="186">
                  <c:v>30590</c:v>
                </c:pt>
                <c:pt idx="187">
                  <c:v>30621</c:v>
                </c:pt>
                <c:pt idx="188">
                  <c:v>30651</c:v>
                </c:pt>
                <c:pt idx="189">
                  <c:v>30682</c:v>
                </c:pt>
                <c:pt idx="190">
                  <c:v>30713</c:v>
                </c:pt>
                <c:pt idx="191">
                  <c:v>30742</c:v>
                </c:pt>
                <c:pt idx="192">
                  <c:v>30773</c:v>
                </c:pt>
                <c:pt idx="193">
                  <c:v>30803</c:v>
                </c:pt>
                <c:pt idx="194">
                  <c:v>30834</c:v>
                </c:pt>
                <c:pt idx="195">
                  <c:v>30864</c:v>
                </c:pt>
                <c:pt idx="196">
                  <c:v>30895</c:v>
                </c:pt>
                <c:pt idx="197">
                  <c:v>30926</c:v>
                </c:pt>
                <c:pt idx="198">
                  <c:v>30956</c:v>
                </c:pt>
                <c:pt idx="199">
                  <c:v>30987</c:v>
                </c:pt>
                <c:pt idx="200">
                  <c:v>31017</c:v>
                </c:pt>
                <c:pt idx="201">
                  <c:v>31048</c:v>
                </c:pt>
                <c:pt idx="202">
                  <c:v>31079</c:v>
                </c:pt>
                <c:pt idx="203">
                  <c:v>31107</c:v>
                </c:pt>
                <c:pt idx="204">
                  <c:v>31138</c:v>
                </c:pt>
                <c:pt idx="205">
                  <c:v>31168</c:v>
                </c:pt>
                <c:pt idx="206">
                  <c:v>31199</c:v>
                </c:pt>
                <c:pt idx="207">
                  <c:v>31229</c:v>
                </c:pt>
                <c:pt idx="208">
                  <c:v>31260</c:v>
                </c:pt>
                <c:pt idx="209">
                  <c:v>31291</c:v>
                </c:pt>
                <c:pt idx="210">
                  <c:v>31321</c:v>
                </c:pt>
                <c:pt idx="211">
                  <c:v>31352</c:v>
                </c:pt>
                <c:pt idx="212">
                  <c:v>31382</c:v>
                </c:pt>
                <c:pt idx="213">
                  <c:v>31413</c:v>
                </c:pt>
                <c:pt idx="214">
                  <c:v>31444</c:v>
                </c:pt>
                <c:pt idx="215">
                  <c:v>31472</c:v>
                </c:pt>
                <c:pt idx="216">
                  <c:v>31503</c:v>
                </c:pt>
                <c:pt idx="217">
                  <c:v>31533</c:v>
                </c:pt>
                <c:pt idx="218">
                  <c:v>31564</c:v>
                </c:pt>
                <c:pt idx="219">
                  <c:v>31594</c:v>
                </c:pt>
                <c:pt idx="220">
                  <c:v>31625</c:v>
                </c:pt>
                <c:pt idx="221">
                  <c:v>31656</c:v>
                </c:pt>
                <c:pt idx="222">
                  <c:v>31686</c:v>
                </c:pt>
                <c:pt idx="223">
                  <c:v>31717</c:v>
                </c:pt>
                <c:pt idx="224">
                  <c:v>31747</c:v>
                </c:pt>
                <c:pt idx="225">
                  <c:v>31778</c:v>
                </c:pt>
                <c:pt idx="226">
                  <c:v>31809</c:v>
                </c:pt>
                <c:pt idx="227">
                  <c:v>31837</c:v>
                </c:pt>
                <c:pt idx="228">
                  <c:v>31868</c:v>
                </c:pt>
                <c:pt idx="229">
                  <c:v>31898</c:v>
                </c:pt>
                <c:pt idx="230">
                  <c:v>31929</c:v>
                </c:pt>
                <c:pt idx="231">
                  <c:v>31959</c:v>
                </c:pt>
                <c:pt idx="232">
                  <c:v>31990</c:v>
                </c:pt>
                <c:pt idx="233">
                  <c:v>32021</c:v>
                </c:pt>
                <c:pt idx="234">
                  <c:v>32051</c:v>
                </c:pt>
                <c:pt idx="235">
                  <c:v>32082</c:v>
                </c:pt>
                <c:pt idx="236">
                  <c:v>32112</c:v>
                </c:pt>
                <c:pt idx="237">
                  <c:v>32143</c:v>
                </c:pt>
                <c:pt idx="238">
                  <c:v>32174</c:v>
                </c:pt>
                <c:pt idx="239">
                  <c:v>32203</c:v>
                </c:pt>
                <c:pt idx="240">
                  <c:v>32234</c:v>
                </c:pt>
                <c:pt idx="241">
                  <c:v>32264</c:v>
                </c:pt>
                <c:pt idx="242">
                  <c:v>32295</c:v>
                </c:pt>
                <c:pt idx="243">
                  <c:v>32325</c:v>
                </c:pt>
                <c:pt idx="244">
                  <c:v>32356</c:v>
                </c:pt>
                <c:pt idx="245">
                  <c:v>32387</c:v>
                </c:pt>
                <c:pt idx="246">
                  <c:v>32417</c:v>
                </c:pt>
                <c:pt idx="247">
                  <c:v>32448</c:v>
                </c:pt>
                <c:pt idx="248">
                  <c:v>32478</c:v>
                </c:pt>
                <c:pt idx="249">
                  <c:v>32509</c:v>
                </c:pt>
                <c:pt idx="250">
                  <c:v>32540</c:v>
                </c:pt>
                <c:pt idx="251">
                  <c:v>32568</c:v>
                </c:pt>
                <c:pt idx="252">
                  <c:v>32599</c:v>
                </c:pt>
                <c:pt idx="253">
                  <c:v>32629</c:v>
                </c:pt>
                <c:pt idx="254">
                  <c:v>32660</c:v>
                </c:pt>
                <c:pt idx="255">
                  <c:v>32690</c:v>
                </c:pt>
                <c:pt idx="256">
                  <c:v>32721</c:v>
                </c:pt>
                <c:pt idx="257">
                  <c:v>32752</c:v>
                </c:pt>
                <c:pt idx="258">
                  <c:v>32782</c:v>
                </c:pt>
                <c:pt idx="259">
                  <c:v>32813</c:v>
                </c:pt>
                <c:pt idx="260">
                  <c:v>32843</c:v>
                </c:pt>
                <c:pt idx="261">
                  <c:v>32874</c:v>
                </c:pt>
                <c:pt idx="262">
                  <c:v>32905</c:v>
                </c:pt>
                <c:pt idx="263">
                  <c:v>32933</c:v>
                </c:pt>
                <c:pt idx="264">
                  <c:v>32964</c:v>
                </c:pt>
                <c:pt idx="265">
                  <c:v>32994</c:v>
                </c:pt>
                <c:pt idx="266">
                  <c:v>33025</c:v>
                </c:pt>
                <c:pt idx="267">
                  <c:v>33055</c:v>
                </c:pt>
                <c:pt idx="268">
                  <c:v>33086</c:v>
                </c:pt>
                <c:pt idx="269">
                  <c:v>33117</c:v>
                </c:pt>
                <c:pt idx="270">
                  <c:v>33147</c:v>
                </c:pt>
                <c:pt idx="271">
                  <c:v>33178</c:v>
                </c:pt>
                <c:pt idx="272">
                  <c:v>33208</c:v>
                </c:pt>
                <c:pt idx="273">
                  <c:v>33239</c:v>
                </c:pt>
                <c:pt idx="274">
                  <c:v>33270</c:v>
                </c:pt>
                <c:pt idx="275">
                  <c:v>33298</c:v>
                </c:pt>
                <c:pt idx="276">
                  <c:v>33329</c:v>
                </c:pt>
                <c:pt idx="277">
                  <c:v>33359</c:v>
                </c:pt>
                <c:pt idx="278">
                  <c:v>33390</c:v>
                </c:pt>
                <c:pt idx="279">
                  <c:v>33420</c:v>
                </c:pt>
                <c:pt idx="280">
                  <c:v>33451</c:v>
                </c:pt>
                <c:pt idx="281">
                  <c:v>33482</c:v>
                </c:pt>
                <c:pt idx="282">
                  <c:v>33512</c:v>
                </c:pt>
                <c:pt idx="283">
                  <c:v>33543</c:v>
                </c:pt>
                <c:pt idx="284">
                  <c:v>33573</c:v>
                </c:pt>
                <c:pt idx="285">
                  <c:v>33604</c:v>
                </c:pt>
                <c:pt idx="286">
                  <c:v>33635</c:v>
                </c:pt>
                <c:pt idx="287">
                  <c:v>33664</c:v>
                </c:pt>
                <c:pt idx="288">
                  <c:v>33695</c:v>
                </c:pt>
                <c:pt idx="289">
                  <c:v>33725</c:v>
                </c:pt>
                <c:pt idx="290">
                  <c:v>33756</c:v>
                </c:pt>
                <c:pt idx="291">
                  <c:v>33786</c:v>
                </c:pt>
                <c:pt idx="292">
                  <c:v>33817</c:v>
                </c:pt>
                <c:pt idx="293">
                  <c:v>33848</c:v>
                </c:pt>
                <c:pt idx="294">
                  <c:v>33878</c:v>
                </c:pt>
                <c:pt idx="295">
                  <c:v>33909</c:v>
                </c:pt>
                <c:pt idx="296">
                  <c:v>33939</c:v>
                </c:pt>
                <c:pt idx="297">
                  <c:v>33970</c:v>
                </c:pt>
                <c:pt idx="298">
                  <c:v>34001</c:v>
                </c:pt>
                <c:pt idx="299">
                  <c:v>34029</c:v>
                </c:pt>
                <c:pt idx="300">
                  <c:v>34060</c:v>
                </c:pt>
                <c:pt idx="301">
                  <c:v>34090</c:v>
                </c:pt>
                <c:pt idx="302">
                  <c:v>34121</c:v>
                </c:pt>
                <c:pt idx="303">
                  <c:v>34151</c:v>
                </c:pt>
                <c:pt idx="304">
                  <c:v>34182</c:v>
                </c:pt>
                <c:pt idx="305">
                  <c:v>34213</c:v>
                </c:pt>
                <c:pt idx="306">
                  <c:v>34243</c:v>
                </c:pt>
                <c:pt idx="307">
                  <c:v>34274</c:v>
                </c:pt>
                <c:pt idx="308">
                  <c:v>34304</c:v>
                </c:pt>
                <c:pt idx="309">
                  <c:v>34335</c:v>
                </c:pt>
                <c:pt idx="310">
                  <c:v>34366</c:v>
                </c:pt>
                <c:pt idx="311">
                  <c:v>34394</c:v>
                </c:pt>
                <c:pt idx="312">
                  <c:v>34425</c:v>
                </c:pt>
                <c:pt idx="313">
                  <c:v>34455</c:v>
                </c:pt>
                <c:pt idx="314">
                  <c:v>34486</c:v>
                </c:pt>
                <c:pt idx="315">
                  <c:v>34516</c:v>
                </c:pt>
                <c:pt idx="316">
                  <c:v>34547</c:v>
                </c:pt>
                <c:pt idx="317">
                  <c:v>34578</c:v>
                </c:pt>
                <c:pt idx="318">
                  <c:v>34608</c:v>
                </c:pt>
                <c:pt idx="319">
                  <c:v>34639</c:v>
                </c:pt>
                <c:pt idx="320">
                  <c:v>34669</c:v>
                </c:pt>
                <c:pt idx="321">
                  <c:v>34700</c:v>
                </c:pt>
                <c:pt idx="322">
                  <c:v>34731</c:v>
                </c:pt>
                <c:pt idx="323">
                  <c:v>34759</c:v>
                </c:pt>
                <c:pt idx="324">
                  <c:v>34790</c:v>
                </c:pt>
                <c:pt idx="325">
                  <c:v>34820</c:v>
                </c:pt>
                <c:pt idx="326">
                  <c:v>34851</c:v>
                </c:pt>
                <c:pt idx="327">
                  <c:v>34881</c:v>
                </c:pt>
                <c:pt idx="328">
                  <c:v>34912</c:v>
                </c:pt>
                <c:pt idx="329">
                  <c:v>34943</c:v>
                </c:pt>
                <c:pt idx="330">
                  <c:v>34973</c:v>
                </c:pt>
                <c:pt idx="331">
                  <c:v>35004</c:v>
                </c:pt>
                <c:pt idx="332">
                  <c:v>35034</c:v>
                </c:pt>
                <c:pt idx="333">
                  <c:v>35065</c:v>
                </c:pt>
                <c:pt idx="334">
                  <c:v>35096</c:v>
                </c:pt>
                <c:pt idx="335">
                  <c:v>35125</c:v>
                </c:pt>
                <c:pt idx="336">
                  <c:v>35156</c:v>
                </c:pt>
                <c:pt idx="337">
                  <c:v>35186</c:v>
                </c:pt>
                <c:pt idx="338">
                  <c:v>35217</c:v>
                </c:pt>
                <c:pt idx="339">
                  <c:v>35247</c:v>
                </c:pt>
                <c:pt idx="340">
                  <c:v>35278</c:v>
                </c:pt>
                <c:pt idx="341">
                  <c:v>35309</c:v>
                </c:pt>
                <c:pt idx="342">
                  <c:v>35339</c:v>
                </c:pt>
                <c:pt idx="343">
                  <c:v>35370</c:v>
                </c:pt>
                <c:pt idx="344">
                  <c:v>35400</c:v>
                </c:pt>
                <c:pt idx="345">
                  <c:v>35431</c:v>
                </c:pt>
                <c:pt idx="346">
                  <c:v>35462</c:v>
                </c:pt>
                <c:pt idx="347">
                  <c:v>35490</c:v>
                </c:pt>
                <c:pt idx="348">
                  <c:v>35521</c:v>
                </c:pt>
                <c:pt idx="349">
                  <c:v>35551</c:v>
                </c:pt>
                <c:pt idx="350">
                  <c:v>35582</c:v>
                </c:pt>
                <c:pt idx="351">
                  <c:v>35612</c:v>
                </c:pt>
                <c:pt idx="352">
                  <c:v>35643</c:v>
                </c:pt>
                <c:pt idx="353">
                  <c:v>35674</c:v>
                </c:pt>
                <c:pt idx="354">
                  <c:v>35704</c:v>
                </c:pt>
                <c:pt idx="355">
                  <c:v>35735</c:v>
                </c:pt>
                <c:pt idx="356">
                  <c:v>35765</c:v>
                </c:pt>
                <c:pt idx="357">
                  <c:v>35796</c:v>
                </c:pt>
                <c:pt idx="358">
                  <c:v>35827</c:v>
                </c:pt>
                <c:pt idx="359">
                  <c:v>35855</c:v>
                </c:pt>
                <c:pt idx="360">
                  <c:v>35886</c:v>
                </c:pt>
                <c:pt idx="361">
                  <c:v>35916</c:v>
                </c:pt>
                <c:pt idx="362">
                  <c:v>35947</c:v>
                </c:pt>
                <c:pt idx="363">
                  <c:v>35977</c:v>
                </c:pt>
                <c:pt idx="364">
                  <c:v>36008</c:v>
                </c:pt>
                <c:pt idx="365">
                  <c:v>36039</c:v>
                </c:pt>
                <c:pt idx="366">
                  <c:v>36069</c:v>
                </c:pt>
                <c:pt idx="367">
                  <c:v>36100</c:v>
                </c:pt>
                <c:pt idx="368">
                  <c:v>36130</c:v>
                </c:pt>
                <c:pt idx="369">
                  <c:v>36161</c:v>
                </c:pt>
                <c:pt idx="370">
                  <c:v>36192</c:v>
                </c:pt>
                <c:pt idx="371">
                  <c:v>36220</c:v>
                </c:pt>
                <c:pt idx="372">
                  <c:v>36251</c:v>
                </c:pt>
                <c:pt idx="373">
                  <c:v>36281</c:v>
                </c:pt>
                <c:pt idx="374">
                  <c:v>36312</c:v>
                </c:pt>
                <c:pt idx="375">
                  <c:v>36342</c:v>
                </c:pt>
                <c:pt idx="376">
                  <c:v>36373</c:v>
                </c:pt>
                <c:pt idx="377">
                  <c:v>36404</c:v>
                </c:pt>
                <c:pt idx="378">
                  <c:v>36434</c:v>
                </c:pt>
                <c:pt idx="379">
                  <c:v>36465</c:v>
                </c:pt>
                <c:pt idx="380">
                  <c:v>36495</c:v>
                </c:pt>
                <c:pt idx="381">
                  <c:v>36526</c:v>
                </c:pt>
                <c:pt idx="382">
                  <c:v>36557</c:v>
                </c:pt>
                <c:pt idx="383">
                  <c:v>36586</c:v>
                </c:pt>
                <c:pt idx="384">
                  <c:v>36617</c:v>
                </c:pt>
                <c:pt idx="385">
                  <c:v>36647</c:v>
                </c:pt>
                <c:pt idx="386">
                  <c:v>36678</c:v>
                </c:pt>
                <c:pt idx="387">
                  <c:v>36708</c:v>
                </c:pt>
                <c:pt idx="388">
                  <c:v>36739</c:v>
                </c:pt>
                <c:pt idx="389">
                  <c:v>36770</c:v>
                </c:pt>
                <c:pt idx="390">
                  <c:v>36800</c:v>
                </c:pt>
                <c:pt idx="391">
                  <c:v>36831</c:v>
                </c:pt>
                <c:pt idx="392">
                  <c:v>36861</c:v>
                </c:pt>
                <c:pt idx="393">
                  <c:v>36892</c:v>
                </c:pt>
                <c:pt idx="394">
                  <c:v>36923</c:v>
                </c:pt>
                <c:pt idx="395">
                  <c:v>36951</c:v>
                </c:pt>
                <c:pt idx="396">
                  <c:v>36982</c:v>
                </c:pt>
                <c:pt idx="397">
                  <c:v>37012</c:v>
                </c:pt>
                <c:pt idx="398">
                  <c:v>37043</c:v>
                </c:pt>
                <c:pt idx="399">
                  <c:v>37073</c:v>
                </c:pt>
                <c:pt idx="400">
                  <c:v>37104</c:v>
                </c:pt>
                <c:pt idx="401">
                  <c:v>37135</c:v>
                </c:pt>
                <c:pt idx="402">
                  <c:v>37165</c:v>
                </c:pt>
                <c:pt idx="403">
                  <c:v>37196</c:v>
                </c:pt>
                <c:pt idx="404">
                  <c:v>37226</c:v>
                </c:pt>
                <c:pt idx="405">
                  <c:v>37257</c:v>
                </c:pt>
                <c:pt idx="406">
                  <c:v>37288</c:v>
                </c:pt>
                <c:pt idx="407">
                  <c:v>37316</c:v>
                </c:pt>
                <c:pt idx="408">
                  <c:v>37347</c:v>
                </c:pt>
                <c:pt idx="409">
                  <c:v>37377</c:v>
                </c:pt>
                <c:pt idx="410">
                  <c:v>37408</c:v>
                </c:pt>
                <c:pt idx="411">
                  <c:v>37438</c:v>
                </c:pt>
                <c:pt idx="412">
                  <c:v>37469</c:v>
                </c:pt>
                <c:pt idx="413">
                  <c:v>37500</c:v>
                </c:pt>
                <c:pt idx="414">
                  <c:v>37530</c:v>
                </c:pt>
                <c:pt idx="415">
                  <c:v>37561</c:v>
                </c:pt>
                <c:pt idx="416">
                  <c:v>37591</c:v>
                </c:pt>
                <c:pt idx="417">
                  <c:v>37622</c:v>
                </c:pt>
                <c:pt idx="418">
                  <c:v>37653</c:v>
                </c:pt>
                <c:pt idx="419">
                  <c:v>37681</c:v>
                </c:pt>
                <c:pt idx="420">
                  <c:v>37712</c:v>
                </c:pt>
                <c:pt idx="421">
                  <c:v>37742</c:v>
                </c:pt>
                <c:pt idx="422">
                  <c:v>37773</c:v>
                </c:pt>
                <c:pt idx="423">
                  <c:v>37803</c:v>
                </c:pt>
                <c:pt idx="424">
                  <c:v>37834</c:v>
                </c:pt>
                <c:pt idx="425">
                  <c:v>37865</c:v>
                </c:pt>
                <c:pt idx="426">
                  <c:v>37895</c:v>
                </c:pt>
                <c:pt idx="427">
                  <c:v>37926</c:v>
                </c:pt>
                <c:pt idx="428">
                  <c:v>37956</c:v>
                </c:pt>
                <c:pt idx="429">
                  <c:v>37987</c:v>
                </c:pt>
                <c:pt idx="430">
                  <c:v>38018</c:v>
                </c:pt>
                <c:pt idx="431">
                  <c:v>38047</c:v>
                </c:pt>
                <c:pt idx="432">
                  <c:v>38078</c:v>
                </c:pt>
                <c:pt idx="433">
                  <c:v>38108</c:v>
                </c:pt>
                <c:pt idx="434">
                  <c:v>38139</c:v>
                </c:pt>
                <c:pt idx="435">
                  <c:v>38169</c:v>
                </c:pt>
                <c:pt idx="436">
                  <c:v>38200</c:v>
                </c:pt>
                <c:pt idx="437">
                  <c:v>38231</c:v>
                </c:pt>
                <c:pt idx="438">
                  <c:v>38261</c:v>
                </c:pt>
                <c:pt idx="439">
                  <c:v>38292</c:v>
                </c:pt>
                <c:pt idx="440">
                  <c:v>38322</c:v>
                </c:pt>
                <c:pt idx="441">
                  <c:v>38353</c:v>
                </c:pt>
                <c:pt idx="442">
                  <c:v>38384</c:v>
                </c:pt>
                <c:pt idx="443">
                  <c:v>38412</c:v>
                </c:pt>
                <c:pt idx="444">
                  <c:v>38443</c:v>
                </c:pt>
                <c:pt idx="445">
                  <c:v>38473</c:v>
                </c:pt>
                <c:pt idx="446">
                  <c:v>38504</c:v>
                </c:pt>
                <c:pt idx="447">
                  <c:v>38534</c:v>
                </c:pt>
                <c:pt idx="448">
                  <c:v>38565</c:v>
                </c:pt>
                <c:pt idx="449">
                  <c:v>38596</c:v>
                </c:pt>
                <c:pt idx="450">
                  <c:v>38626</c:v>
                </c:pt>
                <c:pt idx="451">
                  <c:v>38657</c:v>
                </c:pt>
                <c:pt idx="452">
                  <c:v>38687</c:v>
                </c:pt>
                <c:pt idx="453">
                  <c:v>38718</c:v>
                </c:pt>
                <c:pt idx="454">
                  <c:v>38749</c:v>
                </c:pt>
                <c:pt idx="455">
                  <c:v>38777</c:v>
                </c:pt>
                <c:pt idx="456">
                  <c:v>38808</c:v>
                </c:pt>
                <c:pt idx="457">
                  <c:v>38838</c:v>
                </c:pt>
                <c:pt idx="458">
                  <c:v>38869</c:v>
                </c:pt>
                <c:pt idx="459">
                  <c:v>38899</c:v>
                </c:pt>
                <c:pt idx="460">
                  <c:v>38930</c:v>
                </c:pt>
                <c:pt idx="461">
                  <c:v>38961</c:v>
                </c:pt>
                <c:pt idx="462">
                  <c:v>38991</c:v>
                </c:pt>
                <c:pt idx="463">
                  <c:v>39022</c:v>
                </c:pt>
                <c:pt idx="464">
                  <c:v>39052</c:v>
                </c:pt>
                <c:pt idx="465">
                  <c:v>39083</c:v>
                </c:pt>
                <c:pt idx="466">
                  <c:v>39114</c:v>
                </c:pt>
                <c:pt idx="467">
                  <c:v>39142</c:v>
                </c:pt>
                <c:pt idx="468">
                  <c:v>39173</c:v>
                </c:pt>
                <c:pt idx="469">
                  <c:v>39203</c:v>
                </c:pt>
                <c:pt idx="470">
                  <c:v>39234</c:v>
                </c:pt>
                <c:pt idx="471">
                  <c:v>39264</c:v>
                </c:pt>
                <c:pt idx="472">
                  <c:v>39295</c:v>
                </c:pt>
                <c:pt idx="473">
                  <c:v>39326</c:v>
                </c:pt>
                <c:pt idx="474">
                  <c:v>39356</c:v>
                </c:pt>
                <c:pt idx="475">
                  <c:v>39387</c:v>
                </c:pt>
                <c:pt idx="476">
                  <c:v>39417</c:v>
                </c:pt>
                <c:pt idx="477">
                  <c:v>39448</c:v>
                </c:pt>
                <c:pt idx="478">
                  <c:v>39479</c:v>
                </c:pt>
                <c:pt idx="479">
                  <c:v>39508</c:v>
                </c:pt>
                <c:pt idx="480">
                  <c:v>39539</c:v>
                </c:pt>
                <c:pt idx="481">
                  <c:v>39569</c:v>
                </c:pt>
                <c:pt idx="482">
                  <c:v>39600</c:v>
                </c:pt>
                <c:pt idx="483">
                  <c:v>39630</c:v>
                </c:pt>
                <c:pt idx="484">
                  <c:v>39661</c:v>
                </c:pt>
                <c:pt idx="485">
                  <c:v>39692</c:v>
                </c:pt>
                <c:pt idx="486">
                  <c:v>39722</c:v>
                </c:pt>
                <c:pt idx="487">
                  <c:v>39753</c:v>
                </c:pt>
                <c:pt idx="488">
                  <c:v>39783</c:v>
                </c:pt>
                <c:pt idx="489">
                  <c:v>39814</c:v>
                </c:pt>
                <c:pt idx="490">
                  <c:v>39845</c:v>
                </c:pt>
                <c:pt idx="491">
                  <c:v>39873</c:v>
                </c:pt>
                <c:pt idx="492">
                  <c:v>39904</c:v>
                </c:pt>
                <c:pt idx="493">
                  <c:v>39934</c:v>
                </c:pt>
                <c:pt idx="494">
                  <c:v>39965</c:v>
                </c:pt>
                <c:pt idx="495">
                  <c:v>39995</c:v>
                </c:pt>
                <c:pt idx="496">
                  <c:v>40026</c:v>
                </c:pt>
                <c:pt idx="497">
                  <c:v>40057</c:v>
                </c:pt>
                <c:pt idx="498">
                  <c:v>40087</c:v>
                </c:pt>
                <c:pt idx="499">
                  <c:v>40118</c:v>
                </c:pt>
                <c:pt idx="500">
                  <c:v>40148</c:v>
                </c:pt>
                <c:pt idx="501">
                  <c:v>40179</c:v>
                </c:pt>
                <c:pt idx="502">
                  <c:v>40210</c:v>
                </c:pt>
                <c:pt idx="503">
                  <c:v>40238</c:v>
                </c:pt>
                <c:pt idx="504">
                  <c:v>40269</c:v>
                </c:pt>
                <c:pt idx="505">
                  <c:v>40299</c:v>
                </c:pt>
                <c:pt idx="506">
                  <c:v>40330</c:v>
                </c:pt>
                <c:pt idx="507">
                  <c:v>40360</c:v>
                </c:pt>
                <c:pt idx="508">
                  <c:v>40391</c:v>
                </c:pt>
                <c:pt idx="509">
                  <c:v>40422</c:v>
                </c:pt>
                <c:pt idx="510">
                  <c:v>40452</c:v>
                </c:pt>
                <c:pt idx="511">
                  <c:v>40483</c:v>
                </c:pt>
                <c:pt idx="512">
                  <c:v>40513</c:v>
                </c:pt>
                <c:pt idx="513">
                  <c:v>40544</c:v>
                </c:pt>
                <c:pt idx="514">
                  <c:v>40575</c:v>
                </c:pt>
                <c:pt idx="515">
                  <c:v>40603</c:v>
                </c:pt>
                <c:pt idx="516">
                  <c:v>40634</c:v>
                </c:pt>
                <c:pt idx="517">
                  <c:v>40664</c:v>
                </c:pt>
                <c:pt idx="518">
                  <c:v>40695</c:v>
                </c:pt>
                <c:pt idx="519">
                  <c:v>40725</c:v>
                </c:pt>
                <c:pt idx="520">
                  <c:v>40756</c:v>
                </c:pt>
                <c:pt idx="521">
                  <c:v>40787</c:v>
                </c:pt>
                <c:pt idx="522">
                  <c:v>40817</c:v>
                </c:pt>
                <c:pt idx="523">
                  <c:v>40848</c:v>
                </c:pt>
                <c:pt idx="524">
                  <c:v>40878</c:v>
                </c:pt>
                <c:pt idx="525">
                  <c:v>40909</c:v>
                </c:pt>
                <c:pt idx="526">
                  <c:v>40940</c:v>
                </c:pt>
                <c:pt idx="527">
                  <c:v>40969</c:v>
                </c:pt>
                <c:pt idx="528">
                  <c:v>41000</c:v>
                </c:pt>
                <c:pt idx="529">
                  <c:v>41030</c:v>
                </c:pt>
                <c:pt idx="530">
                  <c:v>41061</c:v>
                </c:pt>
                <c:pt idx="531">
                  <c:v>41091</c:v>
                </c:pt>
                <c:pt idx="532">
                  <c:v>41122</c:v>
                </c:pt>
                <c:pt idx="533">
                  <c:v>41153</c:v>
                </c:pt>
                <c:pt idx="534">
                  <c:v>41183</c:v>
                </c:pt>
                <c:pt idx="535">
                  <c:v>41214</c:v>
                </c:pt>
                <c:pt idx="536">
                  <c:v>41244</c:v>
                </c:pt>
                <c:pt idx="537">
                  <c:v>41275</c:v>
                </c:pt>
                <c:pt idx="538">
                  <c:v>41306</c:v>
                </c:pt>
                <c:pt idx="539">
                  <c:v>41334</c:v>
                </c:pt>
                <c:pt idx="540">
                  <c:v>41365</c:v>
                </c:pt>
                <c:pt idx="541">
                  <c:v>41395</c:v>
                </c:pt>
                <c:pt idx="542">
                  <c:v>41426</c:v>
                </c:pt>
                <c:pt idx="543">
                  <c:v>41456</c:v>
                </c:pt>
                <c:pt idx="544">
                  <c:v>41487</c:v>
                </c:pt>
                <c:pt idx="545">
                  <c:v>41518</c:v>
                </c:pt>
                <c:pt idx="546">
                  <c:v>41548</c:v>
                </c:pt>
                <c:pt idx="547">
                  <c:v>41579</c:v>
                </c:pt>
                <c:pt idx="548">
                  <c:v>41609</c:v>
                </c:pt>
                <c:pt idx="549">
                  <c:v>41640</c:v>
                </c:pt>
                <c:pt idx="550">
                  <c:v>41671</c:v>
                </c:pt>
                <c:pt idx="551">
                  <c:v>41699</c:v>
                </c:pt>
                <c:pt idx="552">
                  <c:v>41730</c:v>
                </c:pt>
                <c:pt idx="553">
                  <c:v>41760</c:v>
                </c:pt>
                <c:pt idx="554">
                  <c:v>41791</c:v>
                </c:pt>
                <c:pt idx="555">
                  <c:v>41821</c:v>
                </c:pt>
                <c:pt idx="556">
                  <c:v>41852</c:v>
                </c:pt>
                <c:pt idx="557">
                  <c:v>41883</c:v>
                </c:pt>
                <c:pt idx="558">
                  <c:v>41913</c:v>
                </c:pt>
                <c:pt idx="559">
                  <c:v>41944</c:v>
                </c:pt>
                <c:pt idx="560">
                  <c:v>41974</c:v>
                </c:pt>
                <c:pt idx="561">
                  <c:v>42005</c:v>
                </c:pt>
                <c:pt idx="562">
                  <c:v>42036</c:v>
                </c:pt>
                <c:pt idx="563">
                  <c:v>42064</c:v>
                </c:pt>
                <c:pt idx="564">
                  <c:v>42095</c:v>
                </c:pt>
                <c:pt idx="565">
                  <c:v>42125</c:v>
                </c:pt>
                <c:pt idx="566">
                  <c:v>42156</c:v>
                </c:pt>
                <c:pt idx="567">
                  <c:v>42186</c:v>
                </c:pt>
                <c:pt idx="568">
                  <c:v>42217</c:v>
                </c:pt>
                <c:pt idx="569">
                  <c:v>42248</c:v>
                </c:pt>
                <c:pt idx="570">
                  <c:v>42278</c:v>
                </c:pt>
                <c:pt idx="571">
                  <c:v>42309</c:v>
                </c:pt>
                <c:pt idx="572">
                  <c:v>42339</c:v>
                </c:pt>
                <c:pt idx="573">
                  <c:v>42370</c:v>
                </c:pt>
                <c:pt idx="574">
                  <c:v>42401</c:v>
                </c:pt>
                <c:pt idx="575">
                  <c:v>42430</c:v>
                </c:pt>
                <c:pt idx="576">
                  <c:v>42461</c:v>
                </c:pt>
                <c:pt idx="577">
                  <c:v>42491</c:v>
                </c:pt>
                <c:pt idx="578">
                  <c:v>42522</c:v>
                </c:pt>
                <c:pt idx="579">
                  <c:v>42552</c:v>
                </c:pt>
                <c:pt idx="580">
                  <c:v>42583</c:v>
                </c:pt>
                <c:pt idx="581">
                  <c:v>42614</c:v>
                </c:pt>
                <c:pt idx="582">
                  <c:v>42644</c:v>
                </c:pt>
                <c:pt idx="583">
                  <c:v>42675</c:v>
                </c:pt>
                <c:pt idx="584">
                  <c:v>42705</c:v>
                </c:pt>
                <c:pt idx="585">
                  <c:v>42736</c:v>
                </c:pt>
                <c:pt idx="586">
                  <c:v>42767</c:v>
                </c:pt>
                <c:pt idx="587">
                  <c:v>42795</c:v>
                </c:pt>
                <c:pt idx="588">
                  <c:v>42826</c:v>
                </c:pt>
                <c:pt idx="589">
                  <c:v>42856</c:v>
                </c:pt>
                <c:pt idx="590">
                  <c:v>42887</c:v>
                </c:pt>
                <c:pt idx="591">
                  <c:v>42917</c:v>
                </c:pt>
                <c:pt idx="592">
                  <c:v>42948</c:v>
                </c:pt>
                <c:pt idx="593">
                  <c:v>42979</c:v>
                </c:pt>
                <c:pt idx="594">
                  <c:v>43009</c:v>
                </c:pt>
                <c:pt idx="595">
                  <c:v>43040</c:v>
                </c:pt>
                <c:pt idx="596">
                  <c:v>43070</c:v>
                </c:pt>
                <c:pt idx="597">
                  <c:v>43101</c:v>
                </c:pt>
                <c:pt idx="598">
                  <c:v>43132</c:v>
                </c:pt>
                <c:pt idx="599">
                  <c:v>43160</c:v>
                </c:pt>
                <c:pt idx="600">
                  <c:v>43191</c:v>
                </c:pt>
                <c:pt idx="601">
                  <c:v>43221</c:v>
                </c:pt>
                <c:pt idx="602">
                  <c:v>43252</c:v>
                </c:pt>
                <c:pt idx="603">
                  <c:v>43282</c:v>
                </c:pt>
                <c:pt idx="604">
                  <c:v>43313</c:v>
                </c:pt>
                <c:pt idx="605">
                  <c:v>43344</c:v>
                </c:pt>
                <c:pt idx="606">
                  <c:v>43374</c:v>
                </c:pt>
                <c:pt idx="607">
                  <c:v>43405</c:v>
                </c:pt>
                <c:pt idx="608">
                  <c:v>43435</c:v>
                </c:pt>
                <c:pt idx="609">
                  <c:v>43466</c:v>
                </c:pt>
                <c:pt idx="610">
                  <c:v>43497</c:v>
                </c:pt>
                <c:pt idx="611">
                  <c:v>43525</c:v>
                </c:pt>
                <c:pt idx="612">
                  <c:v>43556</c:v>
                </c:pt>
                <c:pt idx="613">
                  <c:v>43586</c:v>
                </c:pt>
                <c:pt idx="614">
                  <c:v>43617</c:v>
                </c:pt>
                <c:pt idx="615">
                  <c:v>43647</c:v>
                </c:pt>
                <c:pt idx="616">
                  <c:v>43678</c:v>
                </c:pt>
                <c:pt idx="617">
                  <c:v>43709</c:v>
                </c:pt>
                <c:pt idx="618">
                  <c:v>43739</c:v>
                </c:pt>
                <c:pt idx="619">
                  <c:v>43770</c:v>
                </c:pt>
                <c:pt idx="620">
                  <c:v>43800</c:v>
                </c:pt>
                <c:pt idx="621">
                  <c:v>43831</c:v>
                </c:pt>
                <c:pt idx="622">
                  <c:v>43862</c:v>
                </c:pt>
                <c:pt idx="623">
                  <c:v>43891</c:v>
                </c:pt>
                <c:pt idx="624">
                  <c:v>43922</c:v>
                </c:pt>
                <c:pt idx="625">
                  <c:v>43952</c:v>
                </c:pt>
                <c:pt idx="626">
                  <c:v>43983</c:v>
                </c:pt>
                <c:pt idx="627">
                  <c:v>44013</c:v>
                </c:pt>
                <c:pt idx="628">
                  <c:v>44044</c:v>
                </c:pt>
                <c:pt idx="629">
                  <c:v>44075</c:v>
                </c:pt>
                <c:pt idx="630">
                  <c:v>44105</c:v>
                </c:pt>
                <c:pt idx="631">
                  <c:v>44136</c:v>
                </c:pt>
                <c:pt idx="632">
                  <c:v>44166</c:v>
                </c:pt>
                <c:pt idx="633">
                  <c:v>44197</c:v>
                </c:pt>
                <c:pt idx="634">
                  <c:v>44228</c:v>
                </c:pt>
                <c:pt idx="635">
                  <c:v>44256</c:v>
                </c:pt>
                <c:pt idx="636">
                  <c:v>44287</c:v>
                </c:pt>
                <c:pt idx="637">
                  <c:v>44317</c:v>
                </c:pt>
                <c:pt idx="638">
                  <c:v>44348</c:v>
                </c:pt>
                <c:pt idx="639">
                  <c:v>44378</c:v>
                </c:pt>
                <c:pt idx="640">
                  <c:v>44409</c:v>
                </c:pt>
                <c:pt idx="641">
                  <c:v>44440</c:v>
                </c:pt>
                <c:pt idx="642">
                  <c:v>44470</c:v>
                </c:pt>
                <c:pt idx="643">
                  <c:v>44501</c:v>
                </c:pt>
                <c:pt idx="644">
                  <c:v>44531</c:v>
                </c:pt>
                <c:pt idx="645">
                  <c:v>44562</c:v>
                </c:pt>
                <c:pt idx="646">
                  <c:v>44593</c:v>
                </c:pt>
                <c:pt idx="647">
                  <c:v>44621</c:v>
                </c:pt>
                <c:pt idx="648">
                  <c:v>44652</c:v>
                </c:pt>
                <c:pt idx="649">
                  <c:v>44682</c:v>
                </c:pt>
                <c:pt idx="650">
                  <c:v>44713</c:v>
                </c:pt>
              </c:numCache>
            </c:numRef>
          </c:cat>
          <c:val>
            <c:numRef>
              <c:f>★資本稼働率!$Q$2:$Q$652</c:f>
              <c:numCache>
                <c:formatCode>0.0%</c:formatCode>
                <c:ptCount val="651"/>
                <c:pt idx="59">
                  <c:v>0.88690556967904222</c:v>
                </c:pt>
                <c:pt idx="60">
                  <c:v>0.88499331764934941</c:v>
                </c:pt>
                <c:pt idx="61">
                  <c:v>0.88392159810982274</c:v>
                </c:pt>
                <c:pt idx="62">
                  <c:v>0.88950211238141885</c:v>
                </c:pt>
                <c:pt idx="63">
                  <c:v>0.89365217056131641</c:v>
                </c:pt>
                <c:pt idx="64">
                  <c:v>0.87749478020651195</c:v>
                </c:pt>
                <c:pt idx="65">
                  <c:v>0.87094658530172697</c:v>
                </c:pt>
                <c:pt idx="66">
                  <c:v>0.87891077273919471</c:v>
                </c:pt>
                <c:pt idx="67">
                  <c:v>0.86614350436015819</c:v>
                </c:pt>
                <c:pt idx="68">
                  <c:v>0.86925202071396801</c:v>
                </c:pt>
                <c:pt idx="69">
                  <c:v>0.86140960053515647</c:v>
                </c:pt>
                <c:pt idx="70">
                  <c:v>0.84294662801413467</c:v>
                </c:pt>
                <c:pt idx="71">
                  <c:v>0.84243174411106714</c:v>
                </c:pt>
                <c:pt idx="72">
                  <c:v>0.85397312950506388</c:v>
                </c:pt>
                <c:pt idx="73">
                  <c:v>0.86520553152009805</c:v>
                </c:pt>
                <c:pt idx="74">
                  <c:v>0.85182452045691859</c:v>
                </c:pt>
                <c:pt idx="75">
                  <c:v>0.82963487780581291</c:v>
                </c:pt>
                <c:pt idx="76">
                  <c:v>0.82615679378468165</c:v>
                </c:pt>
                <c:pt idx="77">
                  <c:v>0.82609303577989368</c:v>
                </c:pt>
                <c:pt idx="78">
                  <c:v>0.82203762084923482</c:v>
                </c:pt>
                <c:pt idx="79">
                  <c:v>0.81134660629651889</c:v>
                </c:pt>
                <c:pt idx="80">
                  <c:v>0.80060115392971942</c:v>
                </c:pt>
                <c:pt idx="81">
                  <c:v>0.79966665188873998</c:v>
                </c:pt>
                <c:pt idx="82">
                  <c:v>0.79091223596305815</c:v>
                </c:pt>
                <c:pt idx="83">
                  <c:v>0.78450181470018732</c:v>
                </c:pt>
                <c:pt idx="84">
                  <c:v>0.79887328931652357</c:v>
                </c:pt>
                <c:pt idx="85">
                  <c:v>0.79480907578367355</c:v>
                </c:pt>
                <c:pt idx="86">
                  <c:v>0.79487783951780222</c:v>
                </c:pt>
                <c:pt idx="87">
                  <c:v>0.79717281314735888</c:v>
                </c:pt>
                <c:pt idx="88">
                  <c:v>0.79683639908703929</c:v>
                </c:pt>
                <c:pt idx="89">
                  <c:v>0.79416209529896764</c:v>
                </c:pt>
                <c:pt idx="90">
                  <c:v>0.78785449204416402</c:v>
                </c:pt>
                <c:pt idx="91">
                  <c:v>0.7936467313113843</c:v>
                </c:pt>
                <c:pt idx="92">
                  <c:v>0.79370303007925447</c:v>
                </c:pt>
                <c:pt idx="93">
                  <c:v>0.79752989113241257</c:v>
                </c:pt>
                <c:pt idx="94">
                  <c:v>0.80175422756463999</c:v>
                </c:pt>
                <c:pt idx="95">
                  <c:v>0.80748523836381481</c:v>
                </c:pt>
                <c:pt idx="96">
                  <c:v>0.79795450231402765</c:v>
                </c:pt>
                <c:pt idx="97">
                  <c:v>0.80630804897261021</c:v>
                </c:pt>
                <c:pt idx="98">
                  <c:v>0.79961216956358805</c:v>
                </c:pt>
                <c:pt idx="99">
                  <c:v>0.80027848908383126</c:v>
                </c:pt>
                <c:pt idx="100">
                  <c:v>0.7984508170785124</c:v>
                </c:pt>
                <c:pt idx="101">
                  <c:v>0.7980615136464656</c:v>
                </c:pt>
                <c:pt idx="102">
                  <c:v>0.80118044208935035</c:v>
                </c:pt>
                <c:pt idx="103">
                  <c:v>0.80332249234999065</c:v>
                </c:pt>
                <c:pt idx="104">
                  <c:v>0.79995775264622571</c:v>
                </c:pt>
                <c:pt idx="105">
                  <c:v>0.80187772886019748</c:v>
                </c:pt>
                <c:pt idx="106">
                  <c:v>0.80843834330469988</c:v>
                </c:pt>
                <c:pt idx="107">
                  <c:v>0.81122591977335645</c:v>
                </c:pt>
                <c:pt idx="108">
                  <c:v>0.81365255363950606</c:v>
                </c:pt>
                <c:pt idx="109">
                  <c:v>0.81511409477056662</c:v>
                </c:pt>
                <c:pt idx="110">
                  <c:v>0.81641233694848336</c:v>
                </c:pt>
                <c:pt idx="111">
                  <c:v>0.82033329495515206</c:v>
                </c:pt>
                <c:pt idx="112">
                  <c:v>0.81815946915233839</c:v>
                </c:pt>
                <c:pt idx="113">
                  <c:v>0.81613325647159185</c:v>
                </c:pt>
                <c:pt idx="114">
                  <c:v>0.81731008818756468</c:v>
                </c:pt>
                <c:pt idx="115">
                  <c:v>0.81526955228219344</c:v>
                </c:pt>
                <c:pt idx="116">
                  <c:v>0.82034936157395788</c:v>
                </c:pt>
                <c:pt idx="117">
                  <c:v>0.82076303418557339</c:v>
                </c:pt>
                <c:pt idx="118">
                  <c:v>0.81679270404202742</c:v>
                </c:pt>
                <c:pt idx="119">
                  <c:v>0.82164478524486106</c:v>
                </c:pt>
                <c:pt idx="120">
                  <c:v>0.82334197699505396</c:v>
                </c:pt>
                <c:pt idx="121">
                  <c:v>0.82205264808618739</c:v>
                </c:pt>
                <c:pt idx="122">
                  <c:v>0.82586292096016878</c:v>
                </c:pt>
                <c:pt idx="123">
                  <c:v>0.82733010495448644</c:v>
                </c:pt>
                <c:pt idx="124">
                  <c:v>0.83090791185448409</c:v>
                </c:pt>
                <c:pt idx="125">
                  <c:v>0.83039852799857672</c:v>
                </c:pt>
                <c:pt idx="126">
                  <c:v>0.82977770912114324</c:v>
                </c:pt>
                <c:pt idx="127">
                  <c:v>0.82935966211830781</c:v>
                </c:pt>
                <c:pt idx="128">
                  <c:v>0.83157655364303629</c:v>
                </c:pt>
                <c:pt idx="129">
                  <c:v>0.83285637436971782</c:v>
                </c:pt>
                <c:pt idx="130">
                  <c:v>0.82734257885806806</c:v>
                </c:pt>
                <c:pt idx="131">
                  <c:v>0.82742710047177437</c:v>
                </c:pt>
                <c:pt idx="132">
                  <c:v>0.82711703507905199</c:v>
                </c:pt>
                <c:pt idx="133">
                  <c:v>0.82186826577600314</c:v>
                </c:pt>
                <c:pt idx="134">
                  <c:v>0.82269215678616758</c:v>
                </c:pt>
                <c:pt idx="135">
                  <c:v>0.81787686863244569</c:v>
                </c:pt>
                <c:pt idx="136">
                  <c:v>0.82135660916086717</c:v>
                </c:pt>
                <c:pt idx="137">
                  <c:v>0.82078967757795696</c:v>
                </c:pt>
                <c:pt idx="138">
                  <c:v>0.8211592060305305</c:v>
                </c:pt>
                <c:pt idx="139">
                  <c:v>0.82324458614730567</c:v>
                </c:pt>
                <c:pt idx="140">
                  <c:v>0.82434271672625803</c:v>
                </c:pt>
                <c:pt idx="141">
                  <c:v>0.82216247152556887</c:v>
                </c:pt>
                <c:pt idx="142">
                  <c:v>0.81951521280190776</c:v>
                </c:pt>
                <c:pt idx="143">
                  <c:v>0.82073449079059846</c:v>
                </c:pt>
                <c:pt idx="144">
                  <c:v>0.82579054467573654</c:v>
                </c:pt>
                <c:pt idx="145">
                  <c:v>0.81958492520986226</c:v>
                </c:pt>
                <c:pt idx="146">
                  <c:v>0.81290412047001603</c:v>
                </c:pt>
                <c:pt idx="147">
                  <c:v>0.80915959394332093</c:v>
                </c:pt>
                <c:pt idx="148">
                  <c:v>0.8062011024812572</c:v>
                </c:pt>
                <c:pt idx="149">
                  <c:v>0.80859418618263978</c:v>
                </c:pt>
                <c:pt idx="150">
                  <c:v>0.80802200424943338</c:v>
                </c:pt>
                <c:pt idx="151">
                  <c:v>0.80791068529103194</c:v>
                </c:pt>
                <c:pt idx="152">
                  <c:v>0.80490414390041043</c:v>
                </c:pt>
                <c:pt idx="153">
                  <c:v>0.8118720021592164</c:v>
                </c:pt>
                <c:pt idx="154">
                  <c:v>0.80944630758010694</c:v>
                </c:pt>
                <c:pt idx="155">
                  <c:v>0.80741791243935646</c:v>
                </c:pt>
                <c:pt idx="156">
                  <c:v>0.80699222013670446</c:v>
                </c:pt>
                <c:pt idx="157">
                  <c:v>0.81008603373942267</c:v>
                </c:pt>
                <c:pt idx="158">
                  <c:v>0.81463905560675232</c:v>
                </c:pt>
                <c:pt idx="159">
                  <c:v>0.8162739629756911</c:v>
                </c:pt>
                <c:pt idx="160">
                  <c:v>0.81365930444556678</c:v>
                </c:pt>
                <c:pt idx="161">
                  <c:v>0.81713123015772993</c:v>
                </c:pt>
                <c:pt idx="162">
                  <c:v>0.81749072374276888</c:v>
                </c:pt>
                <c:pt idx="163">
                  <c:v>0.81492083707600327</c:v>
                </c:pt>
                <c:pt idx="164">
                  <c:v>0.81095360677007189</c:v>
                </c:pt>
                <c:pt idx="165">
                  <c:v>0.80273390500298181</c:v>
                </c:pt>
                <c:pt idx="166">
                  <c:v>0.80435131747432942</c:v>
                </c:pt>
                <c:pt idx="167">
                  <c:v>0.8004711389653234</c:v>
                </c:pt>
                <c:pt idx="168">
                  <c:v>0.80072871440208493</c:v>
                </c:pt>
                <c:pt idx="169">
                  <c:v>0.80654266044928336</c:v>
                </c:pt>
                <c:pt idx="170">
                  <c:v>0.80419408322904329</c:v>
                </c:pt>
                <c:pt idx="171">
                  <c:v>0.80796209813547437</c:v>
                </c:pt>
                <c:pt idx="172">
                  <c:v>0.80821138366945189</c:v>
                </c:pt>
                <c:pt idx="173">
                  <c:v>0.80257278157088707</c:v>
                </c:pt>
                <c:pt idx="174">
                  <c:v>0.80232666912147521</c:v>
                </c:pt>
                <c:pt idx="175">
                  <c:v>0.8012717847666655</c:v>
                </c:pt>
                <c:pt idx="176">
                  <c:v>0.80160830566689412</c:v>
                </c:pt>
                <c:pt idx="177">
                  <c:v>0.80376860305045272</c:v>
                </c:pt>
                <c:pt idx="178">
                  <c:v>0.80533196907682769</c:v>
                </c:pt>
                <c:pt idx="179">
                  <c:v>0.80592270674976407</c:v>
                </c:pt>
                <c:pt idx="180">
                  <c:v>0.80070035989472366</c:v>
                </c:pt>
                <c:pt idx="181">
                  <c:v>0.79727560142679721</c:v>
                </c:pt>
                <c:pt idx="182">
                  <c:v>0.7945362693952448</c:v>
                </c:pt>
                <c:pt idx="183">
                  <c:v>0.7944337878608998</c:v>
                </c:pt>
                <c:pt idx="184">
                  <c:v>0.79899334148646495</c:v>
                </c:pt>
                <c:pt idx="185">
                  <c:v>0.7983733448398207</c:v>
                </c:pt>
                <c:pt idx="186">
                  <c:v>0.79889588111492349</c:v>
                </c:pt>
                <c:pt idx="187">
                  <c:v>0.79869067193908683</c:v>
                </c:pt>
                <c:pt idx="188">
                  <c:v>0.79454297150059128</c:v>
                </c:pt>
                <c:pt idx="189">
                  <c:v>0.80080160930285071</c:v>
                </c:pt>
                <c:pt idx="190">
                  <c:v>0.8025067482853756</c:v>
                </c:pt>
                <c:pt idx="191">
                  <c:v>0.80563855605778734</c:v>
                </c:pt>
                <c:pt idx="192">
                  <c:v>0.80681726023119771</c:v>
                </c:pt>
                <c:pt idx="193">
                  <c:v>0.79839355345648633</c:v>
                </c:pt>
                <c:pt idx="194">
                  <c:v>0.80742840604413735</c:v>
                </c:pt>
                <c:pt idx="195">
                  <c:v>0.80788928631152024</c:v>
                </c:pt>
                <c:pt idx="196">
                  <c:v>0.80171551720014245</c:v>
                </c:pt>
                <c:pt idx="197">
                  <c:v>0.80450058655237644</c:v>
                </c:pt>
                <c:pt idx="198">
                  <c:v>0.80762000970634995</c:v>
                </c:pt>
                <c:pt idx="199">
                  <c:v>0.80825376956852812</c:v>
                </c:pt>
                <c:pt idx="200">
                  <c:v>0.8052598645720852</c:v>
                </c:pt>
                <c:pt idx="201">
                  <c:v>0.79697292487037674</c:v>
                </c:pt>
                <c:pt idx="202">
                  <c:v>0.79746138687738377</c:v>
                </c:pt>
                <c:pt idx="203">
                  <c:v>0.79740684900341907</c:v>
                </c:pt>
                <c:pt idx="204">
                  <c:v>0.80399858012043568</c:v>
                </c:pt>
                <c:pt idx="205">
                  <c:v>0.80318121813513432</c:v>
                </c:pt>
                <c:pt idx="206">
                  <c:v>0.80665112914131654</c:v>
                </c:pt>
                <c:pt idx="207">
                  <c:v>0.80754480891751046</c:v>
                </c:pt>
                <c:pt idx="208">
                  <c:v>0.80927467221207838</c:v>
                </c:pt>
                <c:pt idx="209">
                  <c:v>0.80835243014339608</c:v>
                </c:pt>
                <c:pt idx="210">
                  <c:v>0.81355111515357148</c:v>
                </c:pt>
                <c:pt idx="211">
                  <c:v>0.80426877488397164</c:v>
                </c:pt>
                <c:pt idx="212">
                  <c:v>0.80223283563031</c:v>
                </c:pt>
                <c:pt idx="213">
                  <c:v>0.80181785693064433</c:v>
                </c:pt>
                <c:pt idx="214">
                  <c:v>0.80494988943042689</c:v>
                </c:pt>
                <c:pt idx="215">
                  <c:v>0.8023213022226986</c:v>
                </c:pt>
                <c:pt idx="216">
                  <c:v>0.80400623431968921</c:v>
                </c:pt>
                <c:pt idx="217">
                  <c:v>0.80553863976731721</c:v>
                </c:pt>
                <c:pt idx="218">
                  <c:v>0.80787823101203715</c:v>
                </c:pt>
                <c:pt idx="219">
                  <c:v>0.80394931760244448</c:v>
                </c:pt>
                <c:pt idx="220">
                  <c:v>0.80967936040963662</c:v>
                </c:pt>
                <c:pt idx="221">
                  <c:v>0.81144856140961252</c:v>
                </c:pt>
                <c:pt idx="222">
                  <c:v>0.80923601287927138</c:v>
                </c:pt>
                <c:pt idx="223">
                  <c:v>0.81048576905115388</c:v>
                </c:pt>
                <c:pt idx="224">
                  <c:v>0.81281709143978553</c:v>
                </c:pt>
                <c:pt idx="225">
                  <c:v>0.80781843964788991</c:v>
                </c:pt>
                <c:pt idx="226">
                  <c:v>0.80837192125740331</c:v>
                </c:pt>
                <c:pt idx="227">
                  <c:v>0.8060023970378094</c:v>
                </c:pt>
                <c:pt idx="228">
                  <c:v>0.80937115225529077</c:v>
                </c:pt>
                <c:pt idx="229">
                  <c:v>0.81337277508940609</c:v>
                </c:pt>
                <c:pt idx="230">
                  <c:v>0.81301594671006072</c:v>
                </c:pt>
                <c:pt idx="231">
                  <c:v>0.81497388947514315</c:v>
                </c:pt>
                <c:pt idx="232">
                  <c:v>0.82586304214374573</c:v>
                </c:pt>
                <c:pt idx="233">
                  <c:v>0.82250145196659685</c:v>
                </c:pt>
                <c:pt idx="234">
                  <c:v>0.82615687419638384</c:v>
                </c:pt>
                <c:pt idx="235">
                  <c:v>0.82445641930808344</c:v>
                </c:pt>
                <c:pt idx="236">
                  <c:v>0.83174196722614446</c:v>
                </c:pt>
                <c:pt idx="237">
                  <c:v>0.83962068927326261</c:v>
                </c:pt>
                <c:pt idx="238">
                  <c:v>0.84668569894192447</c:v>
                </c:pt>
                <c:pt idx="239">
                  <c:v>0.84348521571032931</c:v>
                </c:pt>
                <c:pt idx="240">
                  <c:v>0.83439413096160464</c:v>
                </c:pt>
                <c:pt idx="241">
                  <c:v>0.83242637197569302</c:v>
                </c:pt>
                <c:pt idx="242">
                  <c:v>0.82963395053087952</c:v>
                </c:pt>
                <c:pt idx="243">
                  <c:v>0.83227625101946534</c:v>
                </c:pt>
                <c:pt idx="244">
                  <c:v>0.83105812662960787</c:v>
                </c:pt>
                <c:pt idx="245">
                  <c:v>0.83139373037031927</c:v>
                </c:pt>
                <c:pt idx="246">
                  <c:v>0.8327489781593439</c:v>
                </c:pt>
                <c:pt idx="247">
                  <c:v>0.8348468512600371</c:v>
                </c:pt>
                <c:pt idx="248">
                  <c:v>0.83873858599619833</c:v>
                </c:pt>
                <c:pt idx="249">
                  <c:v>0.83026105033621045</c:v>
                </c:pt>
                <c:pt idx="250">
                  <c:v>0.8354291083651233</c:v>
                </c:pt>
                <c:pt idx="251">
                  <c:v>0.83718489674834373</c:v>
                </c:pt>
                <c:pt idx="252">
                  <c:v>0.83005461059903163</c:v>
                </c:pt>
                <c:pt idx="253">
                  <c:v>0.82749712496049843</c:v>
                </c:pt>
                <c:pt idx="254">
                  <c:v>0.83023654407376224</c:v>
                </c:pt>
                <c:pt idx="255">
                  <c:v>0.83517894297418727</c:v>
                </c:pt>
                <c:pt idx="256">
                  <c:v>0.83436616201789271</c:v>
                </c:pt>
                <c:pt idx="257">
                  <c:v>0.83236878803592507</c:v>
                </c:pt>
                <c:pt idx="258">
                  <c:v>0.83480349104594387</c:v>
                </c:pt>
                <c:pt idx="259">
                  <c:v>0.83381725334820855</c:v>
                </c:pt>
                <c:pt idx="260">
                  <c:v>0.83197890454733692</c:v>
                </c:pt>
                <c:pt idx="261">
                  <c:v>0.83250299371127023</c:v>
                </c:pt>
                <c:pt idx="262">
                  <c:v>0.83227147118384004</c:v>
                </c:pt>
                <c:pt idx="263">
                  <c:v>0.83463070076906554</c:v>
                </c:pt>
                <c:pt idx="264">
                  <c:v>0.83868818578401061</c:v>
                </c:pt>
                <c:pt idx="265">
                  <c:v>0.84408632111998882</c:v>
                </c:pt>
                <c:pt idx="266">
                  <c:v>0.84034731875043089</c:v>
                </c:pt>
                <c:pt idx="267">
                  <c:v>0.83638067043983022</c:v>
                </c:pt>
                <c:pt idx="268">
                  <c:v>0.83388778104656225</c:v>
                </c:pt>
                <c:pt idx="269">
                  <c:v>0.83670614842676927</c:v>
                </c:pt>
                <c:pt idx="270" formatCode="0.0000000000%">
                  <c:v>0.83649999902939121</c:v>
                </c:pt>
                <c:pt idx="271" formatCode="0.0000000000%">
                  <c:v>0.83638540678009077</c:v>
                </c:pt>
                <c:pt idx="272" formatCode="0.0000000000%">
                  <c:v>0.83974862381221094</c:v>
                </c:pt>
                <c:pt idx="273" formatCode="0.0000000000%">
                  <c:v>0.8422656884201124</c:v>
                </c:pt>
                <c:pt idx="274" formatCode="0.0000000000%">
                  <c:v>0.84152811151274765</c:v>
                </c:pt>
                <c:pt idx="275" formatCode="0.0000000000%">
                  <c:v>0.84238181141722057</c:v>
                </c:pt>
                <c:pt idx="276" formatCode="0.0000000000%">
                  <c:v>0.84605764766625169</c:v>
                </c:pt>
                <c:pt idx="277" formatCode="0.0000000000%">
                  <c:v>0.84222153394688171</c:v>
                </c:pt>
                <c:pt idx="278" formatCode="0.0000000000%">
                  <c:v>0.84045499795772061</c:v>
                </c:pt>
                <c:pt idx="279" formatCode="0.0000000000%">
                  <c:v>0.83773076073820407</c:v>
                </c:pt>
                <c:pt idx="280" formatCode="0.0000000000%">
                  <c:v>0.83939961851328937</c:v>
                </c:pt>
                <c:pt idx="281" formatCode="0.0000000000%">
                  <c:v>0.83652161512386558</c:v>
                </c:pt>
                <c:pt idx="282" formatCode="0.0000000000%">
                  <c:v>0.83768151214572717</c:v>
                </c:pt>
                <c:pt idx="283" formatCode="0.0000000000%">
                  <c:v>0.83829020063862525</c:v>
                </c:pt>
                <c:pt idx="284" formatCode="0.0000000000%">
                  <c:v>0.83499668120884307</c:v>
                </c:pt>
                <c:pt idx="285" formatCode="0.0000000000%">
                  <c:v>0.83600257112422494</c:v>
                </c:pt>
                <c:pt idx="286" formatCode="0.0000000000%">
                  <c:v>0.83395593057509987</c:v>
                </c:pt>
                <c:pt idx="287" formatCode="0.0000000000%">
                  <c:v>0.82814167820855888</c:v>
                </c:pt>
                <c:pt idx="288" formatCode="0.0000000000%">
                  <c:v>0.83421741810838257</c:v>
                </c:pt>
                <c:pt idx="289" formatCode="0.0000000000%">
                  <c:v>0.83060758831646375</c:v>
                </c:pt>
                <c:pt idx="290" formatCode="0.0000000000%">
                  <c:v>0.8323535454882306</c:v>
                </c:pt>
                <c:pt idx="291" formatCode="0.0000000000%">
                  <c:v>0.83276235443683877</c:v>
                </c:pt>
                <c:pt idx="292" formatCode="0.0000000000%">
                  <c:v>0.82976044466953669</c:v>
                </c:pt>
                <c:pt idx="293" formatCode="0.0000000000%">
                  <c:v>0.82922922321777792</c:v>
                </c:pt>
                <c:pt idx="294" formatCode="0.0000000000%">
                  <c:v>0.82489328071246337</c:v>
                </c:pt>
                <c:pt idx="295" formatCode="0.0000000000%">
                  <c:v>0.82152514896874007</c:v>
                </c:pt>
                <c:pt idx="296" formatCode="0.0000000000%">
                  <c:v>0.82154945568536319</c:v>
                </c:pt>
                <c:pt idx="297" formatCode="0.0000000000%">
                  <c:v>0.82578439898011347</c:v>
                </c:pt>
                <c:pt idx="298" formatCode="0.0000000000%">
                  <c:v>0.82060752843126705</c:v>
                </c:pt>
                <c:pt idx="299" formatCode="0.0000000000%">
                  <c:v>0.81614036190720851</c:v>
                </c:pt>
                <c:pt idx="300" formatCode="0.0000000000%">
                  <c:v>0.81512469710498592</c:v>
                </c:pt>
                <c:pt idx="301" formatCode="0.0000000000%">
                  <c:v>0.81743722822085774</c:v>
                </c:pt>
                <c:pt idx="302" formatCode="0.0000000000%">
                  <c:v>0.81225946788185754</c:v>
                </c:pt>
                <c:pt idx="303" formatCode="0.0000000000%">
                  <c:v>0.81350317981144282</c:v>
                </c:pt>
                <c:pt idx="304" formatCode="0.0000000000%">
                  <c:v>0.81401629048203594</c:v>
                </c:pt>
                <c:pt idx="305" formatCode="0.0000000000%">
                  <c:v>0.81588296130745996</c:v>
                </c:pt>
                <c:pt idx="306" formatCode="0.0000000000%">
                  <c:v>0.81695401962902858</c:v>
                </c:pt>
                <c:pt idx="307" formatCode="0.0000000000%">
                  <c:v>0.81433390087266389</c:v>
                </c:pt>
                <c:pt idx="308" formatCode="0.0000000000%">
                  <c:v>0.81301383102807012</c:v>
                </c:pt>
                <c:pt idx="309" formatCode="0.0000000000%">
                  <c:v>0.8121416955960189</c:v>
                </c:pt>
                <c:pt idx="310" formatCode="0.0000000000%">
                  <c:v>0.81064808633272134</c:v>
                </c:pt>
                <c:pt idx="311" formatCode="0.0000000000%">
                  <c:v>0.81157788904835926</c:v>
                </c:pt>
                <c:pt idx="312" formatCode="0.0000000000%">
                  <c:v>0.81052423450712618</c:v>
                </c:pt>
                <c:pt idx="313" formatCode="0.0000000000%">
                  <c:v>0.80784754251771196</c:v>
                </c:pt>
                <c:pt idx="314" formatCode="0.0000000000%">
                  <c:v>0.80810204414829923</c:v>
                </c:pt>
                <c:pt idx="315" formatCode="0.0000000000%">
                  <c:v>0.80969445593560474</c:v>
                </c:pt>
                <c:pt idx="316" formatCode="0.0000000000%">
                  <c:v>0.80310776798065742</c:v>
                </c:pt>
                <c:pt idx="317" formatCode="0.0000000000%">
                  <c:v>0.80601958733771351</c:v>
                </c:pt>
                <c:pt idx="318" formatCode="0.0000000000%">
                  <c:v>0.80715412109077089</c:v>
                </c:pt>
                <c:pt idx="319" formatCode="0.0000000000%">
                  <c:v>0.80985035586340859</c:v>
                </c:pt>
                <c:pt idx="320" formatCode="0.0000000000%">
                  <c:v>0.81366656959744976</c:v>
                </c:pt>
                <c:pt idx="321" formatCode="0.0000000000%">
                  <c:v>0.80672432329198462</c:v>
                </c:pt>
                <c:pt idx="322" formatCode="0.0000000000%">
                  <c:v>0.80281077680131319</c:v>
                </c:pt>
                <c:pt idx="323" formatCode="0.0000000000%">
                  <c:v>0.80254791012346582</c:v>
                </c:pt>
                <c:pt idx="324" formatCode="0.0000000000%">
                  <c:v>0.80479753882877914</c:v>
                </c:pt>
                <c:pt idx="325" formatCode="0.0000000000%">
                  <c:v>0.80794384930379526</c:v>
                </c:pt>
                <c:pt idx="326" formatCode="0.0000000000%">
                  <c:v>0.80668051583764966</c:v>
                </c:pt>
                <c:pt idx="327" formatCode="0.0000000000%">
                  <c:v>0.80742126907240264</c:v>
                </c:pt>
                <c:pt idx="328" formatCode="0.0000000000%">
                  <c:v>0.80861184235027705</c:v>
                </c:pt>
                <c:pt idx="329" formatCode="0.0000000000%">
                  <c:v>0.81144071057928768</c:v>
                </c:pt>
                <c:pt idx="330" formatCode="0.0000000000%">
                  <c:v>0.80503840020473327</c:v>
                </c:pt>
                <c:pt idx="331" formatCode="0.0000000000%">
                  <c:v>0.80379179258260158</c:v>
                </c:pt>
                <c:pt idx="332" formatCode="0.0000000000%">
                  <c:v>0.81229063473666641</c:v>
                </c:pt>
                <c:pt idx="333" formatCode="0.0000000000%">
                  <c:v>0.81464388827407896</c:v>
                </c:pt>
                <c:pt idx="334" formatCode="0.0000000000%">
                  <c:v>0.82128762810295219</c:v>
                </c:pt>
                <c:pt idx="335" formatCode="0.0000000000%">
                  <c:v>0.82489657318609755</c:v>
                </c:pt>
                <c:pt idx="336" formatCode="0.0000000000%">
                  <c:v>0.82856251364354316</c:v>
                </c:pt>
                <c:pt idx="337" formatCode="0.0000000000%">
                  <c:v>0.82379818640647451</c:v>
                </c:pt>
                <c:pt idx="338" formatCode="0.0000000000%">
                  <c:v>0.82211632762474962</c:v>
                </c:pt>
                <c:pt idx="339" formatCode="0.0000000000%">
                  <c:v>0.81904426636590499</c:v>
                </c:pt>
                <c:pt idx="340" formatCode="0.0000000000%">
                  <c:v>0.82202007132316679</c:v>
                </c:pt>
                <c:pt idx="341" formatCode="0.0000000000%">
                  <c:v>0.82064735161057667</c:v>
                </c:pt>
                <c:pt idx="342" formatCode="0.0000000000%">
                  <c:v>0.82295560944052881</c:v>
                </c:pt>
                <c:pt idx="343" formatCode="0.0000000000%">
                  <c:v>0.8266918215661645</c:v>
                </c:pt>
                <c:pt idx="344" formatCode="0.0000000000%">
                  <c:v>0.81630674063892084</c:v>
                </c:pt>
                <c:pt idx="345" formatCode="0.0000000000%">
                  <c:v>0.82791168163244244</c:v>
                </c:pt>
                <c:pt idx="346" formatCode="0.0000000000%">
                  <c:v>0.83189280507267993</c:v>
                </c:pt>
                <c:pt idx="347" formatCode="0.0000000000%">
                  <c:v>0.82434496288858672</c:v>
                </c:pt>
                <c:pt idx="348" formatCode="0.0000000000%">
                  <c:v>0.8228566846998624</c:v>
                </c:pt>
                <c:pt idx="349" formatCode="0.0000000000%">
                  <c:v>0.81673437543086513</c:v>
                </c:pt>
                <c:pt idx="350" formatCode="0.0000000000%">
                  <c:v>0.82778055192442346</c:v>
                </c:pt>
                <c:pt idx="351" formatCode="0.0000000000%">
                  <c:v>0.82134731504930336</c:v>
                </c:pt>
                <c:pt idx="352" formatCode="0.0000000000%">
                  <c:v>0.81893751103911983</c:v>
                </c:pt>
                <c:pt idx="353" formatCode="0.0000000000%">
                  <c:v>0.81756698370991765</c:v>
                </c:pt>
                <c:pt idx="354" formatCode="0.0000000000%">
                  <c:v>0.8202183017695166</c:v>
                </c:pt>
                <c:pt idx="355" formatCode="0.0000000000%">
                  <c:v>0.81379315963642151</c:v>
                </c:pt>
                <c:pt idx="356" formatCode="0.0000000000%">
                  <c:v>0.812557385385967</c:v>
                </c:pt>
                <c:pt idx="357" formatCode="0.0000000000%">
                  <c:v>0.80799014536051583</c:v>
                </c:pt>
                <c:pt idx="358" formatCode="0.0000000000%">
                  <c:v>0.81046084942660745</c:v>
                </c:pt>
                <c:pt idx="359" formatCode="0.0000000000%">
                  <c:v>0.80870685043412427</c:v>
                </c:pt>
                <c:pt idx="360" formatCode="0.0000000000%">
                  <c:v>0.80506807579023743</c:v>
                </c:pt>
                <c:pt idx="361" formatCode="0.0000000000%">
                  <c:v>0.8031265624924937</c:v>
                </c:pt>
                <c:pt idx="362" formatCode="0.0000000000%">
                  <c:v>0.8020928558403092</c:v>
                </c:pt>
                <c:pt idx="363" formatCode="0.0000000000%">
                  <c:v>0.80307732812232058</c:v>
                </c:pt>
                <c:pt idx="364" formatCode="0.0000000000%">
                  <c:v>0.80415366555306367</c:v>
                </c:pt>
                <c:pt idx="365" formatCode="0.0000000000%">
                  <c:v>0.79989761384913816</c:v>
                </c:pt>
                <c:pt idx="366" formatCode="0.0000000000%">
                  <c:v>0.80191429907668177</c:v>
                </c:pt>
                <c:pt idx="367" formatCode="0.0000000000%">
                  <c:v>0.80253755156439543</c:v>
                </c:pt>
                <c:pt idx="368" formatCode="0.0000000000%">
                  <c:v>0.80224643789233463</c:v>
                </c:pt>
                <c:pt idx="369" formatCode="0.0000000000%">
                  <c:v>0.79663453136213136</c:v>
                </c:pt>
                <c:pt idx="370" formatCode="0.0000000000%">
                  <c:v>0.79132087960142017</c:v>
                </c:pt>
                <c:pt idx="371" formatCode="0.0000000000%">
                  <c:v>0.78786321230731182</c:v>
                </c:pt>
                <c:pt idx="372" formatCode="0.0000000000%">
                  <c:v>0.79061180147319743</c:v>
                </c:pt>
                <c:pt idx="373" formatCode="0.0000000000%">
                  <c:v>0.79510034219566872</c:v>
                </c:pt>
                <c:pt idx="374" formatCode="0.0000000000%">
                  <c:v>0.79356202494780392</c:v>
                </c:pt>
                <c:pt idx="375" formatCode="0.0000000000%">
                  <c:v>0.79447963646864794</c:v>
                </c:pt>
                <c:pt idx="376" formatCode="0.0000000000%">
                  <c:v>0.79341688123738574</c:v>
                </c:pt>
                <c:pt idx="377" formatCode="0.0000000000%">
                  <c:v>0.79865761296580917</c:v>
                </c:pt>
                <c:pt idx="378" formatCode="0.0000000000%">
                  <c:v>0.79819152480006605</c:v>
                </c:pt>
                <c:pt idx="379" formatCode="0.0000000000%">
                  <c:v>0.79823091796687429</c:v>
                </c:pt>
                <c:pt idx="380" formatCode="0.0000000000%">
                  <c:v>0.79344665873300269</c:v>
                </c:pt>
                <c:pt idx="381" formatCode="0.0000000000%">
                  <c:v>0.78811172078525693</c:v>
                </c:pt>
                <c:pt idx="382" formatCode="0.0000000000%">
                  <c:v>0.78456157084003775</c:v>
                </c:pt>
                <c:pt idx="383" formatCode="0.0000000000%">
                  <c:v>0.79183477167425931</c:v>
                </c:pt>
                <c:pt idx="384" formatCode="0.0000000000%">
                  <c:v>0.79449915769880586</c:v>
                </c:pt>
                <c:pt idx="385" formatCode="0.0000000000%">
                  <c:v>0.79185169796755062</c:v>
                </c:pt>
                <c:pt idx="386" formatCode="0.0000000000%">
                  <c:v>0.79406015440799971</c:v>
                </c:pt>
                <c:pt idx="387" formatCode="0.0000000000%">
                  <c:v>0.79621432052969465</c:v>
                </c:pt>
                <c:pt idx="388" formatCode="0.0000000000%">
                  <c:v>0.79338723260014399</c:v>
                </c:pt>
                <c:pt idx="389" formatCode="0.0000000000%">
                  <c:v>0.79061677100767491</c:v>
                </c:pt>
                <c:pt idx="390" formatCode="0.0000000000%">
                  <c:v>0.78510044784861466</c:v>
                </c:pt>
                <c:pt idx="391" formatCode="0.0000000000%">
                  <c:v>0.78924636399924808</c:v>
                </c:pt>
                <c:pt idx="392" formatCode="0.0000000000%">
                  <c:v>0.78868572263341408</c:v>
                </c:pt>
                <c:pt idx="393" formatCode="0.0000000000%">
                  <c:v>0.79126345776590923</c:v>
                </c:pt>
                <c:pt idx="394" formatCode="0.0000000000%">
                  <c:v>0.7890000559286231</c:v>
                </c:pt>
                <c:pt idx="395" formatCode="0.0000000000%">
                  <c:v>0.79310551060769641</c:v>
                </c:pt>
                <c:pt idx="396" formatCode="0.0000000000%">
                  <c:v>0.78913382380584618</c:v>
                </c:pt>
                <c:pt idx="397" formatCode="0.0000000000%">
                  <c:v>0.78666917582397944</c:v>
                </c:pt>
                <c:pt idx="398" formatCode="0.0000000000%">
                  <c:v>0.78704598320614039</c:v>
                </c:pt>
                <c:pt idx="399" formatCode="0.0000000000%">
                  <c:v>0.7817735581948182</c:v>
                </c:pt>
                <c:pt idx="400" formatCode="0.0000000000%">
                  <c:v>0.78213103229589287</c:v>
                </c:pt>
                <c:pt idx="401" formatCode="0.0000000000%">
                  <c:v>0.78506449323052263</c:v>
                </c:pt>
                <c:pt idx="402" formatCode="0.0000000000%">
                  <c:v>0.78506011204838499</c:v>
                </c:pt>
                <c:pt idx="403" formatCode="0.0000000000%">
                  <c:v>0.77935312854859318</c:v>
                </c:pt>
                <c:pt idx="404" formatCode="0.0000000000%">
                  <c:v>0.78005240250291163</c:v>
                </c:pt>
                <c:pt idx="405" formatCode="0.0000000000%">
                  <c:v>0.78451761381098106</c:v>
                </c:pt>
                <c:pt idx="406" formatCode="0.0000000000%">
                  <c:v>0.78674555358886367</c:v>
                </c:pt>
                <c:pt idx="407" formatCode="0.0000000000%">
                  <c:v>0.77808560643571312</c:v>
                </c:pt>
                <c:pt idx="408" formatCode="0.0000000000%">
                  <c:v>0.77647527128291394</c:v>
                </c:pt>
                <c:pt idx="409" formatCode="0.0000000000%">
                  <c:v>0.76871317880196388</c:v>
                </c:pt>
                <c:pt idx="410" formatCode="0.0000000000%">
                  <c:v>0.76227228892655019</c:v>
                </c:pt>
                <c:pt idx="411" formatCode="0.0000000000%">
                  <c:v>0.7677735299455668</c:v>
                </c:pt>
                <c:pt idx="412" formatCode="0.0000000000%">
                  <c:v>0.77121317124392519</c:v>
                </c:pt>
                <c:pt idx="413" formatCode="0.0000000000%">
                  <c:v>0.76925775889526127</c:v>
                </c:pt>
                <c:pt idx="414" formatCode="0.0000000000%">
                  <c:v>0.76317138033724463</c:v>
                </c:pt>
                <c:pt idx="415" formatCode="0.0000000000%">
                  <c:v>0.7647412780930305</c:v>
                </c:pt>
                <c:pt idx="416" formatCode="0.0000000000%">
                  <c:v>0.76796853223917416</c:v>
                </c:pt>
                <c:pt idx="417" formatCode="0.0000000000%">
                  <c:v>0.76764995807570158</c:v>
                </c:pt>
                <c:pt idx="418" formatCode="0.0000000000%">
                  <c:v>0.77101434092722843</c:v>
                </c:pt>
                <c:pt idx="419" formatCode="0.0000000000%">
                  <c:v>0.7733767293571463</c:v>
                </c:pt>
                <c:pt idx="420" formatCode="0.0000000000%">
                  <c:v>0.76828629824221761</c:v>
                </c:pt>
                <c:pt idx="421" formatCode="0.0000000000%">
                  <c:v>0.76387816079343285</c:v>
                </c:pt>
                <c:pt idx="422" formatCode="0.0000000000%">
                  <c:v>0.76436668722731316</c:v>
                </c:pt>
                <c:pt idx="423" formatCode="0.0000000000%">
                  <c:v>0.7663413884627055</c:v>
                </c:pt>
                <c:pt idx="424" formatCode="0.0000000000%">
                  <c:v>0.77125734061549467</c:v>
                </c:pt>
                <c:pt idx="425" formatCode="0.0000000000%">
                  <c:v>0.77237431905356146</c:v>
                </c:pt>
                <c:pt idx="426" formatCode="0.0000000000%">
                  <c:v>0.77461829784056901</c:v>
                </c:pt>
                <c:pt idx="427" formatCode="0.0000000000%">
                  <c:v>0.77562299621067576</c:v>
                </c:pt>
                <c:pt idx="428" formatCode="0.0000000000%">
                  <c:v>0.77066096564371245</c:v>
                </c:pt>
                <c:pt idx="429" formatCode="0.0000000000%">
                  <c:v>0.77255277786183985</c:v>
                </c:pt>
                <c:pt idx="430" formatCode="0.0000000000%">
                  <c:v>0.77583188877496867</c:v>
                </c:pt>
                <c:pt idx="431" formatCode="0.0000000000%">
                  <c:v>0.77336618655761136</c:v>
                </c:pt>
                <c:pt idx="432" formatCode="0.0000000000%">
                  <c:v>0.77637327541655432</c:v>
                </c:pt>
                <c:pt idx="433" formatCode="0.0000000000%">
                  <c:v>0.78250111793312582</c:v>
                </c:pt>
                <c:pt idx="434" formatCode="0.0000000000%">
                  <c:v>0.78204230514769602</c:v>
                </c:pt>
                <c:pt idx="435" formatCode="0.0000000000%">
                  <c:v>0.78423503673784012</c:v>
                </c:pt>
                <c:pt idx="436" formatCode="0.0000000000%">
                  <c:v>0.77665883686724169</c:v>
                </c:pt>
                <c:pt idx="437" formatCode="0.0000000000%">
                  <c:v>0.77404057065471266</c:v>
                </c:pt>
                <c:pt idx="438" formatCode="0.0000000000%">
                  <c:v>0.77107677989905776</c:v>
                </c:pt>
                <c:pt idx="439" formatCode="0.0000000000%">
                  <c:v>0.80156799094066244</c:v>
                </c:pt>
                <c:pt idx="440" formatCode="0.0000000000%">
                  <c:v>0.79448375520295211</c:v>
                </c:pt>
                <c:pt idx="441" formatCode="0.0000000000%">
                  <c:v>0.77348005080966686</c:v>
                </c:pt>
                <c:pt idx="442" formatCode="0.0000000000%">
                  <c:v>0.77048086531870841</c:v>
                </c:pt>
                <c:pt idx="443" formatCode="0.0000000000%">
                  <c:v>0.7642436459929578</c:v>
                </c:pt>
                <c:pt idx="444" formatCode="0.0000000000%">
                  <c:v>0.77104287510168856</c:v>
                </c:pt>
                <c:pt idx="445" formatCode="0.0000000000%">
                  <c:v>0.78735156447949561</c:v>
                </c:pt>
                <c:pt idx="446" formatCode="0.0000000000%">
                  <c:v>0.77080457792106394</c:v>
                </c:pt>
                <c:pt idx="447" formatCode="0.0000000000%">
                  <c:v>0.77601474365523104</c:v>
                </c:pt>
                <c:pt idx="448" formatCode="0.0000000000%">
                  <c:v>0.77907448556413217</c:v>
                </c:pt>
                <c:pt idx="449" formatCode="0.0000000000%">
                  <c:v>0.77490724901467534</c:v>
                </c:pt>
                <c:pt idx="450" formatCode="0.0000000000%">
                  <c:v>0.78029693768533581</c:v>
                </c:pt>
                <c:pt idx="451" formatCode="0.0000000000%">
                  <c:v>0.77881869781131885</c:v>
                </c:pt>
                <c:pt idx="452" formatCode="0.0000000000%">
                  <c:v>0.78639162818829966</c:v>
                </c:pt>
                <c:pt idx="453" formatCode="0.0000000000%">
                  <c:v>0.78448118463042005</c:v>
                </c:pt>
                <c:pt idx="454" formatCode="0.0000000000%">
                  <c:v>0.77456788816309663</c:v>
                </c:pt>
                <c:pt idx="455" formatCode="0.0000000000%">
                  <c:v>0.78036958542917823</c:v>
                </c:pt>
                <c:pt idx="456" formatCode="0.0000000000%">
                  <c:v>0.79137482540619708</c:v>
                </c:pt>
                <c:pt idx="457" formatCode="0.0000000000%">
                  <c:v>0.79133374727507999</c:v>
                </c:pt>
                <c:pt idx="458" formatCode="0.0000000000%">
                  <c:v>0.79787542963592284</c:v>
                </c:pt>
                <c:pt idx="459" formatCode="0.0000000000%">
                  <c:v>0.79682286870909402</c:v>
                </c:pt>
                <c:pt idx="460" formatCode="0.0000000000%">
                  <c:v>0.79683088949019387</c:v>
                </c:pt>
                <c:pt idx="461" formatCode="0.0000000000%">
                  <c:v>0.79351235603772918</c:v>
                </c:pt>
                <c:pt idx="462" formatCode="0.0000000000%">
                  <c:v>0.79602095936103179</c:v>
                </c:pt>
                <c:pt idx="463" formatCode="0.0000000000%">
                  <c:v>0.79861229209596407</c:v>
                </c:pt>
                <c:pt idx="464" formatCode="0.0000000000%">
                  <c:v>0.79517893056131539</c:v>
                </c:pt>
                <c:pt idx="465" formatCode="0.0000000000%">
                  <c:v>0.79726506991647039</c:v>
                </c:pt>
                <c:pt idx="466" formatCode="0.0000000000%">
                  <c:v>0.80863122109705776</c:v>
                </c:pt>
                <c:pt idx="467" formatCode="0.0000000000%">
                  <c:v>0.80742630820448713</c:v>
                </c:pt>
                <c:pt idx="468" formatCode="0.0000000000%">
                  <c:v>0.80256287799988657</c:v>
                </c:pt>
                <c:pt idx="469" formatCode="0.0000000000%">
                  <c:v>0.80955248849889039</c:v>
                </c:pt>
                <c:pt idx="470" formatCode="0.0000000000%">
                  <c:v>0.81331227089903646</c:v>
                </c:pt>
                <c:pt idx="471" formatCode="0.0000000000%">
                  <c:v>0.80910298491067423</c:v>
                </c:pt>
                <c:pt idx="472" formatCode="0.0000000000%">
                  <c:v>0.81130781913476091</c:v>
                </c:pt>
                <c:pt idx="473" formatCode="0.0000000000%">
                  <c:v>0.81926623963473044</c:v>
                </c:pt>
                <c:pt idx="474" formatCode="0.0000000000%">
                  <c:v>0.81545914565539501</c:v>
                </c:pt>
                <c:pt idx="475" formatCode="0.0000000000%">
                  <c:v>0.81308542195002798</c:v>
                </c:pt>
                <c:pt idx="476" formatCode="0.0000000000%">
                  <c:v>0.82000047554074196</c:v>
                </c:pt>
                <c:pt idx="477" formatCode="0.0000000000%">
                  <c:v>0.7980837057579816</c:v>
                </c:pt>
                <c:pt idx="478" formatCode="0.0000000000%">
                  <c:v>0.82453839903115933</c:v>
                </c:pt>
                <c:pt idx="479" formatCode="0.0000000000%">
                  <c:v>0.83560934043334711</c:v>
                </c:pt>
                <c:pt idx="480" formatCode="0.0000000000%">
                  <c:v>0.84088790092381027</c:v>
                </c:pt>
                <c:pt idx="481" formatCode="0.0000000000%">
                  <c:v>0.83896702744831464</c:v>
                </c:pt>
                <c:pt idx="482" formatCode="0.0000000000%">
                  <c:v>0.84269987796535883</c:v>
                </c:pt>
                <c:pt idx="483" formatCode="0.0000000000%">
                  <c:v>0.84618577770747383</c:v>
                </c:pt>
                <c:pt idx="484" formatCode="0.0000000000%">
                  <c:v>0.8413766056072437</c:v>
                </c:pt>
                <c:pt idx="485" formatCode="0.0000000000%">
                  <c:v>0.85170976389063058</c:v>
                </c:pt>
                <c:pt idx="486" formatCode="0.0000000000%">
                  <c:v>0.85315603514774963</c:v>
                </c:pt>
                <c:pt idx="487" formatCode="0.0000000000%">
                  <c:v>0.85615356754726946</c:v>
                </c:pt>
                <c:pt idx="488" formatCode="0.0000000000%">
                  <c:v>0.83809146137809531</c:v>
                </c:pt>
                <c:pt idx="489" formatCode="0.0000000000%">
                  <c:v>0.83835919323472285</c:v>
                </c:pt>
                <c:pt idx="490" formatCode="0.0000000000%">
                  <c:v>0.82467451047393159</c:v>
                </c:pt>
                <c:pt idx="491" formatCode="0.0000000000%">
                  <c:v>0.81283947247834487</c:v>
                </c:pt>
                <c:pt idx="492" formatCode="0.0000000000%">
                  <c:v>0.82821457336412285</c:v>
                </c:pt>
                <c:pt idx="493" formatCode="0.0000000000%">
                  <c:v>0.8176648094890826</c:v>
                </c:pt>
                <c:pt idx="494" formatCode="0.0000000000%">
                  <c:v>0.80468426314379449</c:v>
                </c:pt>
                <c:pt idx="495" formatCode="0.0000000000%">
                  <c:v>0.82286626564909215</c:v>
                </c:pt>
                <c:pt idx="496" formatCode="0.0000000000%">
                  <c:v>0.83653725687149572</c:v>
                </c:pt>
                <c:pt idx="497" formatCode="0.0000000000%">
                  <c:v>0.83233603916304355</c:v>
                </c:pt>
                <c:pt idx="498" formatCode="0.0000000000%">
                  <c:v>0.81781597669829209</c:v>
                </c:pt>
                <c:pt idx="499" formatCode="0.0000000000%">
                  <c:v>0.81598432855338443</c:v>
                </c:pt>
                <c:pt idx="500" formatCode="0.0000000000%">
                  <c:v>0.83118774622435021</c:v>
                </c:pt>
                <c:pt idx="501" formatCode="0.0000000000%">
                  <c:v>0.82976434338819716</c:v>
                </c:pt>
                <c:pt idx="502" formatCode="0.0000000000%">
                  <c:v>0.84447241377037374</c:v>
                </c:pt>
                <c:pt idx="503" formatCode="0.0000000000%">
                  <c:v>0.84033170803443358</c:v>
                </c:pt>
                <c:pt idx="504" formatCode="0.0000000000%">
                  <c:v>0.82969498267884656</c:v>
                </c:pt>
                <c:pt idx="505" formatCode="0.0000000000%">
                  <c:v>0.82227700500365686</c:v>
                </c:pt>
                <c:pt idx="506" formatCode="0.0000000000%">
                  <c:v>0.82747388742360495</c:v>
                </c:pt>
                <c:pt idx="507" formatCode="0.0000000000%">
                  <c:v>0.82293476798750065</c:v>
                </c:pt>
                <c:pt idx="508" formatCode="0.0000000000%">
                  <c:v>0.82780947727589593</c:v>
                </c:pt>
                <c:pt idx="509" formatCode="0.0000000000%">
                  <c:v>0.81862057619367656</c:v>
                </c:pt>
                <c:pt idx="510" formatCode="0.0000000000%">
                  <c:v>0.82648970412742895</c:v>
                </c:pt>
                <c:pt idx="511" formatCode="0.0000000000%">
                  <c:v>0.82904471029048499</c:v>
                </c:pt>
                <c:pt idx="512" formatCode="0.0000000000%">
                  <c:v>0.83029164788179233</c:v>
                </c:pt>
                <c:pt idx="513" formatCode="0.0000000000%">
                  <c:v>0.83068832809431792</c:v>
                </c:pt>
                <c:pt idx="514" formatCode="0.0000000000%">
                  <c:v>0.82125874306528213</c:v>
                </c:pt>
                <c:pt idx="515" formatCode="0.0000000000%">
                  <c:v>0.83245199648852708</c:v>
                </c:pt>
                <c:pt idx="516" formatCode="0.0000000000%">
                  <c:v>0.82058211464175423</c:v>
                </c:pt>
                <c:pt idx="517" formatCode="0.0000000000%">
                  <c:v>0.82577485473065304</c:v>
                </c:pt>
                <c:pt idx="518" formatCode="0.0000000000%">
                  <c:v>0.81070132468109612</c:v>
                </c:pt>
                <c:pt idx="519" formatCode="0.0000000000%">
                  <c:v>0.81852652284819383</c:v>
                </c:pt>
                <c:pt idx="520" formatCode="0.0000000000%">
                  <c:v>0.8134470616101922</c:v>
                </c:pt>
                <c:pt idx="521" formatCode="0.0000000000%">
                  <c:v>0.81588025401146191</c:v>
                </c:pt>
                <c:pt idx="522" formatCode="0.0000000000%">
                  <c:v>0.83854850589228913</c:v>
                </c:pt>
                <c:pt idx="523" formatCode="0.0000000000%">
                  <c:v>0.82830332506916748</c:v>
                </c:pt>
                <c:pt idx="524" formatCode="0.0000000000%">
                  <c:v>0.82010555554548714</c:v>
                </c:pt>
                <c:pt idx="525" formatCode="0.0000000000%">
                  <c:v>0.83282198056222712</c:v>
                </c:pt>
                <c:pt idx="526" formatCode="0.0000000000%">
                  <c:v>0.8235396998036647</c:v>
                </c:pt>
                <c:pt idx="527" formatCode="0.0000000000%">
                  <c:v>0.8173202482511851</c:v>
                </c:pt>
                <c:pt idx="528" formatCode="0.0000000000%">
                  <c:v>0.85189396035257459</c:v>
                </c:pt>
                <c:pt idx="529" formatCode="0.0000000000%">
                  <c:v>0.85243700539248013</c:v>
                </c:pt>
                <c:pt idx="530" formatCode="0.0000000000%">
                  <c:v>0.82954164376502759</c:v>
                </c:pt>
                <c:pt idx="531" formatCode="0.0000000000%">
                  <c:v>0.82945014588589949</c:v>
                </c:pt>
                <c:pt idx="532" formatCode="0.0000000000%">
                  <c:v>0.83526831353862407</c:v>
                </c:pt>
                <c:pt idx="533" formatCode="0.0000000000%">
                  <c:v>0.82742069180066846</c:v>
                </c:pt>
                <c:pt idx="534" formatCode="0.0000000000%">
                  <c:v>0.8260465215217111</c:v>
                </c:pt>
                <c:pt idx="535" formatCode="0.0000000000%">
                  <c:v>0.81850394303014495</c:v>
                </c:pt>
                <c:pt idx="536" formatCode="0.0000000000%">
                  <c:v>0.82628830465221959</c:v>
                </c:pt>
                <c:pt idx="537" formatCode="0.0000000000%">
                  <c:v>0.82075557610426775</c:v>
                </c:pt>
                <c:pt idx="538" formatCode="0.0000000000%">
                  <c:v>0.82936607997168654</c:v>
                </c:pt>
                <c:pt idx="539" formatCode="0.0000000000%">
                  <c:v>0.81905730544308175</c:v>
                </c:pt>
                <c:pt idx="540" formatCode="0.0000000000%">
                  <c:v>0.81933353348504456</c:v>
                </c:pt>
                <c:pt idx="541" formatCode="0.0000000000%">
                  <c:v>0.81697379146649929</c:v>
                </c:pt>
                <c:pt idx="542" formatCode="0.0000000000%">
                  <c:v>0.84441850324956069</c:v>
                </c:pt>
                <c:pt idx="543" formatCode="0.0000000000%">
                  <c:v>0.8200918075745165</c:v>
                </c:pt>
                <c:pt idx="544" formatCode="0.0000000000%">
                  <c:v>0.82753247761668758</c:v>
                </c:pt>
                <c:pt idx="545" formatCode="0.0000000000%">
                  <c:v>0.83010911140012089</c:v>
                </c:pt>
                <c:pt idx="546" formatCode="0.0000000000%">
                  <c:v>0.82713333128941491</c:v>
                </c:pt>
                <c:pt idx="547" formatCode="0.0000000000%">
                  <c:v>0.83164390455178105</c:v>
                </c:pt>
                <c:pt idx="548" formatCode="0.0000000000%">
                  <c:v>0.8380207412596814</c:v>
                </c:pt>
                <c:pt idx="549" formatCode="0.0000000000%">
                  <c:v>0.83434140812002366</c:v>
                </c:pt>
                <c:pt idx="550" formatCode="0.0000000000%">
                  <c:v>0.82611984431241958</c:v>
                </c:pt>
                <c:pt idx="551" formatCode="0.0000000000%">
                  <c:v>0.82669365979970499</c:v>
                </c:pt>
                <c:pt idx="552" formatCode="0.0000000000%">
                  <c:v>0.84561208884674111</c:v>
                </c:pt>
                <c:pt idx="553" formatCode="0.0000000000%">
                  <c:v>0.8324058193302859</c:v>
                </c:pt>
                <c:pt idx="554" formatCode="0.0000000000%">
                  <c:v>0.83550369273262515</c:v>
                </c:pt>
                <c:pt idx="555" formatCode="0.0000000000%">
                  <c:v>0.83528586498748691</c:v>
                </c:pt>
                <c:pt idx="556" formatCode="0.0000000000%">
                  <c:v>0.82659331264388725</c:v>
                </c:pt>
                <c:pt idx="557" formatCode="0.0000000000%">
                  <c:v>0.83569423393397646</c:v>
                </c:pt>
                <c:pt idx="558" formatCode="0.0000000000%">
                  <c:v>0.82202279154656821</c:v>
                </c:pt>
                <c:pt idx="559" formatCode="0.0000000000%">
                  <c:v>0.82820734873053425</c:v>
                </c:pt>
                <c:pt idx="560" formatCode="0.0000000000%">
                  <c:v>0.83375601925148202</c:v>
                </c:pt>
                <c:pt idx="561" formatCode="0.0000000000%">
                  <c:v>0.83735732601383206</c:v>
                </c:pt>
                <c:pt idx="562" formatCode="0.0000000000%">
                  <c:v>0.8527719370746113</c:v>
                </c:pt>
                <c:pt idx="563" formatCode="0.0000000000%">
                  <c:v>0.86208576865922282</c:v>
                </c:pt>
                <c:pt idx="564" formatCode="0.0000000000%">
                  <c:v>0.86574670795719877</c:v>
                </c:pt>
                <c:pt idx="565" formatCode="0.0000000000%">
                  <c:v>0.87756244060462407</c:v>
                </c:pt>
                <c:pt idx="566" formatCode="0.0000000000%">
                  <c:v>0.86332050365857871</c:v>
                </c:pt>
                <c:pt idx="567" formatCode="0.0000000000%">
                  <c:v>0.87578818199266695</c:v>
                </c:pt>
                <c:pt idx="568" formatCode="0.0000000000%">
                  <c:v>0.87824019304901335</c:v>
                </c:pt>
                <c:pt idx="569" formatCode="0.0000000000%">
                  <c:v>0.86844133115831124</c:v>
                </c:pt>
                <c:pt idx="570" formatCode="0.0000000000%">
                  <c:v>0.87597596722179161</c:v>
                </c:pt>
                <c:pt idx="571" formatCode="0.0000000000%">
                  <c:v>0.87208933156414403</c:v>
                </c:pt>
                <c:pt idx="572" formatCode="0.0000000000%">
                  <c:v>0.87120551279051506</c:v>
                </c:pt>
                <c:pt idx="573" formatCode="0.0000000000%">
                  <c:v>0.87329948668874524</c:v>
                </c:pt>
                <c:pt idx="574" formatCode="0.0000000000%">
                  <c:v>0.88017550177237669</c:v>
                </c:pt>
                <c:pt idx="575" formatCode="0.0000000000%">
                  <c:v>0.87297963261998401</c:v>
                </c:pt>
                <c:pt idx="576" formatCode="0.0000000000%">
                  <c:v>0.86940212025295516</c:v>
                </c:pt>
                <c:pt idx="577" formatCode="0.0000000000%">
                  <c:v>0.86157481480936859</c:v>
                </c:pt>
                <c:pt idx="578" formatCode="0.0000000000%">
                  <c:v>0.86600515606132022</c:v>
                </c:pt>
                <c:pt idx="579" formatCode="0.0000000000%">
                  <c:v>0.8645658399573537</c:v>
                </c:pt>
                <c:pt idx="580" formatCode="0.0000000000%">
                  <c:v>0.86342925834157513</c:v>
                </c:pt>
                <c:pt idx="581" formatCode="0.0000000000%">
                  <c:v>0.87038220434214275</c:v>
                </c:pt>
                <c:pt idx="582" formatCode="0.0000000000%">
                  <c:v>0.87931969556255285</c:v>
                </c:pt>
                <c:pt idx="583" formatCode="0.0000000000%">
                  <c:v>0.88386270855777527</c:v>
                </c:pt>
                <c:pt idx="584" formatCode="0.0000000000%">
                  <c:v>0.87546190558265269</c:v>
                </c:pt>
                <c:pt idx="585" formatCode="0.0000000000%">
                  <c:v>0.87297942884423929</c:v>
                </c:pt>
                <c:pt idx="586" formatCode="0.0000000000%">
                  <c:v>0.86086116163317294</c:v>
                </c:pt>
                <c:pt idx="587" formatCode="0.0000000000%">
                  <c:v>0.86654638355709512</c:v>
                </c:pt>
                <c:pt idx="588" formatCode="0.0000000000%">
                  <c:v>0.8643093264222016</c:v>
                </c:pt>
                <c:pt idx="589" formatCode="0.0000000000%">
                  <c:v>0.86476282329813425</c:v>
                </c:pt>
                <c:pt idx="590" formatCode="0.0000000000%">
                  <c:v>0.86087397425968726</c:v>
                </c:pt>
                <c:pt idx="591" formatCode="0.0000000000%">
                  <c:v>0.85627546029450019</c:v>
                </c:pt>
                <c:pt idx="592" formatCode="0.0000000000%">
                  <c:v>0.8647730022264436</c:v>
                </c:pt>
                <c:pt idx="593" formatCode="0.0000000000%">
                  <c:v>0.86276780487453653</c:v>
                </c:pt>
                <c:pt idx="594" formatCode="0.0000000000%">
                  <c:v>0.85769704240983702</c:v>
                </c:pt>
                <c:pt idx="595" formatCode="0.0000000000%">
                  <c:v>0.8577609699764146</c:v>
                </c:pt>
                <c:pt idx="596" formatCode="0.0000000000%">
                  <c:v>0.85466078332002104</c:v>
                </c:pt>
                <c:pt idx="597" formatCode="0.0000000000%">
                  <c:v>0.85417443310535646</c:v>
                </c:pt>
                <c:pt idx="598" formatCode="0.0000000000%">
                  <c:v>0.83359687550146511</c:v>
                </c:pt>
                <c:pt idx="599" formatCode="0.0000000000%">
                  <c:v>0.83931907233922742</c:v>
                </c:pt>
                <c:pt idx="600" formatCode="0.0000000000%">
                  <c:v>0.85648280085434925</c:v>
                </c:pt>
                <c:pt idx="601" formatCode="0.0000000000%">
                  <c:v>0.88813114158844764</c:v>
                </c:pt>
                <c:pt idx="602" formatCode="0.0000000000%">
                  <c:v>0.88450983737767175</c:v>
                </c:pt>
                <c:pt idx="603" formatCode="0.0000000000%">
                  <c:v>0.86970700975375681</c:v>
                </c:pt>
                <c:pt idx="604" formatCode="0.0000000000%">
                  <c:v>0.86925234363089188</c:v>
                </c:pt>
                <c:pt idx="605" formatCode="0.0000000000%">
                  <c:v>0.86899240233051744</c:v>
                </c:pt>
                <c:pt idx="606" formatCode="0.0000000000%">
                  <c:v>0.88019391917136902</c:v>
                </c:pt>
                <c:pt idx="607" formatCode="0.0000000000%">
                  <c:v>0.8772342455942771</c:v>
                </c:pt>
                <c:pt idx="608" formatCode="0.0000000000%">
                  <c:v>0.87691218385162684</c:v>
                </c:pt>
                <c:pt idx="609" formatCode="0.0000000000%">
                  <c:v>0.88713945365162483</c:v>
                </c:pt>
                <c:pt idx="610" formatCode="0.0000000000%">
                  <c:v>0.89544214093493091</c:v>
                </c:pt>
                <c:pt idx="611" formatCode="0.0000000000%">
                  <c:v>0.88846005171471465</c:v>
                </c:pt>
                <c:pt idx="612" formatCode="0.0000000000%">
                  <c:v>0.90196433662245501</c:v>
                </c:pt>
                <c:pt idx="613" formatCode="0.0000000000%">
                  <c:v>0.89616352749615968</c:v>
                </c:pt>
                <c:pt idx="614" formatCode="0.0000000000%">
                  <c:v>0.9005487673109398</c:v>
                </c:pt>
                <c:pt idx="615" formatCode="0.0000000000%">
                  <c:v>0.90370043228964891</c:v>
                </c:pt>
                <c:pt idx="616" formatCode="0.0000000000%">
                  <c:v>0.88482170154623563</c:v>
                </c:pt>
                <c:pt idx="617" formatCode="0.0000000000%">
                  <c:v>0.89116291037686168</c:v>
                </c:pt>
                <c:pt idx="618" formatCode="0.0000000000%">
                  <c:v>0.88347595190746131</c:v>
                </c:pt>
                <c:pt idx="619" formatCode="0.0000000000%">
                  <c:v>0.88280156482186545</c:v>
                </c:pt>
                <c:pt idx="620" formatCode="0.0000000000%">
                  <c:v>0.88916802773533932</c:v>
                </c:pt>
                <c:pt idx="621" formatCode="0.0000000000%">
                  <c:v>0.88008304218285904</c:v>
                </c:pt>
                <c:pt idx="622" formatCode="0.0000000000%">
                  <c:v>0.88236928229519984</c:v>
                </c:pt>
                <c:pt idx="623" formatCode="0.0000000000%">
                  <c:v>0.88272562936394783</c:v>
                </c:pt>
                <c:pt idx="624" formatCode="0.0000000000%">
                  <c:v>0.8707043087439067</c:v>
                </c:pt>
                <c:pt idx="625" formatCode="0.0000000000%">
                  <c:v>0.83326677261858062</c:v>
                </c:pt>
                <c:pt idx="626" formatCode="0.0000000000%">
                  <c:v>0.84803498486458773</c:v>
                </c:pt>
                <c:pt idx="627" formatCode="0.0000000000%">
                  <c:v>0.87959421362838841</c:v>
                </c:pt>
                <c:pt idx="628" formatCode="0.0000000000%">
                  <c:v>0.87134334585815831</c:v>
                </c:pt>
                <c:pt idx="629" formatCode="0.0000000000%">
                  <c:v>0.86658830294565126</c:v>
                </c:pt>
                <c:pt idx="630" formatCode="0.0000000000%">
                  <c:v>0.86699704324673754</c:v>
                </c:pt>
                <c:pt idx="631" formatCode="0.0000000000%">
                  <c:v>0.84876483249752277</c:v>
                </c:pt>
                <c:pt idx="632" formatCode="0.0000000000%">
                  <c:v>0.87037158095546263</c:v>
                </c:pt>
                <c:pt idx="633" formatCode="0.0000000000%">
                  <c:v>0.8604642622307207</c:v>
                </c:pt>
                <c:pt idx="634" formatCode="0.0000000000%">
                  <c:v>0.85667588444425535</c:v>
                </c:pt>
                <c:pt idx="635" formatCode="0.0000000000%">
                  <c:v>0.86241362797384269</c:v>
                </c:pt>
              </c:numCache>
            </c:numRef>
          </c:val>
          <c:smooth val="0"/>
          <c:extLst>
            <c:ext xmlns:c16="http://schemas.microsoft.com/office/drawing/2014/chart" uri="{C3380CC4-5D6E-409C-BE32-E72D297353CC}">
              <c16:uniqueId val="{00000000-68A0-430B-AE47-AA38D3089E0A}"/>
            </c:ext>
          </c:extLst>
        </c:ser>
        <c:ser>
          <c:idx val="1"/>
          <c:order val="1"/>
          <c:tx>
            <c:strRef>
              <c:f>★資本稼働率!$S$1</c:f>
              <c:strCache>
                <c:ptCount val="1"/>
                <c:pt idx="0">
                  <c:v>潜在資本稼働率
（1990年10月～）</c:v>
                </c:pt>
              </c:strCache>
            </c:strRef>
          </c:tx>
          <c:spPr>
            <a:ln w="28575" cap="rnd">
              <a:solidFill>
                <a:schemeClr val="bg1">
                  <a:lumMod val="65000"/>
                </a:schemeClr>
              </a:solidFill>
              <a:round/>
            </a:ln>
            <a:effectLst/>
          </c:spPr>
          <c:marker>
            <c:symbol val="none"/>
          </c:marker>
          <c:cat>
            <c:numRef>
              <c:f>★資本稼働率!$A$2:$A$652</c:f>
              <c:numCache>
                <c:formatCode>yyyy"年"m"月";@</c:formatCode>
                <c:ptCount val="651"/>
                <c:pt idx="0">
                  <c:v>24929</c:v>
                </c:pt>
                <c:pt idx="1">
                  <c:v>24959</c:v>
                </c:pt>
                <c:pt idx="2">
                  <c:v>24990</c:v>
                </c:pt>
                <c:pt idx="3">
                  <c:v>25020</c:v>
                </c:pt>
                <c:pt idx="4">
                  <c:v>25051</c:v>
                </c:pt>
                <c:pt idx="5">
                  <c:v>25082</c:v>
                </c:pt>
                <c:pt idx="6">
                  <c:v>25112</c:v>
                </c:pt>
                <c:pt idx="7">
                  <c:v>25143</c:v>
                </c:pt>
                <c:pt idx="8">
                  <c:v>25173</c:v>
                </c:pt>
                <c:pt idx="9">
                  <c:v>25204</c:v>
                </c:pt>
                <c:pt idx="10">
                  <c:v>25235</c:v>
                </c:pt>
                <c:pt idx="11">
                  <c:v>25263</c:v>
                </c:pt>
                <c:pt idx="12">
                  <c:v>25294</c:v>
                </c:pt>
                <c:pt idx="13">
                  <c:v>25324</c:v>
                </c:pt>
                <c:pt idx="14">
                  <c:v>25355</c:v>
                </c:pt>
                <c:pt idx="15">
                  <c:v>25385</c:v>
                </c:pt>
                <c:pt idx="16">
                  <c:v>25416</c:v>
                </c:pt>
                <c:pt idx="17">
                  <c:v>25447</c:v>
                </c:pt>
                <c:pt idx="18">
                  <c:v>25477</c:v>
                </c:pt>
                <c:pt idx="19">
                  <c:v>25508</c:v>
                </c:pt>
                <c:pt idx="20">
                  <c:v>25538</c:v>
                </c:pt>
                <c:pt idx="21">
                  <c:v>25569</c:v>
                </c:pt>
                <c:pt idx="22">
                  <c:v>25600</c:v>
                </c:pt>
                <c:pt idx="23">
                  <c:v>25628</c:v>
                </c:pt>
                <c:pt idx="24">
                  <c:v>25659</c:v>
                </c:pt>
                <c:pt idx="25">
                  <c:v>25689</c:v>
                </c:pt>
                <c:pt idx="26">
                  <c:v>25720</c:v>
                </c:pt>
                <c:pt idx="27">
                  <c:v>25750</c:v>
                </c:pt>
                <c:pt idx="28">
                  <c:v>25781</c:v>
                </c:pt>
                <c:pt idx="29">
                  <c:v>25812</c:v>
                </c:pt>
                <c:pt idx="30">
                  <c:v>25842</c:v>
                </c:pt>
                <c:pt idx="31">
                  <c:v>25873</c:v>
                </c:pt>
                <c:pt idx="32">
                  <c:v>25903</c:v>
                </c:pt>
                <c:pt idx="33">
                  <c:v>25934</c:v>
                </c:pt>
                <c:pt idx="34">
                  <c:v>25965</c:v>
                </c:pt>
                <c:pt idx="35">
                  <c:v>25993</c:v>
                </c:pt>
                <c:pt idx="36">
                  <c:v>26024</c:v>
                </c:pt>
                <c:pt idx="37">
                  <c:v>26054</c:v>
                </c:pt>
                <c:pt idx="38">
                  <c:v>26085</c:v>
                </c:pt>
                <c:pt idx="39">
                  <c:v>26115</c:v>
                </c:pt>
                <c:pt idx="40">
                  <c:v>26146</c:v>
                </c:pt>
                <c:pt idx="41">
                  <c:v>26177</c:v>
                </c:pt>
                <c:pt idx="42">
                  <c:v>26207</c:v>
                </c:pt>
                <c:pt idx="43">
                  <c:v>26238</c:v>
                </c:pt>
                <c:pt idx="44">
                  <c:v>26268</c:v>
                </c:pt>
                <c:pt idx="45">
                  <c:v>26299</c:v>
                </c:pt>
                <c:pt idx="46">
                  <c:v>26330</c:v>
                </c:pt>
                <c:pt idx="47">
                  <c:v>26359</c:v>
                </c:pt>
                <c:pt idx="48">
                  <c:v>26390</c:v>
                </c:pt>
                <c:pt idx="49">
                  <c:v>26420</c:v>
                </c:pt>
                <c:pt idx="50">
                  <c:v>26451</c:v>
                </c:pt>
                <c:pt idx="51">
                  <c:v>26481</c:v>
                </c:pt>
                <c:pt idx="52">
                  <c:v>26512</c:v>
                </c:pt>
                <c:pt idx="53">
                  <c:v>26543</c:v>
                </c:pt>
                <c:pt idx="54">
                  <c:v>26573</c:v>
                </c:pt>
                <c:pt idx="55">
                  <c:v>26604</c:v>
                </c:pt>
                <c:pt idx="56">
                  <c:v>26634</c:v>
                </c:pt>
                <c:pt idx="57">
                  <c:v>26665</c:v>
                </c:pt>
                <c:pt idx="58">
                  <c:v>26696</c:v>
                </c:pt>
                <c:pt idx="59">
                  <c:v>26724</c:v>
                </c:pt>
                <c:pt idx="60">
                  <c:v>26755</c:v>
                </c:pt>
                <c:pt idx="61">
                  <c:v>26785</c:v>
                </c:pt>
                <c:pt idx="62">
                  <c:v>26816</c:v>
                </c:pt>
                <c:pt idx="63">
                  <c:v>26846</c:v>
                </c:pt>
                <c:pt idx="64">
                  <c:v>26877</c:v>
                </c:pt>
                <c:pt idx="65">
                  <c:v>26908</c:v>
                </c:pt>
                <c:pt idx="66">
                  <c:v>26938</c:v>
                </c:pt>
                <c:pt idx="67">
                  <c:v>26969</c:v>
                </c:pt>
                <c:pt idx="68">
                  <c:v>26999</c:v>
                </c:pt>
                <c:pt idx="69">
                  <c:v>27030</c:v>
                </c:pt>
                <c:pt idx="70">
                  <c:v>27061</c:v>
                </c:pt>
                <c:pt idx="71">
                  <c:v>27089</c:v>
                </c:pt>
                <c:pt idx="72">
                  <c:v>27120</c:v>
                </c:pt>
                <c:pt idx="73">
                  <c:v>27150</c:v>
                </c:pt>
                <c:pt idx="74">
                  <c:v>27181</c:v>
                </c:pt>
                <c:pt idx="75">
                  <c:v>27211</c:v>
                </c:pt>
                <c:pt idx="76">
                  <c:v>27242</c:v>
                </c:pt>
                <c:pt idx="77">
                  <c:v>27273</c:v>
                </c:pt>
                <c:pt idx="78">
                  <c:v>27303</c:v>
                </c:pt>
                <c:pt idx="79">
                  <c:v>27334</c:v>
                </c:pt>
                <c:pt idx="80">
                  <c:v>27364</c:v>
                </c:pt>
                <c:pt idx="81">
                  <c:v>27395</c:v>
                </c:pt>
                <c:pt idx="82">
                  <c:v>27426</c:v>
                </c:pt>
                <c:pt idx="83">
                  <c:v>27454</c:v>
                </c:pt>
                <c:pt idx="84">
                  <c:v>27485</c:v>
                </c:pt>
                <c:pt idx="85">
                  <c:v>27515</c:v>
                </c:pt>
                <c:pt idx="86">
                  <c:v>27546</c:v>
                </c:pt>
                <c:pt idx="87">
                  <c:v>27576</c:v>
                </c:pt>
                <c:pt idx="88">
                  <c:v>27607</c:v>
                </c:pt>
                <c:pt idx="89">
                  <c:v>27638</c:v>
                </c:pt>
                <c:pt idx="90">
                  <c:v>27668</c:v>
                </c:pt>
                <c:pt idx="91">
                  <c:v>27699</c:v>
                </c:pt>
                <c:pt idx="92">
                  <c:v>27729</c:v>
                </c:pt>
                <c:pt idx="93">
                  <c:v>27760</c:v>
                </c:pt>
                <c:pt idx="94">
                  <c:v>27791</c:v>
                </c:pt>
                <c:pt idx="95">
                  <c:v>27820</c:v>
                </c:pt>
                <c:pt idx="96">
                  <c:v>27851</c:v>
                </c:pt>
                <c:pt idx="97">
                  <c:v>27881</c:v>
                </c:pt>
                <c:pt idx="98">
                  <c:v>27912</c:v>
                </c:pt>
                <c:pt idx="99">
                  <c:v>27942</c:v>
                </c:pt>
                <c:pt idx="100">
                  <c:v>27973</c:v>
                </c:pt>
                <c:pt idx="101">
                  <c:v>28004</c:v>
                </c:pt>
                <c:pt idx="102">
                  <c:v>28034</c:v>
                </c:pt>
                <c:pt idx="103">
                  <c:v>28065</c:v>
                </c:pt>
                <c:pt idx="104">
                  <c:v>28095</c:v>
                </c:pt>
                <c:pt idx="105">
                  <c:v>28126</c:v>
                </c:pt>
                <c:pt idx="106">
                  <c:v>28157</c:v>
                </c:pt>
                <c:pt idx="107">
                  <c:v>28185</c:v>
                </c:pt>
                <c:pt idx="108">
                  <c:v>28216</c:v>
                </c:pt>
                <c:pt idx="109">
                  <c:v>28246</c:v>
                </c:pt>
                <c:pt idx="110">
                  <c:v>28277</c:v>
                </c:pt>
                <c:pt idx="111">
                  <c:v>28307</c:v>
                </c:pt>
                <c:pt idx="112">
                  <c:v>28338</c:v>
                </c:pt>
                <c:pt idx="113">
                  <c:v>28369</c:v>
                </c:pt>
                <c:pt idx="114">
                  <c:v>28399</c:v>
                </c:pt>
                <c:pt idx="115">
                  <c:v>28430</c:v>
                </c:pt>
                <c:pt idx="116">
                  <c:v>28460</c:v>
                </c:pt>
                <c:pt idx="117">
                  <c:v>28491</c:v>
                </c:pt>
                <c:pt idx="118">
                  <c:v>28522</c:v>
                </c:pt>
                <c:pt idx="119">
                  <c:v>28550</c:v>
                </c:pt>
                <c:pt idx="120">
                  <c:v>28581</c:v>
                </c:pt>
                <c:pt idx="121">
                  <c:v>28611</c:v>
                </c:pt>
                <c:pt idx="122">
                  <c:v>28642</c:v>
                </c:pt>
                <c:pt idx="123">
                  <c:v>28672</c:v>
                </c:pt>
                <c:pt idx="124">
                  <c:v>28703</c:v>
                </c:pt>
                <c:pt idx="125">
                  <c:v>28734</c:v>
                </c:pt>
                <c:pt idx="126">
                  <c:v>28764</c:v>
                </c:pt>
                <c:pt idx="127">
                  <c:v>28795</c:v>
                </c:pt>
                <c:pt idx="128">
                  <c:v>28825</c:v>
                </c:pt>
                <c:pt idx="129">
                  <c:v>28856</c:v>
                </c:pt>
                <c:pt idx="130">
                  <c:v>28887</c:v>
                </c:pt>
                <c:pt idx="131">
                  <c:v>28915</c:v>
                </c:pt>
                <c:pt idx="132">
                  <c:v>28946</c:v>
                </c:pt>
                <c:pt idx="133">
                  <c:v>28976</c:v>
                </c:pt>
                <c:pt idx="134">
                  <c:v>29007</c:v>
                </c:pt>
                <c:pt idx="135">
                  <c:v>29037</c:v>
                </c:pt>
                <c:pt idx="136">
                  <c:v>29068</c:v>
                </c:pt>
                <c:pt idx="137">
                  <c:v>29099</c:v>
                </c:pt>
                <c:pt idx="138">
                  <c:v>29129</c:v>
                </c:pt>
                <c:pt idx="139">
                  <c:v>29160</c:v>
                </c:pt>
                <c:pt idx="140">
                  <c:v>29190</c:v>
                </c:pt>
                <c:pt idx="141">
                  <c:v>29221</c:v>
                </c:pt>
                <c:pt idx="142">
                  <c:v>29252</c:v>
                </c:pt>
                <c:pt idx="143">
                  <c:v>29281</c:v>
                </c:pt>
                <c:pt idx="144">
                  <c:v>29312</c:v>
                </c:pt>
                <c:pt idx="145">
                  <c:v>29342</c:v>
                </c:pt>
                <c:pt idx="146">
                  <c:v>29373</c:v>
                </c:pt>
                <c:pt idx="147">
                  <c:v>29403</c:v>
                </c:pt>
                <c:pt idx="148">
                  <c:v>29434</c:v>
                </c:pt>
                <c:pt idx="149">
                  <c:v>29465</c:v>
                </c:pt>
                <c:pt idx="150">
                  <c:v>29495</c:v>
                </c:pt>
                <c:pt idx="151">
                  <c:v>29526</c:v>
                </c:pt>
                <c:pt idx="152">
                  <c:v>29556</c:v>
                </c:pt>
                <c:pt idx="153">
                  <c:v>29587</c:v>
                </c:pt>
                <c:pt idx="154">
                  <c:v>29618</c:v>
                </c:pt>
                <c:pt idx="155">
                  <c:v>29646</c:v>
                </c:pt>
                <c:pt idx="156">
                  <c:v>29677</c:v>
                </c:pt>
                <c:pt idx="157">
                  <c:v>29707</c:v>
                </c:pt>
                <c:pt idx="158">
                  <c:v>29738</c:v>
                </c:pt>
                <c:pt idx="159">
                  <c:v>29768</c:v>
                </c:pt>
                <c:pt idx="160">
                  <c:v>29799</c:v>
                </c:pt>
                <c:pt idx="161">
                  <c:v>29830</c:v>
                </c:pt>
                <c:pt idx="162">
                  <c:v>29860</c:v>
                </c:pt>
                <c:pt idx="163">
                  <c:v>29891</c:v>
                </c:pt>
                <c:pt idx="164">
                  <c:v>29921</c:v>
                </c:pt>
                <c:pt idx="165">
                  <c:v>29952</c:v>
                </c:pt>
                <c:pt idx="166">
                  <c:v>29983</c:v>
                </c:pt>
                <c:pt idx="167">
                  <c:v>30011</c:v>
                </c:pt>
                <c:pt idx="168">
                  <c:v>30042</c:v>
                </c:pt>
                <c:pt idx="169">
                  <c:v>30072</c:v>
                </c:pt>
                <c:pt idx="170">
                  <c:v>30103</c:v>
                </c:pt>
                <c:pt idx="171">
                  <c:v>30133</c:v>
                </c:pt>
                <c:pt idx="172">
                  <c:v>30164</c:v>
                </c:pt>
                <c:pt idx="173">
                  <c:v>30195</c:v>
                </c:pt>
                <c:pt idx="174">
                  <c:v>30225</c:v>
                </c:pt>
                <c:pt idx="175">
                  <c:v>30256</c:v>
                </c:pt>
                <c:pt idx="176">
                  <c:v>30286</c:v>
                </c:pt>
                <c:pt idx="177">
                  <c:v>30317</c:v>
                </c:pt>
                <c:pt idx="178">
                  <c:v>30348</c:v>
                </c:pt>
                <c:pt idx="179">
                  <c:v>30376</c:v>
                </c:pt>
                <c:pt idx="180">
                  <c:v>30407</c:v>
                </c:pt>
                <c:pt idx="181">
                  <c:v>30437</c:v>
                </c:pt>
                <c:pt idx="182">
                  <c:v>30468</c:v>
                </c:pt>
                <c:pt idx="183">
                  <c:v>30498</c:v>
                </c:pt>
                <c:pt idx="184">
                  <c:v>30529</c:v>
                </c:pt>
                <c:pt idx="185">
                  <c:v>30560</c:v>
                </c:pt>
                <c:pt idx="186">
                  <c:v>30590</c:v>
                </c:pt>
                <c:pt idx="187">
                  <c:v>30621</c:v>
                </c:pt>
                <c:pt idx="188">
                  <c:v>30651</c:v>
                </c:pt>
                <c:pt idx="189">
                  <c:v>30682</c:v>
                </c:pt>
                <c:pt idx="190">
                  <c:v>30713</c:v>
                </c:pt>
                <c:pt idx="191">
                  <c:v>30742</c:v>
                </c:pt>
                <c:pt idx="192">
                  <c:v>30773</c:v>
                </c:pt>
                <c:pt idx="193">
                  <c:v>30803</c:v>
                </c:pt>
                <c:pt idx="194">
                  <c:v>30834</c:v>
                </c:pt>
                <c:pt idx="195">
                  <c:v>30864</c:v>
                </c:pt>
                <c:pt idx="196">
                  <c:v>30895</c:v>
                </c:pt>
                <c:pt idx="197">
                  <c:v>30926</c:v>
                </c:pt>
                <c:pt idx="198">
                  <c:v>30956</c:v>
                </c:pt>
                <c:pt idx="199">
                  <c:v>30987</c:v>
                </c:pt>
                <c:pt idx="200">
                  <c:v>31017</c:v>
                </c:pt>
                <c:pt idx="201">
                  <c:v>31048</c:v>
                </c:pt>
                <c:pt idx="202">
                  <c:v>31079</c:v>
                </c:pt>
                <c:pt idx="203">
                  <c:v>31107</c:v>
                </c:pt>
                <c:pt idx="204">
                  <c:v>31138</c:v>
                </c:pt>
                <c:pt idx="205">
                  <c:v>31168</c:v>
                </c:pt>
                <c:pt idx="206">
                  <c:v>31199</c:v>
                </c:pt>
                <c:pt idx="207">
                  <c:v>31229</c:v>
                </c:pt>
                <c:pt idx="208">
                  <c:v>31260</c:v>
                </c:pt>
                <c:pt idx="209">
                  <c:v>31291</c:v>
                </c:pt>
                <c:pt idx="210">
                  <c:v>31321</c:v>
                </c:pt>
                <c:pt idx="211">
                  <c:v>31352</c:v>
                </c:pt>
                <c:pt idx="212">
                  <c:v>31382</c:v>
                </c:pt>
                <c:pt idx="213">
                  <c:v>31413</c:v>
                </c:pt>
                <c:pt idx="214">
                  <c:v>31444</c:v>
                </c:pt>
                <c:pt idx="215">
                  <c:v>31472</c:v>
                </c:pt>
                <c:pt idx="216">
                  <c:v>31503</c:v>
                </c:pt>
                <c:pt idx="217">
                  <c:v>31533</c:v>
                </c:pt>
                <c:pt idx="218">
                  <c:v>31564</c:v>
                </c:pt>
                <c:pt idx="219">
                  <c:v>31594</c:v>
                </c:pt>
                <c:pt idx="220">
                  <c:v>31625</c:v>
                </c:pt>
                <c:pt idx="221">
                  <c:v>31656</c:v>
                </c:pt>
                <c:pt idx="222">
                  <c:v>31686</c:v>
                </c:pt>
                <c:pt idx="223">
                  <c:v>31717</c:v>
                </c:pt>
                <c:pt idx="224">
                  <c:v>31747</c:v>
                </c:pt>
                <c:pt idx="225">
                  <c:v>31778</c:v>
                </c:pt>
                <c:pt idx="226">
                  <c:v>31809</c:v>
                </c:pt>
                <c:pt idx="227">
                  <c:v>31837</c:v>
                </c:pt>
                <c:pt idx="228">
                  <c:v>31868</c:v>
                </c:pt>
                <c:pt idx="229">
                  <c:v>31898</c:v>
                </c:pt>
                <c:pt idx="230">
                  <c:v>31929</c:v>
                </c:pt>
                <c:pt idx="231">
                  <c:v>31959</c:v>
                </c:pt>
                <c:pt idx="232">
                  <c:v>31990</c:v>
                </c:pt>
                <c:pt idx="233">
                  <c:v>32021</c:v>
                </c:pt>
                <c:pt idx="234">
                  <c:v>32051</c:v>
                </c:pt>
                <c:pt idx="235">
                  <c:v>32082</c:v>
                </c:pt>
                <c:pt idx="236">
                  <c:v>32112</c:v>
                </c:pt>
                <c:pt idx="237">
                  <c:v>32143</c:v>
                </c:pt>
                <c:pt idx="238">
                  <c:v>32174</c:v>
                </c:pt>
                <c:pt idx="239">
                  <c:v>32203</c:v>
                </c:pt>
                <c:pt idx="240">
                  <c:v>32234</c:v>
                </c:pt>
                <c:pt idx="241">
                  <c:v>32264</c:v>
                </c:pt>
                <c:pt idx="242">
                  <c:v>32295</c:v>
                </c:pt>
                <c:pt idx="243">
                  <c:v>32325</c:v>
                </c:pt>
                <c:pt idx="244">
                  <c:v>32356</c:v>
                </c:pt>
                <c:pt idx="245">
                  <c:v>32387</c:v>
                </c:pt>
                <c:pt idx="246">
                  <c:v>32417</c:v>
                </c:pt>
                <c:pt idx="247">
                  <c:v>32448</c:v>
                </c:pt>
                <c:pt idx="248">
                  <c:v>32478</c:v>
                </c:pt>
                <c:pt idx="249">
                  <c:v>32509</c:v>
                </c:pt>
                <c:pt idx="250">
                  <c:v>32540</c:v>
                </c:pt>
                <c:pt idx="251">
                  <c:v>32568</c:v>
                </c:pt>
                <c:pt idx="252">
                  <c:v>32599</c:v>
                </c:pt>
                <c:pt idx="253">
                  <c:v>32629</c:v>
                </c:pt>
                <c:pt idx="254">
                  <c:v>32660</c:v>
                </c:pt>
                <c:pt idx="255">
                  <c:v>32690</c:v>
                </c:pt>
                <c:pt idx="256">
                  <c:v>32721</c:v>
                </c:pt>
                <c:pt idx="257">
                  <c:v>32752</c:v>
                </c:pt>
                <c:pt idx="258">
                  <c:v>32782</c:v>
                </c:pt>
                <c:pt idx="259">
                  <c:v>32813</c:v>
                </c:pt>
                <c:pt idx="260">
                  <c:v>32843</c:v>
                </c:pt>
                <c:pt idx="261">
                  <c:v>32874</c:v>
                </c:pt>
                <c:pt idx="262">
                  <c:v>32905</c:v>
                </c:pt>
                <c:pt idx="263">
                  <c:v>32933</c:v>
                </c:pt>
                <c:pt idx="264">
                  <c:v>32964</c:v>
                </c:pt>
                <c:pt idx="265">
                  <c:v>32994</c:v>
                </c:pt>
                <c:pt idx="266">
                  <c:v>33025</c:v>
                </c:pt>
                <c:pt idx="267">
                  <c:v>33055</c:v>
                </c:pt>
                <c:pt idx="268">
                  <c:v>33086</c:v>
                </c:pt>
                <c:pt idx="269">
                  <c:v>33117</c:v>
                </c:pt>
                <c:pt idx="270">
                  <c:v>33147</c:v>
                </c:pt>
                <c:pt idx="271">
                  <c:v>33178</c:v>
                </c:pt>
                <c:pt idx="272">
                  <c:v>33208</c:v>
                </c:pt>
                <c:pt idx="273">
                  <c:v>33239</c:v>
                </c:pt>
                <c:pt idx="274">
                  <c:v>33270</c:v>
                </c:pt>
                <c:pt idx="275">
                  <c:v>33298</c:v>
                </c:pt>
                <c:pt idx="276">
                  <c:v>33329</c:v>
                </c:pt>
                <c:pt idx="277">
                  <c:v>33359</c:v>
                </c:pt>
                <c:pt idx="278">
                  <c:v>33390</c:v>
                </c:pt>
                <c:pt idx="279">
                  <c:v>33420</c:v>
                </c:pt>
                <c:pt idx="280">
                  <c:v>33451</c:v>
                </c:pt>
                <c:pt idx="281">
                  <c:v>33482</c:v>
                </c:pt>
                <c:pt idx="282">
                  <c:v>33512</c:v>
                </c:pt>
                <c:pt idx="283">
                  <c:v>33543</c:v>
                </c:pt>
                <c:pt idx="284">
                  <c:v>33573</c:v>
                </c:pt>
                <c:pt idx="285">
                  <c:v>33604</c:v>
                </c:pt>
                <c:pt idx="286">
                  <c:v>33635</c:v>
                </c:pt>
                <c:pt idx="287">
                  <c:v>33664</c:v>
                </c:pt>
                <c:pt idx="288">
                  <c:v>33695</c:v>
                </c:pt>
                <c:pt idx="289">
                  <c:v>33725</c:v>
                </c:pt>
                <c:pt idx="290">
                  <c:v>33756</c:v>
                </c:pt>
                <c:pt idx="291">
                  <c:v>33786</c:v>
                </c:pt>
                <c:pt idx="292">
                  <c:v>33817</c:v>
                </c:pt>
                <c:pt idx="293">
                  <c:v>33848</c:v>
                </c:pt>
                <c:pt idx="294">
                  <c:v>33878</c:v>
                </c:pt>
                <c:pt idx="295">
                  <c:v>33909</c:v>
                </c:pt>
                <c:pt idx="296">
                  <c:v>33939</c:v>
                </c:pt>
                <c:pt idx="297">
                  <c:v>33970</c:v>
                </c:pt>
                <c:pt idx="298">
                  <c:v>34001</c:v>
                </c:pt>
                <c:pt idx="299">
                  <c:v>34029</c:v>
                </c:pt>
                <c:pt idx="300">
                  <c:v>34060</c:v>
                </c:pt>
                <c:pt idx="301">
                  <c:v>34090</c:v>
                </c:pt>
                <c:pt idx="302">
                  <c:v>34121</c:v>
                </c:pt>
                <c:pt idx="303">
                  <c:v>34151</c:v>
                </c:pt>
                <c:pt idx="304">
                  <c:v>34182</c:v>
                </c:pt>
                <c:pt idx="305">
                  <c:v>34213</c:v>
                </c:pt>
                <c:pt idx="306">
                  <c:v>34243</c:v>
                </c:pt>
                <c:pt idx="307">
                  <c:v>34274</c:v>
                </c:pt>
                <c:pt idx="308">
                  <c:v>34304</c:v>
                </c:pt>
                <c:pt idx="309">
                  <c:v>34335</c:v>
                </c:pt>
                <c:pt idx="310">
                  <c:v>34366</c:v>
                </c:pt>
                <c:pt idx="311">
                  <c:v>34394</c:v>
                </c:pt>
                <c:pt idx="312">
                  <c:v>34425</c:v>
                </c:pt>
                <c:pt idx="313">
                  <c:v>34455</c:v>
                </c:pt>
                <c:pt idx="314">
                  <c:v>34486</c:v>
                </c:pt>
                <c:pt idx="315">
                  <c:v>34516</c:v>
                </c:pt>
                <c:pt idx="316">
                  <c:v>34547</c:v>
                </c:pt>
                <c:pt idx="317">
                  <c:v>34578</c:v>
                </c:pt>
                <c:pt idx="318">
                  <c:v>34608</c:v>
                </c:pt>
                <c:pt idx="319">
                  <c:v>34639</c:v>
                </c:pt>
                <c:pt idx="320">
                  <c:v>34669</c:v>
                </c:pt>
                <c:pt idx="321">
                  <c:v>34700</c:v>
                </c:pt>
                <c:pt idx="322">
                  <c:v>34731</c:v>
                </c:pt>
                <c:pt idx="323">
                  <c:v>34759</c:v>
                </c:pt>
                <c:pt idx="324">
                  <c:v>34790</c:v>
                </c:pt>
                <c:pt idx="325">
                  <c:v>34820</c:v>
                </c:pt>
                <c:pt idx="326">
                  <c:v>34851</c:v>
                </c:pt>
                <c:pt idx="327">
                  <c:v>34881</c:v>
                </c:pt>
                <c:pt idx="328">
                  <c:v>34912</c:v>
                </c:pt>
                <c:pt idx="329">
                  <c:v>34943</c:v>
                </c:pt>
                <c:pt idx="330">
                  <c:v>34973</c:v>
                </c:pt>
                <c:pt idx="331">
                  <c:v>35004</c:v>
                </c:pt>
                <c:pt idx="332">
                  <c:v>35034</c:v>
                </c:pt>
                <c:pt idx="333">
                  <c:v>35065</c:v>
                </c:pt>
                <c:pt idx="334">
                  <c:v>35096</c:v>
                </c:pt>
                <c:pt idx="335">
                  <c:v>35125</c:v>
                </c:pt>
                <c:pt idx="336">
                  <c:v>35156</c:v>
                </c:pt>
                <c:pt idx="337">
                  <c:v>35186</c:v>
                </c:pt>
                <c:pt idx="338">
                  <c:v>35217</c:v>
                </c:pt>
                <c:pt idx="339">
                  <c:v>35247</c:v>
                </c:pt>
                <c:pt idx="340">
                  <c:v>35278</c:v>
                </c:pt>
                <c:pt idx="341">
                  <c:v>35309</c:v>
                </c:pt>
                <c:pt idx="342">
                  <c:v>35339</c:v>
                </c:pt>
                <c:pt idx="343">
                  <c:v>35370</c:v>
                </c:pt>
                <c:pt idx="344">
                  <c:v>35400</c:v>
                </c:pt>
                <c:pt idx="345">
                  <c:v>35431</c:v>
                </c:pt>
                <c:pt idx="346">
                  <c:v>35462</c:v>
                </c:pt>
                <c:pt idx="347">
                  <c:v>35490</c:v>
                </c:pt>
                <c:pt idx="348">
                  <c:v>35521</c:v>
                </c:pt>
                <c:pt idx="349">
                  <c:v>35551</c:v>
                </c:pt>
                <c:pt idx="350">
                  <c:v>35582</c:v>
                </c:pt>
                <c:pt idx="351">
                  <c:v>35612</c:v>
                </c:pt>
                <c:pt idx="352">
                  <c:v>35643</c:v>
                </c:pt>
                <c:pt idx="353">
                  <c:v>35674</c:v>
                </c:pt>
                <c:pt idx="354">
                  <c:v>35704</c:v>
                </c:pt>
                <c:pt idx="355">
                  <c:v>35735</c:v>
                </c:pt>
                <c:pt idx="356">
                  <c:v>35765</c:v>
                </c:pt>
                <c:pt idx="357">
                  <c:v>35796</c:v>
                </c:pt>
                <c:pt idx="358">
                  <c:v>35827</c:v>
                </c:pt>
                <c:pt idx="359">
                  <c:v>35855</c:v>
                </c:pt>
                <c:pt idx="360">
                  <c:v>35886</c:v>
                </c:pt>
                <c:pt idx="361">
                  <c:v>35916</c:v>
                </c:pt>
                <c:pt idx="362">
                  <c:v>35947</c:v>
                </c:pt>
                <c:pt idx="363">
                  <c:v>35977</c:v>
                </c:pt>
                <c:pt idx="364">
                  <c:v>36008</c:v>
                </c:pt>
                <c:pt idx="365">
                  <c:v>36039</c:v>
                </c:pt>
                <c:pt idx="366">
                  <c:v>36069</c:v>
                </c:pt>
                <c:pt idx="367">
                  <c:v>36100</c:v>
                </c:pt>
                <c:pt idx="368">
                  <c:v>36130</c:v>
                </c:pt>
                <c:pt idx="369">
                  <c:v>36161</c:v>
                </c:pt>
                <c:pt idx="370">
                  <c:v>36192</c:v>
                </c:pt>
                <c:pt idx="371">
                  <c:v>36220</c:v>
                </c:pt>
                <c:pt idx="372">
                  <c:v>36251</c:v>
                </c:pt>
                <c:pt idx="373">
                  <c:v>36281</c:v>
                </c:pt>
                <c:pt idx="374">
                  <c:v>36312</c:v>
                </c:pt>
                <c:pt idx="375">
                  <c:v>36342</c:v>
                </c:pt>
                <c:pt idx="376">
                  <c:v>36373</c:v>
                </c:pt>
                <c:pt idx="377">
                  <c:v>36404</c:v>
                </c:pt>
                <c:pt idx="378">
                  <c:v>36434</c:v>
                </c:pt>
                <c:pt idx="379">
                  <c:v>36465</c:v>
                </c:pt>
                <c:pt idx="380">
                  <c:v>36495</c:v>
                </c:pt>
                <c:pt idx="381">
                  <c:v>36526</c:v>
                </c:pt>
                <c:pt idx="382">
                  <c:v>36557</c:v>
                </c:pt>
                <c:pt idx="383">
                  <c:v>36586</c:v>
                </c:pt>
                <c:pt idx="384">
                  <c:v>36617</c:v>
                </c:pt>
                <c:pt idx="385">
                  <c:v>36647</c:v>
                </c:pt>
                <c:pt idx="386">
                  <c:v>36678</c:v>
                </c:pt>
                <c:pt idx="387">
                  <c:v>36708</c:v>
                </c:pt>
                <c:pt idx="388">
                  <c:v>36739</c:v>
                </c:pt>
                <c:pt idx="389">
                  <c:v>36770</c:v>
                </c:pt>
                <c:pt idx="390">
                  <c:v>36800</c:v>
                </c:pt>
                <c:pt idx="391">
                  <c:v>36831</c:v>
                </c:pt>
                <c:pt idx="392">
                  <c:v>36861</c:v>
                </c:pt>
                <c:pt idx="393">
                  <c:v>36892</c:v>
                </c:pt>
                <c:pt idx="394">
                  <c:v>36923</c:v>
                </c:pt>
                <c:pt idx="395">
                  <c:v>36951</c:v>
                </c:pt>
                <c:pt idx="396">
                  <c:v>36982</c:v>
                </c:pt>
                <c:pt idx="397">
                  <c:v>37012</c:v>
                </c:pt>
                <c:pt idx="398">
                  <c:v>37043</c:v>
                </c:pt>
                <c:pt idx="399">
                  <c:v>37073</c:v>
                </c:pt>
                <c:pt idx="400">
                  <c:v>37104</c:v>
                </c:pt>
                <c:pt idx="401">
                  <c:v>37135</c:v>
                </c:pt>
                <c:pt idx="402">
                  <c:v>37165</c:v>
                </c:pt>
                <c:pt idx="403">
                  <c:v>37196</c:v>
                </c:pt>
                <c:pt idx="404">
                  <c:v>37226</c:v>
                </c:pt>
                <c:pt idx="405">
                  <c:v>37257</c:v>
                </c:pt>
                <c:pt idx="406">
                  <c:v>37288</c:v>
                </c:pt>
                <c:pt idx="407">
                  <c:v>37316</c:v>
                </c:pt>
                <c:pt idx="408">
                  <c:v>37347</c:v>
                </c:pt>
                <c:pt idx="409">
                  <c:v>37377</c:v>
                </c:pt>
                <c:pt idx="410">
                  <c:v>37408</c:v>
                </c:pt>
                <c:pt idx="411">
                  <c:v>37438</c:v>
                </c:pt>
                <c:pt idx="412">
                  <c:v>37469</c:v>
                </c:pt>
                <c:pt idx="413">
                  <c:v>37500</c:v>
                </c:pt>
                <c:pt idx="414">
                  <c:v>37530</c:v>
                </c:pt>
                <c:pt idx="415">
                  <c:v>37561</c:v>
                </c:pt>
                <c:pt idx="416">
                  <c:v>37591</c:v>
                </c:pt>
                <c:pt idx="417">
                  <c:v>37622</c:v>
                </c:pt>
                <c:pt idx="418">
                  <c:v>37653</c:v>
                </c:pt>
                <c:pt idx="419">
                  <c:v>37681</c:v>
                </c:pt>
                <c:pt idx="420">
                  <c:v>37712</c:v>
                </c:pt>
                <c:pt idx="421">
                  <c:v>37742</c:v>
                </c:pt>
                <c:pt idx="422">
                  <c:v>37773</c:v>
                </c:pt>
                <c:pt idx="423">
                  <c:v>37803</c:v>
                </c:pt>
                <c:pt idx="424">
                  <c:v>37834</c:v>
                </c:pt>
                <c:pt idx="425">
                  <c:v>37865</c:v>
                </c:pt>
                <c:pt idx="426">
                  <c:v>37895</c:v>
                </c:pt>
                <c:pt idx="427">
                  <c:v>37926</c:v>
                </c:pt>
                <c:pt idx="428">
                  <c:v>37956</c:v>
                </c:pt>
                <c:pt idx="429">
                  <c:v>37987</c:v>
                </c:pt>
                <c:pt idx="430">
                  <c:v>38018</c:v>
                </c:pt>
                <c:pt idx="431">
                  <c:v>38047</c:v>
                </c:pt>
                <c:pt idx="432">
                  <c:v>38078</c:v>
                </c:pt>
                <c:pt idx="433">
                  <c:v>38108</c:v>
                </c:pt>
                <c:pt idx="434">
                  <c:v>38139</c:v>
                </c:pt>
                <c:pt idx="435">
                  <c:v>38169</c:v>
                </c:pt>
                <c:pt idx="436">
                  <c:v>38200</c:v>
                </c:pt>
                <c:pt idx="437">
                  <c:v>38231</c:v>
                </c:pt>
                <c:pt idx="438">
                  <c:v>38261</c:v>
                </c:pt>
                <c:pt idx="439">
                  <c:v>38292</c:v>
                </c:pt>
                <c:pt idx="440">
                  <c:v>38322</c:v>
                </c:pt>
                <c:pt idx="441">
                  <c:v>38353</c:v>
                </c:pt>
                <c:pt idx="442">
                  <c:v>38384</c:v>
                </c:pt>
                <c:pt idx="443">
                  <c:v>38412</c:v>
                </c:pt>
                <c:pt idx="444">
                  <c:v>38443</c:v>
                </c:pt>
                <c:pt idx="445">
                  <c:v>38473</c:v>
                </c:pt>
                <c:pt idx="446">
                  <c:v>38504</c:v>
                </c:pt>
                <c:pt idx="447">
                  <c:v>38534</c:v>
                </c:pt>
                <c:pt idx="448">
                  <c:v>38565</c:v>
                </c:pt>
                <c:pt idx="449">
                  <c:v>38596</c:v>
                </c:pt>
                <c:pt idx="450">
                  <c:v>38626</c:v>
                </c:pt>
                <c:pt idx="451">
                  <c:v>38657</c:v>
                </c:pt>
                <c:pt idx="452">
                  <c:v>38687</c:v>
                </c:pt>
                <c:pt idx="453">
                  <c:v>38718</c:v>
                </c:pt>
                <c:pt idx="454">
                  <c:v>38749</c:v>
                </c:pt>
                <c:pt idx="455">
                  <c:v>38777</c:v>
                </c:pt>
                <c:pt idx="456">
                  <c:v>38808</c:v>
                </c:pt>
                <c:pt idx="457">
                  <c:v>38838</c:v>
                </c:pt>
                <c:pt idx="458">
                  <c:v>38869</c:v>
                </c:pt>
                <c:pt idx="459">
                  <c:v>38899</c:v>
                </c:pt>
                <c:pt idx="460">
                  <c:v>38930</c:v>
                </c:pt>
                <c:pt idx="461">
                  <c:v>38961</c:v>
                </c:pt>
                <c:pt idx="462">
                  <c:v>38991</c:v>
                </c:pt>
                <c:pt idx="463">
                  <c:v>39022</c:v>
                </c:pt>
                <c:pt idx="464">
                  <c:v>39052</c:v>
                </c:pt>
                <c:pt idx="465">
                  <c:v>39083</c:v>
                </c:pt>
                <c:pt idx="466">
                  <c:v>39114</c:v>
                </c:pt>
                <c:pt idx="467">
                  <c:v>39142</c:v>
                </c:pt>
                <c:pt idx="468">
                  <c:v>39173</c:v>
                </c:pt>
                <c:pt idx="469">
                  <c:v>39203</c:v>
                </c:pt>
                <c:pt idx="470">
                  <c:v>39234</c:v>
                </c:pt>
                <c:pt idx="471">
                  <c:v>39264</c:v>
                </c:pt>
                <c:pt idx="472">
                  <c:v>39295</c:v>
                </c:pt>
                <c:pt idx="473">
                  <c:v>39326</c:v>
                </c:pt>
                <c:pt idx="474">
                  <c:v>39356</c:v>
                </c:pt>
                <c:pt idx="475">
                  <c:v>39387</c:v>
                </c:pt>
                <c:pt idx="476">
                  <c:v>39417</c:v>
                </c:pt>
                <c:pt idx="477">
                  <c:v>39448</c:v>
                </c:pt>
                <c:pt idx="478">
                  <c:v>39479</c:v>
                </c:pt>
                <c:pt idx="479">
                  <c:v>39508</c:v>
                </c:pt>
                <c:pt idx="480">
                  <c:v>39539</c:v>
                </c:pt>
                <c:pt idx="481">
                  <c:v>39569</c:v>
                </c:pt>
                <c:pt idx="482">
                  <c:v>39600</c:v>
                </c:pt>
                <c:pt idx="483">
                  <c:v>39630</c:v>
                </c:pt>
                <c:pt idx="484">
                  <c:v>39661</c:v>
                </c:pt>
                <c:pt idx="485">
                  <c:v>39692</c:v>
                </c:pt>
                <c:pt idx="486">
                  <c:v>39722</c:v>
                </c:pt>
                <c:pt idx="487">
                  <c:v>39753</c:v>
                </c:pt>
                <c:pt idx="488">
                  <c:v>39783</c:v>
                </c:pt>
                <c:pt idx="489">
                  <c:v>39814</c:v>
                </c:pt>
                <c:pt idx="490">
                  <c:v>39845</c:v>
                </c:pt>
                <c:pt idx="491">
                  <c:v>39873</c:v>
                </c:pt>
                <c:pt idx="492">
                  <c:v>39904</c:v>
                </c:pt>
                <c:pt idx="493">
                  <c:v>39934</c:v>
                </c:pt>
                <c:pt idx="494">
                  <c:v>39965</c:v>
                </c:pt>
                <c:pt idx="495">
                  <c:v>39995</c:v>
                </c:pt>
                <c:pt idx="496">
                  <c:v>40026</c:v>
                </c:pt>
                <c:pt idx="497">
                  <c:v>40057</c:v>
                </c:pt>
                <c:pt idx="498">
                  <c:v>40087</c:v>
                </c:pt>
                <c:pt idx="499">
                  <c:v>40118</c:v>
                </c:pt>
                <c:pt idx="500">
                  <c:v>40148</c:v>
                </c:pt>
                <c:pt idx="501">
                  <c:v>40179</c:v>
                </c:pt>
                <c:pt idx="502">
                  <c:v>40210</c:v>
                </c:pt>
                <c:pt idx="503">
                  <c:v>40238</c:v>
                </c:pt>
                <c:pt idx="504">
                  <c:v>40269</c:v>
                </c:pt>
                <c:pt idx="505">
                  <c:v>40299</c:v>
                </c:pt>
                <c:pt idx="506">
                  <c:v>40330</c:v>
                </c:pt>
                <c:pt idx="507">
                  <c:v>40360</c:v>
                </c:pt>
                <c:pt idx="508">
                  <c:v>40391</c:v>
                </c:pt>
                <c:pt idx="509">
                  <c:v>40422</c:v>
                </c:pt>
                <c:pt idx="510">
                  <c:v>40452</c:v>
                </c:pt>
                <c:pt idx="511">
                  <c:v>40483</c:v>
                </c:pt>
                <c:pt idx="512">
                  <c:v>40513</c:v>
                </c:pt>
                <c:pt idx="513">
                  <c:v>40544</c:v>
                </c:pt>
                <c:pt idx="514">
                  <c:v>40575</c:v>
                </c:pt>
                <c:pt idx="515">
                  <c:v>40603</c:v>
                </c:pt>
                <c:pt idx="516">
                  <c:v>40634</c:v>
                </c:pt>
                <c:pt idx="517">
                  <c:v>40664</c:v>
                </c:pt>
                <c:pt idx="518">
                  <c:v>40695</c:v>
                </c:pt>
                <c:pt idx="519">
                  <c:v>40725</c:v>
                </c:pt>
                <c:pt idx="520">
                  <c:v>40756</c:v>
                </c:pt>
                <c:pt idx="521">
                  <c:v>40787</c:v>
                </c:pt>
                <c:pt idx="522">
                  <c:v>40817</c:v>
                </c:pt>
                <c:pt idx="523">
                  <c:v>40848</c:v>
                </c:pt>
                <c:pt idx="524">
                  <c:v>40878</c:v>
                </c:pt>
                <c:pt idx="525">
                  <c:v>40909</c:v>
                </c:pt>
                <c:pt idx="526">
                  <c:v>40940</c:v>
                </c:pt>
                <c:pt idx="527">
                  <c:v>40969</c:v>
                </c:pt>
                <c:pt idx="528">
                  <c:v>41000</c:v>
                </c:pt>
                <c:pt idx="529">
                  <c:v>41030</c:v>
                </c:pt>
                <c:pt idx="530">
                  <c:v>41061</c:v>
                </c:pt>
                <c:pt idx="531">
                  <c:v>41091</c:v>
                </c:pt>
                <c:pt idx="532">
                  <c:v>41122</c:v>
                </c:pt>
                <c:pt idx="533">
                  <c:v>41153</c:v>
                </c:pt>
                <c:pt idx="534">
                  <c:v>41183</c:v>
                </c:pt>
                <c:pt idx="535">
                  <c:v>41214</c:v>
                </c:pt>
                <c:pt idx="536">
                  <c:v>41244</c:v>
                </c:pt>
                <c:pt idx="537">
                  <c:v>41275</c:v>
                </c:pt>
                <c:pt idx="538">
                  <c:v>41306</c:v>
                </c:pt>
                <c:pt idx="539">
                  <c:v>41334</c:v>
                </c:pt>
                <c:pt idx="540">
                  <c:v>41365</c:v>
                </c:pt>
                <c:pt idx="541">
                  <c:v>41395</c:v>
                </c:pt>
                <c:pt idx="542">
                  <c:v>41426</c:v>
                </c:pt>
                <c:pt idx="543">
                  <c:v>41456</c:v>
                </c:pt>
                <c:pt idx="544">
                  <c:v>41487</c:v>
                </c:pt>
                <c:pt idx="545">
                  <c:v>41518</c:v>
                </c:pt>
                <c:pt idx="546">
                  <c:v>41548</c:v>
                </c:pt>
                <c:pt idx="547">
                  <c:v>41579</c:v>
                </c:pt>
                <c:pt idx="548">
                  <c:v>41609</c:v>
                </c:pt>
                <c:pt idx="549">
                  <c:v>41640</c:v>
                </c:pt>
                <c:pt idx="550">
                  <c:v>41671</c:v>
                </c:pt>
                <c:pt idx="551">
                  <c:v>41699</c:v>
                </c:pt>
                <c:pt idx="552">
                  <c:v>41730</c:v>
                </c:pt>
                <c:pt idx="553">
                  <c:v>41760</c:v>
                </c:pt>
                <c:pt idx="554">
                  <c:v>41791</c:v>
                </c:pt>
                <c:pt idx="555">
                  <c:v>41821</c:v>
                </c:pt>
                <c:pt idx="556">
                  <c:v>41852</c:v>
                </c:pt>
                <c:pt idx="557">
                  <c:v>41883</c:v>
                </c:pt>
                <c:pt idx="558">
                  <c:v>41913</c:v>
                </c:pt>
                <c:pt idx="559">
                  <c:v>41944</c:v>
                </c:pt>
                <c:pt idx="560">
                  <c:v>41974</c:v>
                </c:pt>
                <c:pt idx="561">
                  <c:v>42005</c:v>
                </c:pt>
                <c:pt idx="562">
                  <c:v>42036</c:v>
                </c:pt>
                <c:pt idx="563">
                  <c:v>42064</c:v>
                </c:pt>
                <c:pt idx="564">
                  <c:v>42095</c:v>
                </c:pt>
                <c:pt idx="565">
                  <c:v>42125</c:v>
                </c:pt>
                <c:pt idx="566">
                  <c:v>42156</c:v>
                </c:pt>
                <c:pt idx="567">
                  <c:v>42186</c:v>
                </c:pt>
                <c:pt idx="568">
                  <c:v>42217</c:v>
                </c:pt>
                <c:pt idx="569">
                  <c:v>42248</c:v>
                </c:pt>
                <c:pt idx="570">
                  <c:v>42278</c:v>
                </c:pt>
                <c:pt idx="571">
                  <c:v>42309</c:v>
                </c:pt>
                <c:pt idx="572">
                  <c:v>42339</c:v>
                </c:pt>
                <c:pt idx="573">
                  <c:v>42370</c:v>
                </c:pt>
                <c:pt idx="574">
                  <c:v>42401</c:v>
                </c:pt>
                <c:pt idx="575">
                  <c:v>42430</c:v>
                </c:pt>
                <c:pt idx="576">
                  <c:v>42461</c:v>
                </c:pt>
                <c:pt idx="577">
                  <c:v>42491</c:v>
                </c:pt>
                <c:pt idx="578">
                  <c:v>42522</c:v>
                </c:pt>
                <c:pt idx="579">
                  <c:v>42552</c:v>
                </c:pt>
                <c:pt idx="580">
                  <c:v>42583</c:v>
                </c:pt>
                <c:pt idx="581">
                  <c:v>42614</c:v>
                </c:pt>
                <c:pt idx="582">
                  <c:v>42644</c:v>
                </c:pt>
                <c:pt idx="583">
                  <c:v>42675</c:v>
                </c:pt>
                <c:pt idx="584">
                  <c:v>42705</c:v>
                </c:pt>
                <c:pt idx="585">
                  <c:v>42736</c:v>
                </c:pt>
                <c:pt idx="586">
                  <c:v>42767</c:v>
                </c:pt>
                <c:pt idx="587">
                  <c:v>42795</c:v>
                </c:pt>
                <c:pt idx="588">
                  <c:v>42826</c:v>
                </c:pt>
                <c:pt idx="589">
                  <c:v>42856</c:v>
                </c:pt>
                <c:pt idx="590">
                  <c:v>42887</c:v>
                </c:pt>
                <c:pt idx="591">
                  <c:v>42917</c:v>
                </c:pt>
                <c:pt idx="592">
                  <c:v>42948</c:v>
                </c:pt>
                <c:pt idx="593">
                  <c:v>42979</c:v>
                </c:pt>
                <c:pt idx="594">
                  <c:v>43009</c:v>
                </c:pt>
                <c:pt idx="595">
                  <c:v>43040</c:v>
                </c:pt>
                <c:pt idx="596">
                  <c:v>43070</c:v>
                </c:pt>
                <c:pt idx="597">
                  <c:v>43101</c:v>
                </c:pt>
                <c:pt idx="598">
                  <c:v>43132</c:v>
                </c:pt>
                <c:pt idx="599">
                  <c:v>43160</c:v>
                </c:pt>
                <c:pt idx="600">
                  <c:v>43191</c:v>
                </c:pt>
                <c:pt idx="601">
                  <c:v>43221</c:v>
                </c:pt>
                <c:pt idx="602">
                  <c:v>43252</c:v>
                </c:pt>
                <c:pt idx="603">
                  <c:v>43282</c:v>
                </c:pt>
                <c:pt idx="604">
                  <c:v>43313</c:v>
                </c:pt>
                <c:pt idx="605">
                  <c:v>43344</c:v>
                </c:pt>
                <c:pt idx="606">
                  <c:v>43374</c:v>
                </c:pt>
                <c:pt idx="607">
                  <c:v>43405</c:v>
                </c:pt>
                <c:pt idx="608">
                  <c:v>43435</c:v>
                </c:pt>
                <c:pt idx="609">
                  <c:v>43466</c:v>
                </c:pt>
                <c:pt idx="610">
                  <c:v>43497</c:v>
                </c:pt>
                <c:pt idx="611">
                  <c:v>43525</c:v>
                </c:pt>
                <c:pt idx="612">
                  <c:v>43556</c:v>
                </c:pt>
                <c:pt idx="613">
                  <c:v>43586</c:v>
                </c:pt>
                <c:pt idx="614">
                  <c:v>43617</c:v>
                </c:pt>
                <c:pt idx="615">
                  <c:v>43647</c:v>
                </c:pt>
                <c:pt idx="616">
                  <c:v>43678</c:v>
                </c:pt>
                <c:pt idx="617">
                  <c:v>43709</c:v>
                </c:pt>
                <c:pt idx="618">
                  <c:v>43739</c:v>
                </c:pt>
                <c:pt idx="619">
                  <c:v>43770</c:v>
                </c:pt>
                <c:pt idx="620">
                  <c:v>43800</c:v>
                </c:pt>
                <c:pt idx="621">
                  <c:v>43831</c:v>
                </c:pt>
                <c:pt idx="622">
                  <c:v>43862</c:v>
                </c:pt>
                <c:pt idx="623">
                  <c:v>43891</c:v>
                </c:pt>
                <c:pt idx="624">
                  <c:v>43922</c:v>
                </c:pt>
                <c:pt idx="625">
                  <c:v>43952</c:v>
                </c:pt>
                <c:pt idx="626">
                  <c:v>43983</c:v>
                </c:pt>
                <c:pt idx="627">
                  <c:v>44013</c:v>
                </c:pt>
                <c:pt idx="628">
                  <c:v>44044</c:v>
                </c:pt>
                <c:pt idx="629">
                  <c:v>44075</c:v>
                </c:pt>
                <c:pt idx="630">
                  <c:v>44105</c:v>
                </c:pt>
                <c:pt idx="631">
                  <c:v>44136</c:v>
                </c:pt>
                <c:pt idx="632">
                  <c:v>44166</c:v>
                </c:pt>
                <c:pt idx="633">
                  <c:v>44197</c:v>
                </c:pt>
                <c:pt idx="634">
                  <c:v>44228</c:v>
                </c:pt>
                <c:pt idx="635">
                  <c:v>44256</c:v>
                </c:pt>
                <c:pt idx="636">
                  <c:v>44287</c:v>
                </c:pt>
                <c:pt idx="637">
                  <c:v>44317</c:v>
                </c:pt>
                <c:pt idx="638">
                  <c:v>44348</c:v>
                </c:pt>
                <c:pt idx="639">
                  <c:v>44378</c:v>
                </c:pt>
                <c:pt idx="640">
                  <c:v>44409</c:v>
                </c:pt>
                <c:pt idx="641">
                  <c:v>44440</c:v>
                </c:pt>
                <c:pt idx="642">
                  <c:v>44470</c:v>
                </c:pt>
                <c:pt idx="643">
                  <c:v>44501</c:v>
                </c:pt>
                <c:pt idx="644">
                  <c:v>44531</c:v>
                </c:pt>
                <c:pt idx="645">
                  <c:v>44562</c:v>
                </c:pt>
                <c:pt idx="646">
                  <c:v>44593</c:v>
                </c:pt>
                <c:pt idx="647">
                  <c:v>44621</c:v>
                </c:pt>
                <c:pt idx="648">
                  <c:v>44652</c:v>
                </c:pt>
                <c:pt idx="649">
                  <c:v>44682</c:v>
                </c:pt>
                <c:pt idx="650">
                  <c:v>44713</c:v>
                </c:pt>
              </c:numCache>
            </c:numRef>
          </c:cat>
          <c:val>
            <c:numRef>
              <c:f>★資本稼働率!$S$2:$S$652</c:f>
              <c:numCache>
                <c:formatCode>General</c:formatCode>
                <c:ptCount val="651"/>
                <c:pt idx="270" formatCode="0.0%">
                  <c:v>0.83442799999999995</c:v>
                </c:pt>
                <c:pt idx="271" formatCode="0.0%">
                  <c:v>0.83442799999999995</c:v>
                </c:pt>
                <c:pt idx="272" formatCode="0.0%">
                  <c:v>0.83442799999999995</c:v>
                </c:pt>
                <c:pt idx="273" formatCode="0.0%">
                  <c:v>0.83442799999999995</c:v>
                </c:pt>
                <c:pt idx="274" formatCode="0.0%">
                  <c:v>0.83442799999999995</c:v>
                </c:pt>
                <c:pt idx="275" formatCode="0.0%">
                  <c:v>0.83442799999999995</c:v>
                </c:pt>
                <c:pt idx="276" formatCode="0.0%">
                  <c:v>0.83442799999999995</c:v>
                </c:pt>
                <c:pt idx="277" formatCode="0.0%">
                  <c:v>0.83442799999999995</c:v>
                </c:pt>
                <c:pt idx="278" formatCode="0.0%">
                  <c:v>0.83442799999999995</c:v>
                </c:pt>
                <c:pt idx="279" formatCode="0.0%">
                  <c:v>0.83442799999999995</c:v>
                </c:pt>
                <c:pt idx="280" formatCode="0.0%">
                  <c:v>0.83442799999999995</c:v>
                </c:pt>
                <c:pt idx="281" formatCode="0.0%">
                  <c:v>0.83442799999999995</c:v>
                </c:pt>
                <c:pt idx="282" formatCode="0.0%">
                  <c:v>0.83442799999999995</c:v>
                </c:pt>
                <c:pt idx="283" formatCode="0.0%">
                  <c:v>0.83442799999999995</c:v>
                </c:pt>
                <c:pt idx="284" formatCode="0.0%">
                  <c:v>0.83442799999999995</c:v>
                </c:pt>
                <c:pt idx="285" formatCode="0.0%">
                  <c:v>0.83442799999999995</c:v>
                </c:pt>
                <c:pt idx="286" formatCode="0.0%">
                  <c:v>0.83442799999999995</c:v>
                </c:pt>
                <c:pt idx="287" formatCode="0.0%">
                  <c:v>0.83442799999999995</c:v>
                </c:pt>
                <c:pt idx="288" formatCode="0.0%">
                  <c:v>0.83442799999999995</c:v>
                </c:pt>
                <c:pt idx="289" formatCode="0.0%">
                  <c:v>0.83442799999999995</c:v>
                </c:pt>
                <c:pt idx="290" formatCode="0.0%">
                  <c:v>0.83442799999999995</c:v>
                </c:pt>
                <c:pt idx="291" formatCode="0.0%">
                  <c:v>0.83442799999999995</c:v>
                </c:pt>
                <c:pt idx="292" formatCode="0.0%">
                  <c:v>0.83442799999999995</c:v>
                </c:pt>
                <c:pt idx="293" formatCode="0.0%">
                  <c:v>0.83442799999999995</c:v>
                </c:pt>
                <c:pt idx="294" formatCode="0.0%">
                  <c:v>0.83442799999999995</c:v>
                </c:pt>
                <c:pt idx="295" formatCode="0.0%">
                  <c:v>0.83442799999999995</c:v>
                </c:pt>
                <c:pt idx="296" formatCode="0.0%">
                  <c:v>0.83442799999999995</c:v>
                </c:pt>
                <c:pt idx="297" formatCode="0.0%">
                  <c:v>0.83442799999999995</c:v>
                </c:pt>
                <c:pt idx="298" formatCode="0.0%">
                  <c:v>0.83442799999999995</c:v>
                </c:pt>
                <c:pt idx="299" formatCode="0.0%">
                  <c:v>0.83442799999999995</c:v>
                </c:pt>
                <c:pt idx="300" formatCode="0.0%">
                  <c:v>0.83442799999999995</c:v>
                </c:pt>
                <c:pt idx="301" formatCode="0.0%">
                  <c:v>0.83442799999999995</c:v>
                </c:pt>
                <c:pt idx="302" formatCode="0.0%">
                  <c:v>0.83442799999999995</c:v>
                </c:pt>
                <c:pt idx="303" formatCode="0.0%">
                  <c:v>0.83442799999999995</c:v>
                </c:pt>
                <c:pt idx="304" formatCode="0.0%">
                  <c:v>0.83442799999999995</c:v>
                </c:pt>
                <c:pt idx="305" formatCode="0.0%">
                  <c:v>0.83442799999999995</c:v>
                </c:pt>
                <c:pt idx="306" formatCode="0.0%">
                  <c:v>0.83442799999999995</c:v>
                </c:pt>
                <c:pt idx="307" formatCode="0.0%">
                  <c:v>0.83442799999999995</c:v>
                </c:pt>
                <c:pt idx="308" formatCode="0.0%">
                  <c:v>0.83442799999999995</c:v>
                </c:pt>
                <c:pt idx="309" formatCode="0.0%">
                  <c:v>0.83442799999999995</c:v>
                </c:pt>
                <c:pt idx="310" formatCode="0.0%">
                  <c:v>0.83442799999999995</c:v>
                </c:pt>
                <c:pt idx="311" formatCode="0.0%">
                  <c:v>0.83442799999999995</c:v>
                </c:pt>
                <c:pt idx="312" formatCode="0.0%">
                  <c:v>0.83442799999999995</c:v>
                </c:pt>
                <c:pt idx="313" formatCode="0.0%">
                  <c:v>0.83442799999999995</c:v>
                </c:pt>
                <c:pt idx="314" formatCode="0.0%">
                  <c:v>0.83442799999999995</c:v>
                </c:pt>
                <c:pt idx="315" formatCode="0.0%">
                  <c:v>0.83442799999999995</c:v>
                </c:pt>
                <c:pt idx="316" formatCode="0.0%">
                  <c:v>0.83442799999999995</c:v>
                </c:pt>
                <c:pt idx="317" formatCode="0.0%">
                  <c:v>0.83442799999999995</c:v>
                </c:pt>
                <c:pt idx="318" formatCode="0.0%">
                  <c:v>0.83442799999999995</c:v>
                </c:pt>
                <c:pt idx="319" formatCode="0.0%">
                  <c:v>0.83442799999999995</c:v>
                </c:pt>
                <c:pt idx="320" formatCode="0.0%">
                  <c:v>0.83442799999999995</c:v>
                </c:pt>
                <c:pt idx="321" formatCode="0.0%">
                  <c:v>0.83442799999999995</c:v>
                </c:pt>
                <c:pt idx="322" formatCode="0.0%">
                  <c:v>0.83442799999999995</c:v>
                </c:pt>
                <c:pt idx="323" formatCode="0.0%">
                  <c:v>0.83442799999999995</c:v>
                </c:pt>
                <c:pt idx="324" formatCode="0.0%">
                  <c:v>0.83442799999999995</c:v>
                </c:pt>
                <c:pt idx="325" formatCode="0.0%">
                  <c:v>0.83442799999999995</c:v>
                </c:pt>
                <c:pt idx="326" formatCode="0.0%">
                  <c:v>0.83442799999999995</c:v>
                </c:pt>
                <c:pt idx="327" formatCode="0.0%">
                  <c:v>0.83442799999999995</c:v>
                </c:pt>
                <c:pt idx="328" formatCode="0.0%">
                  <c:v>0.83442799999999995</c:v>
                </c:pt>
                <c:pt idx="329" formatCode="0.0%">
                  <c:v>0.83442799999999995</c:v>
                </c:pt>
                <c:pt idx="330" formatCode="0.0%">
                  <c:v>0.83442799999999995</c:v>
                </c:pt>
                <c:pt idx="331" formatCode="0.0%">
                  <c:v>0.83442799999999995</c:v>
                </c:pt>
                <c:pt idx="332" formatCode="0.0%">
                  <c:v>0.83442799999999995</c:v>
                </c:pt>
                <c:pt idx="333" formatCode="0.0%">
                  <c:v>0.83442799999999995</c:v>
                </c:pt>
                <c:pt idx="334" formatCode="0.0%">
                  <c:v>0.83442799999999995</c:v>
                </c:pt>
                <c:pt idx="335" formatCode="0.0%">
                  <c:v>0.83442799999999995</c:v>
                </c:pt>
                <c:pt idx="336" formatCode="0.0%">
                  <c:v>0.83442799999999995</c:v>
                </c:pt>
                <c:pt idx="337" formatCode="0.0%">
                  <c:v>0.83442799999999995</c:v>
                </c:pt>
                <c:pt idx="338" formatCode="0.0%">
                  <c:v>0.83442799999999995</c:v>
                </c:pt>
                <c:pt idx="339" formatCode="0.0%">
                  <c:v>0.83442799999999995</c:v>
                </c:pt>
                <c:pt idx="340" formatCode="0.0%">
                  <c:v>0.83442799999999995</c:v>
                </c:pt>
                <c:pt idx="341" formatCode="0.0%">
                  <c:v>0.83442799999999995</c:v>
                </c:pt>
                <c:pt idx="342" formatCode="0.0%">
                  <c:v>0.83442799999999995</c:v>
                </c:pt>
                <c:pt idx="343" formatCode="0.0%">
                  <c:v>0.83442799999999995</c:v>
                </c:pt>
                <c:pt idx="344" formatCode="0.0%">
                  <c:v>0.83442799999999995</c:v>
                </c:pt>
                <c:pt idx="345" formatCode="0.0%">
                  <c:v>0.83442799999999995</c:v>
                </c:pt>
                <c:pt idx="346" formatCode="0.0%">
                  <c:v>0.83442799999999995</c:v>
                </c:pt>
                <c:pt idx="347" formatCode="0.0%">
                  <c:v>0.83442799999999995</c:v>
                </c:pt>
                <c:pt idx="348" formatCode="0.0%">
                  <c:v>0.83442799999999995</c:v>
                </c:pt>
                <c:pt idx="349" formatCode="0.0%">
                  <c:v>0.83442799999999995</c:v>
                </c:pt>
                <c:pt idx="350" formatCode="0.0%">
                  <c:v>0.83442799999999995</c:v>
                </c:pt>
                <c:pt idx="351" formatCode="0.0%">
                  <c:v>0.83442799999999995</c:v>
                </c:pt>
                <c:pt idx="352" formatCode="0.0%">
                  <c:v>0.83442799999999995</c:v>
                </c:pt>
                <c:pt idx="353" formatCode="0.0%">
                  <c:v>0.83442799999999995</c:v>
                </c:pt>
                <c:pt idx="354" formatCode="0.0%">
                  <c:v>0.83442799999999995</c:v>
                </c:pt>
                <c:pt idx="355" formatCode="0.0%">
                  <c:v>0.83442799999999995</c:v>
                </c:pt>
                <c:pt idx="356" formatCode="0.0%">
                  <c:v>0.83442799999999995</c:v>
                </c:pt>
                <c:pt idx="357" formatCode="0.0%">
                  <c:v>0.83442799999999995</c:v>
                </c:pt>
                <c:pt idx="358" formatCode="0.0%">
                  <c:v>0.83442799999999995</c:v>
                </c:pt>
                <c:pt idx="359" formatCode="0.0%">
                  <c:v>0.83442799999999995</c:v>
                </c:pt>
                <c:pt idx="360" formatCode="0.0%">
                  <c:v>0.83442799999999995</c:v>
                </c:pt>
                <c:pt idx="361" formatCode="0.0%">
                  <c:v>0.83442799999999995</c:v>
                </c:pt>
                <c:pt idx="362" formatCode="0.0%">
                  <c:v>0.83442799999999995</c:v>
                </c:pt>
                <c:pt idx="363" formatCode="0.0%">
                  <c:v>0.83442799999999995</c:v>
                </c:pt>
                <c:pt idx="364" formatCode="0.0%">
                  <c:v>0.83442799999999995</c:v>
                </c:pt>
                <c:pt idx="365" formatCode="0.0%">
                  <c:v>0.83442799999999995</c:v>
                </c:pt>
                <c:pt idx="366" formatCode="0.0%">
                  <c:v>0.83442799999999995</c:v>
                </c:pt>
                <c:pt idx="367" formatCode="0.0%">
                  <c:v>0.83442799999999995</c:v>
                </c:pt>
                <c:pt idx="368" formatCode="0.0%">
                  <c:v>0.83442799999999995</c:v>
                </c:pt>
                <c:pt idx="369" formatCode="0.0%">
                  <c:v>0.83442799999999995</c:v>
                </c:pt>
                <c:pt idx="370" formatCode="0.0%">
                  <c:v>0.83442799999999995</c:v>
                </c:pt>
                <c:pt idx="371" formatCode="0.0%">
                  <c:v>0.83442799999999995</c:v>
                </c:pt>
                <c:pt idx="372" formatCode="0.0%">
                  <c:v>0.83442799999999995</c:v>
                </c:pt>
                <c:pt idx="373" formatCode="0.0%">
                  <c:v>0.83442799999999995</c:v>
                </c:pt>
                <c:pt idx="374" formatCode="0.0%">
                  <c:v>0.83442799999999995</c:v>
                </c:pt>
                <c:pt idx="375" formatCode="0.0%">
                  <c:v>0.83442799999999995</c:v>
                </c:pt>
                <c:pt idx="376" formatCode="0.0%">
                  <c:v>0.83442799999999995</c:v>
                </c:pt>
                <c:pt idx="377" formatCode="0.0%">
                  <c:v>0.83442799999999995</c:v>
                </c:pt>
                <c:pt idx="378" formatCode="0.0%">
                  <c:v>0.83442799999999995</c:v>
                </c:pt>
                <c:pt idx="379" formatCode="0.0%">
                  <c:v>0.83442799999999995</c:v>
                </c:pt>
                <c:pt idx="380" formatCode="0.0%">
                  <c:v>0.83442799999999995</c:v>
                </c:pt>
                <c:pt idx="381" formatCode="0.0%">
                  <c:v>0.83442799999999995</c:v>
                </c:pt>
                <c:pt idx="382" formatCode="0.0%">
                  <c:v>0.83442799999999995</c:v>
                </c:pt>
                <c:pt idx="383" formatCode="0.0%">
                  <c:v>0.83442799999999995</c:v>
                </c:pt>
                <c:pt idx="384" formatCode="0.0%">
                  <c:v>0.83442799999999995</c:v>
                </c:pt>
                <c:pt idx="385" formatCode="0.0%">
                  <c:v>0.83442799999999995</c:v>
                </c:pt>
                <c:pt idx="386" formatCode="0.0%">
                  <c:v>0.83442799999999995</c:v>
                </c:pt>
                <c:pt idx="387" formatCode="0.0%">
                  <c:v>0.83442799999999995</c:v>
                </c:pt>
                <c:pt idx="388" formatCode="0.0%">
                  <c:v>0.83442799999999995</c:v>
                </c:pt>
                <c:pt idx="389" formatCode="0.0%">
                  <c:v>0.83442799999999995</c:v>
                </c:pt>
                <c:pt idx="390" formatCode="0.0%">
                  <c:v>0.83442799999999995</c:v>
                </c:pt>
                <c:pt idx="391" formatCode="0.0%">
                  <c:v>0.83442799999999995</c:v>
                </c:pt>
                <c:pt idx="392" formatCode="0.0%">
                  <c:v>0.83442799999999995</c:v>
                </c:pt>
                <c:pt idx="393" formatCode="0.0%">
                  <c:v>0.83442799999999995</c:v>
                </c:pt>
                <c:pt idx="394" formatCode="0.0%">
                  <c:v>0.83442799999999995</c:v>
                </c:pt>
                <c:pt idx="395" formatCode="0.0%">
                  <c:v>0.83442799999999995</c:v>
                </c:pt>
                <c:pt idx="396" formatCode="0.0%">
                  <c:v>0.83442799999999995</c:v>
                </c:pt>
                <c:pt idx="397" formatCode="0.0%">
                  <c:v>0.83442799999999995</c:v>
                </c:pt>
                <c:pt idx="398" formatCode="0.0%">
                  <c:v>0.83442799999999995</c:v>
                </c:pt>
                <c:pt idx="399" formatCode="0.0%">
                  <c:v>0.83442799999999995</c:v>
                </c:pt>
                <c:pt idx="400" formatCode="0.0%">
                  <c:v>0.83442799999999995</c:v>
                </c:pt>
                <c:pt idx="401" formatCode="0.0%">
                  <c:v>0.83442799999999995</c:v>
                </c:pt>
                <c:pt idx="402" formatCode="0.0%">
                  <c:v>0.83442799999999995</c:v>
                </c:pt>
                <c:pt idx="403" formatCode="0.0%">
                  <c:v>0.83442799999999995</c:v>
                </c:pt>
                <c:pt idx="404" formatCode="0.0%">
                  <c:v>0.83442799999999995</c:v>
                </c:pt>
                <c:pt idx="405" formatCode="0.0%">
                  <c:v>0.83442799999999995</c:v>
                </c:pt>
                <c:pt idx="406" formatCode="0.0%">
                  <c:v>0.83442799999999995</c:v>
                </c:pt>
                <c:pt idx="407" formatCode="0.0%">
                  <c:v>0.83442799999999995</c:v>
                </c:pt>
                <c:pt idx="408" formatCode="0.0%">
                  <c:v>0.83442799999999995</c:v>
                </c:pt>
                <c:pt idx="409" formatCode="0.0%">
                  <c:v>0.83442799999999995</c:v>
                </c:pt>
                <c:pt idx="410" formatCode="0.0%">
                  <c:v>0.83442799999999995</c:v>
                </c:pt>
                <c:pt idx="411" formatCode="0.0%">
                  <c:v>0.83442799999999995</c:v>
                </c:pt>
                <c:pt idx="412" formatCode="0.0%">
                  <c:v>0.83442799999999995</c:v>
                </c:pt>
                <c:pt idx="413" formatCode="0.0%">
                  <c:v>0.83442799999999995</c:v>
                </c:pt>
                <c:pt idx="414" formatCode="0.0%">
                  <c:v>0.83442799999999995</c:v>
                </c:pt>
                <c:pt idx="415" formatCode="0.0%">
                  <c:v>0.83442799999999995</c:v>
                </c:pt>
                <c:pt idx="416" formatCode="0.0%">
                  <c:v>0.83442799999999995</c:v>
                </c:pt>
                <c:pt idx="417" formatCode="0.0%">
                  <c:v>0.83442799999999995</c:v>
                </c:pt>
                <c:pt idx="418" formatCode="0.0%">
                  <c:v>0.83442799999999995</c:v>
                </c:pt>
                <c:pt idx="419" formatCode="0.0%">
                  <c:v>0.83442799999999995</c:v>
                </c:pt>
                <c:pt idx="420" formatCode="0.0%">
                  <c:v>0.83442799999999995</c:v>
                </c:pt>
                <c:pt idx="421" formatCode="0.0%">
                  <c:v>0.83442799999999995</c:v>
                </c:pt>
                <c:pt idx="422" formatCode="0.0%">
                  <c:v>0.83442799999999995</c:v>
                </c:pt>
                <c:pt idx="423" formatCode="0.0%">
                  <c:v>0.83442799999999995</c:v>
                </c:pt>
                <c:pt idx="424" formatCode="0.0%">
                  <c:v>0.83442799999999995</c:v>
                </c:pt>
                <c:pt idx="425" formatCode="0.0%">
                  <c:v>0.83442799999999995</c:v>
                </c:pt>
                <c:pt idx="426" formatCode="0.0%">
                  <c:v>0.83442799999999995</c:v>
                </c:pt>
                <c:pt idx="427" formatCode="0.0%">
                  <c:v>0.83442799999999995</c:v>
                </c:pt>
                <c:pt idx="428" formatCode="0.0%">
                  <c:v>0.83442799999999995</c:v>
                </c:pt>
                <c:pt idx="429" formatCode="0.0%">
                  <c:v>0.83442799999999995</c:v>
                </c:pt>
                <c:pt idx="430" formatCode="0.0%">
                  <c:v>0.83442799999999995</c:v>
                </c:pt>
                <c:pt idx="431" formatCode="0.0%">
                  <c:v>0.83442799999999995</c:v>
                </c:pt>
                <c:pt idx="432" formatCode="0.0%">
                  <c:v>0.83442799999999995</c:v>
                </c:pt>
                <c:pt idx="433" formatCode="0.0%">
                  <c:v>0.83442799999999995</c:v>
                </c:pt>
                <c:pt idx="434" formatCode="0.0%">
                  <c:v>0.83442799999999995</c:v>
                </c:pt>
                <c:pt idx="435" formatCode="0.0%">
                  <c:v>0.83442799999999995</c:v>
                </c:pt>
                <c:pt idx="436" formatCode="0.0%">
                  <c:v>0.83442799999999995</c:v>
                </c:pt>
                <c:pt idx="437" formatCode="0.0%">
                  <c:v>0.83442799999999995</c:v>
                </c:pt>
                <c:pt idx="438" formatCode="0.0%">
                  <c:v>0.83442799999999995</c:v>
                </c:pt>
                <c:pt idx="439" formatCode="0.0%">
                  <c:v>0.83442799999999995</c:v>
                </c:pt>
                <c:pt idx="440" formatCode="0.0%">
                  <c:v>0.83442799999999995</c:v>
                </c:pt>
                <c:pt idx="441" formatCode="0.0%">
                  <c:v>0.83442799999999995</c:v>
                </c:pt>
                <c:pt idx="442" formatCode="0.0%">
                  <c:v>0.83442799999999995</c:v>
                </c:pt>
                <c:pt idx="443" formatCode="0.0%">
                  <c:v>0.83442799999999995</c:v>
                </c:pt>
                <c:pt idx="444" formatCode="0.0%">
                  <c:v>0.83442799999999995</c:v>
                </c:pt>
                <c:pt idx="445" formatCode="0.0%">
                  <c:v>0.83442799999999995</c:v>
                </c:pt>
                <c:pt idx="446" formatCode="0.0%">
                  <c:v>0.83442799999999995</c:v>
                </c:pt>
                <c:pt idx="447" formatCode="0.0%">
                  <c:v>0.83442799999999995</c:v>
                </c:pt>
                <c:pt idx="448" formatCode="0.0%">
                  <c:v>0.83442799999999995</c:v>
                </c:pt>
                <c:pt idx="449" formatCode="0.0%">
                  <c:v>0.83442799999999995</c:v>
                </c:pt>
                <c:pt idx="450" formatCode="0.0%">
                  <c:v>0.83442799999999995</c:v>
                </c:pt>
                <c:pt idx="451" formatCode="0.0%">
                  <c:v>0.83442799999999995</c:v>
                </c:pt>
                <c:pt idx="452" formatCode="0.0%">
                  <c:v>0.83442799999999995</c:v>
                </c:pt>
                <c:pt idx="453" formatCode="0.0%">
                  <c:v>0.83442799999999995</c:v>
                </c:pt>
                <c:pt idx="454" formatCode="0.0%">
                  <c:v>0.83442799999999995</c:v>
                </c:pt>
                <c:pt idx="455" formatCode="0.0%">
                  <c:v>0.83442799999999995</c:v>
                </c:pt>
                <c:pt idx="456" formatCode="0.0%">
                  <c:v>0.83442799999999995</c:v>
                </c:pt>
                <c:pt idx="457" formatCode="0.0%">
                  <c:v>0.83442799999999995</c:v>
                </c:pt>
                <c:pt idx="458" formatCode="0.0%">
                  <c:v>0.83442799999999995</c:v>
                </c:pt>
                <c:pt idx="459" formatCode="0.0%">
                  <c:v>0.83442799999999995</c:v>
                </c:pt>
                <c:pt idx="460" formatCode="0.0%">
                  <c:v>0.83442799999999995</c:v>
                </c:pt>
                <c:pt idx="461" formatCode="0.0%">
                  <c:v>0.83442799999999995</c:v>
                </c:pt>
                <c:pt idx="462" formatCode="0.0%">
                  <c:v>0.83442799999999995</c:v>
                </c:pt>
                <c:pt idx="463" formatCode="0.0%">
                  <c:v>0.83442799999999995</c:v>
                </c:pt>
                <c:pt idx="464" formatCode="0.0%">
                  <c:v>0.83442799999999995</c:v>
                </c:pt>
                <c:pt idx="465" formatCode="0.0%">
                  <c:v>0.83442799999999995</c:v>
                </c:pt>
                <c:pt idx="466" formatCode="0.0%">
                  <c:v>0.83442799999999995</c:v>
                </c:pt>
                <c:pt idx="467" formatCode="0.0%">
                  <c:v>0.83442799999999995</c:v>
                </c:pt>
                <c:pt idx="468" formatCode="0.0%">
                  <c:v>0.83442799999999995</c:v>
                </c:pt>
                <c:pt idx="469" formatCode="0.0%">
                  <c:v>0.83442799999999995</c:v>
                </c:pt>
                <c:pt idx="470" formatCode="0.0%">
                  <c:v>0.83442799999999995</c:v>
                </c:pt>
                <c:pt idx="471" formatCode="0.0%">
                  <c:v>0.83442799999999995</c:v>
                </c:pt>
                <c:pt idx="472" formatCode="0.0%">
                  <c:v>0.83442799999999995</c:v>
                </c:pt>
                <c:pt idx="473" formatCode="0.0%">
                  <c:v>0.83442799999999995</c:v>
                </c:pt>
                <c:pt idx="474" formatCode="0.0%">
                  <c:v>0.83442799999999995</c:v>
                </c:pt>
                <c:pt idx="475" formatCode="0.0%">
                  <c:v>0.83442799999999995</c:v>
                </c:pt>
                <c:pt idx="476" formatCode="0.0%">
                  <c:v>0.83442799999999995</c:v>
                </c:pt>
                <c:pt idx="477" formatCode="0.0%">
                  <c:v>0.83442799999999995</c:v>
                </c:pt>
                <c:pt idx="478" formatCode="0.0%">
                  <c:v>0.83442799999999995</c:v>
                </c:pt>
                <c:pt idx="479" formatCode="0.0%">
                  <c:v>0.83442799999999995</c:v>
                </c:pt>
                <c:pt idx="480" formatCode="0.0%">
                  <c:v>0.83442799999999995</c:v>
                </c:pt>
                <c:pt idx="481" formatCode="0.0%">
                  <c:v>0.83442799999999995</c:v>
                </c:pt>
                <c:pt idx="482" formatCode="0.0%">
                  <c:v>0.83442799999999995</c:v>
                </c:pt>
                <c:pt idx="483" formatCode="0.0%">
                  <c:v>0.83442799999999995</c:v>
                </c:pt>
                <c:pt idx="484" formatCode="0.0%">
                  <c:v>0.83442799999999995</c:v>
                </c:pt>
                <c:pt idx="485" formatCode="0.0%">
                  <c:v>0.83442799999999995</c:v>
                </c:pt>
                <c:pt idx="486" formatCode="0.0%">
                  <c:v>0.83442799999999995</c:v>
                </c:pt>
                <c:pt idx="487" formatCode="0.0%">
                  <c:v>0.83442799999999995</c:v>
                </c:pt>
                <c:pt idx="488" formatCode="0.0%">
                  <c:v>0.83442799999999995</c:v>
                </c:pt>
                <c:pt idx="489" formatCode="0.0%">
                  <c:v>0.83442799999999995</c:v>
                </c:pt>
                <c:pt idx="490" formatCode="0.0%">
                  <c:v>0.83442799999999995</c:v>
                </c:pt>
                <c:pt idx="491" formatCode="0.0%">
                  <c:v>0.83442799999999995</c:v>
                </c:pt>
                <c:pt idx="492" formatCode="0.0%">
                  <c:v>0.83442799999999995</c:v>
                </c:pt>
                <c:pt idx="493" formatCode="0.0%">
                  <c:v>0.83442799999999995</c:v>
                </c:pt>
                <c:pt idx="494" formatCode="0.0%">
                  <c:v>0.83442799999999995</c:v>
                </c:pt>
                <c:pt idx="495" formatCode="0.0%">
                  <c:v>0.83442799999999995</c:v>
                </c:pt>
                <c:pt idx="496" formatCode="0.0%">
                  <c:v>0.83442799999999995</c:v>
                </c:pt>
                <c:pt idx="497" formatCode="0.0%">
                  <c:v>0.83442799999999995</c:v>
                </c:pt>
                <c:pt idx="498" formatCode="0.0%">
                  <c:v>0.83442799999999995</c:v>
                </c:pt>
                <c:pt idx="499" formatCode="0.0%">
                  <c:v>0.83442799999999995</c:v>
                </c:pt>
                <c:pt idx="500" formatCode="0.0%">
                  <c:v>0.83442799999999995</c:v>
                </c:pt>
                <c:pt idx="501" formatCode="0.0%">
                  <c:v>0.83442799999999995</c:v>
                </c:pt>
                <c:pt idx="502" formatCode="0.0%">
                  <c:v>0.83442799999999995</c:v>
                </c:pt>
                <c:pt idx="503" formatCode="0.0%">
                  <c:v>0.83442799999999995</c:v>
                </c:pt>
                <c:pt idx="504" formatCode="0.0%">
                  <c:v>0.83442799999999995</c:v>
                </c:pt>
                <c:pt idx="505" formatCode="0.0%">
                  <c:v>0.83442799999999995</c:v>
                </c:pt>
                <c:pt idx="506" formatCode="0.0%">
                  <c:v>0.83442799999999995</c:v>
                </c:pt>
                <c:pt idx="507" formatCode="0.0%">
                  <c:v>0.83442799999999995</c:v>
                </c:pt>
                <c:pt idx="508" formatCode="0.0%">
                  <c:v>0.83442799999999995</c:v>
                </c:pt>
                <c:pt idx="509" formatCode="0.0%">
                  <c:v>0.83442799999999995</c:v>
                </c:pt>
                <c:pt idx="510" formatCode="0.0%">
                  <c:v>0.83442799999999995</c:v>
                </c:pt>
                <c:pt idx="511" formatCode="0.0%">
                  <c:v>0.83442799999999995</c:v>
                </c:pt>
                <c:pt idx="512" formatCode="0.0%">
                  <c:v>0.83442799999999995</c:v>
                </c:pt>
                <c:pt idx="513" formatCode="0.0%">
                  <c:v>0.83442799999999995</c:v>
                </c:pt>
                <c:pt idx="514" formatCode="0.0%">
                  <c:v>0.83442799999999995</c:v>
                </c:pt>
                <c:pt idx="515" formatCode="0.0%">
                  <c:v>0.83442799999999995</c:v>
                </c:pt>
                <c:pt idx="516" formatCode="0.0%">
                  <c:v>0.83442799999999995</c:v>
                </c:pt>
                <c:pt idx="517" formatCode="0.0%">
                  <c:v>0.83442799999999995</c:v>
                </c:pt>
                <c:pt idx="518" formatCode="0.0%">
                  <c:v>0.83442799999999995</c:v>
                </c:pt>
                <c:pt idx="519" formatCode="0.0%">
                  <c:v>0.83442799999999995</c:v>
                </c:pt>
                <c:pt idx="520" formatCode="0.0%">
                  <c:v>0.83442799999999995</c:v>
                </c:pt>
                <c:pt idx="521" formatCode="0.0%">
                  <c:v>0.83442799999999995</c:v>
                </c:pt>
                <c:pt idx="522" formatCode="0.0%">
                  <c:v>0.83442799999999995</c:v>
                </c:pt>
                <c:pt idx="523" formatCode="0.0%">
                  <c:v>0.83442799999999995</c:v>
                </c:pt>
                <c:pt idx="524" formatCode="0.0%">
                  <c:v>0.83442799999999995</c:v>
                </c:pt>
                <c:pt idx="525" formatCode="0.0%">
                  <c:v>0.83442799999999995</c:v>
                </c:pt>
                <c:pt idx="526" formatCode="0.0%">
                  <c:v>0.83442799999999995</c:v>
                </c:pt>
                <c:pt idx="527" formatCode="0.0%">
                  <c:v>0.83442799999999995</c:v>
                </c:pt>
                <c:pt idx="528" formatCode="0.0%">
                  <c:v>0.83442799999999995</c:v>
                </c:pt>
                <c:pt idx="529" formatCode="0.0%">
                  <c:v>0.83442799999999995</c:v>
                </c:pt>
                <c:pt idx="530" formatCode="0.0%">
                  <c:v>0.83442799999999995</c:v>
                </c:pt>
                <c:pt idx="531" formatCode="0.0%">
                  <c:v>0.83442799999999995</c:v>
                </c:pt>
                <c:pt idx="532" formatCode="0.0%">
                  <c:v>0.83442799999999995</c:v>
                </c:pt>
                <c:pt idx="533" formatCode="0.0%">
                  <c:v>0.83442799999999995</c:v>
                </c:pt>
                <c:pt idx="534" formatCode="0.0%">
                  <c:v>0.83442799999999995</c:v>
                </c:pt>
                <c:pt idx="535" formatCode="0.0%">
                  <c:v>0.83442799999999995</c:v>
                </c:pt>
                <c:pt idx="536" formatCode="0.0%">
                  <c:v>0.83442799999999995</c:v>
                </c:pt>
                <c:pt idx="537" formatCode="0.0%">
                  <c:v>0.83442799999999995</c:v>
                </c:pt>
                <c:pt idx="538" formatCode="0.0%">
                  <c:v>0.83442799999999995</c:v>
                </c:pt>
                <c:pt idx="539" formatCode="0.0%">
                  <c:v>0.83442799999999995</c:v>
                </c:pt>
                <c:pt idx="540" formatCode="0.0%">
                  <c:v>0.83442799999999995</c:v>
                </c:pt>
                <c:pt idx="541" formatCode="0.0%">
                  <c:v>0.83442799999999995</c:v>
                </c:pt>
                <c:pt idx="542" formatCode="0.0%">
                  <c:v>0.83442799999999995</c:v>
                </c:pt>
                <c:pt idx="543" formatCode="0.0%">
                  <c:v>0.83442799999999995</c:v>
                </c:pt>
                <c:pt idx="544" formatCode="0.0%">
                  <c:v>0.83442799999999995</c:v>
                </c:pt>
                <c:pt idx="545" formatCode="0.0%">
                  <c:v>0.83442799999999995</c:v>
                </c:pt>
                <c:pt idx="546" formatCode="0.0%">
                  <c:v>0.83442799999999995</c:v>
                </c:pt>
                <c:pt idx="547" formatCode="0.0%">
                  <c:v>0.83442799999999995</c:v>
                </c:pt>
                <c:pt idx="548" formatCode="0.0%">
                  <c:v>0.83442799999999995</c:v>
                </c:pt>
                <c:pt idx="549" formatCode="0.0%">
                  <c:v>0.83442799999999995</c:v>
                </c:pt>
                <c:pt idx="550" formatCode="0.0%">
                  <c:v>0.83442799999999995</c:v>
                </c:pt>
                <c:pt idx="551" formatCode="0.0%">
                  <c:v>0.83442799999999995</c:v>
                </c:pt>
                <c:pt idx="552" formatCode="0.0%">
                  <c:v>0.83442799999999995</c:v>
                </c:pt>
                <c:pt idx="553" formatCode="0.0%">
                  <c:v>0.83442799999999995</c:v>
                </c:pt>
                <c:pt idx="554" formatCode="0.0%">
                  <c:v>0.83442799999999995</c:v>
                </c:pt>
                <c:pt idx="555" formatCode="0.0%">
                  <c:v>0.83442799999999995</c:v>
                </c:pt>
                <c:pt idx="556" formatCode="0.0%">
                  <c:v>0.83442799999999995</c:v>
                </c:pt>
                <c:pt idx="557" formatCode="0.0%">
                  <c:v>0.83442799999999995</c:v>
                </c:pt>
                <c:pt idx="558" formatCode="0.0%">
                  <c:v>0.83442799999999995</c:v>
                </c:pt>
                <c:pt idx="559" formatCode="0.0%">
                  <c:v>0.83442799999999995</c:v>
                </c:pt>
                <c:pt idx="560" formatCode="0.0%">
                  <c:v>0.83442799999999995</c:v>
                </c:pt>
                <c:pt idx="561" formatCode="0.0%">
                  <c:v>0.83442799999999995</c:v>
                </c:pt>
                <c:pt idx="562" formatCode="0.0%">
                  <c:v>0.83442799999999995</c:v>
                </c:pt>
                <c:pt idx="563" formatCode="0.0%">
                  <c:v>0.83442799999999995</c:v>
                </c:pt>
                <c:pt idx="564" formatCode="0.0%">
                  <c:v>0.83442799999999995</c:v>
                </c:pt>
                <c:pt idx="565" formatCode="0.0%">
                  <c:v>0.83442799999999995</c:v>
                </c:pt>
                <c:pt idx="566" formatCode="0.0%">
                  <c:v>0.83442799999999995</c:v>
                </c:pt>
                <c:pt idx="567" formatCode="0.0%">
                  <c:v>0.83442799999999995</c:v>
                </c:pt>
                <c:pt idx="568" formatCode="0.0%">
                  <c:v>0.83442799999999995</c:v>
                </c:pt>
                <c:pt idx="569" formatCode="0.0%">
                  <c:v>0.83442799999999995</c:v>
                </c:pt>
                <c:pt idx="570" formatCode="0.0%">
                  <c:v>0.83442799999999995</c:v>
                </c:pt>
                <c:pt idx="571" formatCode="0.0%">
                  <c:v>0.83442799999999995</c:v>
                </c:pt>
                <c:pt idx="572" formatCode="0.0%">
                  <c:v>0.83442799999999995</c:v>
                </c:pt>
                <c:pt idx="573" formatCode="0.0%">
                  <c:v>0.83442799999999995</c:v>
                </c:pt>
                <c:pt idx="574" formatCode="0.0%">
                  <c:v>0.83442799999999995</c:v>
                </c:pt>
                <c:pt idx="575" formatCode="0.0%">
                  <c:v>0.83442799999999995</c:v>
                </c:pt>
                <c:pt idx="576" formatCode="0.0%">
                  <c:v>0.83442799999999995</c:v>
                </c:pt>
                <c:pt idx="577" formatCode="0.0%">
                  <c:v>0.83442799999999995</c:v>
                </c:pt>
                <c:pt idx="578" formatCode="0.0%">
                  <c:v>0.83442799999999995</c:v>
                </c:pt>
                <c:pt idx="579" formatCode="0.0%">
                  <c:v>0.83442799999999995</c:v>
                </c:pt>
                <c:pt idx="580" formatCode="0.0%">
                  <c:v>0.83442799999999995</c:v>
                </c:pt>
                <c:pt idx="581" formatCode="0.0%">
                  <c:v>0.83442799999999995</c:v>
                </c:pt>
                <c:pt idx="582" formatCode="0.0%">
                  <c:v>0.83442799999999995</c:v>
                </c:pt>
                <c:pt idx="583" formatCode="0.0%">
                  <c:v>0.83442799999999995</c:v>
                </c:pt>
                <c:pt idx="584" formatCode="0.0%">
                  <c:v>0.83442799999999995</c:v>
                </c:pt>
                <c:pt idx="585" formatCode="0.0%">
                  <c:v>0.83442799999999995</c:v>
                </c:pt>
                <c:pt idx="586" formatCode="0.0%">
                  <c:v>0.83442799999999995</c:v>
                </c:pt>
                <c:pt idx="587" formatCode="0.0%">
                  <c:v>0.83442799999999995</c:v>
                </c:pt>
                <c:pt idx="588" formatCode="0.0%">
                  <c:v>0.83442799999999995</c:v>
                </c:pt>
                <c:pt idx="589" formatCode="0.0%">
                  <c:v>0.83442799999999995</c:v>
                </c:pt>
                <c:pt idx="590" formatCode="0.0%">
                  <c:v>0.83442799999999995</c:v>
                </c:pt>
                <c:pt idx="591" formatCode="0.0%">
                  <c:v>0.83442799999999995</c:v>
                </c:pt>
                <c:pt idx="592" formatCode="0.0%">
                  <c:v>0.83442799999999995</c:v>
                </c:pt>
                <c:pt idx="593" formatCode="0.0%">
                  <c:v>0.83442799999999995</c:v>
                </c:pt>
                <c:pt idx="594" formatCode="0.0%">
                  <c:v>0.83442799999999995</c:v>
                </c:pt>
                <c:pt idx="595" formatCode="0.0%">
                  <c:v>0.83442799999999995</c:v>
                </c:pt>
                <c:pt idx="596" formatCode="0.0%">
                  <c:v>0.83442799999999995</c:v>
                </c:pt>
                <c:pt idx="597" formatCode="0.0%">
                  <c:v>0.83442799999999995</c:v>
                </c:pt>
                <c:pt idx="598" formatCode="0.0%">
                  <c:v>0.83442799999999995</c:v>
                </c:pt>
                <c:pt idx="599" formatCode="0.0%">
                  <c:v>0.83442799999999995</c:v>
                </c:pt>
                <c:pt idx="600" formatCode="0.0%">
                  <c:v>0.83442799999999995</c:v>
                </c:pt>
                <c:pt idx="601" formatCode="0.0%">
                  <c:v>0.83442799999999995</c:v>
                </c:pt>
                <c:pt idx="602" formatCode="0.0%">
                  <c:v>0.83442799999999995</c:v>
                </c:pt>
                <c:pt idx="603" formatCode="0.0%">
                  <c:v>0.83442799999999995</c:v>
                </c:pt>
                <c:pt idx="604" formatCode="0.0%">
                  <c:v>0.83442799999999995</c:v>
                </c:pt>
                <c:pt idx="605" formatCode="0.0%">
                  <c:v>0.83442799999999995</c:v>
                </c:pt>
                <c:pt idx="606" formatCode="0.0%">
                  <c:v>0.83442799999999995</c:v>
                </c:pt>
                <c:pt idx="607" formatCode="0.0%">
                  <c:v>0.83442799999999995</c:v>
                </c:pt>
                <c:pt idx="608" formatCode="0.0%">
                  <c:v>0.83442799999999995</c:v>
                </c:pt>
                <c:pt idx="609" formatCode="0.0%">
                  <c:v>0.83442799999999995</c:v>
                </c:pt>
                <c:pt idx="610" formatCode="0.0%">
                  <c:v>0.83442799999999995</c:v>
                </c:pt>
                <c:pt idx="611" formatCode="0.0%">
                  <c:v>0.83442799999999995</c:v>
                </c:pt>
                <c:pt idx="612" formatCode="0.0%">
                  <c:v>0.83442799999999995</c:v>
                </c:pt>
                <c:pt idx="613" formatCode="0.0%">
                  <c:v>0.83442799999999995</c:v>
                </c:pt>
                <c:pt idx="614" formatCode="0.0%">
                  <c:v>0.83442799999999995</c:v>
                </c:pt>
                <c:pt idx="615" formatCode="0.0%">
                  <c:v>0.83442799999999995</c:v>
                </c:pt>
                <c:pt idx="616" formatCode="0.0%">
                  <c:v>0.83442799999999995</c:v>
                </c:pt>
                <c:pt idx="617" formatCode="0.0%">
                  <c:v>0.83442799999999995</c:v>
                </c:pt>
                <c:pt idx="618" formatCode="0.0%">
                  <c:v>0.83442799999999995</c:v>
                </c:pt>
                <c:pt idx="619" formatCode="0.0%">
                  <c:v>0.83442799999999995</c:v>
                </c:pt>
                <c:pt idx="620" formatCode="0.0%">
                  <c:v>0.83442799999999995</c:v>
                </c:pt>
                <c:pt idx="621" formatCode="0.0%">
                  <c:v>0.83442799999999995</c:v>
                </c:pt>
                <c:pt idx="622" formatCode="0.0%">
                  <c:v>0.83442799999999995</c:v>
                </c:pt>
                <c:pt idx="623" formatCode="0.0%">
                  <c:v>0.83442799999999995</c:v>
                </c:pt>
                <c:pt idx="624" formatCode="0.0%">
                  <c:v>0.83442799999999995</c:v>
                </c:pt>
                <c:pt idx="625" formatCode="0.0%">
                  <c:v>0.83442799999999995</c:v>
                </c:pt>
                <c:pt idx="626" formatCode="0.0%">
                  <c:v>0.83442799999999995</c:v>
                </c:pt>
                <c:pt idx="627" formatCode="0.0%">
                  <c:v>0.83442799999999995</c:v>
                </c:pt>
                <c:pt idx="628" formatCode="0.0%">
                  <c:v>0.83442799999999995</c:v>
                </c:pt>
                <c:pt idx="629" formatCode="0.0%">
                  <c:v>0.83442799999999995</c:v>
                </c:pt>
                <c:pt idx="630" formatCode="0.0%">
                  <c:v>0.83442799999999995</c:v>
                </c:pt>
                <c:pt idx="631" formatCode="0.0%">
                  <c:v>0.83442799999999995</c:v>
                </c:pt>
                <c:pt idx="632" formatCode="0.0%">
                  <c:v>0.83442799999999995</c:v>
                </c:pt>
                <c:pt idx="633" formatCode="0.0%">
                  <c:v>0.83442799999999995</c:v>
                </c:pt>
                <c:pt idx="634" formatCode="0.0%">
                  <c:v>0.83442799999999995</c:v>
                </c:pt>
                <c:pt idx="635" formatCode="0.0%">
                  <c:v>0.83442799999999995</c:v>
                </c:pt>
              </c:numCache>
            </c:numRef>
          </c:val>
          <c:smooth val="0"/>
          <c:extLst>
            <c:ext xmlns:c16="http://schemas.microsoft.com/office/drawing/2014/chart" uri="{C3380CC4-5D6E-409C-BE32-E72D297353CC}">
              <c16:uniqueId val="{00000001-68A0-430B-AE47-AA38D3089E0A}"/>
            </c:ext>
          </c:extLst>
        </c:ser>
        <c:dLbls>
          <c:showLegendKey val="0"/>
          <c:showVal val="0"/>
          <c:showCatName val="0"/>
          <c:showSerName val="0"/>
          <c:showPercent val="0"/>
          <c:showBubbleSize val="0"/>
        </c:dLbls>
        <c:smooth val="0"/>
        <c:axId val="700259456"/>
        <c:axId val="700264864"/>
      </c:lineChart>
      <c:dateAx>
        <c:axId val="700259456"/>
        <c:scaling>
          <c:orientation val="minMax"/>
        </c:scaling>
        <c:delete val="0"/>
        <c:axPos val="b"/>
        <c:numFmt formatCode="yyyy&quot;年&quot;m&quot;月&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0264864"/>
        <c:crosses val="autoZero"/>
        <c:auto val="1"/>
        <c:lblOffset val="100"/>
        <c:baseTimeUnit val="months"/>
      </c:dateAx>
      <c:valAx>
        <c:axId val="7002648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0259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15235866802127E-2"/>
          <c:y val="5.821146219942655E-2"/>
          <c:w val="0.91739676113106894"/>
          <c:h val="0.77608942313982698"/>
        </c:manualLayout>
      </c:layout>
      <c:lineChart>
        <c:grouping val="standard"/>
        <c:varyColors val="0"/>
        <c:ser>
          <c:idx val="0"/>
          <c:order val="0"/>
          <c:tx>
            <c:strRef>
              <c:f>★平均労働時間!$J$1</c:f>
              <c:strCache>
                <c:ptCount val="1"/>
                <c:pt idx="0">
                  <c:v>現実平均労働時間</c:v>
                </c:pt>
              </c:strCache>
            </c:strRef>
          </c:tx>
          <c:spPr>
            <a:ln w="28575" cap="rnd">
              <a:solidFill>
                <a:schemeClr val="tx1">
                  <a:lumMod val="85000"/>
                  <a:lumOff val="15000"/>
                </a:schemeClr>
              </a:solidFill>
              <a:round/>
            </a:ln>
            <a:effectLst/>
          </c:spPr>
          <c:marker>
            <c:symbol val="none"/>
          </c:marker>
          <c:cat>
            <c:strRef>
              <c:f>★平均労働時間!$I$2:$I$67</c:f>
              <c:strCache>
                <c:ptCount val="66"/>
                <c:pt idx="0">
                  <c:v>1955年</c:v>
                </c:pt>
                <c:pt idx="1">
                  <c:v>1956年</c:v>
                </c:pt>
                <c:pt idx="2">
                  <c:v>1957年</c:v>
                </c:pt>
                <c:pt idx="3">
                  <c:v>1958年</c:v>
                </c:pt>
                <c:pt idx="4">
                  <c:v>1959年</c:v>
                </c:pt>
                <c:pt idx="5">
                  <c:v>1960年</c:v>
                </c:pt>
                <c:pt idx="6">
                  <c:v>1961年</c:v>
                </c:pt>
                <c:pt idx="7">
                  <c:v>1962年</c:v>
                </c:pt>
                <c:pt idx="8">
                  <c:v>1963年</c:v>
                </c:pt>
                <c:pt idx="9">
                  <c:v>1964年</c:v>
                </c:pt>
                <c:pt idx="10">
                  <c:v>1965年</c:v>
                </c:pt>
                <c:pt idx="11">
                  <c:v>1966年</c:v>
                </c:pt>
                <c:pt idx="12">
                  <c:v>1967年</c:v>
                </c:pt>
                <c:pt idx="13">
                  <c:v>1968年</c:v>
                </c:pt>
                <c:pt idx="14">
                  <c:v>1969年</c:v>
                </c:pt>
                <c:pt idx="15">
                  <c:v>1970年</c:v>
                </c:pt>
                <c:pt idx="16">
                  <c:v>1971年</c:v>
                </c:pt>
                <c:pt idx="17">
                  <c:v>1972年</c:v>
                </c:pt>
                <c:pt idx="18">
                  <c:v>1973年</c:v>
                </c:pt>
                <c:pt idx="19">
                  <c:v>1974年</c:v>
                </c:pt>
                <c:pt idx="20">
                  <c:v>1975年</c:v>
                </c:pt>
                <c:pt idx="21">
                  <c:v>1976年</c:v>
                </c:pt>
                <c:pt idx="22">
                  <c:v>1977年</c:v>
                </c:pt>
                <c:pt idx="23">
                  <c:v>1978年</c:v>
                </c:pt>
                <c:pt idx="24">
                  <c:v>1979年</c:v>
                </c:pt>
                <c:pt idx="25">
                  <c:v>1980年</c:v>
                </c:pt>
                <c:pt idx="26">
                  <c:v>1981年</c:v>
                </c:pt>
                <c:pt idx="27">
                  <c:v>1982年</c:v>
                </c:pt>
                <c:pt idx="28">
                  <c:v>1983年</c:v>
                </c:pt>
                <c:pt idx="29">
                  <c:v>1984年</c:v>
                </c:pt>
                <c:pt idx="30">
                  <c:v>1985年</c:v>
                </c:pt>
                <c:pt idx="31">
                  <c:v>1986年</c:v>
                </c:pt>
                <c:pt idx="32">
                  <c:v>1987年</c:v>
                </c:pt>
                <c:pt idx="33">
                  <c:v>1988年</c:v>
                </c:pt>
                <c:pt idx="34">
                  <c:v>1989年</c:v>
                </c:pt>
                <c:pt idx="35">
                  <c:v>1990年</c:v>
                </c:pt>
                <c:pt idx="36">
                  <c:v>1991年</c:v>
                </c:pt>
                <c:pt idx="37">
                  <c:v>1992年</c:v>
                </c:pt>
                <c:pt idx="38">
                  <c:v>1993年</c:v>
                </c:pt>
                <c:pt idx="39">
                  <c:v>1994年</c:v>
                </c:pt>
                <c:pt idx="40">
                  <c:v>1995年</c:v>
                </c:pt>
                <c:pt idx="41">
                  <c:v>1996年</c:v>
                </c:pt>
                <c:pt idx="42">
                  <c:v>1997年</c:v>
                </c:pt>
                <c:pt idx="43">
                  <c:v>1998年</c:v>
                </c:pt>
                <c:pt idx="44">
                  <c:v>1999年</c:v>
                </c:pt>
                <c:pt idx="45">
                  <c:v>2000年</c:v>
                </c:pt>
                <c:pt idx="46">
                  <c:v>2001年</c:v>
                </c:pt>
                <c:pt idx="47">
                  <c:v>2002年</c:v>
                </c:pt>
                <c:pt idx="48">
                  <c:v>2003年</c:v>
                </c:pt>
                <c:pt idx="49">
                  <c:v>2004年</c:v>
                </c:pt>
                <c:pt idx="50">
                  <c:v>2005年</c:v>
                </c:pt>
                <c:pt idx="51">
                  <c:v>2006年</c:v>
                </c:pt>
                <c:pt idx="52">
                  <c:v>2007年</c:v>
                </c:pt>
                <c:pt idx="53">
                  <c:v>2008年</c:v>
                </c:pt>
                <c:pt idx="54">
                  <c:v>2009年</c:v>
                </c:pt>
                <c:pt idx="55">
                  <c:v>2010年</c:v>
                </c:pt>
                <c:pt idx="56">
                  <c:v>2011年</c:v>
                </c:pt>
                <c:pt idx="57">
                  <c:v>2012年</c:v>
                </c:pt>
                <c:pt idx="58">
                  <c:v>2013年</c:v>
                </c:pt>
                <c:pt idx="59">
                  <c:v>2014年</c:v>
                </c:pt>
                <c:pt idx="60">
                  <c:v>2015年</c:v>
                </c:pt>
                <c:pt idx="61">
                  <c:v>2016年</c:v>
                </c:pt>
                <c:pt idx="62">
                  <c:v>2017年</c:v>
                </c:pt>
                <c:pt idx="63">
                  <c:v>2018年</c:v>
                </c:pt>
                <c:pt idx="64">
                  <c:v>2019年</c:v>
                </c:pt>
                <c:pt idx="65">
                  <c:v>2020年</c:v>
                </c:pt>
              </c:strCache>
            </c:strRef>
          </c:cat>
          <c:val>
            <c:numRef>
              <c:f>★平均労働時間!$J$2:$J$67</c:f>
              <c:numCache>
                <c:formatCode>#,##0_);[Red]\(#,##0\)</c:formatCode>
                <c:ptCount val="66"/>
                <c:pt idx="0">
                  <c:v>2364.5702000000006</c:v>
                </c:pt>
                <c:pt idx="1">
                  <c:v>2434.7431999999999</c:v>
                </c:pt>
                <c:pt idx="2">
                  <c:v>2448.6045333333336</c:v>
                </c:pt>
                <c:pt idx="3">
                  <c:v>2455.5352000000003</c:v>
                </c:pt>
                <c:pt idx="4">
                  <c:v>2509.5944</c:v>
                </c:pt>
                <c:pt idx="5">
                  <c:v>2551.6981999999998</c:v>
                </c:pt>
                <c:pt idx="6">
                  <c:v>2552.5645333333337</c:v>
                </c:pt>
                <c:pt idx="7">
                  <c:v>2520.8567333333335</c:v>
                </c:pt>
                <c:pt idx="8">
                  <c:v>2480.6588666666667</c:v>
                </c:pt>
                <c:pt idx="9">
                  <c:v>2477.5400666666665</c:v>
                </c:pt>
                <c:pt idx="10">
                  <c:v>2468.1836666666668</c:v>
                </c:pt>
                <c:pt idx="11">
                  <c:v>2443.06</c:v>
                </c:pt>
                <c:pt idx="12">
                  <c:v>2436.1293333333338</c:v>
                </c:pt>
                <c:pt idx="13">
                  <c:v>2443.4065333333333</c:v>
                </c:pt>
                <c:pt idx="14">
                  <c:v>2399.9166000000005</c:v>
                </c:pt>
                <c:pt idx="15">
                  <c:v>2406.5007333333333</c:v>
                </c:pt>
                <c:pt idx="16">
                  <c:v>2410.3126000000002</c:v>
                </c:pt>
                <c:pt idx="17">
                  <c:v>2398.7037333333337</c:v>
                </c:pt>
                <c:pt idx="18">
                  <c:v>2374.2731333333331</c:v>
                </c:pt>
                <c:pt idx="19">
                  <c:v>2314.6694000000002</c:v>
                </c:pt>
                <c:pt idx="20">
                  <c:v>2254.719133333334</c:v>
                </c:pt>
                <c:pt idx="21">
                  <c:v>2251.9468666666671</c:v>
                </c:pt>
                <c:pt idx="22">
                  <c:v>2257.8379333333332</c:v>
                </c:pt>
                <c:pt idx="23">
                  <c:v>2285.2140666666669</c:v>
                </c:pt>
                <c:pt idx="24">
                  <c:v>2280.5358666666666</c:v>
                </c:pt>
                <c:pt idx="25">
                  <c:v>2280.8823999999995</c:v>
                </c:pt>
                <c:pt idx="26">
                  <c:v>2292.1447333333331</c:v>
                </c:pt>
                <c:pt idx="27">
                  <c:v>2275.8576666666668</c:v>
                </c:pt>
                <c:pt idx="28">
                  <c:v>2252.8132000000005</c:v>
                </c:pt>
                <c:pt idx="29">
                  <c:v>2271.1794666666669</c:v>
                </c:pt>
                <c:pt idx="30">
                  <c:v>2252.2934000000005</c:v>
                </c:pt>
                <c:pt idx="31">
                  <c:v>2260.9567333333334</c:v>
                </c:pt>
                <c:pt idx="32">
                  <c:v>2270.3131333333331</c:v>
                </c:pt>
                <c:pt idx="33">
                  <c:v>2288.6794</c:v>
                </c:pt>
                <c:pt idx="34">
                  <c:v>2246.0558000000005</c:v>
                </c:pt>
                <c:pt idx="35">
                  <c:v>2210.0163333333335</c:v>
                </c:pt>
                <c:pt idx="36">
                  <c:v>2178.4818</c:v>
                </c:pt>
                <c:pt idx="37">
                  <c:v>2139.8433333333332</c:v>
                </c:pt>
                <c:pt idx="38">
                  <c:v>2091.8484666666668</c:v>
                </c:pt>
                <c:pt idx="39">
                  <c:v>2063.0862000000006</c:v>
                </c:pt>
                <c:pt idx="40">
                  <c:v>2065.6851999999999</c:v>
                </c:pt>
                <c:pt idx="41">
                  <c:v>2088.7296666666671</c:v>
                </c:pt>
                <c:pt idx="42">
                  <c:v>2071.5762666666665</c:v>
                </c:pt>
                <c:pt idx="43">
                  <c:v>2050.7842666666666</c:v>
                </c:pt>
                <c:pt idx="44">
                  <c:v>2026.5269333333335</c:v>
                </c:pt>
                <c:pt idx="45">
                  <c:v>2017.1705333333337</c:v>
                </c:pt>
                <c:pt idx="46">
                  <c:v>1999.3240666666668</c:v>
                </c:pt>
                <c:pt idx="47">
                  <c:v>2009.3735333333339</c:v>
                </c:pt>
                <c:pt idx="48">
                  <c:v>2019.4230000000002</c:v>
                </c:pt>
                <c:pt idx="49">
                  <c:v>2042.6407333333334</c:v>
                </c:pt>
                <c:pt idx="50">
                  <c:v>2047.6654666666668</c:v>
                </c:pt>
                <c:pt idx="51">
                  <c:v>2085.6108666666669</c:v>
                </c:pt>
                <c:pt idx="52">
                  <c:v>2090.9821333333334</c:v>
                </c:pt>
                <c:pt idx="53">
                  <c:v>2093.7543999999998</c:v>
                </c:pt>
                <c:pt idx="54">
                  <c:v>2055.635733333334</c:v>
                </c:pt>
                <c:pt idx="55">
                  <c:v>2088.5563999999999</c:v>
                </c:pt>
                <c:pt idx="56">
                  <c:v>2090.4623333333334</c:v>
                </c:pt>
                <c:pt idx="57">
                  <c:v>2092.7148000000002</c:v>
                </c:pt>
                <c:pt idx="58">
                  <c:v>2068.4574666666672</c:v>
                </c:pt>
                <c:pt idx="59">
                  <c:v>2046.7991333333337</c:v>
                </c:pt>
                <c:pt idx="60">
                  <c:v>2078.8534666666669</c:v>
                </c:pt>
                <c:pt idx="61">
                  <c:v>2101.2048666666669</c:v>
                </c:pt>
                <c:pt idx="62">
                  <c:v>2078.6802000000002</c:v>
                </c:pt>
                <c:pt idx="63">
                  <c:v>2074.3485333333338</c:v>
                </c:pt>
                <c:pt idx="64">
                  <c:v>2046.1060666666669</c:v>
                </c:pt>
                <c:pt idx="65">
                  <c:v>2022.7150666666671</c:v>
                </c:pt>
              </c:numCache>
            </c:numRef>
          </c:val>
          <c:smooth val="0"/>
          <c:extLst>
            <c:ext xmlns:c16="http://schemas.microsoft.com/office/drawing/2014/chart" uri="{C3380CC4-5D6E-409C-BE32-E72D297353CC}">
              <c16:uniqueId val="{00000000-523E-4FA5-B530-EBE91CA7FC3C}"/>
            </c:ext>
          </c:extLst>
        </c:ser>
        <c:ser>
          <c:idx val="1"/>
          <c:order val="1"/>
          <c:tx>
            <c:strRef>
              <c:f>★平均労働時間!$K$1</c:f>
              <c:strCache>
                <c:ptCount val="1"/>
                <c:pt idx="0">
                  <c:v>潜在平均労働時間</c:v>
                </c:pt>
              </c:strCache>
            </c:strRef>
          </c:tx>
          <c:spPr>
            <a:ln w="28575" cap="rnd">
              <a:solidFill>
                <a:schemeClr val="bg1">
                  <a:lumMod val="65000"/>
                </a:schemeClr>
              </a:solidFill>
              <a:round/>
            </a:ln>
            <a:effectLst/>
          </c:spPr>
          <c:marker>
            <c:symbol val="none"/>
          </c:marker>
          <c:cat>
            <c:strRef>
              <c:f>★平均労働時間!$I$2:$I$67</c:f>
              <c:strCache>
                <c:ptCount val="66"/>
                <c:pt idx="0">
                  <c:v>1955年</c:v>
                </c:pt>
                <c:pt idx="1">
                  <c:v>1956年</c:v>
                </c:pt>
                <c:pt idx="2">
                  <c:v>1957年</c:v>
                </c:pt>
                <c:pt idx="3">
                  <c:v>1958年</c:v>
                </c:pt>
                <c:pt idx="4">
                  <c:v>1959年</c:v>
                </c:pt>
                <c:pt idx="5">
                  <c:v>1960年</c:v>
                </c:pt>
                <c:pt idx="6">
                  <c:v>1961年</c:v>
                </c:pt>
                <c:pt idx="7">
                  <c:v>1962年</c:v>
                </c:pt>
                <c:pt idx="8">
                  <c:v>1963年</c:v>
                </c:pt>
                <c:pt idx="9">
                  <c:v>1964年</c:v>
                </c:pt>
                <c:pt idx="10">
                  <c:v>1965年</c:v>
                </c:pt>
                <c:pt idx="11">
                  <c:v>1966年</c:v>
                </c:pt>
                <c:pt idx="12">
                  <c:v>1967年</c:v>
                </c:pt>
                <c:pt idx="13">
                  <c:v>1968年</c:v>
                </c:pt>
                <c:pt idx="14">
                  <c:v>1969年</c:v>
                </c:pt>
                <c:pt idx="15">
                  <c:v>1970年</c:v>
                </c:pt>
                <c:pt idx="16">
                  <c:v>1971年</c:v>
                </c:pt>
                <c:pt idx="17">
                  <c:v>1972年</c:v>
                </c:pt>
                <c:pt idx="18">
                  <c:v>1973年</c:v>
                </c:pt>
                <c:pt idx="19">
                  <c:v>1974年</c:v>
                </c:pt>
                <c:pt idx="20">
                  <c:v>1975年</c:v>
                </c:pt>
                <c:pt idx="21">
                  <c:v>1976年</c:v>
                </c:pt>
                <c:pt idx="22">
                  <c:v>1977年</c:v>
                </c:pt>
                <c:pt idx="23">
                  <c:v>1978年</c:v>
                </c:pt>
                <c:pt idx="24">
                  <c:v>1979年</c:v>
                </c:pt>
                <c:pt idx="25">
                  <c:v>1980年</c:v>
                </c:pt>
                <c:pt idx="26">
                  <c:v>1981年</c:v>
                </c:pt>
                <c:pt idx="27">
                  <c:v>1982年</c:v>
                </c:pt>
                <c:pt idx="28">
                  <c:v>1983年</c:v>
                </c:pt>
                <c:pt idx="29">
                  <c:v>1984年</c:v>
                </c:pt>
                <c:pt idx="30">
                  <c:v>1985年</c:v>
                </c:pt>
                <c:pt idx="31">
                  <c:v>1986年</c:v>
                </c:pt>
                <c:pt idx="32">
                  <c:v>1987年</c:v>
                </c:pt>
                <c:pt idx="33">
                  <c:v>1988年</c:v>
                </c:pt>
                <c:pt idx="34">
                  <c:v>1989年</c:v>
                </c:pt>
                <c:pt idx="35">
                  <c:v>1990年</c:v>
                </c:pt>
                <c:pt idx="36">
                  <c:v>1991年</c:v>
                </c:pt>
                <c:pt idx="37">
                  <c:v>1992年</c:v>
                </c:pt>
                <c:pt idx="38">
                  <c:v>1993年</c:v>
                </c:pt>
                <c:pt idx="39">
                  <c:v>1994年</c:v>
                </c:pt>
                <c:pt idx="40">
                  <c:v>1995年</c:v>
                </c:pt>
                <c:pt idx="41">
                  <c:v>1996年</c:v>
                </c:pt>
                <c:pt idx="42">
                  <c:v>1997年</c:v>
                </c:pt>
                <c:pt idx="43">
                  <c:v>1998年</c:v>
                </c:pt>
                <c:pt idx="44">
                  <c:v>1999年</c:v>
                </c:pt>
                <c:pt idx="45">
                  <c:v>2000年</c:v>
                </c:pt>
                <c:pt idx="46">
                  <c:v>2001年</c:v>
                </c:pt>
                <c:pt idx="47">
                  <c:v>2002年</c:v>
                </c:pt>
                <c:pt idx="48">
                  <c:v>2003年</c:v>
                </c:pt>
                <c:pt idx="49">
                  <c:v>2004年</c:v>
                </c:pt>
                <c:pt idx="50">
                  <c:v>2005年</c:v>
                </c:pt>
                <c:pt idx="51">
                  <c:v>2006年</c:v>
                </c:pt>
                <c:pt idx="52">
                  <c:v>2007年</c:v>
                </c:pt>
                <c:pt idx="53">
                  <c:v>2008年</c:v>
                </c:pt>
                <c:pt idx="54">
                  <c:v>2009年</c:v>
                </c:pt>
                <c:pt idx="55">
                  <c:v>2010年</c:v>
                </c:pt>
                <c:pt idx="56">
                  <c:v>2011年</c:v>
                </c:pt>
                <c:pt idx="57">
                  <c:v>2012年</c:v>
                </c:pt>
                <c:pt idx="58">
                  <c:v>2013年</c:v>
                </c:pt>
                <c:pt idx="59">
                  <c:v>2014年</c:v>
                </c:pt>
                <c:pt idx="60">
                  <c:v>2015年</c:v>
                </c:pt>
                <c:pt idx="61">
                  <c:v>2016年</c:v>
                </c:pt>
                <c:pt idx="62">
                  <c:v>2017年</c:v>
                </c:pt>
                <c:pt idx="63">
                  <c:v>2018年</c:v>
                </c:pt>
                <c:pt idx="64">
                  <c:v>2019年</c:v>
                </c:pt>
                <c:pt idx="65">
                  <c:v>2020年</c:v>
                </c:pt>
              </c:strCache>
            </c:strRef>
          </c:cat>
          <c:val>
            <c:numRef>
              <c:f>★平均労働時間!$K$2:$K$67</c:f>
              <c:numCache>
                <c:formatCode>#,##0_);[Red]\(#,##0\)</c:formatCode>
                <c:ptCount val="66"/>
                <c:pt idx="0">
                  <c:v>2429.3473443432499</c:v>
                </c:pt>
                <c:pt idx="1">
                  <c:v>2444.6604999964502</c:v>
                </c:pt>
                <c:pt idx="2">
                  <c:v>2459.3258842062301</c:v>
                </c:pt>
                <c:pt idx="3">
                  <c:v>2472.5965525291899</c:v>
                </c:pt>
                <c:pt idx="4">
                  <c:v>2483.6183470132</c:v>
                </c:pt>
                <c:pt idx="5">
                  <c:v>2491.3664961808499</c:v>
                </c:pt>
                <c:pt idx="6">
                  <c:v>2495.0759890845902</c:v>
                </c:pt>
                <c:pt idx="7">
                  <c:v>2494.5851318150699</c:v>
                </c:pt>
                <c:pt idx="8">
                  <c:v>2490.3071159054298</c:v>
                </c:pt>
                <c:pt idx="9">
                  <c:v>2482.91784890398</c:v>
                </c:pt>
                <c:pt idx="10">
                  <c:v>2472.9967558666599</c:v>
                </c:pt>
                <c:pt idx="11">
                  <c:v>2461.0694840270098</c:v>
                </c:pt>
                <c:pt idx="12">
                  <c:v>2447.6135497266</c:v>
                </c:pt>
                <c:pt idx="13">
                  <c:v>2432.9263744667001</c:v>
                </c:pt>
                <c:pt idx="14">
                  <c:v>2417.19053758469</c:v>
                </c:pt>
                <c:pt idx="15">
                  <c:v>2400.6934200065698</c:v>
                </c:pt>
                <c:pt idx="16">
                  <c:v>2383.5496632825302</c:v>
                </c:pt>
                <c:pt idx="17">
                  <c:v>2365.931982096</c:v>
                </c:pt>
                <c:pt idx="18">
                  <c:v>2348.2807204975902</c:v>
                </c:pt>
                <c:pt idx="19">
                  <c:v>2331.3639400502998</c:v>
                </c:pt>
                <c:pt idx="20">
                  <c:v>2316.2096264454599</c:v>
                </c:pt>
                <c:pt idx="21">
                  <c:v>2303.6788199739199</c:v>
                </c:pt>
                <c:pt idx="22">
                  <c:v>2294.0176559954002</c:v>
                </c:pt>
                <c:pt idx="23">
                  <c:v>2286.9549503365402</c:v>
                </c:pt>
                <c:pt idx="24">
                  <c:v>2281.8577215973601</c:v>
                </c:pt>
                <c:pt idx="25">
                  <c:v>2278.0755795411901</c:v>
                </c:pt>
                <c:pt idx="26">
                  <c:v>2274.9449153820601</c:v>
                </c:pt>
                <c:pt idx="27">
                  <c:v>2271.8301885385499</c:v>
                </c:pt>
                <c:pt idx="28">
                  <c:v>2268.2678566087998</c:v>
                </c:pt>
                <c:pt idx="29">
                  <c:v>2263.8346519721999</c:v>
                </c:pt>
                <c:pt idx="30">
                  <c:v>2257.95276044208</c:v>
                </c:pt>
                <c:pt idx="31">
                  <c:v>2250.11781597867</c:v>
                </c:pt>
                <c:pt idx="32">
                  <c:v>2239.7688589378299</c:v>
                </c:pt>
                <c:pt idx="33">
                  <c:v>2226.4533188489399</c:v>
                </c:pt>
                <c:pt idx="34">
                  <c:v>2210.02406798533</c:v>
                </c:pt>
                <c:pt idx="35">
                  <c:v>2190.95623943186</c:v>
                </c:pt>
                <c:pt idx="36">
                  <c:v>2170.0852835935302</c:v>
                </c:pt>
                <c:pt idx="37">
                  <c:v>2148.43725181434</c:v>
                </c:pt>
                <c:pt idx="38">
                  <c:v>2127.1221606023701</c:v>
                </c:pt>
                <c:pt idx="39">
                  <c:v>2107.1640872808898</c:v>
                </c:pt>
                <c:pt idx="40">
                  <c:v>2089.2343722338201</c:v>
                </c:pt>
                <c:pt idx="41">
                  <c:v>2073.5635769722398</c:v>
                </c:pt>
                <c:pt idx="42">
                  <c:v>2060.1467712849299</c:v>
                </c:pt>
                <c:pt idx="43">
                  <c:v>2049.1306858575799</c:v>
                </c:pt>
                <c:pt idx="44">
                  <c:v>2040.7763463297299</c:v>
                </c:pt>
                <c:pt idx="45">
                  <c:v>2035.36131414897</c:v>
                </c:pt>
                <c:pt idx="46">
                  <c:v>2033.02065663297</c:v>
                </c:pt>
                <c:pt idx="47">
                  <c:v>2033.7075332912</c:v>
                </c:pt>
                <c:pt idx="48">
                  <c:v>2037.03813773351</c:v>
                </c:pt>
                <c:pt idx="49">
                  <c:v>2042.3853235701399</c:v>
                </c:pt>
                <c:pt idx="50">
                  <c:v>2048.945793034</c:v>
                </c:pt>
                <c:pt idx="51">
                  <c:v>2055.9188024556502</c:v>
                </c:pt>
                <c:pt idx="52">
                  <c:v>2062.49080490195</c:v>
                </c:pt>
                <c:pt idx="53">
                  <c:v>2068.1451740819102</c:v>
                </c:pt>
                <c:pt idx="54">
                  <c:v>2072.65019698881</c:v>
                </c:pt>
                <c:pt idx="55">
                  <c:v>2076.0302528751399</c:v>
                </c:pt>
                <c:pt idx="56">
                  <c:v>2078.1395763568298</c:v>
                </c:pt>
                <c:pt idx="57">
                  <c:v>2078.9576635210501</c:v>
                </c:pt>
                <c:pt idx="58">
                  <c:v>2078.5872380247301</c:v>
                </c:pt>
                <c:pt idx="59">
                  <c:v>2077.2685948896201</c:v>
                </c:pt>
                <c:pt idx="60">
                  <c:v>2075.14073142385</c:v>
                </c:pt>
                <c:pt idx="61">
                  <c:v>2072.0379503200202</c:v>
                </c:pt>
                <c:pt idx="62">
                  <c:v>2067.83168162313</c:v>
                </c:pt>
                <c:pt idx="63">
                  <c:v>2062.6850245416799</c:v>
                </c:pt>
                <c:pt idx="64">
                  <c:v>2056.8695634679102</c:v>
                </c:pt>
                <c:pt idx="65">
                  <c:v>2056.8695634679102</c:v>
                </c:pt>
              </c:numCache>
            </c:numRef>
          </c:val>
          <c:smooth val="0"/>
          <c:extLst>
            <c:ext xmlns:c16="http://schemas.microsoft.com/office/drawing/2014/chart" uri="{C3380CC4-5D6E-409C-BE32-E72D297353CC}">
              <c16:uniqueId val="{00000001-523E-4FA5-B530-EBE91CA7FC3C}"/>
            </c:ext>
          </c:extLst>
        </c:ser>
        <c:dLbls>
          <c:showLegendKey val="0"/>
          <c:showVal val="0"/>
          <c:showCatName val="0"/>
          <c:showSerName val="0"/>
          <c:showPercent val="0"/>
          <c:showBubbleSize val="0"/>
        </c:dLbls>
        <c:smooth val="0"/>
        <c:axId val="758780320"/>
        <c:axId val="758766176"/>
      </c:lineChart>
      <c:catAx>
        <c:axId val="75878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8766176"/>
        <c:crosses val="autoZero"/>
        <c:auto val="1"/>
        <c:lblAlgn val="ctr"/>
        <c:lblOffset val="100"/>
        <c:noMultiLvlLbl val="0"/>
      </c:catAx>
      <c:valAx>
        <c:axId val="75876617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8780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建設投資額（実質値）の動向</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★TFP上昇率推計・図5!$AE$2</c:f>
              <c:strCache>
                <c:ptCount val="1"/>
                <c:pt idx="0">
                  <c:v>実際の需要水準</c:v>
                </c:pt>
              </c:strCache>
            </c:strRef>
          </c:tx>
          <c:spPr>
            <a:ln w="28575" cap="rnd">
              <a:solidFill>
                <a:schemeClr val="accent1"/>
              </a:solidFill>
              <a:round/>
            </a:ln>
            <a:effectLst/>
          </c:spPr>
          <c:marker>
            <c:symbol val="none"/>
          </c:marker>
          <c:cat>
            <c:numRef>
              <c:f>★TFP上昇率推計・図5!$AD$3:$AD$42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★TFP上昇率推計・図5!$AE$3:$AE$42</c:f>
              <c:numCache>
                <c:formatCode>#,##0_);[Red]\(#,##0\)</c:formatCode>
                <c:ptCount val="40"/>
                <c:pt idx="1">
                  <c:v>656249.71464099991</c:v>
                </c:pt>
                <c:pt idx="2">
                  <c:v>661563.22702856117</c:v>
                </c:pt>
                <c:pt idx="3">
                  <c:v>631422.81931843865</c:v>
                </c:pt>
                <c:pt idx="4">
                  <c:v>630596.65327656118</c:v>
                </c:pt>
                <c:pt idx="5">
                  <c:v>636839.49725459225</c:v>
                </c:pt>
                <c:pt idx="6">
                  <c:v>682921.15114852693</c:v>
                </c:pt>
                <c:pt idx="7">
                  <c:v>755747.79202608461</c:v>
                </c:pt>
                <c:pt idx="8">
                  <c:v>830812.55366915325</c:v>
                </c:pt>
                <c:pt idx="9">
                  <c:v>862537.2820516855</c:v>
                </c:pt>
                <c:pt idx="10">
                  <c:v>930018.694819369</c:v>
                </c:pt>
                <c:pt idx="11">
                  <c:v>930074.07912184636</c:v>
                </c:pt>
                <c:pt idx="12">
                  <c:v>936243.37829754362</c:v>
                </c:pt>
                <c:pt idx="13">
                  <c:v>911520.81172168278</c:v>
                </c:pt>
                <c:pt idx="14">
                  <c:v>879268.70131935354</c:v>
                </c:pt>
                <c:pt idx="15">
                  <c:v>852911.85695646435</c:v>
                </c:pt>
                <c:pt idx="16">
                  <c:v>913795.428756907</c:v>
                </c:pt>
                <c:pt idx="17">
                  <c:v>842147.24991048442</c:v>
                </c:pt>
                <c:pt idx="18">
                  <c:v>792128.36784281523</c:v>
                </c:pt>
                <c:pt idx="19">
                  <c:v>779955.31695557036</c:v>
                </c:pt>
                <c:pt idx="20">
                  <c:v>735377.97712155432</c:v>
                </c:pt>
                <c:pt idx="21">
                  <c:v>712186.82389267883</c:v>
                </c:pt>
                <c:pt idx="22">
                  <c:v>666393.52951853187</c:v>
                </c:pt>
                <c:pt idx="23">
                  <c:v>624608.39192366635</c:v>
                </c:pt>
                <c:pt idx="24">
                  <c:v>597928.52910741174</c:v>
                </c:pt>
                <c:pt idx="25">
                  <c:v>578997.93350860476</c:v>
                </c:pt>
                <c:pt idx="26">
                  <c:v>565048.47532275412</c:v>
                </c:pt>
                <c:pt idx="27">
                  <c:v>523754.61380397785</c:v>
                </c:pt>
                <c:pt idx="28">
                  <c:v>498933.97362326737</c:v>
                </c:pt>
                <c:pt idx="29">
                  <c:v>462745.17776524194</c:v>
                </c:pt>
                <c:pt idx="30">
                  <c:v>446977.76782772673</c:v>
                </c:pt>
                <c:pt idx="31">
                  <c:v>446069.94860838994</c:v>
                </c:pt>
                <c:pt idx="32">
                  <c:v>449681.61798681098</c:v>
                </c:pt>
                <c:pt idx="33">
                  <c:v>488198.48128962546</c:v>
                </c:pt>
                <c:pt idx="34">
                  <c:v>485593.79057289567</c:v>
                </c:pt>
                <c:pt idx="35">
                  <c:v>539573.38020544511</c:v>
                </c:pt>
                <c:pt idx="36">
                  <c:v>581088.23698012601</c:v>
                </c:pt>
                <c:pt idx="37">
                  <c:v>599172.92942574224</c:v>
                </c:pt>
                <c:pt idx="38">
                  <c:v>588328.4778262669</c:v>
                </c:pt>
                <c:pt idx="39">
                  <c:v>583270.32016486558</c:v>
                </c:pt>
              </c:numCache>
            </c:numRef>
          </c:val>
          <c:smooth val="0"/>
          <c:extLst>
            <c:ext xmlns:c16="http://schemas.microsoft.com/office/drawing/2014/chart" uri="{C3380CC4-5D6E-409C-BE32-E72D297353CC}">
              <c16:uniqueId val="{00000000-D6B3-43C4-B8CA-1990F4A1D3B1}"/>
            </c:ext>
          </c:extLst>
        </c:ser>
        <c:ser>
          <c:idx val="1"/>
          <c:order val="1"/>
          <c:tx>
            <c:strRef>
              <c:f>★TFP上昇率推計・図5!$AF$2</c:f>
              <c:strCache>
                <c:ptCount val="1"/>
                <c:pt idx="0">
                  <c:v>潜在的な供給水準</c:v>
                </c:pt>
              </c:strCache>
            </c:strRef>
          </c:tx>
          <c:spPr>
            <a:ln w="28575" cap="rnd">
              <a:solidFill>
                <a:schemeClr val="accent2"/>
              </a:solidFill>
              <a:round/>
            </a:ln>
            <a:effectLst/>
          </c:spPr>
          <c:marker>
            <c:symbol val="none"/>
          </c:marker>
          <c:cat>
            <c:numRef>
              <c:f>★TFP上昇率推計・図5!$AD$3:$AD$42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★TFP上昇率推計・図5!$AF$3:$AF$42</c:f>
              <c:numCache>
                <c:formatCode>#,##0_);[Red]\(#,##0\)</c:formatCode>
                <c:ptCount val="40"/>
                <c:pt idx="1">
                  <c:v>604526.29410937079</c:v>
                </c:pt>
                <c:pt idx="2">
                  <c:v>635398.80042906862</c:v>
                </c:pt>
                <c:pt idx="3">
                  <c:v>666000.95973067847</c:v>
                </c:pt>
                <c:pt idx="4">
                  <c:v>697047.97796218004</c:v>
                </c:pt>
                <c:pt idx="5">
                  <c:v>729490.85398211784</c:v>
                </c:pt>
                <c:pt idx="6">
                  <c:v>764444.49369423662</c:v>
                </c:pt>
                <c:pt idx="7">
                  <c:v>802726.62533638719</c:v>
                </c:pt>
                <c:pt idx="8">
                  <c:v>844621.80943013867</c:v>
                </c:pt>
                <c:pt idx="9">
                  <c:v>889596.60982204729</c:v>
                </c:pt>
                <c:pt idx="10">
                  <c:v>935944.2588545474</c:v>
                </c:pt>
                <c:pt idx="11">
                  <c:v>980043.85443416191</c:v>
                </c:pt>
                <c:pt idx="12">
                  <c:v>1017186.8017068505</c:v>
                </c:pt>
                <c:pt idx="13">
                  <c:v>1041727.0111727039</c:v>
                </c:pt>
                <c:pt idx="14">
                  <c:v>1048462.7008928907</c:v>
                </c:pt>
                <c:pt idx="15">
                  <c:v>1034317.8116990618</c:v>
                </c:pt>
                <c:pt idx="16">
                  <c:v>1000002.866894169</c:v>
                </c:pt>
                <c:pt idx="17">
                  <c:v>949338.76137044176</c:v>
                </c:pt>
                <c:pt idx="18">
                  <c:v>888442.59311783139</c:v>
                </c:pt>
                <c:pt idx="19">
                  <c:v>824413.03691563709</c:v>
                </c:pt>
                <c:pt idx="20">
                  <c:v>762851.50736063148</c:v>
                </c:pt>
                <c:pt idx="21">
                  <c:v>707135.01691622857</c:v>
                </c:pt>
                <c:pt idx="22">
                  <c:v>658418.94500569231</c:v>
                </c:pt>
                <c:pt idx="23">
                  <c:v>616671.38598630717</c:v>
                </c:pt>
                <c:pt idx="24">
                  <c:v>581406.26991002215</c:v>
                </c:pt>
                <c:pt idx="25">
                  <c:v>552176.99333708163</c:v>
                </c:pt>
                <c:pt idx="26">
                  <c:v>528855.11096948909</c:v>
                </c:pt>
                <c:pt idx="27">
                  <c:v>511726.28608920251</c:v>
                </c:pt>
                <c:pt idx="28">
                  <c:v>501399.48820335115</c:v>
                </c:pt>
                <c:pt idx="29">
                  <c:v>498060.33927784854</c:v>
                </c:pt>
                <c:pt idx="30">
                  <c:v>501118.63567671884</c:v>
                </c:pt>
                <c:pt idx="31">
                  <c:v>509096.16579443298</c:v>
                </c:pt>
                <c:pt idx="32">
                  <c:v>520066.86640050448</c:v>
                </c:pt>
                <c:pt idx="33">
                  <c:v>532194.91621259577</c:v>
                </c:pt>
                <c:pt idx="34">
                  <c:v>544281.96584972274</c:v>
                </c:pt>
                <c:pt idx="35">
                  <c:v>555895.73257200292</c:v>
                </c:pt>
                <c:pt idx="36">
                  <c:v>566780.74384962209</c:v>
                </c:pt>
                <c:pt idx="37">
                  <c:v>576931.44472254696</c:v>
                </c:pt>
                <c:pt idx="38">
                  <c:v>586592.97675945447</c:v>
                </c:pt>
                <c:pt idx="39">
                  <c:v>595973.27052250435</c:v>
                </c:pt>
              </c:numCache>
            </c:numRef>
          </c:val>
          <c:smooth val="0"/>
          <c:extLst>
            <c:ext xmlns:c16="http://schemas.microsoft.com/office/drawing/2014/chart" uri="{C3380CC4-5D6E-409C-BE32-E72D297353CC}">
              <c16:uniqueId val="{00000001-D6B3-43C4-B8CA-1990F4A1D3B1}"/>
            </c:ext>
          </c:extLst>
        </c:ser>
        <c:dLbls>
          <c:showLegendKey val="0"/>
          <c:showVal val="0"/>
          <c:showCatName val="0"/>
          <c:showSerName val="0"/>
          <c:showPercent val="0"/>
          <c:showBubbleSize val="0"/>
        </c:dLbls>
        <c:smooth val="0"/>
        <c:axId val="658850992"/>
        <c:axId val="658861808"/>
      </c:lineChart>
      <c:catAx>
        <c:axId val="658850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58861808"/>
        <c:crosses val="autoZero"/>
        <c:auto val="1"/>
        <c:lblAlgn val="ctr"/>
        <c:lblOffset val="100"/>
        <c:noMultiLvlLbl val="0"/>
      </c:catAx>
      <c:valAx>
        <c:axId val="65886180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58850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★TFP上昇率推計・図5!$AG$2</c:f>
              <c:strCache>
                <c:ptCount val="1"/>
                <c:pt idx="0">
                  <c:v>需給ギャップ</c:v>
                </c:pt>
              </c:strCache>
            </c:strRef>
          </c:tx>
          <c:spPr>
            <a:ln w="28575" cap="rnd">
              <a:solidFill>
                <a:schemeClr val="tx1"/>
              </a:solidFill>
              <a:round/>
            </a:ln>
            <a:effectLst/>
          </c:spPr>
          <c:marker>
            <c:symbol val="none"/>
          </c:marker>
          <c:cat>
            <c:numRef>
              <c:f>★TFP上昇率推計・図5!$AD$4:$AD$43</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★TFP上昇率推計・図5!$AG$4:$AG$43</c:f>
              <c:numCache>
                <c:formatCode>0.0%</c:formatCode>
                <c:ptCount val="40"/>
                <c:pt idx="0">
                  <c:v>8.5560249464138816E-2</c:v>
                </c:pt>
                <c:pt idx="1">
                  <c:v>4.1177960332667268E-2</c:v>
                </c:pt>
                <c:pt idx="2">
                  <c:v>-5.1919054930825839E-2</c:v>
                </c:pt>
                <c:pt idx="3">
                  <c:v>-9.5332497599217386E-2</c:v>
                </c:pt>
                <c:pt idx="4">
                  <c:v>-0.12700824996196153</c:v>
                </c:pt>
                <c:pt idx="5">
                  <c:v>-0.10664390052931363</c:v>
                </c:pt>
                <c:pt idx="6">
                  <c:v>-5.8524075105414415E-2</c:v>
                </c:pt>
                <c:pt idx="7">
                  <c:v>-1.634963199719227E-2</c:v>
                </c:pt>
                <c:pt idx="8">
                  <c:v>-3.041752573199967E-2</c:v>
                </c:pt>
                <c:pt idx="9">
                  <c:v>-6.3311078401510562E-3</c:v>
                </c:pt>
                <c:pt idx="10">
                  <c:v>-5.0987284993655825E-2</c:v>
                </c:pt>
                <c:pt idx="11">
                  <c:v>-7.9575770422387476E-2</c:v>
                </c:pt>
                <c:pt idx="12">
                  <c:v>-0.12499071067039344</c:v>
                </c:pt>
                <c:pt idx="13">
                  <c:v>-0.1613734083524844</c:v>
                </c:pt>
                <c:pt idx="14">
                  <c:v>-0.17538705482080405</c:v>
                </c:pt>
                <c:pt idx="15">
                  <c:v>-8.6207190990368832E-2</c:v>
                </c:pt>
                <c:pt idx="16">
                  <c:v>-0.11291176113489598</c:v>
                </c:pt>
                <c:pt idx="17">
                  <c:v>-0.10840793318678982</c:v>
                </c:pt>
                <c:pt idx="18">
                  <c:v>-5.3926512523862623E-2</c:v>
                </c:pt>
                <c:pt idx="19">
                  <c:v>-3.6014257000201867E-2</c:v>
                </c:pt>
                <c:pt idx="20">
                  <c:v>7.1440486690658757E-3</c:v>
                </c:pt>
                <c:pt idx="21">
                  <c:v>1.2111717886201795E-2</c:v>
                </c:pt>
                <c:pt idx="22">
                  <c:v>1.2870721939959471E-2</c:v>
                </c:pt>
                <c:pt idx="23">
                  <c:v>2.841775201348716E-2</c:v>
                </c:pt>
                <c:pt idx="24">
                  <c:v>4.8573085251942108E-2</c:v>
                </c:pt>
                <c:pt idx="25">
                  <c:v>6.8437202558023713E-2</c:v>
                </c:pt>
                <c:pt idx="26">
                  <c:v>2.3505393492095499E-2</c:v>
                </c:pt>
                <c:pt idx="27">
                  <c:v>-4.9172658490705245E-3</c:v>
                </c:pt>
                <c:pt idx="28">
                  <c:v>-7.0905387816687093E-2</c:v>
                </c:pt>
                <c:pt idx="29">
                  <c:v>-0.10804002085430209</c:v>
                </c:pt>
                <c:pt idx="30">
                  <c:v>-0.12380021972409096</c:v>
                </c:pt>
                <c:pt idx="31">
                  <c:v>-0.13533884383145781</c:v>
                </c:pt>
                <c:pt idx="32">
                  <c:v>-8.2669776772905254E-2</c:v>
                </c:pt>
                <c:pt idx="33">
                  <c:v>-0.10782678640693927</c:v>
                </c:pt>
                <c:pt idx="34">
                  <c:v>-2.9362255203935466E-2</c:v>
                </c:pt>
                <c:pt idx="35">
                  <c:v>2.5243435465584513E-2</c:v>
                </c:pt>
                <c:pt idx="36">
                  <c:v>3.8551347662964482E-2</c:v>
                </c:pt>
                <c:pt idx="37">
                  <c:v>2.9586120795375829E-3</c:v>
                </c:pt>
                <c:pt idx="38">
                  <c:v>-2.131463101776658E-2</c:v>
                </c:pt>
                <c:pt idx="39">
                  <c:v>-7.3380578534074398E-2</c:v>
                </c:pt>
              </c:numCache>
            </c:numRef>
          </c:val>
          <c:smooth val="0"/>
          <c:extLst>
            <c:ext xmlns:c16="http://schemas.microsoft.com/office/drawing/2014/chart" uri="{C3380CC4-5D6E-409C-BE32-E72D297353CC}">
              <c16:uniqueId val="{00000000-01D0-41E5-ABB9-70AEE7DD6484}"/>
            </c:ext>
          </c:extLst>
        </c:ser>
        <c:dLbls>
          <c:showLegendKey val="0"/>
          <c:showVal val="0"/>
          <c:showCatName val="0"/>
          <c:showSerName val="0"/>
          <c:showPercent val="0"/>
          <c:showBubbleSize val="0"/>
        </c:dLbls>
        <c:smooth val="0"/>
        <c:axId val="658840592"/>
        <c:axId val="658863056"/>
      </c:lineChart>
      <c:catAx>
        <c:axId val="6588405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58863056"/>
        <c:crosses val="autoZero"/>
        <c:auto val="1"/>
        <c:lblAlgn val="ctr"/>
        <c:lblOffset val="100"/>
        <c:noMultiLvlLbl val="0"/>
      </c:catAx>
      <c:valAx>
        <c:axId val="6588630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58840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★TFP上昇率推計・図5!$Y$5:$Y$43</c:f>
              <c:numCache>
                <c:formatCode>General</c:formatCode>
                <c:ptCount val="39"/>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numCache>
            </c:numRef>
          </c:cat>
          <c:val>
            <c:numRef>
              <c:f>★TFP上昇率推計・図5!$AB$5:$AB$43</c:f>
              <c:numCache>
                <c:formatCode>0.0%</c:formatCode>
                <c:ptCount val="39"/>
                <c:pt idx="0">
                  <c:v>4.1843237342725326E-2</c:v>
                </c:pt>
                <c:pt idx="1">
                  <c:v>4.1676996649056441E-2</c:v>
                </c:pt>
                <c:pt idx="2">
                  <c:v>4.3203278916313481E-2</c:v>
                </c:pt>
                <c:pt idx="3">
                  <c:v>4.310796650596016E-2</c:v>
                </c:pt>
                <c:pt idx="4">
                  <c:v>3.8663031171196405E-2</c:v>
                </c:pt>
                <c:pt idx="5">
                  <c:v>2.8668512040593175E-2</c:v>
                </c:pt>
                <c:pt idx="6">
                  <c:v>1.2620199503047047E-2</c:v>
                </c:pt>
                <c:pt idx="7">
                  <c:v>-8.134367413762944E-3</c:v>
                </c:pt>
                <c:pt idx="8">
                  <c:v>-3.1687676375230622E-2</c:v>
                </c:pt>
                <c:pt idx="9">
                  <c:v>-5.6541318695120357E-2</c:v>
                </c:pt>
                <c:pt idx="10">
                  <c:v>-7.9638206286961943E-2</c:v>
                </c:pt>
                <c:pt idx="11">
                  <c:v>-9.9689416313455959E-2</c:v>
                </c:pt>
                <c:pt idx="12">
                  <c:v>-0.11582876441625867</c:v>
                </c:pt>
                <c:pt idx="13">
                  <c:v>-0.12682131387791962</c:v>
                </c:pt>
                <c:pt idx="14">
                  <c:v>-0.13312432450921441</c:v>
                </c:pt>
                <c:pt idx="15">
                  <c:v>-0.13535358983372281</c:v>
                </c:pt>
                <c:pt idx="16">
                  <c:v>-0.13231874693673862</c:v>
                </c:pt>
                <c:pt idx="17">
                  <c:v>-0.12518355225273692</c:v>
                </c:pt>
                <c:pt idx="18">
                  <c:v>-0.11540402533002792</c:v>
                </c:pt>
                <c:pt idx="19">
                  <c:v>-0.10492808733831238</c:v>
                </c:pt>
                <c:pt idx="20">
                  <c:v>-9.5199051795563205E-2</c:v>
                </c:pt>
                <c:pt idx="21">
                  <c:v>-8.6151730206861843E-2</c:v>
                </c:pt>
                <c:pt idx="22">
                  <c:v>-7.7077178965239801E-2</c:v>
                </c:pt>
                <c:pt idx="23">
                  <c:v>-6.6541256979285923E-2</c:v>
                </c:pt>
                <c:pt idx="24">
                  <c:v>-5.2913659971739135E-2</c:v>
                </c:pt>
                <c:pt idx="25">
                  <c:v>-3.4444462420865851E-2</c:v>
                </c:pt>
                <c:pt idx="26">
                  <c:v>-9.3115125753036043E-3</c:v>
                </c:pt>
                <c:pt idx="27">
                  <c:v>2.006219198579795E-2</c:v>
                </c:pt>
                <c:pt idx="28">
                  <c:v>4.9170080948034656E-2</c:v>
                </c:pt>
                <c:pt idx="29">
                  <c:v>7.3464022760952874E-2</c:v>
                </c:pt>
                <c:pt idx="30">
                  <c:v>8.9613981605574988E-2</c:v>
                </c:pt>
                <c:pt idx="31">
                  <c:v>9.66032077226473E-2</c:v>
                </c:pt>
                <c:pt idx="32">
                  <c:v>9.4285721752400242E-2</c:v>
                </c:pt>
                <c:pt idx="33">
                  <c:v>8.6539249156770692E-2</c:v>
                </c:pt>
                <c:pt idx="34">
                  <c:v>7.4881163381147697E-2</c:v>
                </c:pt>
                <c:pt idx="35">
                  <c:v>6.2085878761295454E-2</c:v>
                </c:pt>
                <c:pt idx="36">
                  <c:v>5.1798602269970351E-2</c:v>
                </c:pt>
                <c:pt idx="37">
                  <c:v>4.6652094354966867E-2</c:v>
                </c:pt>
                <c:pt idx="38">
                  <c:v>4.6892926665131673E-2</c:v>
                </c:pt>
              </c:numCache>
            </c:numRef>
          </c:val>
          <c:smooth val="0"/>
          <c:extLst>
            <c:ext xmlns:c16="http://schemas.microsoft.com/office/drawing/2014/chart" uri="{C3380CC4-5D6E-409C-BE32-E72D297353CC}">
              <c16:uniqueId val="{00000000-C9AF-4AF6-B0D7-53AC028630D8}"/>
            </c:ext>
          </c:extLst>
        </c:ser>
        <c:dLbls>
          <c:showLegendKey val="0"/>
          <c:showVal val="0"/>
          <c:showCatName val="0"/>
          <c:showSerName val="0"/>
          <c:showPercent val="0"/>
          <c:showBubbleSize val="0"/>
        </c:dLbls>
        <c:smooth val="0"/>
        <c:axId val="641681632"/>
        <c:axId val="641677888"/>
      </c:lineChart>
      <c:catAx>
        <c:axId val="641681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41677888"/>
        <c:crosses val="autoZero"/>
        <c:auto val="1"/>
        <c:lblAlgn val="ctr"/>
        <c:lblOffset val="100"/>
        <c:noMultiLvlLbl val="0"/>
      </c:catAx>
      <c:valAx>
        <c:axId val="6416778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41681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28.xml"/><Relationship Id="rId7" Type="http://schemas.openxmlformats.org/officeDocument/2006/relationships/chart" Target="../charts/chart32.xml"/><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chart" Target="../charts/chart31.xml"/><Relationship Id="rId5" Type="http://schemas.openxmlformats.org/officeDocument/2006/relationships/chart" Target="../charts/chart30.xml"/><Relationship Id="rId4"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25</xdr:col>
      <xdr:colOff>465363</xdr:colOff>
      <xdr:row>6</xdr:row>
      <xdr:rowOff>199210</xdr:rowOff>
    </xdr:from>
    <xdr:to>
      <xdr:col>33</xdr:col>
      <xdr:colOff>891811</xdr:colOff>
      <xdr:row>25</xdr:row>
      <xdr:rowOff>15241</xdr:rowOff>
    </xdr:to>
    <xdr:graphicFrame macro="">
      <xdr:nvGraphicFramePr>
        <xdr:cNvPr id="4" name="グラフ 3">
          <a:extLst>
            <a:ext uri="{FF2B5EF4-FFF2-40B4-BE49-F238E27FC236}">
              <a16:creationId xmlns:a16="http://schemas.microsoft.com/office/drawing/2014/main" id="{6D32320F-AD1B-451D-BBF2-1035E6804B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21</xdr:col>
      <xdr:colOff>209550</xdr:colOff>
      <xdr:row>49</xdr:row>
      <xdr:rowOff>238125</xdr:rowOff>
    </xdr:from>
    <xdr:to>
      <xdr:col>30</xdr:col>
      <xdr:colOff>262891</xdr:colOff>
      <xdr:row>56</xdr:row>
      <xdr:rowOff>81915</xdr:rowOff>
    </xdr:to>
    <xdr:sp macro="" textlink="">
      <xdr:nvSpPr>
        <xdr:cNvPr id="2" name="テキスト ボックス 1">
          <a:extLst>
            <a:ext uri="{FF2B5EF4-FFF2-40B4-BE49-F238E27FC236}">
              <a16:creationId xmlns:a16="http://schemas.microsoft.com/office/drawing/2014/main" id="{7822A637-30C1-4C7B-B42B-D2B4F412A057}"/>
            </a:ext>
          </a:extLst>
        </xdr:cNvPr>
        <xdr:cNvSpPr txBox="1"/>
      </xdr:nvSpPr>
      <xdr:spPr>
        <a:xfrm>
          <a:off x="20459700" y="12582525"/>
          <a:ext cx="6911341" cy="1577340"/>
        </a:xfrm>
        <a:prstGeom prst="rect">
          <a:avLst/>
        </a:prstGeom>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r>
            <a:rPr kumimoji="1" lang="en-US" altLang="ja-JP" sz="1100"/>
            <a:t>【</a:t>
          </a:r>
          <a:r>
            <a:rPr kumimoji="1" lang="ja-JP" altLang="en-US" sz="1100"/>
            <a:t>内閣府</a:t>
          </a:r>
          <a:r>
            <a:rPr kumimoji="1" lang="en-US" altLang="ja-JP" sz="1100"/>
            <a:t>】</a:t>
          </a:r>
          <a:r>
            <a:rPr kumimoji="1" lang="ja-JP" altLang="en-US" sz="1100"/>
            <a:t>「</a:t>
          </a:r>
          <a:r>
            <a:rPr kumimoji="1" lang="en-US" altLang="ja-JP" sz="1100"/>
            <a:t>GDP</a:t>
          </a:r>
          <a:r>
            <a:rPr kumimoji="1" lang="ja-JP" altLang="en-US" sz="1100"/>
            <a:t>ギャップと潜在成長率」備考より</a:t>
          </a:r>
          <a:endParaRPr kumimoji="1" lang="en-US" altLang="ja-JP" sz="1100"/>
        </a:p>
        <a:p>
          <a:r>
            <a:rPr kumimoji="1" lang="en-US" altLang="ja-JP" sz="1100"/>
            <a:t>2020 </a:t>
          </a:r>
          <a:r>
            <a:rPr kumimoji="1" lang="ja-JP" altLang="en-US" sz="1100"/>
            <a:t>年１－３月期以降の経済データは、新型コロナウイルス感染症の拡大防止のために政策的な経済活動の抑制を行った影響等から、非循環的な振れが生じているとみられる。この間のデータを含めて推計を行うと、推計手法の特性もあいまって、全要素生産性及び労働投入量が過去に遡及して大きく歪んでしまう問題が生じる。このため、これらの推計に関しては、次の処理を行っている。</a:t>
          </a:r>
        </a:p>
        <a:p>
          <a:r>
            <a:rPr kumimoji="1" lang="ja-JP" altLang="en-US" sz="1100"/>
            <a:t>・全要素生産性は、</a:t>
          </a:r>
          <a:r>
            <a:rPr kumimoji="1" lang="en-US" altLang="ja-JP" sz="1100"/>
            <a:t>2019</a:t>
          </a:r>
          <a:r>
            <a:rPr kumimoji="1" lang="ja-JP" altLang="en-US" sz="1100"/>
            <a:t>年</a:t>
          </a:r>
          <a:r>
            <a:rPr kumimoji="1" lang="en-US" altLang="ja-JP" sz="1100"/>
            <a:t>10</a:t>
          </a:r>
          <a:r>
            <a:rPr kumimoji="1" lang="ja-JP" altLang="en-US" sz="1100"/>
            <a:t>－</a:t>
          </a:r>
          <a:r>
            <a:rPr kumimoji="1" lang="en-US" altLang="ja-JP" sz="1100"/>
            <a:t>12</a:t>
          </a:r>
          <a:r>
            <a:rPr kumimoji="1" lang="ja-JP" altLang="en-US" sz="1100"/>
            <a:t>月期までのデータを基にトレンドを推計し、</a:t>
          </a:r>
          <a:r>
            <a:rPr kumimoji="1" lang="en-US" altLang="ja-JP" sz="1100"/>
            <a:t>2020</a:t>
          </a:r>
          <a:r>
            <a:rPr kumimoji="1" lang="ja-JP" altLang="en-US" sz="1100"/>
            <a:t>年１－３月期以降を延伸。</a:t>
          </a:r>
        </a:p>
        <a:p>
          <a:r>
            <a:rPr kumimoji="1" lang="ja-JP" altLang="en-US" sz="1100"/>
            <a:t>・労働投入量は、</a:t>
          </a:r>
          <a:r>
            <a:rPr kumimoji="1" lang="en-US" altLang="ja-JP" sz="1100"/>
            <a:t>2020</a:t>
          </a:r>
          <a:r>
            <a:rPr kumimoji="1" lang="ja-JP" altLang="en-US" sz="1100"/>
            <a:t>年４－６月期以降の潜在的な労働参加率と労働時間を同年１－３月期の値で固定して推計。</a:t>
          </a:r>
        </a:p>
        <a:p>
          <a:r>
            <a:rPr kumimoji="1" lang="ja-JP" altLang="en-US" sz="1100"/>
            <a:t>なお、これらの処理については、感染症の影響がある程度収束した後に遡及計算を行う予定としている。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35</xdr:col>
      <xdr:colOff>74855</xdr:colOff>
      <xdr:row>16</xdr:row>
      <xdr:rowOff>90654</xdr:rowOff>
    </xdr:from>
    <xdr:to>
      <xdr:col>40</xdr:col>
      <xdr:colOff>1516379</xdr:colOff>
      <xdr:row>39</xdr:row>
      <xdr:rowOff>128979</xdr:rowOff>
    </xdr:to>
    <xdr:graphicFrame macro="">
      <xdr:nvGraphicFramePr>
        <xdr:cNvPr id="2" name="グラフ 1">
          <a:extLst>
            <a:ext uri="{FF2B5EF4-FFF2-40B4-BE49-F238E27FC236}">
              <a16:creationId xmlns:a16="http://schemas.microsoft.com/office/drawing/2014/main" id="{4BADA611-5BD6-46F6-BE12-31A5F1E11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143543</xdr:colOff>
      <xdr:row>46</xdr:row>
      <xdr:rowOff>27997</xdr:rowOff>
    </xdr:from>
    <xdr:to>
      <xdr:col>42</xdr:col>
      <xdr:colOff>476981</xdr:colOff>
      <xdr:row>71</xdr:row>
      <xdr:rowOff>26125</xdr:rowOff>
    </xdr:to>
    <xdr:graphicFrame macro="">
      <xdr:nvGraphicFramePr>
        <xdr:cNvPr id="4" name="グラフ 3">
          <a:extLst>
            <a:ext uri="{FF2B5EF4-FFF2-40B4-BE49-F238E27FC236}">
              <a16:creationId xmlns:a16="http://schemas.microsoft.com/office/drawing/2014/main" id="{52716C37-4603-4C71-8C40-32E3265D9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319704</xdr:colOff>
      <xdr:row>10</xdr:row>
      <xdr:rowOff>196998</xdr:rowOff>
    </xdr:from>
    <xdr:to>
      <xdr:col>44</xdr:col>
      <xdr:colOff>19632</xdr:colOff>
      <xdr:row>39</xdr:row>
      <xdr:rowOff>201706</xdr:rowOff>
    </xdr:to>
    <xdr:graphicFrame macro="">
      <xdr:nvGraphicFramePr>
        <xdr:cNvPr id="11" name="グラフ 10">
          <a:extLst>
            <a:ext uri="{FF2B5EF4-FFF2-40B4-BE49-F238E27FC236}">
              <a16:creationId xmlns:a16="http://schemas.microsoft.com/office/drawing/2014/main" id="{575CE834-2E63-4AB1-8CCC-4B8CFFAD3C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528772</xdr:colOff>
      <xdr:row>46</xdr:row>
      <xdr:rowOff>110762</xdr:rowOff>
    </xdr:from>
    <xdr:to>
      <xdr:col>29</xdr:col>
      <xdr:colOff>292281</xdr:colOff>
      <xdr:row>53</xdr:row>
      <xdr:rowOff>74567</xdr:rowOff>
    </xdr:to>
    <xdr:sp macro="" textlink="">
      <xdr:nvSpPr>
        <xdr:cNvPr id="5" name="テキスト ボックス 4">
          <a:extLst>
            <a:ext uri="{FF2B5EF4-FFF2-40B4-BE49-F238E27FC236}">
              <a16:creationId xmlns:a16="http://schemas.microsoft.com/office/drawing/2014/main" id="{53CA8ABC-E83C-4A65-B019-77C647C14536}"/>
            </a:ext>
          </a:extLst>
        </xdr:cNvPr>
        <xdr:cNvSpPr txBox="1"/>
      </xdr:nvSpPr>
      <xdr:spPr>
        <a:xfrm>
          <a:off x="25198522" y="11200583"/>
          <a:ext cx="6975295" cy="1583055"/>
        </a:xfrm>
        <a:prstGeom prst="rect">
          <a:avLst/>
        </a:prstGeom>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r>
            <a:rPr kumimoji="1" lang="en-US" altLang="ja-JP" sz="1100"/>
            <a:t>【</a:t>
          </a:r>
          <a:r>
            <a:rPr kumimoji="1" lang="ja-JP" altLang="en-US" sz="1100"/>
            <a:t>内閣府</a:t>
          </a:r>
          <a:r>
            <a:rPr kumimoji="1" lang="en-US" altLang="ja-JP" sz="1100"/>
            <a:t>】</a:t>
          </a:r>
          <a:r>
            <a:rPr kumimoji="1" lang="ja-JP" altLang="en-US" sz="1100"/>
            <a:t>「</a:t>
          </a:r>
          <a:r>
            <a:rPr kumimoji="1" lang="en-US" altLang="ja-JP" sz="1100"/>
            <a:t>GDP</a:t>
          </a:r>
          <a:r>
            <a:rPr kumimoji="1" lang="ja-JP" altLang="en-US" sz="1100"/>
            <a:t>ギャップと潜在成長率」備考より</a:t>
          </a:r>
          <a:endParaRPr kumimoji="1" lang="en-US" altLang="ja-JP" sz="1100"/>
        </a:p>
        <a:p>
          <a:r>
            <a:rPr kumimoji="1" lang="en-US" altLang="ja-JP" sz="1100"/>
            <a:t>2020 </a:t>
          </a:r>
          <a:r>
            <a:rPr kumimoji="1" lang="ja-JP" altLang="en-US" sz="1100"/>
            <a:t>年１－３月期以降の経済データは、新型コロナウイルス感染症の拡大防止のために政策的な経済活動の抑制を行った影響等から、非循環的な振れが生じているとみられる。この間のデータを含めて推計を行うと、推計手法の特性もあいまって、全要素生産性及び労働投入量が過去に遡及して大きく歪んでしまう問題が生じる。このため、これらの推計に関しては、次の処理を行っている。</a:t>
          </a:r>
        </a:p>
        <a:p>
          <a:r>
            <a:rPr kumimoji="1" lang="ja-JP" altLang="en-US" sz="1100"/>
            <a:t>・全要素生産性は、</a:t>
          </a:r>
          <a:r>
            <a:rPr kumimoji="1" lang="en-US" altLang="ja-JP" sz="1100"/>
            <a:t>2019</a:t>
          </a:r>
          <a:r>
            <a:rPr kumimoji="1" lang="ja-JP" altLang="en-US" sz="1100"/>
            <a:t>年</a:t>
          </a:r>
          <a:r>
            <a:rPr kumimoji="1" lang="en-US" altLang="ja-JP" sz="1100"/>
            <a:t>10</a:t>
          </a:r>
          <a:r>
            <a:rPr kumimoji="1" lang="ja-JP" altLang="en-US" sz="1100"/>
            <a:t>－</a:t>
          </a:r>
          <a:r>
            <a:rPr kumimoji="1" lang="en-US" altLang="ja-JP" sz="1100"/>
            <a:t>12</a:t>
          </a:r>
          <a:r>
            <a:rPr kumimoji="1" lang="ja-JP" altLang="en-US" sz="1100"/>
            <a:t>月期までのデータを基にトレンドを推計し、</a:t>
          </a:r>
          <a:r>
            <a:rPr kumimoji="1" lang="en-US" altLang="ja-JP" sz="1100"/>
            <a:t>2020</a:t>
          </a:r>
          <a:r>
            <a:rPr kumimoji="1" lang="ja-JP" altLang="en-US" sz="1100"/>
            <a:t>年１－３月期以降を延伸。</a:t>
          </a:r>
        </a:p>
        <a:p>
          <a:r>
            <a:rPr kumimoji="1" lang="ja-JP" altLang="en-US" sz="1100"/>
            <a:t>・労働投入量は、</a:t>
          </a:r>
          <a:r>
            <a:rPr kumimoji="1" lang="en-US" altLang="ja-JP" sz="1100"/>
            <a:t>2020</a:t>
          </a:r>
          <a:r>
            <a:rPr kumimoji="1" lang="ja-JP" altLang="en-US" sz="1100"/>
            <a:t>年４－６月期以降の潜在的な労働参加率と労働時間を同年１－３月期の値で固定して推計。</a:t>
          </a:r>
        </a:p>
        <a:p>
          <a:r>
            <a:rPr kumimoji="1" lang="ja-JP" altLang="en-US" sz="1100"/>
            <a:t>なお、これらの処理については、感染症の影響がある程度収束した後に遡及計算を行う予定としている。</a:t>
          </a:r>
        </a:p>
      </xdr:txBody>
    </xdr:sp>
    <xdr:clientData/>
  </xdr:twoCellAnchor>
  <xdr:twoCellAnchor>
    <xdr:from>
      <xdr:col>13</xdr:col>
      <xdr:colOff>435429</xdr:colOff>
      <xdr:row>46</xdr:row>
      <xdr:rowOff>27214</xdr:rowOff>
    </xdr:from>
    <xdr:to>
      <xdr:col>19</xdr:col>
      <xdr:colOff>793843</xdr:colOff>
      <xdr:row>52</xdr:row>
      <xdr:rowOff>224245</xdr:rowOff>
    </xdr:to>
    <xdr:sp macro="" textlink="">
      <xdr:nvSpPr>
        <xdr:cNvPr id="6" name="テキスト ボックス 5">
          <a:extLst>
            <a:ext uri="{FF2B5EF4-FFF2-40B4-BE49-F238E27FC236}">
              <a16:creationId xmlns:a16="http://schemas.microsoft.com/office/drawing/2014/main" id="{C8F431FF-5078-4A8C-9B92-FEE5C882B53E}"/>
            </a:ext>
          </a:extLst>
        </xdr:cNvPr>
        <xdr:cNvSpPr txBox="1"/>
      </xdr:nvSpPr>
      <xdr:spPr>
        <a:xfrm>
          <a:off x="15566572" y="11117035"/>
          <a:ext cx="7080342" cy="1584960"/>
        </a:xfrm>
        <a:prstGeom prst="rect">
          <a:avLst/>
        </a:prstGeom>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r>
            <a:rPr kumimoji="1" lang="en-US" altLang="ja-JP" sz="1100"/>
            <a:t>【</a:t>
          </a:r>
          <a:r>
            <a:rPr kumimoji="1" lang="ja-JP" altLang="en-US" sz="1100"/>
            <a:t>内閣府</a:t>
          </a:r>
          <a:r>
            <a:rPr kumimoji="1" lang="en-US" altLang="ja-JP" sz="1100"/>
            <a:t>】</a:t>
          </a:r>
          <a:r>
            <a:rPr kumimoji="1" lang="ja-JP" altLang="en-US" sz="1100"/>
            <a:t>「</a:t>
          </a:r>
          <a:r>
            <a:rPr kumimoji="1" lang="en-US" altLang="ja-JP" sz="1100"/>
            <a:t>GDP</a:t>
          </a:r>
          <a:r>
            <a:rPr kumimoji="1" lang="ja-JP" altLang="en-US" sz="1100"/>
            <a:t>ギャップと潜在成長率」備考より</a:t>
          </a:r>
          <a:endParaRPr kumimoji="1" lang="en-US" altLang="ja-JP" sz="1100"/>
        </a:p>
        <a:p>
          <a:r>
            <a:rPr kumimoji="1" lang="en-US" altLang="ja-JP" sz="1100"/>
            <a:t>2020 </a:t>
          </a:r>
          <a:r>
            <a:rPr kumimoji="1" lang="ja-JP" altLang="en-US" sz="1100"/>
            <a:t>年１－３月期以降の経済データは、新型コロナウイルス感染症の拡大防止のために政策的な経済活動の抑制を行った影響等から、非循環的な振れが生じているとみられる。この間のデータを含めて推計を行うと、推計手法の特性もあいまって、全要素生産性及び労働投入量が過去に遡及して大きく歪んでしまう問題が生じる。このため、これらの推計に関しては、次の処理を行っている。</a:t>
          </a:r>
        </a:p>
        <a:p>
          <a:r>
            <a:rPr kumimoji="1" lang="ja-JP" altLang="en-US" sz="1100"/>
            <a:t>・全要素生産性は、</a:t>
          </a:r>
          <a:r>
            <a:rPr kumimoji="1" lang="en-US" altLang="ja-JP" sz="1100"/>
            <a:t>2019</a:t>
          </a:r>
          <a:r>
            <a:rPr kumimoji="1" lang="ja-JP" altLang="en-US" sz="1100"/>
            <a:t>年</a:t>
          </a:r>
          <a:r>
            <a:rPr kumimoji="1" lang="en-US" altLang="ja-JP" sz="1100"/>
            <a:t>10</a:t>
          </a:r>
          <a:r>
            <a:rPr kumimoji="1" lang="ja-JP" altLang="en-US" sz="1100"/>
            <a:t>－</a:t>
          </a:r>
          <a:r>
            <a:rPr kumimoji="1" lang="en-US" altLang="ja-JP" sz="1100"/>
            <a:t>12</a:t>
          </a:r>
          <a:r>
            <a:rPr kumimoji="1" lang="ja-JP" altLang="en-US" sz="1100"/>
            <a:t>月期までのデータを基にトレンドを推計し、</a:t>
          </a:r>
          <a:r>
            <a:rPr kumimoji="1" lang="en-US" altLang="ja-JP" sz="1100"/>
            <a:t>2020</a:t>
          </a:r>
          <a:r>
            <a:rPr kumimoji="1" lang="ja-JP" altLang="en-US" sz="1100"/>
            <a:t>年１－３月期以降を延伸。</a:t>
          </a:r>
        </a:p>
        <a:p>
          <a:r>
            <a:rPr kumimoji="1" lang="ja-JP" altLang="en-US" sz="1100"/>
            <a:t>・労働投入量は、</a:t>
          </a:r>
          <a:r>
            <a:rPr kumimoji="1" lang="en-US" altLang="ja-JP" sz="1100"/>
            <a:t>2020</a:t>
          </a:r>
          <a:r>
            <a:rPr kumimoji="1" lang="ja-JP" altLang="en-US" sz="1100"/>
            <a:t>年４－６月期以降の潜在的な労働参加率と労働時間を同年１－３月期の値で固定して推計。</a:t>
          </a:r>
        </a:p>
        <a:p>
          <a:r>
            <a:rPr kumimoji="1" lang="ja-JP" altLang="en-US" sz="1100"/>
            <a:t>なお、これらの処理については、感染症の影響がある程度収束した後に遡及計算を行う予定としている。</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0.05784</cdr:x>
      <cdr:y>0.02141</cdr:y>
    </cdr:from>
    <cdr:to>
      <cdr:x>0.05784</cdr:x>
      <cdr:y>0.95921</cdr:y>
    </cdr:to>
    <cdr:cxnSp macro="">
      <cdr:nvCxnSpPr>
        <cdr:cNvPr id="5" name="直線コネクタ 4">
          <a:extLst xmlns:a="http://schemas.openxmlformats.org/drawingml/2006/main">
            <a:ext uri="{FF2B5EF4-FFF2-40B4-BE49-F238E27FC236}">
              <a16:creationId xmlns:a16="http://schemas.microsoft.com/office/drawing/2014/main" id="{8E9A67D5-6564-4C32-98FE-A4109A1CFE8C}"/>
            </a:ext>
          </a:extLst>
        </cdr:cNvPr>
        <cdr:cNvCxnSpPr/>
      </cdr:nvCxnSpPr>
      <cdr:spPr>
        <a:xfrm xmlns:a="http://schemas.openxmlformats.org/drawingml/2006/main">
          <a:off x="623497" y="139178"/>
          <a:ext cx="0" cy="60960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0.17855</cdr:x>
      <cdr:y>0.01858</cdr:y>
    </cdr:from>
    <cdr:to>
      <cdr:x>0.17855</cdr:x>
      <cdr:y>0.95638</cdr:y>
    </cdr:to>
    <cdr:cxnSp macro="">
      <cdr:nvCxnSpPr>
        <cdr:cNvPr id="6" name="直線コネクタ 5">
          <a:extLst xmlns:a="http://schemas.openxmlformats.org/drawingml/2006/main">
            <a:ext uri="{FF2B5EF4-FFF2-40B4-BE49-F238E27FC236}">
              <a16:creationId xmlns:a16="http://schemas.microsoft.com/office/drawing/2014/main" id="{5E58D5DB-3424-4952-83BA-12019E3CB49B}"/>
            </a:ext>
          </a:extLst>
        </cdr:cNvPr>
        <cdr:cNvCxnSpPr/>
      </cdr:nvCxnSpPr>
      <cdr:spPr>
        <a:xfrm xmlns:a="http://schemas.openxmlformats.org/drawingml/2006/main">
          <a:off x="1925105" y="124749"/>
          <a:ext cx="0" cy="629547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0.54085</cdr:x>
      <cdr:y>0.01625</cdr:y>
    </cdr:from>
    <cdr:to>
      <cdr:x>0.54085</cdr:x>
      <cdr:y>0.95405</cdr:y>
    </cdr:to>
    <cdr:cxnSp macro="">
      <cdr:nvCxnSpPr>
        <cdr:cNvPr id="7" name="直線コネクタ 6">
          <a:extLst xmlns:a="http://schemas.openxmlformats.org/drawingml/2006/main">
            <a:ext uri="{FF2B5EF4-FFF2-40B4-BE49-F238E27FC236}">
              <a16:creationId xmlns:a16="http://schemas.microsoft.com/office/drawing/2014/main" id="{612C663B-17F4-42AE-B684-C7F4DA30382D}"/>
            </a:ext>
          </a:extLst>
        </cdr:cNvPr>
        <cdr:cNvCxnSpPr/>
      </cdr:nvCxnSpPr>
      <cdr:spPr>
        <a:xfrm xmlns:a="http://schemas.openxmlformats.org/drawingml/2006/main">
          <a:off x="5831534" y="109081"/>
          <a:ext cx="0" cy="629547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0.97589</cdr:x>
      <cdr:y>0.0198</cdr:y>
    </cdr:from>
    <cdr:to>
      <cdr:x>0.97589</cdr:x>
      <cdr:y>0.9576</cdr:y>
    </cdr:to>
    <cdr:cxnSp macro="">
      <cdr:nvCxnSpPr>
        <cdr:cNvPr id="8" name="直線コネクタ 7">
          <a:extLst xmlns:a="http://schemas.openxmlformats.org/drawingml/2006/main">
            <a:ext uri="{FF2B5EF4-FFF2-40B4-BE49-F238E27FC236}">
              <a16:creationId xmlns:a16="http://schemas.microsoft.com/office/drawing/2014/main" id="{DC67C5F7-BCE9-4957-AB9A-604200A33B2F}"/>
            </a:ext>
          </a:extLst>
        </cdr:cNvPr>
        <cdr:cNvCxnSpPr/>
      </cdr:nvCxnSpPr>
      <cdr:spPr>
        <a:xfrm xmlns:a="http://schemas.openxmlformats.org/drawingml/2006/main">
          <a:off x="10519038" y="128719"/>
          <a:ext cx="0" cy="60960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0.65439</cdr:x>
      <cdr:y>0.83337</cdr:y>
    </cdr:from>
    <cdr:to>
      <cdr:x>0.85988</cdr:x>
      <cdr:y>0.95424</cdr:y>
    </cdr:to>
    <cdr:sp macro="" textlink="">
      <cdr:nvSpPr>
        <cdr:cNvPr id="9" name="テキスト ボックス 11">
          <a:extLst xmlns:a="http://schemas.openxmlformats.org/drawingml/2006/main">
            <a:ext uri="{FF2B5EF4-FFF2-40B4-BE49-F238E27FC236}">
              <a16:creationId xmlns:a16="http://schemas.microsoft.com/office/drawing/2014/main" id="{D0368DBB-DD76-4159-A1FE-44707340F466}"/>
            </a:ext>
          </a:extLst>
        </cdr:cNvPr>
        <cdr:cNvSpPr txBox="1"/>
      </cdr:nvSpPr>
      <cdr:spPr>
        <a:xfrm xmlns:a="http://schemas.openxmlformats.org/drawingml/2006/main">
          <a:off x="7055717" y="5594437"/>
          <a:ext cx="2215619" cy="8114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1400" b="1">
              <a:latin typeface="游ゴシック" panose="020B0400000000000000" pitchFamily="50" charset="-128"/>
              <a:ea typeface="游ゴシック" panose="020B0400000000000000" pitchFamily="50" charset="-128"/>
            </a:rPr>
            <a:t>ベースラインケース</a:t>
          </a:r>
          <a:endParaRPr kumimoji="1" lang="en-US" altLang="ja-JP" sz="1400" b="1">
            <a:latin typeface="游ゴシック" panose="020B0400000000000000" pitchFamily="50" charset="-128"/>
            <a:ea typeface="游ゴシック" panose="020B0400000000000000" pitchFamily="50" charset="-128"/>
          </a:endParaRPr>
        </a:p>
        <a:p xmlns:a="http://schemas.openxmlformats.org/drawingml/2006/main">
          <a:pPr algn="ct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平均</a:t>
          </a:r>
          <a:r>
            <a:rPr kumimoji="1" lang="en-US" altLang="ja-JP" sz="1400" b="1">
              <a:latin typeface="游ゴシック" panose="020B0400000000000000" pitchFamily="50" charset="-128"/>
              <a:ea typeface="游ゴシック" panose="020B0400000000000000" pitchFamily="50" charset="-128"/>
            </a:rPr>
            <a:t>1.9%)</a:t>
          </a:r>
          <a:endParaRPr kumimoji="1" lang="ja-JP" altLang="en-US" sz="1400" b="1">
            <a:latin typeface="游ゴシック" panose="020B0400000000000000" pitchFamily="50" charset="-128"/>
            <a:ea typeface="游ゴシック" panose="020B0400000000000000" pitchFamily="50" charset="-128"/>
          </a:endParaRPr>
        </a:p>
      </cdr:txBody>
    </cdr:sp>
  </cdr:relSizeAnchor>
  <cdr:relSizeAnchor xmlns:cdr="http://schemas.openxmlformats.org/drawingml/2006/chartDrawing">
    <cdr:from>
      <cdr:x>0.05888</cdr:x>
      <cdr:y>0.8213</cdr:y>
    </cdr:from>
    <cdr:to>
      <cdr:x>0.17948</cdr:x>
      <cdr:y>0.8213</cdr:y>
    </cdr:to>
    <cdr:cxnSp macro="">
      <cdr:nvCxnSpPr>
        <cdr:cNvPr id="11" name="直線矢印コネクタ 10">
          <a:extLst xmlns:a="http://schemas.openxmlformats.org/drawingml/2006/main">
            <a:ext uri="{FF2B5EF4-FFF2-40B4-BE49-F238E27FC236}">
              <a16:creationId xmlns:a16="http://schemas.microsoft.com/office/drawing/2014/main" id="{205D6F55-E877-4086-AE46-52F9DA97DEE3}"/>
            </a:ext>
          </a:extLst>
        </cdr:cNvPr>
        <cdr:cNvCxnSpPr/>
      </cdr:nvCxnSpPr>
      <cdr:spPr>
        <a:xfrm xmlns:a="http://schemas.openxmlformats.org/drawingml/2006/main">
          <a:off x="634701" y="5338707"/>
          <a:ext cx="1299882" cy="0"/>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0.54169</cdr:x>
      <cdr:y>0.82222</cdr:y>
    </cdr:from>
    <cdr:to>
      <cdr:x>0.9727</cdr:x>
      <cdr:y>0.82222</cdr:y>
    </cdr:to>
    <cdr:cxnSp macro="">
      <cdr:nvCxnSpPr>
        <cdr:cNvPr id="12" name="直線矢印コネクタ 11">
          <a:extLst xmlns:a="http://schemas.openxmlformats.org/drawingml/2006/main">
            <a:ext uri="{FF2B5EF4-FFF2-40B4-BE49-F238E27FC236}">
              <a16:creationId xmlns:a16="http://schemas.microsoft.com/office/drawing/2014/main" id="{FB48C308-8D59-41C3-9A95-C043BFBA795C}"/>
            </a:ext>
          </a:extLst>
        </cdr:cNvPr>
        <cdr:cNvCxnSpPr/>
      </cdr:nvCxnSpPr>
      <cdr:spPr>
        <a:xfrm xmlns:a="http://schemas.openxmlformats.org/drawingml/2006/main">
          <a:off x="5840521" y="5519587"/>
          <a:ext cx="4647256" cy="0"/>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0.01675</cdr:x>
      <cdr:y>0.83356</cdr:y>
    </cdr:from>
    <cdr:to>
      <cdr:x>0.22224</cdr:x>
      <cdr:y>0.95443</cdr:y>
    </cdr:to>
    <cdr:sp macro="" textlink="">
      <cdr:nvSpPr>
        <cdr:cNvPr id="10" name="テキスト ボックス 11">
          <a:extLst xmlns:a="http://schemas.openxmlformats.org/drawingml/2006/main">
            <a:ext uri="{FF2B5EF4-FFF2-40B4-BE49-F238E27FC236}">
              <a16:creationId xmlns:a16="http://schemas.microsoft.com/office/drawing/2014/main" id="{A8A90EA7-4EDF-45E9-B148-0E8B8747CA58}"/>
            </a:ext>
          </a:extLst>
        </cdr:cNvPr>
        <cdr:cNvSpPr txBox="1"/>
      </cdr:nvSpPr>
      <cdr:spPr>
        <a:xfrm xmlns:a="http://schemas.openxmlformats.org/drawingml/2006/main">
          <a:off x="180558" y="5595712"/>
          <a:ext cx="2215619" cy="8114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1400" b="1">
              <a:latin typeface="游ゴシック" panose="020B0400000000000000" pitchFamily="50" charset="-128"/>
              <a:ea typeface="游ゴシック" panose="020B0400000000000000" pitchFamily="50" charset="-128"/>
            </a:rPr>
            <a:t>成長実現ケース</a:t>
          </a:r>
          <a:endParaRPr kumimoji="1" lang="en-US" altLang="ja-JP" sz="1400" b="1">
            <a:latin typeface="游ゴシック" panose="020B0400000000000000" pitchFamily="50" charset="-128"/>
            <a:ea typeface="游ゴシック" panose="020B0400000000000000" pitchFamily="50" charset="-128"/>
          </a:endParaRPr>
        </a:p>
        <a:p xmlns:a="http://schemas.openxmlformats.org/drawingml/2006/main">
          <a:pPr algn="ct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平均</a:t>
          </a:r>
          <a:r>
            <a:rPr kumimoji="1" lang="en-US" altLang="ja-JP" sz="1400" b="1">
              <a:latin typeface="游ゴシック" panose="020B0400000000000000" pitchFamily="50" charset="-128"/>
              <a:ea typeface="游ゴシック" panose="020B0400000000000000" pitchFamily="50" charset="-128"/>
            </a:rPr>
            <a:t>3.9%)</a:t>
          </a:r>
          <a:endParaRPr kumimoji="1" lang="ja-JP" altLang="en-US" sz="1400" b="1">
            <a:latin typeface="游ゴシック" panose="020B0400000000000000" pitchFamily="50" charset="-128"/>
            <a:ea typeface="游ゴシック" panose="020B0400000000000000" pitchFamily="50" charset="-128"/>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40</xdr:col>
      <xdr:colOff>523317</xdr:colOff>
      <xdr:row>5</xdr:row>
      <xdr:rowOff>210110</xdr:rowOff>
    </xdr:from>
    <xdr:to>
      <xdr:col>51</xdr:col>
      <xdr:colOff>517152</xdr:colOff>
      <xdr:row>29</xdr:row>
      <xdr:rowOff>24316</xdr:rowOff>
    </xdr:to>
    <xdr:graphicFrame macro="">
      <xdr:nvGraphicFramePr>
        <xdr:cNvPr id="2" name="グラフ 1">
          <a:extLst>
            <a:ext uri="{FF2B5EF4-FFF2-40B4-BE49-F238E27FC236}">
              <a16:creationId xmlns:a16="http://schemas.microsoft.com/office/drawing/2014/main" id="{16B15625-601F-4196-B4C0-414A0D0DC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0</xdr:colOff>
      <xdr:row>68</xdr:row>
      <xdr:rowOff>172906</xdr:rowOff>
    </xdr:from>
    <xdr:to>
      <xdr:col>49</xdr:col>
      <xdr:colOff>428469</xdr:colOff>
      <xdr:row>91</xdr:row>
      <xdr:rowOff>108250</xdr:rowOff>
    </xdr:to>
    <xdr:graphicFrame macro="">
      <xdr:nvGraphicFramePr>
        <xdr:cNvPr id="3" name="グラフ 2">
          <a:extLst>
            <a:ext uri="{FF2B5EF4-FFF2-40B4-BE49-F238E27FC236}">
              <a16:creationId xmlns:a16="http://schemas.microsoft.com/office/drawing/2014/main" id="{F4B884CE-1DB9-4D94-A00E-EE973C166A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108</xdr:colOff>
      <xdr:row>44</xdr:row>
      <xdr:rowOff>154304</xdr:rowOff>
    </xdr:from>
    <xdr:to>
      <xdr:col>50</xdr:col>
      <xdr:colOff>571498</xdr:colOff>
      <xdr:row>66</xdr:row>
      <xdr:rowOff>91328</xdr:rowOff>
    </xdr:to>
    <xdr:graphicFrame macro="">
      <xdr:nvGraphicFramePr>
        <xdr:cNvPr id="4" name="グラフ 3">
          <a:extLst>
            <a:ext uri="{FF2B5EF4-FFF2-40B4-BE49-F238E27FC236}">
              <a16:creationId xmlns:a16="http://schemas.microsoft.com/office/drawing/2014/main" id="{EA55793A-5F92-4122-ABC6-1E02A432B2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40</xdr:col>
      <xdr:colOff>713591</xdr:colOff>
      <xdr:row>10</xdr:row>
      <xdr:rowOff>124272</xdr:rowOff>
    </xdr:from>
    <xdr:to>
      <xdr:col>47</xdr:col>
      <xdr:colOff>3586</xdr:colOff>
      <xdr:row>33</xdr:row>
      <xdr:rowOff>162596</xdr:rowOff>
    </xdr:to>
    <xdr:graphicFrame macro="">
      <xdr:nvGraphicFramePr>
        <xdr:cNvPr id="11" name="グラフ 10">
          <a:extLst>
            <a:ext uri="{FF2B5EF4-FFF2-40B4-BE49-F238E27FC236}">
              <a16:creationId xmlns:a16="http://schemas.microsoft.com/office/drawing/2014/main" id="{69DEC68F-749C-4A81-92AC-887F371075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790239</xdr:colOff>
      <xdr:row>58</xdr:row>
      <xdr:rowOff>165508</xdr:rowOff>
    </xdr:from>
    <xdr:to>
      <xdr:col>45</xdr:col>
      <xdr:colOff>434184</xdr:colOff>
      <xdr:row>81</xdr:row>
      <xdr:rowOff>91326</xdr:rowOff>
    </xdr:to>
    <xdr:graphicFrame macro="">
      <xdr:nvGraphicFramePr>
        <xdr:cNvPr id="12" name="グラフ 11">
          <a:extLst>
            <a:ext uri="{FF2B5EF4-FFF2-40B4-BE49-F238E27FC236}">
              <a16:creationId xmlns:a16="http://schemas.microsoft.com/office/drawing/2014/main" id="{2802E035-028D-4693-A877-C31D4CE66E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719191</xdr:colOff>
      <xdr:row>35</xdr:row>
      <xdr:rowOff>38435</xdr:rowOff>
    </xdr:from>
    <xdr:to>
      <xdr:col>46</xdr:col>
      <xdr:colOff>575309</xdr:colOff>
      <xdr:row>56</xdr:row>
      <xdr:rowOff>205292</xdr:rowOff>
    </xdr:to>
    <xdr:graphicFrame macro="">
      <xdr:nvGraphicFramePr>
        <xdr:cNvPr id="13" name="グラフ 12">
          <a:extLst>
            <a:ext uri="{FF2B5EF4-FFF2-40B4-BE49-F238E27FC236}">
              <a16:creationId xmlns:a16="http://schemas.microsoft.com/office/drawing/2014/main" id="{65D1298A-54BD-4E79-B74D-2F42D5A4B2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57150</xdr:colOff>
      <xdr:row>5</xdr:row>
      <xdr:rowOff>53340</xdr:rowOff>
    </xdr:from>
    <xdr:to>
      <xdr:col>24</xdr:col>
      <xdr:colOff>154304</xdr:colOff>
      <xdr:row>33</xdr:row>
      <xdr:rowOff>93438</xdr:rowOff>
    </xdr:to>
    <xdr:grpSp>
      <xdr:nvGrpSpPr>
        <xdr:cNvPr id="2" name="グループ化 1">
          <a:extLst>
            <a:ext uri="{FF2B5EF4-FFF2-40B4-BE49-F238E27FC236}">
              <a16:creationId xmlns:a16="http://schemas.microsoft.com/office/drawing/2014/main" id="{E5CE74E2-09B8-480C-88B1-51DB70B4A245}"/>
            </a:ext>
          </a:extLst>
        </xdr:cNvPr>
        <xdr:cNvGrpSpPr/>
      </xdr:nvGrpSpPr>
      <xdr:grpSpPr>
        <a:xfrm>
          <a:off x="12445093" y="1065711"/>
          <a:ext cx="8588011" cy="4764498"/>
          <a:chOff x="6517005" y="1720215"/>
          <a:chExt cx="8027578" cy="4840638"/>
        </a:xfrm>
      </xdr:grpSpPr>
      <xdr:graphicFrame macro="">
        <xdr:nvGraphicFramePr>
          <xdr:cNvPr id="3" name="グラフ 2">
            <a:extLst>
              <a:ext uri="{FF2B5EF4-FFF2-40B4-BE49-F238E27FC236}">
                <a16:creationId xmlns:a16="http://schemas.microsoft.com/office/drawing/2014/main" id="{B26AB7CB-EB77-457D-99A9-544C4969C682}"/>
              </a:ext>
            </a:extLst>
          </xdr:cNvPr>
          <xdr:cNvGraphicFramePr/>
        </xdr:nvGraphicFramePr>
        <xdr:xfrm>
          <a:off x="6551318" y="1768721"/>
          <a:ext cx="7993265" cy="4792132"/>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テキスト ボックス 3">
            <a:extLst>
              <a:ext uri="{FF2B5EF4-FFF2-40B4-BE49-F238E27FC236}">
                <a16:creationId xmlns:a16="http://schemas.microsoft.com/office/drawing/2014/main" id="{D9C84790-A2DA-45C8-B604-C4B4DE3B87F7}"/>
              </a:ext>
            </a:extLst>
          </xdr:cNvPr>
          <xdr:cNvSpPr txBox="1"/>
        </xdr:nvSpPr>
        <xdr:spPr>
          <a:xfrm>
            <a:off x="6517005" y="1720215"/>
            <a:ext cx="994973" cy="293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latin typeface="+mn-lt"/>
              </a:rPr>
              <a:t>（時間、年平均）</a:t>
            </a:r>
          </a:p>
        </xdr:txBody>
      </xdr:sp>
    </xdr:grpSp>
    <xdr:clientData/>
  </xdr:twoCellAnchor>
  <xdr:twoCellAnchor>
    <xdr:from>
      <xdr:col>6</xdr:col>
      <xdr:colOff>504825</xdr:colOff>
      <xdr:row>69</xdr:row>
      <xdr:rowOff>0</xdr:rowOff>
    </xdr:from>
    <xdr:to>
      <xdr:col>15</xdr:col>
      <xdr:colOff>428626</xdr:colOff>
      <xdr:row>78</xdr:row>
      <xdr:rowOff>38100</xdr:rowOff>
    </xdr:to>
    <xdr:sp macro="" textlink="">
      <xdr:nvSpPr>
        <xdr:cNvPr id="5" name="テキスト ボックス 4">
          <a:extLst>
            <a:ext uri="{FF2B5EF4-FFF2-40B4-BE49-F238E27FC236}">
              <a16:creationId xmlns:a16="http://schemas.microsoft.com/office/drawing/2014/main" id="{E46BEACE-B73B-4AFE-B1E6-5B2D19DDB668}"/>
            </a:ext>
          </a:extLst>
        </xdr:cNvPr>
        <xdr:cNvSpPr txBox="1"/>
      </xdr:nvSpPr>
      <xdr:spPr>
        <a:xfrm>
          <a:off x="7924800" y="11991975"/>
          <a:ext cx="6915151" cy="1581150"/>
        </a:xfrm>
        <a:prstGeom prst="rect">
          <a:avLst/>
        </a:prstGeom>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r>
            <a:rPr kumimoji="1" lang="en-US" altLang="ja-JP" sz="1100"/>
            <a:t>【</a:t>
          </a:r>
          <a:r>
            <a:rPr kumimoji="1" lang="ja-JP" altLang="en-US" sz="1100"/>
            <a:t>内閣府</a:t>
          </a:r>
          <a:r>
            <a:rPr kumimoji="1" lang="en-US" altLang="ja-JP" sz="1100"/>
            <a:t>】</a:t>
          </a:r>
          <a:r>
            <a:rPr kumimoji="1" lang="ja-JP" altLang="en-US" sz="1100"/>
            <a:t>「</a:t>
          </a:r>
          <a:r>
            <a:rPr kumimoji="1" lang="en-US" altLang="ja-JP" sz="1100"/>
            <a:t>GDP</a:t>
          </a:r>
          <a:r>
            <a:rPr kumimoji="1" lang="ja-JP" altLang="en-US" sz="1100"/>
            <a:t>ギャップと潜在成長率」備考より</a:t>
          </a:r>
          <a:endParaRPr kumimoji="1" lang="en-US" altLang="ja-JP" sz="1100"/>
        </a:p>
        <a:p>
          <a:r>
            <a:rPr kumimoji="1" lang="en-US" altLang="ja-JP" sz="1100"/>
            <a:t>2020 </a:t>
          </a:r>
          <a:r>
            <a:rPr kumimoji="1" lang="ja-JP" altLang="en-US" sz="1100"/>
            <a:t>年１－３月期以降の経済データは、新型コロナウイルス感染症の拡大防止のために政策的な経済活動の抑制を行った影響等から、非循環的な振れが生じているとみられる。この間のデータを含めて推計を行うと、推計手法の特性もあいまって、全要素生産性及び労働投入量が過去に遡及して大きく歪んでしまう問題が生じる。このため、これらの推計に関しては、次の処理を行っている。</a:t>
          </a:r>
        </a:p>
        <a:p>
          <a:r>
            <a:rPr kumimoji="1" lang="ja-JP" altLang="en-US" sz="1100"/>
            <a:t>・全要素生産性は、</a:t>
          </a:r>
          <a:r>
            <a:rPr kumimoji="1" lang="en-US" altLang="ja-JP" sz="1100"/>
            <a:t>2019</a:t>
          </a:r>
          <a:r>
            <a:rPr kumimoji="1" lang="ja-JP" altLang="en-US" sz="1100"/>
            <a:t>年</a:t>
          </a:r>
          <a:r>
            <a:rPr kumimoji="1" lang="en-US" altLang="ja-JP" sz="1100"/>
            <a:t>10</a:t>
          </a:r>
          <a:r>
            <a:rPr kumimoji="1" lang="ja-JP" altLang="en-US" sz="1100"/>
            <a:t>－</a:t>
          </a:r>
          <a:r>
            <a:rPr kumimoji="1" lang="en-US" altLang="ja-JP" sz="1100"/>
            <a:t>12</a:t>
          </a:r>
          <a:r>
            <a:rPr kumimoji="1" lang="ja-JP" altLang="en-US" sz="1100"/>
            <a:t>月期までのデータを基にトレンドを推計し、</a:t>
          </a:r>
          <a:r>
            <a:rPr kumimoji="1" lang="en-US" altLang="ja-JP" sz="1100"/>
            <a:t>2020</a:t>
          </a:r>
          <a:r>
            <a:rPr kumimoji="1" lang="ja-JP" altLang="en-US" sz="1100"/>
            <a:t>年１－３月期以降を延伸。</a:t>
          </a:r>
        </a:p>
        <a:p>
          <a:r>
            <a:rPr kumimoji="1" lang="ja-JP" altLang="en-US" sz="1100"/>
            <a:t>・労働投入量は、</a:t>
          </a:r>
          <a:r>
            <a:rPr kumimoji="1" lang="en-US" altLang="ja-JP" sz="1100"/>
            <a:t>2020</a:t>
          </a:r>
          <a:r>
            <a:rPr kumimoji="1" lang="ja-JP" altLang="en-US" sz="1100"/>
            <a:t>年４－６月期以降の潜在的な労働参加率と労働時間を同年１－３月期の値で固定して推計。</a:t>
          </a:r>
        </a:p>
        <a:p>
          <a:r>
            <a:rPr kumimoji="1" lang="ja-JP" altLang="en-US" sz="1100"/>
            <a:t>なお、これらの処理については、感染症の影響がある程度収束した後に遡及計算を行う予定としている。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497764</xdr:colOff>
      <xdr:row>29</xdr:row>
      <xdr:rowOff>116036</xdr:rowOff>
    </xdr:from>
    <xdr:to>
      <xdr:col>19</xdr:col>
      <xdr:colOff>154308</xdr:colOff>
      <xdr:row>56</xdr:row>
      <xdr:rowOff>42695</xdr:rowOff>
    </xdr:to>
    <xdr:grpSp>
      <xdr:nvGrpSpPr>
        <xdr:cNvPr id="4" name="グループ化 3">
          <a:extLst>
            <a:ext uri="{FF2B5EF4-FFF2-40B4-BE49-F238E27FC236}">
              <a16:creationId xmlns:a16="http://schemas.microsoft.com/office/drawing/2014/main" id="{75EF9EFA-65E8-4E5B-89AF-5BDB724425FF}"/>
            </a:ext>
          </a:extLst>
        </xdr:cNvPr>
        <xdr:cNvGrpSpPr/>
      </xdr:nvGrpSpPr>
      <xdr:grpSpPr>
        <a:xfrm>
          <a:off x="8777310" y="4944170"/>
          <a:ext cx="8147402" cy="4421819"/>
          <a:chOff x="4922519" y="4963476"/>
          <a:chExt cx="7585154" cy="4553904"/>
        </a:xfrm>
      </xdr:grpSpPr>
      <xdr:graphicFrame macro="">
        <xdr:nvGraphicFramePr>
          <xdr:cNvPr id="2" name="グラフ 1">
            <a:extLst>
              <a:ext uri="{FF2B5EF4-FFF2-40B4-BE49-F238E27FC236}">
                <a16:creationId xmlns:a16="http://schemas.microsoft.com/office/drawing/2014/main" id="{01F93DBD-C63A-4C56-84E4-FE7330CC8E45}"/>
              </a:ext>
            </a:extLst>
          </xdr:cNvPr>
          <xdr:cNvGraphicFramePr/>
        </xdr:nvGraphicFramePr>
        <xdr:xfrm>
          <a:off x="4922519" y="4963476"/>
          <a:ext cx="7585154" cy="455390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テキスト ボックス 2">
            <a:extLst>
              <a:ext uri="{FF2B5EF4-FFF2-40B4-BE49-F238E27FC236}">
                <a16:creationId xmlns:a16="http://schemas.microsoft.com/office/drawing/2014/main" id="{BDCBF9BC-DE1E-424F-B23F-577D14778E93}"/>
              </a:ext>
            </a:extLst>
          </xdr:cNvPr>
          <xdr:cNvSpPr txBox="1"/>
        </xdr:nvSpPr>
        <xdr:spPr>
          <a:xfrm>
            <a:off x="9405698" y="8492490"/>
            <a:ext cx="1874520" cy="461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実現値　　　想定値</a:t>
            </a:r>
          </a:p>
        </xdr:txBody>
      </xdr:sp>
    </xdr:grpSp>
    <xdr:clientData/>
  </xdr:twoCellAnchor>
</xdr:wsDr>
</file>

<file path=xl/drawings/drawing17.xml><?xml version="1.0" encoding="utf-8"?>
<c:userShapes xmlns:c="http://schemas.openxmlformats.org/drawingml/2006/chart">
  <cdr:relSizeAnchor xmlns:cdr="http://schemas.openxmlformats.org/drawingml/2006/chartDrawing">
    <cdr:from>
      <cdr:x>0.71733</cdr:x>
      <cdr:y>0.03264</cdr:y>
    </cdr:from>
    <cdr:to>
      <cdr:x>0.71733</cdr:x>
      <cdr:y>0.87208</cdr:y>
    </cdr:to>
    <cdr:cxnSp macro="">
      <cdr:nvCxnSpPr>
        <cdr:cNvPr id="3" name="直線コネクタ 2">
          <a:extLst xmlns:a="http://schemas.openxmlformats.org/drawingml/2006/main">
            <a:ext uri="{FF2B5EF4-FFF2-40B4-BE49-F238E27FC236}">
              <a16:creationId xmlns:a16="http://schemas.microsoft.com/office/drawing/2014/main" id="{3D0974D3-A8C1-4899-910F-AD19FAC2506A}"/>
            </a:ext>
          </a:extLst>
        </cdr:cNvPr>
        <cdr:cNvCxnSpPr/>
      </cdr:nvCxnSpPr>
      <cdr:spPr>
        <a:xfrm xmlns:a="http://schemas.openxmlformats.org/drawingml/2006/main">
          <a:off x="5438341" y="147722"/>
          <a:ext cx="0" cy="379893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twoCellAnchor>
    <xdr:from>
      <xdr:col>17</xdr:col>
      <xdr:colOff>819150</xdr:colOff>
      <xdr:row>42</xdr:row>
      <xdr:rowOff>9525</xdr:rowOff>
    </xdr:from>
    <xdr:to>
      <xdr:col>20</xdr:col>
      <xdr:colOff>9525</xdr:colOff>
      <xdr:row>58</xdr:row>
      <xdr:rowOff>0</xdr:rowOff>
    </xdr:to>
    <xdr:sp macro="" textlink="">
      <xdr:nvSpPr>
        <xdr:cNvPr id="2" name="正方形/長方形 1">
          <a:extLst>
            <a:ext uri="{FF2B5EF4-FFF2-40B4-BE49-F238E27FC236}">
              <a16:creationId xmlns:a16="http://schemas.microsoft.com/office/drawing/2014/main" id="{702BF55A-BB0C-407E-98B3-7545A1A7A7DB}"/>
            </a:ext>
          </a:extLst>
        </xdr:cNvPr>
        <xdr:cNvSpPr/>
      </xdr:nvSpPr>
      <xdr:spPr>
        <a:xfrm>
          <a:off x="18297525" y="923925"/>
          <a:ext cx="847725" cy="36480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0</xdr:colOff>
      <xdr:row>2</xdr:row>
      <xdr:rowOff>0</xdr:rowOff>
    </xdr:from>
    <xdr:to>
      <xdr:col>20</xdr:col>
      <xdr:colOff>15240</xdr:colOff>
      <xdr:row>57</xdr:row>
      <xdr:rowOff>217170</xdr:rowOff>
    </xdr:to>
    <xdr:sp macro="" textlink="">
      <xdr:nvSpPr>
        <xdr:cNvPr id="2" name="正方形/長方形 1">
          <a:extLst>
            <a:ext uri="{FF2B5EF4-FFF2-40B4-BE49-F238E27FC236}">
              <a16:creationId xmlns:a16="http://schemas.microsoft.com/office/drawing/2014/main" id="{66075EA3-6E8C-4BE5-81CE-143B66520D64}"/>
            </a:ext>
          </a:extLst>
        </xdr:cNvPr>
        <xdr:cNvSpPr/>
      </xdr:nvSpPr>
      <xdr:spPr>
        <a:xfrm>
          <a:off x="17983200" y="914400"/>
          <a:ext cx="843915" cy="364617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26</xdr:row>
      <xdr:rowOff>0</xdr:rowOff>
    </xdr:from>
    <xdr:to>
      <xdr:col>5</xdr:col>
      <xdr:colOff>175084</xdr:colOff>
      <xdr:row>33</xdr:row>
      <xdr:rowOff>78441</xdr:rowOff>
    </xdr:to>
    <xdr:sp macro="" textlink="">
      <xdr:nvSpPr>
        <xdr:cNvPr id="2" name="テキスト ボックス 1">
          <a:extLst>
            <a:ext uri="{FF2B5EF4-FFF2-40B4-BE49-F238E27FC236}">
              <a16:creationId xmlns:a16="http://schemas.microsoft.com/office/drawing/2014/main" id="{75178C8C-65C8-45A5-9219-6D63AA85DAF5}"/>
            </a:ext>
          </a:extLst>
        </xdr:cNvPr>
        <xdr:cNvSpPr txBox="1"/>
      </xdr:nvSpPr>
      <xdr:spPr>
        <a:xfrm>
          <a:off x="0" y="5670176"/>
          <a:ext cx="3581672" cy="1288677"/>
        </a:xfrm>
        <a:prstGeom prst="rect">
          <a:avLst/>
        </a:prstGeo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r>
            <a:rPr kumimoji="1" lang="ja-JP" altLang="en-US" sz="1600" b="1">
              <a:latin typeface="+mn-ea"/>
              <a:ea typeface="+mn-ea"/>
            </a:rPr>
            <a:t>橙色セル･･･統計データ値</a:t>
          </a:r>
          <a:endParaRPr kumimoji="1" lang="en-US" altLang="ja-JP" sz="1600" b="1">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1">
              <a:solidFill>
                <a:schemeClr val="lt1"/>
              </a:solidFill>
              <a:effectLst/>
              <a:latin typeface="+mn-ea"/>
              <a:ea typeface="+mn-ea"/>
              <a:cs typeface="+mn-cs"/>
            </a:rPr>
            <a:t>緑色セル･･･恒等式</a:t>
          </a:r>
          <a:r>
            <a:rPr kumimoji="1" lang="ja-JP" altLang="en-US" sz="1600" b="1">
              <a:solidFill>
                <a:schemeClr val="lt1"/>
              </a:solidFill>
              <a:effectLst/>
              <a:latin typeface="+mn-ea"/>
              <a:ea typeface="+mn-ea"/>
              <a:cs typeface="+mn-cs"/>
            </a:rPr>
            <a:t>・計算式</a:t>
          </a:r>
          <a:br>
            <a:rPr kumimoji="1" lang="en-US" altLang="ja-JP" sz="1600" b="1">
              <a:latin typeface="+mn-ea"/>
              <a:ea typeface="+mn-ea"/>
            </a:rPr>
          </a:br>
          <a:r>
            <a:rPr kumimoji="1" lang="ja-JP" altLang="en-US" sz="1600" b="1">
              <a:latin typeface="+mn-ea"/>
              <a:ea typeface="+mn-ea"/>
            </a:rPr>
            <a:t>青色セル･･･予測値・推計値・想定値</a:t>
          </a:r>
          <a:endParaRPr kumimoji="1" lang="en-US" altLang="ja-JP" sz="1600" b="1">
            <a:latin typeface="+mn-ea"/>
            <a:ea typeface="+mn-ea"/>
          </a:endParaRPr>
        </a:p>
        <a:p>
          <a:r>
            <a:rPr kumimoji="1" lang="ja-JP" altLang="en-US" sz="1600" b="1">
              <a:latin typeface="+mn-ea"/>
              <a:ea typeface="+mn-ea"/>
            </a:rPr>
            <a:t>赤色セル･･･イレギュラー処理</a:t>
          </a:r>
          <a:endParaRPr kumimoji="1" lang="en-US" altLang="ja-JP" sz="1600" b="1">
            <a:latin typeface="+mn-ea"/>
            <a:ea typeface="+mn-ea"/>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550038</xdr:colOff>
      <xdr:row>36</xdr:row>
      <xdr:rowOff>16861</xdr:rowOff>
    </xdr:from>
    <xdr:to>
      <xdr:col>21</xdr:col>
      <xdr:colOff>225238</xdr:colOff>
      <xdr:row>57</xdr:row>
      <xdr:rowOff>95973</xdr:rowOff>
    </xdr:to>
    <xdr:grpSp>
      <xdr:nvGrpSpPr>
        <xdr:cNvPr id="2" name="グループ化 1">
          <a:extLst>
            <a:ext uri="{FF2B5EF4-FFF2-40B4-BE49-F238E27FC236}">
              <a16:creationId xmlns:a16="http://schemas.microsoft.com/office/drawing/2014/main" id="{C3027E8D-6F7A-409D-9750-1940CBCE6A41}"/>
            </a:ext>
          </a:extLst>
        </xdr:cNvPr>
        <xdr:cNvGrpSpPr/>
      </xdr:nvGrpSpPr>
      <xdr:grpSpPr>
        <a:xfrm>
          <a:off x="6088945" y="8546139"/>
          <a:ext cx="8819200" cy="5054523"/>
          <a:chOff x="2730815" y="8302939"/>
          <a:chExt cx="8209600" cy="4870187"/>
        </a:xfrm>
      </xdr:grpSpPr>
      <xdr:graphicFrame macro="">
        <xdr:nvGraphicFramePr>
          <xdr:cNvPr id="3" name="グラフ 2">
            <a:extLst>
              <a:ext uri="{FF2B5EF4-FFF2-40B4-BE49-F238E27FC236}">
                <a16:creationId xmlns:a16="http://schemas.microsoft.com/office/drawing/2014/main" id="{C64AFE78-90F2-4487-85EB-800193B3ED1D}"/>
              </a:ext>
            </a:extLst>
          </xdr:cNvPr>
          <xdr:cNvGraphicFramePr/>
        </xdr:nvGraphicFramePr>
        <xdr:xfrm>
          <a:off x="2730815" y="8302939"/>
          <a:ext cx="8209600" cy="4870187"/>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直線コネクタ 3">
            <a:extLst>
              <a:ext uri="{FF2B5EF4-FFF2-40B4-BE49-F238E27FC236}">
                <a16:creationId xmlns:a16="http://schemas.microsoft.com/office/drawing/2014/main" id="{3AF5E91F-AF41-4B9A-891E-5F58BF9A6910}"/>
              </a:ext>
            </a:extLst>
          </xdr:cNvPr>
          <xdr:cNvCxnSpPr/>
        </xdr:nvCxnSpPr>
        <xdr:spPr>
          <a:xfrm flipV="1">
            <a:off x="8649257" y="8435365"/>
            <a:ext cx="0" cy="413766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5" name="テキスト ボックス 4">
            <a:extLst>
              <a:ext uri="{FF2B5EF4-FFF2-40B4-BE49-F238E27FC236}">
                <a16:creationId xmlns:a16="http://schemas.microsoft.com/office/drawing/2014/main" id="{5378516E-DE8F-4760-A3CE-15CFFA40FE69}"/>
              </a:ext>
            </a:extLst>
          </xdr:cNvPr>
          <xdr:cNvSpPr txBox="1"/>
        </xdr:nvSpPr>
        <xdr:spPr>
          <a:xfrm>
            <a:off x="5455920" y="11991975"/>
            <a:ext cx="1190625" cy="588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実現値</a:t>
            </a:r>
          </a:p>
        </xdr:txBody>
      </xdr:sp>
      <xdr:sp macro="" textlink="">
        <xdr:nvSpPr>
          <xdr:cNvPr id="6" name="テキスト ボックス 5">
            <a:extLst>
              <a:ext uri="{FF2B5EF4-FFF2-40B4-BE49-F238E27FC236}">
                <a16:creationId xmlns:a16="http://schemas.microsoft.com/office/drawing/2014/main" id="{7ECCC567-371F-41DB-955F-076F72E4D705}"/>
              </a:ext>
            </a:extLst>
          </xdr:cNvPr>
          <xdr:cNvSpPr txBox="1"/>
        </xdr:nvSpPr>
        <xdr:spPr>
          <a:xfrm>
            <a:off x="9092450" y="11751945"/>
            <a:ext cx="124587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中長期予測</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553848</xdr:colOff>
      <xdr:row>36</xdr:row>
      <xdr:rowOff>20671</xdr:rowOff>
    </xdr:from>
    <xdr:to>
      <xdr:col>21</xdr:col>
      <xdr:colOff>225238</xdr:colOff>
      <xdr:row>57</xdr:row>
      <xdr:rowOff>92163</xdr:rowOff>
    </xdr:to>
    <xdr:grpSp>
      <xdr:nvGrpSpPr>
        <xdr:cNvPr id="2" name="グループ化 1">
          <a:extLst>
            <a:ext uri="{FF2B5EF4-FFF2-40B4-BE49-F238E27FC236}">
              <a16:creationId xmlns:a16="http://schemas.microsoft.com/office/drawing/2014/main" id="{9C1FC200-9838-480B-83EE-CB88E1C629C4}"/>
            </a:ext>
          </a:extLst>
        </xdr:cNvPr>
        <xdr:cNvGrpSpPr/>
      </xdr:nvGrpSpPr>
      <xdr:grpSpPr>
        <a:xfrm>
          <a:off x="6092755" y="8549949"/>
          <a:ext cx="8815390" cy="5046903"/>
          <a:chOff x="2730815" y="8302939"/>
          <a:chExt cx="8209600" cy="4870187"/>
        </a:xfrm>
      </xdr:grpSpPr>
      <xdr:graphicFrame macro="">
        <xdr:nvGraphicFramePr>
          <xdr:cNvPr id="3" name="グラフ 2">
            <a:extLst>
              <a:ext uri="{FF2B5EF4-FFF2-40B4-BE49-F238E27FC236}">
                <a16:creationId xmlns:a16="http://schemas.microsoft.com/office/drawing/2014/main" id="{35579B06-4789-433A-938D-408786FC8EB0}"/>
              </a:ext>
            </a:extLst>
          </xdr:cNvPr>
          <xdr:cNvGraphicFramePr/>
        </xdr:nvGraphicFramePr>
        <xdr:xfrm>
          <a:off x="2730815" y="8302939"/>
          <a:ext cx="8209600" cy="4870187"/>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直線コネクタ 3">
            <a:extLst>
              <a:ext uri="{FF2B5EF4-FFF2-40B4-BE49-F238E27FC236}">
                <a16:creationId xmlns:a16="http://schemas.microsoft.com/office/drawing/2014/main" id="{3BC5D9C7-A0EA-427D-9D87-57EC7DBA1B7A}"/>
              </a:ext>
            </a:extLst>
          </xdr:cNvPr>
          <xdr:cNvCxnSpPr/>
        </xdr:nvCxnSpPr>
        <xdr:spPr>
          <a:xfrm flipV="1">
            <a:off x="8649257" y="8435365"/>
            <a:ext cx="0" cy="413766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5" name="テキスト ボックス 4">
            <a:extLst>
              <a:ext uri="{FF2B5EF4-FFF2-40B4-BE49-F238E27FC236}">
                <a16:creationId xmlns:a16="http://schemas.microsoft.com/office/drawing/2014/main" id="{3DA2C93F-1B5A-43E6-8F7C-26E13E6E8EB5}"/>
              </a:ext>
            </a:extLst>
          </xdr:cNvPr>
          <xdr:cNvSpPr txBox="1"/>
        </xdr:nvSpPr>
        <xdr:spPr>
          <a:xfrm>
            <a:off x="5455920" y="11991975"/>
            <a:ext cx="1190625" cy="588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実現値</a:t>
            </a:r>
          </a:p>
        </xdr:txBody>
      </xdr:sp>
      <xdr:sp macro="" textlink="">
        <xdr:nvSpPr>
          <xdr:cNvPr id="6" name="テキスト ボックス 5">
            <a:extLst>
              <a:ext uri="{FF2B5EF4-FFF2-40B4-BE49-F238E27FC236}">
                <a16:creationId xmlns:a16="http://schemas.microsoft.com/office/drawing/2014/main" id="{2EC67BF4-8F70-4065-AF62-CD5664E94FC6}"/>
              </a:ext>
            </a:extLst>
          </xdr:cNvPr>
          <xdr:cNvSpPr txBox="1"/>
        </xdr:nvSpPr>
        <xdr:spPr>
          <a:xfrm>
            <a:off x="9092450" y="11751945"/>
            <a:ext cx="124587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中長期予測</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550038</xdr:colOff>
      <xdr:row>36</xdr:row>
      <xdr:rowOff>16861</xdr:rowOff>
    </xdr:from>
    <xdr:to>
      <xdr:col>21</xdr:col>
      <xdr:colOff>225238</xdr:colOff>
      <xdr:row>57</xdr:row>
      <xdr:rowOff>95973</xdr:rowOff>
    </xdr:to>
    <xdr:grpSp>
      <xdr:nvGrpSpPr>
        <xdr:cNvPr id="2" name="グループ化 1">
          <a:extLst>
            <a:ext uri="{FF2B5EF4-FFF2-40B4-BE49-F238E27FC236}">
              <a16:creationId xmlns:a16="http://schemas.microsoft.com/office/drawing/2014/main" id="{634BC2A6-854E-4566-BA4B-1143C8B6AC11}"/>
            </a:ext>
          </a:extLst>
        </xdr:cNvPr>
        <xdr:cNvGrpSpPr/>
      </xdr:nvGrpSpPr>
      <xdr:grpSpPr>
        <a:xfrm>
          <a:off x="6088945" y="8546139"/>
          <a:ext cx="8819200" cy="5054523"/>
          <a:chOff x="2730815" y="8302939"/>
          <a:chExt cx="8209600" cy="4870187"/>
        </a:xfrm>
      </xdr:grpSpPr>
      <xdr:graphicFrame macro="">
        <xdr:nvGraphicFramePr>
          <xdr:cNvPr id="3" name="グラフ 2">
            <a:extLst>
              <a:ext uri="{FF2B5EF4-FFF2-40B4-BE49-F238E27FC236}">
                <a16:creationId xmlns:a16="http://schemas.microsoft.com/office/drawing/2014/main" id="{234C4B9B-CC51-4E98-A977-C41E1AA4A12C}"/>
              </a:ext>
            </a:extLst>
          </xdr:cNvPr>
          <xdr:cNvGraphicFramePr/>
        </xdr:nvGraphicFramePr>
        <xdr:xfrm>
          <a:off x="2730815" y="8302939"/>
          <a:ext cx="8209600" cy="4870187"/>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直線コネクタ 3">
            <a:extLst>
              <a:ext uri="{FF2B5EF4-FFF2-40B4-BE49-F238E27FC236}">
                <a16:creationId xmlns:a16="http://schemas.microsoft.com/office/drawing/2014/main" id="{82F84A1D-EFA2-4F49-8DF5-E0B912D4D7CB}"/>
              </a:ext>
            </a:extLst>
          </xdr:cNvPr>
          <xdr:cNvCxnSpPr/>
        </xdr:nvCxnSpPr>
        <xdr:spPr>
          <a:xfrm flipV="1">
            <a:off x="8649257" y="8435365"/>
            <a:ext cx="0" cy="413766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5" name="テキスト ボックス 4">
            <a:extLst>
              <a:ext uri="{FF2B5EF4-FFF2-40B4-BE49-F238E27FC236}">
                <a16:creationId xmlns:a16="http://schemas.microsoft.com/office/drawing/2014/main" id="{0D2BA1F9-0B5B-4610-A286-923E58C4CA65}"/>
              </a:ext>
            </a:extLst>
          </xdr:cNvPr>
          <xdr:cNvSpPr txBox="1"/>
        </xdr:nvSpPr>
        <xdr:spPr>
          <a:xfrm>
            <a:off x="5455920" y="11991975"/>
            <a:ext cx="1190625" cy="588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実現値</a:t>
            </a:r>
          </a:p>
        </xdr:txBody>
      </xdr:sp>
      <xdr:sp macro="" textlink="">
        <xdr:nvSpPr>
          <xdr:cNvPr id="6" name="テキスト ボックス 5">
            <a:extLst>
              <a:ext uri="{FF2B5EF4-FFF2-40B4-BE49-F238E27FC236}">
                <a16:creationId xmlns:a16="http://schemas.microsoft.com/office/drawing/2014/main" id="{E261899B-79F6-4751-B14A-FFC6EFDC468C}"/>
              </a:ext>
            </a:extLst>
          </xdr:cNvPr>
          <xdr:cNvSpPr txBox="1"/>
        </xdr:nvSpPr>
        <xdr:spPr>
          <a:xfrm>
            <a:off x="9092450" y="11751945"/>
            <a:ext cx="124587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中長期予測</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546228</xdr:colOff>
      <xdr:row>36</xdr:row>
      <xdr:rowOff>20671</xdr:rowOff>
    </xdr:from>
    <xdr:to>
      <xdr:col>22</xdr:col>
      <xdr:colOff>225238</xdr:colOff>
      <xdr:row>57</xdr:row>
      <xdr:rowOff>99783</xdr:rowOff>
    </xdr:to>
    <xdr:grpSp>
      <xdr:nvGrpSpPr>
        <xdr:cNvPr id="2" name="グループ化 1">
          <a:extLst>
            <a:ext uri="{FF2B5EF4-FFF2-40B4-BE49-F238E27FC236}">
              <a16:creationId xmlns:a16="http://schemas.microsoft.com/office/drawing/2014/main" id="{928793CF-87D5-441D-BB0F-2B4C7A64490F}"/>
            </a:ext>
          </a:extLst>
        </xdr:cNvPr>
        <xdr:cNvGrpSpPr/>
      </xdr:nvGrpSpPr>
      <xdr:grpSpPr>
        <a:xfrm>
          <a:off x="9312429" y="8549949"/>
          <a:ext cx="8823010" cy="5054523"/>
          <a:chOff x="2730815" y="8302939"/>
          <a:chExt cx="8209600" cy="4870187"/>
        </a:xfrm>
      </xdr:grpSpPr>
      <xdr:graphicFrame macro="">
        <xdr:nvGraphicFramePr>
          <xdr:cNvPr id="3" name="グラフ 2">
            <a:extLst>
              <a:ext uri="{FF2B5EF4-FFF2-40B4-BE49-F238E27FC236}">
                <a16:creationId xmlns:a16="http://schemas.microsoft.com/office/drawing/2014/main" id="{C4D0ACB4-4113-4C57-829F-ABA6D80B82CE}"/>
              </a:ext>
            </a:extLst>
          </xdr:cNvPr>
          <xdr:cNvGraphicFramePr/>
        </xdr:nvGraphicFramePr>
        <xdr:xfrm>
          <a:off x="2730815" y="8302939"/>
          <a:ext cx="8209600" cy="4870187"/>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直線コネクタ 3">
            <a:extLst>
              <a:ext uri="{FF2B5EF4-FFF2-40B4-BE49-F238E27FC236}">
                <a16:creationId xmlns:a16="http://schemas.microsoft.com/office/drawing/2014/main" id="{660C35C0-440E-4244-887F-ADBE9198FC80}"/>
              </a:ext>
            </a:extLst>
          </xdr:cNvPr>
          <xdr:cNvCxnSpPr/>
        </xdr:nvCxnSpPr>
        <xdr:spPr>
          <a:xfrm flipV="1">
            <a:off x="8649257" y="8435365"/>
            <a:ext cx="0" cy="413766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6" name="テキスト ボックス 5">
            <a:extLst>
              <a:ext uri="{FF2B5EF4-FFF2-40B4-BE49-F238E27FC236}">
                <a16:creationId xmlns:a16="http://schemas.microsoft.com/office/drawing/2014/main" id="{F9ECF267-7B74-4832-A8A2-050D89508ED9}"/>
              </a:ext>
            </a:extLst>
          </xdr:cNvPr>
          <xdr:cNvSpPr txBox="1"/>
        </xdr:nvSpPr>
        <xdr:spPr>
          <a:xfrm>
            <a:off x="5455920" y="11991975"/>
            <a:ext cx="1190625" cy="588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実現値</a:t>
            </a:r>
          </a:p>
        </xdr:txBody>
      </xdr:sp>
      <xdr:sp macro="" textlink="">
        <xdr:nvSpPr>
          <xdr:cNvPr id="8" name="テキスト ボックス 7">
            <a:extLst>
              <a:ext uri="{FF2B5EF4-FFF2-40B4-BE49-F238E27FC236}">
                <a16:creationId xmlns:a16="http://schemas.microsoft.com/office/drawing/2014/main" id="{5A2BFA1C-CEFC-4E22-B8A9-1F8C51C5B5E3}"/>
              </a:ext>
            </a:extLst>
          </xdr:cNvPr>
          <xdr:cNvSpPr txBox="1"/>
        </xdr:nvSpPr>
        <xdr:spPr>
          <a:xfrm>
            <a:off x="9092450" y="11751945"/>
            <a:ext cx="124587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中長期予測</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422963</xdr:colOff>
      <xdr:row>36</xdr:row>
      <xdr:rowOff>54289</xdr:rowOff>
    </xdr:from>
    <xdr:to>
      <xdr:col>23</xdr:col>
      <xdr:colOff>101973</xdr:colOff>
      <xdr:row>57</xdr:row>
      <xdr:rowOff>133401</xdr:rowOff>
    </xdr:to>
    <xdr:grpSp>
      <xdr:nvGrpSpPr>
        <xdr:cNvPr id="2" name="グループ化 1">
          <a:extLst>
            <a:ext uri="{FF2B5EF4-FFF2-40B4-BE49-F238E27FC236}">
              <a16:creationId xmlns:a16="http://schemas.microsoft.com/office/drawing/2014/main" id="{4F3FE307-FB31-4E81-BBB8-DC2907E50A42}"/>
            </a:ext>
          </a:extLst>
        </xdr:cNvPr>
        <xdr:cNvGrpSpPr/>
      </xdr:nvGrpSpPr>
      <xdr:grpSpPr>
        <a:xfrm>
          <a:off x="9842308" y="8583567"/>
          <a:ext cx="8823010" cy="5054523"/>
          <a:chOff x="2730815" y="8302939"/>
          <a:chExt cx="8209600" cy="4870187"/>
        </a:xfrm>
      </xdr:grpSpPr>
      <xdr:graphicFrame macro="">
        <xdr:nvGraphicFramePr>
          <xdr:cNvPr id="3" name="グラフ 2">
            <a:extLst>
              <a:ext uri="{FF2B5EF4-FFF2-40B4-BE49-F238E27FC236}">
                <a16:creationId xmlns:a16="http://schemas.microsoft.com/office/drawing/2014/main" id="{060FB91D-2BDD-4587-B8CD-9630BB8AEF55}"/>
              </a:ext>
            </a:extLst>
          </xdr:cNvPr>
          <xdr:cNvGraphicFramePr/>
        </xdr:nvGraphicFramePr>
        <xdr:xfrm>
          <a:off x="2730815" y="8302939"/>
          <a:ext cx="8209600" cy="4870187"/>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直線コネクタ 3">
            <a:extLst>
              <a:ext uri="{FF2B5EF4-FFF2-40B4-BE49-F238E27FC236}">
                <a16:creationId xmlns:a16="http://schemas.microsoft.com/office/drawing/2014/main" id="{823C18DC-4327-4EDC-AB02-151D9F8D66F6}"/>
              </a:ext>
            </a:extLst>
          </xdr:cNvPr>
          <xdr:cNvCxnSpPr/>
        </xdr:nvCxnSpPr>
        <xdr:spPr>
          <a:xfrm flipV="1">
            <a:off x="8649267" y="8446770"/>
            <a:ext cx="0" cy="413766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6" name="テキスト ボックス 5">
            <a:extLst>
              <a:ext uri="{FF2B5EF4-FFF2-40B4-BE49-F238E27FC236}">
                <a16:creationId xmlns:a16="http://schemas.microsoft.com/office/drawing/2014/main" id="{5CEC0F6F-D6F5-49B4-815A-8590919B8583}"/>
              </a:ext>
            </a:extLst>
          </xdr:cNvPr>
          <xdr:cNvSpPr txBox="1"/>
        </xdr:nvSpPr>
        <xdr:spPr>
          <a:xfrm>
            <a:off x="5455920" y="11991975"/>
            <a:ext cx="1190625" cy="588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実現値</a:t>
            </a:r>
          </a:p>
        </xdr:txBody>
      </xdr:sp>
      <xdr:sp macro="" textlink="">
        <xdr:nvSpPr>
          <xdr:cNvPr id="8" name="テキスト ボックス 7">
            <a:extLst>
              <a:ext uri="{FF2B5EF4-FFF2-40B4-BE49-F238E27FC236}">
                <a16:creationId xmlns:a16="http://schemas.microsoft.com/office/drawing/2014/main" id="{3B3C4A7B-0F3C-4496-83A1-A0FA112E4219}"/>
              </a:ext>
            </a:extLst>
          </xdr:cNvPr>
          <xdr:cNvSpPr txBox="1"/>
        </xdr:nvSpPr>
        <xdr:spPr>
          <a:xfrm>
            <a:off x="9081159" y="11763367"/>
            <a:ext cx="124587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中長期予測</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344522</xdr:colOff>
      <xdr:row>36</xdr:row>
      <xdr:rowOff>211172</xdr:rowOff>
    </xdr:from>
    <xdr:to>
      <xdr:col>22</xdr:col>
      <xdr:colOff>23532</xdr:colOff>
      <xdr:row>58</xdr:row>
      <xdr:rowOff>66166</xdr:rowOff>
    </xdr:to>
    <xdr:grpSp>
      <xdr:nvGrpSpPr>
        <xdr:cNvPr id="2" name="グループ化 1">
          <a:extLst>
            <a:ext uri="{FF2B5EF4-FFF2-40B4-BE49-F238E27FC236}">
              <a16:creationId xmlns:a16="http://schemas.microsoft.com/office/drawing/2014/main" id="{2FDD7D65-1D8A-4332-BEAD-46388EAD0B7B}"/>
            </a:ext>
          </a:extLst>
        </xdr:cNvPr>
        <xdr:cNvGrpSpPr/>
      </xdr:nvGrpSpPr>
      <xdr:grpSpPr>
        <a:xfrm>
          <a:off x="9107522" y="8636715"/>
          <a:ext cx="8823010" cy="5003937"/>
          <a:chOff x="2730815" y="8302939"/>
          <a:chExt cx="8209600" cy="4870187"/>
        </a:xfrm>
      </xdr:grpSpPr>
      <xdr:graphicFrame macro="">
        <xdr:nvGraphicFramePr>
          <xdr:cNvPr id="3" name="グラフ 2">
            <a:extLst>
              <a:ext uri="{FF2B5EF4-FFF2-40B4-BE49-F238E27FC236}">
                <a16:creationId xmlns:a16="http://schemas.microsoft.com/office/drawing/2014/main" id="{1DA23CD8-6E82-411D-89BD-132813FE3433}"/>
              </a:ext>
            </a:extLst>
          </xdr:cNvPr>
          <xdr:cNvGraphicFramePr/>
        </xdr:nvGraphicFramePr>
        <xdr:xfrm>
          <a:off x="2730815" y="8302939"/>
          <a:ext cx="8209600" cy="4870187"/>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直線コネクタ 3">
            <a:extLst>
              <a:ext uri="{FF2B5EF4-FFF2-40B4-BE49-F238E27FC236}">
                <a16:creationId xmlns:a16="http://schemas.microsoft.com/office/drawing/2014/main" id="{71C9A6F9-BE07-46BB-99CB-DF930BAFB75D}"/>
              </a:ext>
            </a:extLst>
          </xdr:cNvPr>
          <xdr:cNvCxnSpPr/>
        </xdr:nvCxnSpPr>
        <xdr:spPr>
          <a:xfrm flipV="1">
            <a:off x="8705718" y="8446770"/>
            <a:ext cx="0" cy="413766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5" name="テキスト ボックス 4">
            <a:extLst>
              <a:ext uri="{FF2B5EF4-FFF2-40B4-BE49-F238E27FC236}">
                <a16:creationId xmlns:a16="http://schemas.microsoft.com/office/drawing/2014/main" id="{F795038F-DC24-4DA7-93F5-0920B331B8DD}"/>
              </a:ext>
            </a:extLst>
          </xdr:cNvPr>
          <xdr:cNvSpPr txBox="1"/>
        </xdr:nvSpPr>
        <xdr:spPr>
          <a:xfrm>
            <a:off x="5455920" y="11991975"/>
            <a:ext cx="1190625" cy="588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実現値</a:t>
            </a:r>
          </a:p>
        </xdr:txBody>
      </xdr:sp>
      <xdr:sp macro="" textlink="">
        <xdr:nvSpPr>
          <xdr:cNvPr id="6" name="テキスト ボックス 5">
            <a:extLst>
              <a:ext uri="{FF2B5EF4-FFF2-40B4-BE49-F238E27FC236}">
                <a16:creationId xmlns:a16="http://schemas.microsoft.com/office/drawing/2014/main" id="{2B84239F-5C55-4378-AC55-30B7D3511ADB}"/>
              </a:ext>
            </a:extLst>
          </xdr:cNvPr>
          <xdr:cNvSpPr txBox="1"/>
        </xdr:nvSpPr>
        <xdr:spPr>
          <a:xfrm>
            <a:off x="9081159" y="11763367"/>
            <a:ext cx="124587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中長期予測</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53169</xdr:colOff>
      <xdr:row>36</xdr:row>
      <xdr:rowOff>69305</xdr:rowOff>
    </xdr:from>
    <xdr:to>
      <xdr:col>18</xdr:col>
      <xdr:colOff>333487</xdr:colOff>
      <xdr:row>57</xdr:row>
      <xdr:rowOff>140797</xdr:rowOff>
    </xdr:to>
    <xdr:grpSp>
      <xdr:nvGrpSpPr>
        <xdr:cNvPr id="2" name="グループ化 1">
          <a:extLst>
            <a:ext uri="{FF2B5EF4-FFF2-40B4-BE49-F238E27FC236}">
              <a16:creationId xmlns:a16="http://schemas.microsoft.com/office/drawing/2014/main" id="{EF773024-E793-4904-B280-C20B8C3FD53E}"/>
            </a:ext>
          </a:extLst>
        </xdr:cNvPr>
        <xdr:cNvGrpSpPr/>
      </xdr:nvGrpSpPr>
      <xdr:grpSpPr>
        <a:xfrm>
          <a:off x="6834329" y="8598583"/>
          <a:ext cx="8771174" cy="5046903"/>
          <a:chOff x="2734661" y="8304808"/>
          <a:chExt cx="8205764" cy="4868249"/>
        </a:xfrm>
      </xdr:grpSpPr>
      <xdr:graphicFrame macro="">
        <xdr:nvGraphicFramePr>
          <xdr:cNvPr id="3" name="グラフ 2">
            <a:extLst>
              <a:ext uri="{FF2B5EF4-FFF2-40B4-BE49-F238E27FC236}">
                <a16:creationId xmlns:a16="http://schemas.microsoft.com/office/drawing/2014/main" id="{B1FF1F46-A554-4D0C-AC20-42297EE239D6}"/>
              </a:ext>
            </a:extLst>
          </xdr:cNvPr>
          <xdr:cNvGraphicFramePr/>
        </xdr:nvGraphicFramePr>
        <xdr:xfrm>
          <a:off x="2734661" y="8304808"/>
          <a:ext cx="8205764" cy="4868249"/>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直線コネクタ 3">
            <a:extLst>
              <a:ext uri="{FF2B5EF4-FFF2-40B4-BE49-F238E27FC236}">
                <a16:creationId xmlns:a16="http://schemas.microsoft.com/office/drawing/2014/main" id="{A8D9CE17-B33F-46B5-A21B-C0C54C408D7E}"/>
              </a:ext>
            </a:extLst>
          </xdr:cNvPr>
          <xdr:cNvCxnSpPr/>
        </xdr:nvCxnSpPr>
        <xdr:spPr>
          <a:xfrm flipV="1">
            <a:off x="8649262" y="8446770"/>
            <a:ext cx="0" cy="413766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 name="直線コネクタ 4">
            <a:extLst>
              <a:ext uri="{FF2B5EF4-FFF2-40B4-BE49-F238E27FC236}">
                <a16:creationId xmlns:a16="http://schemas.microsoft.com/office/drawing/2014/main" id="{73548C4A-4C99-4E65-ACC1-EA0467D92E6E}"/>
              </a:ext>
            </a:extLst>
          </xdr:cNvPr>
          <xdr:cNvCxnSpPr/>
        </xdr:nvCxnSpPr>
        <xdr:spPr>
          <a:xfrm flipV="1">
            <a:off x="8938822" y="8446770"/>
            <a:ext cx="0" cy="413766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6" name="テキスト ボックス 5">
            <a:extLst>
              <a:ext uri="{FF2B5EF4-FFF2-40B4-BE49-F238E27FC236}">
                <a16:creationId xmlns:a16="http://schemas.microsoft.com/office/drawing/2014/main" id="{69025CED-9B35-4E5E-9782-1B6A552FDEED}"/>
              </a:ext>
            </a:extLst>
          </xdr:cNvPr>
          <xdr:cNvSpPr txBox="1"/>
        </xdr:nvSpPr>
        <xdr:spPr>
          <a:xfrm>
            <a:off x="5455920" y="11991975"/>
            <a:ext cx="1190625" cy="588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実現値</a:t>
            </a:r>
          </a:p>
        </xdr:txBody>
      </xdr:sp>
      <xdr:sp macro="" textlink="">
        <xdr:nvSpPr>
          <xdr:cNvPr id="7" name="テキスト ボックス 6">
            <a:extLst>
              <a:ext uri="{FF2B5EF4-FFF2-40B4-BE49-F238E27FC236}">
                <a16:creationId xmlns:a16="http://schemas.microsoft.com/office/drawing/2014/main" id="{1A487219-AE38-434A-BB4A-19A989E8116F}"/>
              </a:ext>
            </a:extLst>
          </xdr:cNvPr>
          <xdr:cNvSpPr txBox="1"/>
        </xdr:nvSpPr>
        <xdr:spPr>
          <a:xfrm>
            <a:off x="8210969" y="11946255"/>
            <a:ext cx="1184910" cy="603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短期</a:t>
            </a:r>
            <a:endParaRPr kumimoji="1" lang="en-US" altLang="ja-JP" sz="1100" b="1">
              <a:latin typeface="游ゴシック" panose="020B0400000000000000" pitchFamily="50" charset="-128"/>
              <a:ea typeface="游ゴシック" panose="020B0400000000000000" pitchFamily="50" charset="-128"/>
            </a:endParaRPr>
          </a:p>
          <a:p>
            <a:pPr algn="ctr"/>
            <a:r>
              <a:rPr kumimoji="1" lang="ja-JP" altLang="en-US" sz="1100" b="1">
                <a:latin typeface="游ゴシック" panose="020B0400000000000000" pitchFamily="50" charset="-128"/>
                <a:ea typeface="游ゴシック" panose="020B0400000000000000" pitchFamily="50" charset="-128"/>
              </a:rPr>
              <a:t>予測</a:t>
            </a:r>
          </a:p>
        </xdr:txBody>
      </xdr:sp>
      <xdr:sp macro="" textlink="">
        <xdr:nvSpPr>
          <xdr:cNvPr id="8" name="テキスト ボックス 7">
            <a:extLst>
              <a:ext uri="{FF2B5EF4-FFF2-40B4-BE49-F238E27FC236}">
                <a16:creationId xmlns:a16="http://schemas.microsoft.com/office/drawing/2014/main" id="{DCB6FD36-9B03-4628-A85D-E042089B75D0}"/>
              </a:ext>
            </a:extLst>
          </xdr:cNvPr>
          <xdr:cNvSpPr txBox="1"/>
        </xdr:nvSpPr>
        <xdr:spPr>
          <a:xfrm>
            <a:off x="9239250" y="11751945"/>
            <a:ext cx="124587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中長期予測</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4</xdr:col>
      <xdr:colOff>568640</xdr:colOff>
      <xdr:row>36</xdr:row>
      <xdr:rowOff>58099</xdr:rowOff>
    </xdr:from>
    <xdr:to>
      <xdr:col>18</xdr:col>
      <xdr:colOff>238125</xdr:colOff>
      <xdr:row>57</xdr:row>
      <xdr:rowOff>123876</xdr:rowOff>
    </xdr:to>
    <xdr:grpSp>
      <xdr:nvGrpSpPr>
        <xdr:cNvPr id="9" name="グループ化 8">
          <a:extLst>
            <a:ext uri="{FF2B5EF4-FFF2-40B4-BE49-F238E27FC236}">
              <a16:creationId xmlns:a16="http://schemas.microsoft.com/office/drawing/2014/main" id="{E058316E-E35E-4266-B70A-80AE53D981B4}"/>
            </a:ext>
          </a:extLst>
        </xdr:cNvPr>
        <xdr:cNvGrpSpPr/>
      </xdr:nvGrpSpPr>
      <xdr:grpSpPr>
        <a:xfrm>
          <a:off x="6722271" y="8587377"/>
          <a:ext cx="8813485" cy="5041188"/>
          <a:chOff x="2730815" y="8302939"/>
          <a:chExt cx="8209600" cy="4870187"/>
        </a:xfrm>
      </xdr:grpSpPr>
      <xdr:graphicFrame macro="">
        <xdr:nvGraphicFramePr>
          <xdr:cNvPr id="2" name="グラフ 1">
            <a:extLst>
              <a:ext uri="{FF2B5EF4-FFF2-40B4-BE49-F238E27FC236}">
                <a16:creationId xmlns:a16="http://schemas.microsoft.com/office/drawing/2014/main" id="{065D97C8-42C9-4272-AB17-FFFCDBEA080A}"/>
              </a:ext>
            </a:extLst>
          </xdr:cNvPr>
          <xdr:cNvGraphicFramePr/>
        </xdr:nvGraphicFramePr>
        <xdr:xfrm>
          <a:off x="2730815" y="8302939"/>
          <a:ext cx="8209600" cy="4870187"/>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直線コネクタ 3">
            <a:extLst>
              <a:ext uri="{FF2B5EF4-FFF2-40B4-BE49-F238E27FC236}">
                <a16:creationId xmlns:a16="http://schemas.microsoft.com/office/drawing/2014/main" id="{3174DCF3-3BCD-4B5F-9A52-D7D158799EFD}"/>
              </a:ext>
            </a:extLst>
          </xdr:cNvPr>
          <xdr:cNvCxnSpPr/>
        </xdr:nvCxnSpPr>
        <xdr:spPr>
          <a:xfrm flipV="1">
            <a:off x="8694420" y="8446770"/>
            <a:ext cx="0" cy="413766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 name="直線コネクタ 4">
            <a:extLst>
              <a:ext uri="{FF2B5EF4-FFF2-40B4-BE49-F238E27FC236}">
                <a16:creationId xmlns:a16="http://schemas.microsoft.com/office/drawing/2014/main" id="{024DB34F-FAE4-45B4-B14F-11FBBAAC8AB9}"/>
              </a:ext>
            </a:extLst>
          </xdr:cNvPr>
          <xdr:cNvCxnSpPr/>
        </xdr:nvCxnSpPr>
        <xdr:spPr>
          <a:xfrm flipV="1">
            <a:off x="8983980" y="8446770"/>
            <a:ext cx="0" cy="413766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6" name="テキスト ボックス 5">
            <a:extLst>
              <a:ext uri="{FF2B5EF4-FFF2-40B4-BE49-F238E27FC236}">
                <a16:creationId xmlns:a16="http://schemas.microsoft.com/office/drawing/2014/main" id="{066CDF23-50E5-474D-B338-CDF005DE491F}"/>
              </a:ext>
            </a:extLst>
          </xdr:cNvPr>
          <xdr:cNvSpPr txBox="1"/>
        </xdr:nvSpPr>
        <xdr:spPr>
          <a:xfrm>
            <a:off x="5455920" y="11991975"/>
            <a:ext cx="1190625" cy="588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実現値</a:t>
            </a:r>
          </a:p>
        </xdr:txBody>
      </xdr:sp>
      <xdr:sp macro="" textlink="">
        <xdr:nvSpPr>
          <xdr:cNvPr id="7" name="テキスト ボックス 6">
            <a:extLst>
              <a:ext uri="{FF2B5EF4-FFF2-40B4-BE49-F238E27FC236}">
                <a16:creationId xmlns:a16="http://schemas.microsoft.com/office/drawing/2014/main" id="{E06360BB-D16F-45D4-8F32-FDB996C01283}"/>
              </a:ext>
            </a:extLst>
          </xdr:cNvPr>
          <xdr:cNvSpPr txBox="1"/>
        </xdr:nvSpPr>
        <xdr:spPr>
          <a:xfrm>
            <a:off x="8244840" y="11946255"/>
            <a:ext cx="1184910" cy="603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短期</a:t>
            </a:r>
            <a:endParaRPr kumimoji="1" lang="en-US" altLang="ja-JP" sz="1100" b="1">
              <a:latin typeface="游ゴシック" panose="020B0400000000000000" pitchFamily="50" charset="-128"/>
              <a:ea typeface="游ゴシック" panose="020B0400000000000000" pitchFamily="50" charset="-128"/>
            </a:endParaRPr>
          </a:p>
          <a:p>
            <a:pPr algn="ctr"/>
            <a:r>
              <a:rPr kumimoji="1" lang="ja-JP" altLang="en-US" sz="1100" b="1">
                <a:latin typeface="游ゴシック" panose="020B0400000000000000" pitchFamily="50" charset="-128"/>
                <a:ea typeface="游ゴシック" panose="020B0400000000000000" pitchFamily="50" charset="-128"/>
              </a:rPr>
              <a:t>予測</a:t>
            </a:r>
          </a:p>
        </xdr:txBody>
      </xdr:sp>
      <xdr:sp macro="" textlink="">
        <xdr:nvSpPr>
          <xdr:cNvPr id="8" name="テキスト ボックス 7">
            <a:extLst>
              <a:ext uri="{FF2B5EF4-FFF2-40B4-BE49-F238E27FC236}">
                <a16:creationId xmlns:a16="http://schemas.microsoft.com/office/drawing/2014/main" id="{CBD37912-F4FF-4927-910C-7B54B3112F9A}"/>
              </a:ext>
            </a:extLst>
          </xdr:cNvPr>
          <xdr:cNvSpPr txBox="1"/>
        </xdr:nvSpPr>
        <xdr:spPr>
          <a:xfrm>
            <a:off x="9239250" y="11751945"/>
            <a:ext cx="124587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中長期予測</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323850</xdr:colOff>
      <xdr:row>14</xdr:row>
      <xdr:rowOff>87086</xdr:rowOff>
    </xdr:from>
    <xdr:to>
      <xdr:col>6</xdr:col>
      <xdr:colOff>15240</xdr:colOff>
      <xdr:row>21</xdr:row>
      <xdr:rowOff>66675</xdr:rowOff>
    </xdr:to>
    <xdr:sp macro="" textlink="">
      <xdr:nvSpPr>
        <xdr:cNvPr id="2" name="正方形/長方形 1">
          <a:extLst>
            <a:ext uri="{FF2B5EF4-FFF2-40B4-BE49-F238E27FC236}">
              <a16:creationId xmlns:a16="http://schemas.microsoft.com/office/drawing/2014/main" id="{7CD55B2F-0A79-43C1-B672-C0C76AB02FF0}"/>
            </a:ext>
          </a:extLst>
        </xdr:cNvPr>
        <xdr:cNvSpPr/>
      </xdr:nvSpPr>
      <xdr:spPr>
        <a:xfrm>
          <a:off x="3371850" y="2373086"/>
          <a:ext cx="910590" cy="112258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游ゴシック" panose="020B0400000000000000" pitchFamily="50" charset="-128"/>
              <a:ea typeface="游ゴシック" panose="020B0400000000000000" pitchFamily="50" charset="-128"/>
            </a:rPr>
            <a:t>固定</a:t>
          </a:r>
          <a:endParaRPr kumimoji="1" lang="en-US" altLang="ja-JP" sz="1600" b="1">
            <a:latin typeface="游ゴシック" panose="020B0400000000000000" pitchFamily="50" charset="-128"/>
            <a:ea typeface="游ゴシック" panose="020B0400000000000000" pitchFamily="50" charset="-128"/>
          </a:endParaRPr>
        </a:p>
        <a:p>
          <a:pPr algn="ctr"/>
          <a:r>
            <a:rPr kumimoji="1" lang="ja-JP" altLang="en-US" sz="1600" b="1">
              <a:latin typeface="游ゴシック" panose="020B0400000000000000" pitchFamily="50" charset="-128"/>
              <a:ea typeface="游ゴシック" panose="020B0400000000000000" pitchFamily="50" charset="-128"/>
            </a:rPr>
            <a:t>資本</a:t>
          </a:r>
          <a:endParaRPr kumimoji="1" lang="en-US" altLang="ja-JP" sz="1600" b="1">
            <a:latin typeface="游ゴシック" panose="020B0400000000000000" pitchFamily="50" charset="-128"/>
            <a:ea typeface="游ゴシック" panose="020B0400000000000000" pitchFamily="50" charset="-128"/>
          </a:endParaRPr>
        </a:p>
        <a:p>
          <a:pPr algn="ctr"/>
          <a:r>
            <a:rPr kumimoji="1" lang="ja-JP" altLang="en-US" sz="1600" b="1">
              <a:latin typeface="游ゴシック" panose="020B0400000000000000" pitchFamily="50" charset="-128"/>
              <a:ea typeface="游ゴシック" panose="020B0400000000000000" pitchFamily="50" charset="-128"/>
            </a:rPr>
            <a:t>投資</a:t>
          </a:r>
        </a:p>
      </xdr:txBody>
    </xdr:sp>
    <xdr:clientData/>
  </xdr:twoCellAnchor>
  <xdr:twoCellAnchor>
    <xdr:from>
      <xdr:col>4</xdr:col>
      <xdr:colOff>320040</xdr:colOff>
      <xdr:row>21</xdr:row>
      <xdr:rowOff>64770</xdr:rowOff>
    </xdr:from>
    <xdr:to>
      <xdr:col>6</xdr:col>
      <xdr:colOff>19050</xdr:colOff>
      <xdr:row>42</xdr:row>
      <xdr:rowOff>0</xdr:rowOff>
    </xdr:to>
    <xdr:sp macro="" textlink="">
      <xdr:nvSpPr>
        <xdr:cNvPr id="3" name="正方形/長方形 2">
          <a:extLst>
            <a:ext uri="{FF2B5EF4-FFF2-40B4-BE49-F238E27FC236}">
              <a16:creationId xmlns:a16="http://schemas.microsoft.com/office/drawing/2014/main" id="{D6E8746E-70AA-4263-9E13-F788F17989D7}"/>
            </a:ext>
          </a:extLst>
        </xdr:cNvPr>
        <xdr:cNvSpPr/>
      </xdr:nvSpPr>
      <xdr:spPr>
        <a:xfrm>
          <a:off x="3368040" y="3585210"/>
          <a:ext cx="918210" cy="345567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游ゴシック" panose="020B0400000000000000" pitchFamily="50" charset="-128"/>
              <a:ea typeface="游ゴシック" panose="020B0400000000000000" pitchFamily="50" charset="-128"/>
            </a:rPr>
            <a:t>期首</a:t>
          </a:r>
          <a:endParaRPr kumimoji="1" lang="en-US" altLang="ja-JP" sz="1600" b="1">
            <a:latin typeface="游ゴシック" panose="020B0400000000000000" pitchFamily="50" charset="-128"/>
            <a:ea typeface="游ゴシック" panose="020B0400000000000000" pitchFamily="50" charset="-128"/>
          </a:endParaRPr>
        </a:p>
        <a:p>
          <a:pPr algn="ctr"/>
          <a:r>
            <a:rPr kumimoji="1" lang="ja-JP" altLang="en-US" sz="1600" b="1">
              <a:latin typeface="游ゴシック" panose="020B0400000000000000" pitchFamily="50" charset="-128"/>
              <a:ea typeface="游ゴシック" panose="020B0400000000000000" pitchFamily="50" charset="-128"/>
            </a:rPr>
            <a:t>固定</a:t>
          </a:r>
          <a:endParaRPr kumimoji="1" lang="en-US" altLang="ja-JP" sz="1600" b="1">
            <a:latin typeface="游ゴシック" panose="020B0400000000000000" pitchFamily="50" charset="-128"/>
            <a:ea typeface="游ゴシック" panose="020B0400000000000000" pitchFamily="50" charset="-128"/>
          </a:endParaRPr>
        </a:p>
        <a:p>
          <a:pPr algn="ctr"/>
          <a:r>
            <a:rPr kumimoji="1" lang="ja-JP" altLang="en-US" sz="1600" b="1">
              <a:latin typeface="游ゴシック" panose="020B0400000000000000" pitchFamily="50" charset="-128"/>
              <a:ea typeface="游ゴシック" panose="020B0400000000000000" pitchFamily="50" charset="-128"/>
            </a:rPr>
            <a:t>資本</a:t>
          </a:r>
          <a:endParaRPr kumimoji="1" lang="en-US" altLang="ja-JP" sz="1600" b="1">
            <a:latin typeface="游ゴシック" panose="020B0400000000000000" pitchFamily="50" charset="-128"/>
            <a:ea typeface="游ゴシック" panose="020B0400000000000000" pitchFamily="50" charset="-128"/>
          </a:endParaRPr>
        </a:p>
        <a:p>
          <a:pPr algn="ctr"/>
          <a:r>
            <a:rPr kumimoji="1" lang="ja-JP" altLang="en-US" sz="1600" b="1">
              <a:latin typeface="游ゴシック" panose="020B0400000000000000" pitchFamily="50" charset="-128"/>
              <a:ea typeface="游ゴシック" panose="020B0400000000000000" pitchFamily="50" charset="-128"/>
            </a:rPr>
            <a:t>ストック</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8</xdr:col>
      <xdr:colOff>148590</xdr:colOff>
      <xdr:row>14</xdr:row>
      <xdr:rowOff>97971</xdr:rowOff>
    </xdr:from>
    <xdr:to>
      <xdr:col>9</xdr:col>
      <xdr:colOff>449036</xdr:colOff>
      <xdr:row>35</xdr:row>
      <xdr:rowOff>1905</xdr:rowOff>
    </xdr:to>
    <xdr:sp macro="" textlink="">
      <xdr:nvSpPr>
        <xdr:cNvPr id="4" name="正方形/長方形 3">
          <a:extLst>
            <a:ext uri="{FF2B5EF4-FFF2-40B4-BE49-F238E27FC236}">
              <a16:creationId xmlns:a16="http://schemas.microsoft.com/office/drawing/2014/main" id="{8041254C-3EF5-4A85-80C4-BED48F059E44}"/>
            </a:ext>
          </a:extLst>
        </xdr:cNvPr>
        <xdr:cNvSpPr/>
      </xdr:nvSpPr>
      <xdr:spPr>
        <a:xfrm>
          <a:off x="5743847" y="2383971"/>
          <a:ext cx="910046" cy="333293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游ゴシック" panose="020B0400000000000000" pitchFamily="50" charset="-128"/>
              <a:ea typeface="游ゴシック" panose="020B0400000000000000" pitchFamily="50" charset="-128"/>
            </a:rPr>
            <a:t>期末</a:t>
          </a:r>
          <a:endParaRPr kumimoji="1" lang="en-US" altLang="ja-JP" sz="1600" b="1">
            <a:latin typeface="游ゴシック" panose="020B0400000000000000" pitchFamily="50" charset="-128"/>
            <a:ea typeface="游ゴシック" panose="020B0400000000000000" pitchFamily="50" charset="-128"/>
          </a:endParaRPr>
        </a:p>
        <a:p>
          <a:pPr algn="ctr"/>
          <a:r>
            <a:rPr kumimoji="1" lang="ja-JP" altLang="en-US" sz="1600" b="1">
              <a:latin typeface="游ゴシック" panose="020B0400000000000000" pitchFamily="50" charset="-128"/>
              <a:ea typeface="游ゴシック" panose="020B0400000000000000" pitchFamily="50" charset="-128"/>
            </a:rPr>
            <a:t>固定</a:t>
          </a:r>
          <a:endParaRPr kumimoji="1" lang="en-US" altLang="ja-JP" sz="1600" b="1">
            <a:latin typeface="游ゴシック" panose="020B0400000000000000" pitchFamily="50" charset="-128"/>
            <a:ea typeface="游ゴシック" panose="020B0400000000000000" pitchFamily="50" charset="-128"/>
          </a:endParaRPr>
        </a:p>
        <a:p>
          <a:pPr algn="ctr"/>
          <a:r>
            <a:rPr kumimoji="1" lang="ja-JP" altLang="en-US" sz="1600" b="1">
              <a:latin typeface="游ゴシック" panose="020B0400000000000000" pitchFamily="50" charset="-128"/>
              <a:ea typeface="游ゴシック" panose="020B0400000000000000" pitchFamily="50" charset="-128"/>
            </a:rPr>
            <a:t>資本</a:t>
          </a:r>
          <a:endParaRPr kumimoji="1" lang="en-US" altLang="ja-JP" sz="1600" b="1">
            <a:latin typeface="游ゴシック" panose="020B0400000000000000" pitchFamily="50" charset="-128"/>
            <a:ea typeface="游ゴシック" panose="020B0400000000000000" pitchFamily="50" charset="-128"/>
          </a:endParaRPr>
        </a:p>
        <a:p>
          <a:pPr algn="ctr"/>
          <a:r>
            <a:rPr kumimoji="1" lang="ja-JP" altLang="en-US" sz="1600" b="1">
              <a:latin typeface="游ゴシック" panose="020B0400000000000000" pitchFamily="50" charset="-128"/>
              <a:ea typeface="游ゴシック" panose="020B0400000000000000" pitchFamily="50" charset="-128"/>
            </a:rPr>
            <a:t>ストック</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8</xdr:col>
      <xdr:colOff>152400</xdr:colOff>
      <xdr:row>35</xdr:row>
      <xdr:rowOff>0</xdr:rowOff>
    </xdr:from>
    <xdr:to>
      <xdr:col>9</xdr:col>
      <xdr:colOff>455295</xdr:colOff>
      <xdr:row>42</xdr:row>
      <xdr:rowOff>1905</xdr:rowOff>
    </xdr:to>
    <xdr:sp macro="" textlink="">
      <xdr:nvSpPr>
        <xdr:cNvPr id="5" name="正方形/長方形 4">
          <a:extLst>
            <a:ext uri="{FF2B5EF4-FFF2-40B4-BE49-F238E27FC236}">
              <a16:creationId xmlns:a16="http://schemas.microsoft.com/office/drawing/2014/main" id="{F54A3BAC-529B-442B-9505-FD8714B074A6}"/>
            </a:ext>
          </a:extLst>
        </xdr:cNvPr>
        <xdr:cNvSpPr/>
      </xdr:nvSpPr>
      <xdr:spPr>
        <a:xfrm>
          <a:off x="5745480" y="5867400"/>
          <a:ext cx="912495" cy="117538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游ゴシック" panose="020B0400000000000000" pitchFamily="50" charset="-128"/>
              <a:ea typeface="游ゴシック" panose="020B0400000000000000" pitchFamily="50" charset="-128"/>
            </a:rPr>
            <a:t>固定</a:t>
          </a:r>
          <a:endParaRPr kumimoji="1" lang="en-US" altLang="ja-JP" sz="1600" b="1">
            <a:latin typeface="游ゴシック" panose="020B0400000000000000" pitchFamily="50" charset="-128"/>
            <a:ea typeface="游ゴシック" panose="020B0400000000000000" pitchFamily="50" charset="-128"/>
          </a:endParaRPr>
        </a:p>
        <a:p>
          <a:pPr algn="ctr"/>
          <a:r>
            <a:rPr kumimoji="1" lang="ja-JP" altLang="en-US" sz="1600" b="1">
              <a:latin typeface="游ゴシック" panose="020B0400000000000000" pitchFamily="50" charset="-128"/>
              <a:ea typeface="游ゴシック" panose="020B0400000000000000" pitchFamily="50" charset="-128"/>
            </a:rPr>
            <a:t>資本</a:t>
          </a:r>
          <a:endParaRPr kumimoji="1" lang="en-US" altLang="ja-JP" sz="1600" b="1">
            <a:latin typeface="游ゴシック" panose="020B0400000000000000" pitchFamily="50" charset="-128"/>
            <a:ea typeface="游ゴシック" panose="020B0400000000000000" pitchFamily="50" charset="-128"/>
          </a:endParaRPr>
        </a:p>
        <a:p>
          <a:pPr algn="ctr"/>
          <a:r>
            <a:rPr kumimoji="1" lang="ja-JP" altLang="en-US" sz="1600" b="1">
              <a:latin typeface="游ゴシック" panose="020B0400000000000000" pitchFamily="50" charset="-128"/>
              <a:ea typeface="游ゴシック" panose="020B0400000000000000" pitchFamily="50" charset="-128"/>
            </a:rPr>
            <a:t>減耗</a:t>
          </a:r>
        </a:p>
      </xdr:txBody>
    </xdr:sp>
    <xdr:clientData/>
  </xdr:twoCellAnchor>
  <xdr:twoCellAnchor>
    <xdr:from>
      <xdr:col>9</xdr:col>
      <xdr:colOff>457200</xdr:colOff>
      <xdr:row>14</xdr:row>
      <xdr:rowOff>108857</xdr:rowOff>
    </xdr:from>
    <xdr:to>
      <xdr:col>14</xdr:col>
      <xdr:colOff>0</xdr:colOff>
      <xdr:row>22</xdr:row>
      <xdr:rowOff>11430</xdr:rowOff>
    </xdr:to>
    <xdr:cxnSp macro="">
      <xdr:nvCxnSpPr>
        <xdr:cNvPr id="6" name="直線コネクタ 5">
          <a:extLst>
            <a:ext uri="{FF2B5EF4-FFF2-40B4-BE49-F238E27FC236}">
              <a16:creationId xmlns:a16="http://schemas.microsoft.com/office/drawing/2014/main" id="{E08DFBB8-E670-4F3E-BBC4-BEE07EC1D0C9}"/>
            </a:ext>
          </a:extLst>
        </xdr:cNvPr>
        <xdr:cNvCxnSpPr/>
      </xdr:nvCxnSpPr>
      <xdr:spPr>
        <a:xfrm>
          <a:off x="6662057" y="2394857"/>
          <a:ext cx="2590800" cy="1208859"/>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468630</xdr:colOff>
      <xdr:row>35</xdr:row>
      <xdr:rowOff>11430</xdr:rowOff>
    </xdr:from>
    <xdr:to>
      <xdr:col>13</xdr:col>
      <xdr:colOff>600075</xdr:colOff>
      <xdr:row>42</xdr:row>
      <xdr:rowOff>19050</xdr:rowOff>
    </xdr:to>
    <xdr:cxnSp macro="">
      <xdr:nvCxnSpPr>
        <xdr:cNvPr id="7" name="直線コネクタ 6">
          <a:extLst>
            <a:ext uri="{FF2B5EF4-FFF2-40B4-BE49-F238E27FC236}">
              <a16:creationId xmlns:a16="http://schemas.microsoft.com/office/drawing/2014/main" id="{3BEADF7B-FABE-41F7-83B3-DE3D67B817C5}"/>
            </a:ext>
          </a:extLst>
        </xdr:cNvPr>
        <xdr:cNvCxnSpPr/>
      </xdr:nvCxnSpPr>
      <xdr:spPr>
        <a:xfrm>
          <a:off x="6671310" y="5878830"/>
          <a:ext cx="2569845" cy="1181100"/>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19051</xdr:colOff>
      <xdr:row>21</xdr:row>
      <xdr:rowOff>54429</xdr:rowOff>
    </xdr:from>
    <xdr:to>
      <xdr:col>6</xdr:col>
      <xdr:colOff>152401</xdr:colOff>
      <xdr:row>41</xdr:row>
      <xdr:rowOff>161925</xdr:rowOff>
    </xdr:to>
    <xdr:sp macro="" textlink="">
      <xdr:nvSpPr>
        <xdr:cNvPr id="8" name="右大かっこ 7">
          <a:extLst>
            <a:ext uri="{FF2B5EF4-FFF2-40B4-BE49-F238E27FC236}">
              <a16:creationId xmlns:a16="http://schemas.microsoft.com/office/drawing/2014/main" id="{188397BF-E3CA-4E1F-A65B-3296B90DD8B3}"/>
            </a:ext>
          </a:extLst>
        </xdr:cNvPr>
        <xdr:cNvSpPr/>
      </xdr:nvSpPr>
      <xdr:spPr>
        <a:xfrm>
          <a:off x="4286251" y="3483429"/>
          <a:ext cx="133350" cy="3373210"/>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600">
            <a:latin typeface="游ゴシック" panose="020B0400000000000000" pitchFamily="50" charset="-128"/>
            <a:ea typeface="游ゴシック" panose="020B0400000000000000" pitchFamily="50" charset="-128"/>
          </a:endParaRPr>
        </a:p>
      </xdr:txBody>
    </xdr:sp>
    <xdr:clientData/>
  </xdr:twoCellAnchor>
  <xdr:twoCellAnchor>
    <xdr:from>
      <xdr:col>6</xdr:col>
      <xdr:colOff>171450</xdr:colOff>
      <xdr:row>38</xdr:row>
      <xdr:rowOff>85725</xdr:rowOff>
    </xdr:from>
    <xdr:to>
      <xdr:col>8</xdr:col>
      <xdr:colOff>152400</xdr:colOff>
      <xdr:row>38</xdr:row>
      <xdr:rowOff>86678</xdr:rowOff>
    </xdr:to>
    <xdr:cxnSp macro="">
      <xdr:nvCxnSpPr>
        <xdr:cNvPr id="9" name="直線矢印コネクタ 8">
          <a:extLst>
            <a:ext uri="{FF2B5EF4-FFF2-40B4-BE49-F238E27FC236}">
              <a16:creationId xmlns:a16="http://schemas.microsoft.com/office/drawing/2014/main" id="{36E7BA92-B70D-4DA5-8BA1-A7823B657200}"/>
            </a:ext>
          </a:extLst>
        </xdr:cNvPr>
        <xdr:cNvCxnSpPr>
          <a:endCxn id="5" idx="1"/>
        </xdr:cNvCxnSpPr>
      </xdr:nvCxnSpPr>
      <xdr:spPr>
        <a:xfrm>
          <a:off x="4438650" y="6456045"/>
          <a:ext cx="1306830" cy="95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322489</xdr:colOff>
      <xdr:row>0</xdr:row>
      <xdr:rowOff>0</xdr:rowOff>
    </xdr:from>
    <xdr:to>
      <xdr:col>7</xdr:col>
      <xdr:colOff>629739</xdr:colOff>
      <xdr:row>3</xdr:row>
      <xdr:rowOff>122464</xdr:rowOff>
    </xdr:to>
    <xdr:sp macro="" textlink="">
      <xdr:nvSpPr>
        <xdr:cNvPr id="10" name="テキスト ボックス 9">
          <a:extLst>
            <a:ext uri="{FF2B5EF4-FFF2-40B4-BE49-F238E27FC236}">
              <a16:creationId xmlns:a16="http://schemas.microsoft.com/office/drawing/2014/main" id="{4700FF5D-0079-4524-AFDC-B8CE3642B3ED}"/>
            </a:ext>
          </a:extLst>
        </xdr:cNvPr>
        <xdr:cNvSpPr txBox="1"/>
      </xdr:nvSpPr>
      <xdr:spPr>
        <a:xfrm>
          <a:off x="4589689" y="0"/>
          <a:ext cx="916850" cy="625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b="1" u="sng">
              <a:latin typeface="游ゴシック" panose="020B0400000000000000" pitchFamily="50" charset="-128"/>
              <a:ea typeface="游ゴシック" panose="020B0400000000000000" pitchFamily="50" charset="-128"/>
            </a:rPr>
            <a:t>今期</a:t>
          </a:r>
        </a:p>
      </xdr:txBody>
    </xdr:sp>
    <xdr:clientData/>
  </xdr:twoCellAnchor>
  <xdr:twoCellAnchor>
    <xdr:from>
      <xdr:col>5</xdr:col>
      <xdr:colOff>474347</xdr:colOff>
      <xdr:row>38</xdr:row>
      <xdr:rowOff>68035</xdr:rowOff>
    </xdr:from>
    <xdr:to>
      <xdr:col>8</xdr:col>
      <xdr:colOff>296364</xdr:colOff>
      <xdr:row>40</xdr:row>
      <xdr:rowOff>89809</xdr:rowOff>
    </xdr:to>
    <xdr:sp macro="" textlink="">
      <xdr:nvSpPr>
        <xdr:cNvPr id="11" name="テキスト ボックス 10">
          <a:extLst>
            <a:ext uri="{FF2B5EF4-FFF2-40B4-BE49-F238E27FC236}">
              <a16:creationId xmlns:a16="http://schemas.microsoft.com/office/drawing/2014/main" id="{8BC7495B-1C51-4423-9FD5-92D368F98559}"/>
            </a:ext>
          </a:extLst>
        </xdr:cNvPr>
        <xdr:cNvSpPr txBox="1"/>
      </xdr:nvSpPr>
      <xdr:spPr>
        <a:xfrm>
          <a:off x="4131947" y="6272892"/>
          <a:ext cx="1759674" cy="348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b="1" u="none">
              <a:latin typeface="游ゴシック" panose="020B0400000000000000" pitchFamily="50" charset="-128"/>
              <a:ea typeface="游ゴシック" panose="020B0400000000000000" pitchFamily="50" charset="-128"/>
            </a:rPr>
            <a:t>×</a:t>
          </a:r>
          <a:r>
            <a:rPr kumimoji="1" lang="ja-JP" altLang="en-US" sz="1600" b="1" u="none">
              <a:latin typeface="游ゴシック" panose="020B0400000000000000" pitchFamily="50" charset="-128"/>
              <a:ea typeface="游ゴシック" panose="020B0400000000000000" pitchFamily="50" charset="-128"/>
            </a:rPr>
            <a:t>減耗率</a:t>
          </a:r>
        </a:p>
      </xdr:txBody>
    </xdr:sp>
    <xdr:clientData/>
  </xdr:twoCellAnchor>
  <xdr:twoCellAnchor>
    <xdr:from>
      <xdr:col>4</xdr:col>
      <xdr:colOff>44903</xdr:colOff>
      <xdr:row>11</xdr:row>
      <xdr:rowOff>117022</xdr:rowOff>
    </xdr:from>
    <xdr:to>
      <xdr:col>5</xdr:col>
      <xdr:colOff>511899</xdr:colOff>
      <xdr:row>13</xdr:row>
      <xdr:rowOff>174170</xdr:rowOff>
    </xdr:to>
    <xdr:sp macro="" textlink="">
      <xdr:nvSpPr>
        <xdr:cNvPr id="12" name="テキスト ボックス 11">
          <a:extLst>
            <a:ext uri="{FF2B5EF4-FFF2-40B4-BE49-F238E27FC236}">
              <a16:creationId xmlns:a16="http://schemas.microsoft.com/office/drawing/2014/main" id="{59D94CB3-D34C-48D3-8DA0-165FEABA264E}"/>
            </a:ext>
          </a:extLst>
        </xdr:cNvPr>
        <xdr:cNvSpPr txBox="1"/>
      </xdr:nvSpPr>
      <xdr:spPr>
        <a:xfrm>
          <a:off x="3092903" y="1961062"/>
          <a:ext cx="1076596" cy="384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b="1" u="none">
              <a:latin typeface="游ゴシック" panose="020B0400000000000000" pitchFamily="50" charset="-128"/>
              <a:ea typeface="游ゴシック" panose="020B0400000000000000" pitchFamily="50" charset="-128"/>
            </a:rPr>
            <a:t>×</a:t>
          </a:r>
          <a:r>
            <a:rPr kumimoji="1" lang="ja-JP" altLang="en-US" sz="1600" b="1" u="none">
              <a:latin typeface="游ゴシック" panose="020B0400000000000000" pitchFamily="50" charset="-128"/>
              <a:ea typeface="游ゴシック" panose="020B0400000000000000" pitchFamily="50" charset="-128"/>
            </a:rPr>
            <a:t>投資率</a:t>
          </a:r>
        </a:p>
      </xdr:txBody>
    </xdr:sp>
    <xdr:clientData/>
  </xdr:twoCellAnchor>
  <xdr:twoCellAnchor>
    <xdr:from>
      <xdr:col>1</xdr:col>
      <xdr:colOff>41095</xdr:colOff>
      <xdr:row>5</xdr:row>
      <xdr:rowOff>108857</xdr:rowOff>
    </xdr:from>
    <xdr:to>
      <xdr:col>7</xdr:col>
      <xdr:colOff>56880</xdr:colOff>
      <xdr:row>10</xdr:row>
      <xdr:rowOff>60415</xdr:rowOff>
    </xdr:to>
    <xdr:sp macro="" textlink="">
      <xdr:nvSpPr>
        <xdr:cNvPr id="13" name="テキスト ボックス 12">
          <a:extLst>
            <a:ext uri="{FF2B5EF4-FFF2-40B4-BE49-F238E27FC236}">
              <a16:creationId xmlns:a16="http://schemas.microsoft.com/office/drawing/2014/main" id="{20931151-5C32-4095-AF59-935F19B0E12C}"/>
            </a:ext>
          </a:extLst>
        </xdr:cNvPr>
        <xdr:cNvSpPr txBox="1"/>
      </xdr:nvSpPr>
      <xdr:spPr>
        <a:xfrm>
          <a:off x="1260295" y="947057"/>
          <a:ext cx="3673385" cy="789758"/>
        </a:xfrm>
        <a:prstGeom prst="rect">
          <a:avLst/>
        </a:prstGeom>
        <a:ln>
          <a:prstDash val="dash"/>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en-US" altLang="ja-JP" sz="1600" b="1" u="none">
              <a:solidFill>
                <a:sysClr val="windowText" lastClr="000000"/>
              </a:solidFill>
              <a:latin typeface="游ゴシック" panose="020B0400000000000000" pitchFamily="50" charset="-128"/>
              <a:ea typeface="游ゴシック" panose="020B0400000000000000" pitchFamily="50" charset="-128"/>
            </a:rPr>
            <a:t>GDP</a:t>
          </a:r>
          <a:endParaRPr kumimoji="1" lang="ja-JP" altLang="en-US" sz="1600" b="1" u="none">
            <a:solidFill>
              <a:sysClr val="windowText" lastClr="000000"/>
            </a:solidFill>
            <a:latin typeface="游ゴシック" panose="020B0400000000000000" pitchFamily="50" charset="-128"/>
            <a:ea typeface="游ゴシック" panose="020B0400000000000000" pitchFamily="50" charset="-128"/>
          </a:endParaRPr>
        </a:p>
      </xdr:txBody>
    </xdr:sp>
    <xdr:clientData/>
  </xdr:twoCellAnchor>
  <xdr:twoCellAnchor>
    <xdr:from>
      <xdr:col>11</xdr:col>
      <xdr:colOff>217714</xdr:colOff>
      <xdr:row>27</xdr:row>
      <xdr:rowOff>143147</xdr:rowOff>
    </xdr:from>
    <xdr:to>
      <xdr:col>12</xdr:col>
      <xdr:colOff>280034</xdr:colOff>
      <xdr:row>30</xdr:row>
      <xdr:rowOff>137976</xdr:rowOff>
    </xdr:to>
    <xdr:sp macro="" textlink="">
      <xdr:nvSpPr>
        <xdr:cNvPr id="19" name="矢印: 右 18">
          <a:extLst>
            <a:ext uri="{FF2B5EF4-FFF2-40B4-BE49-F238E27FC236}">
              <a16:creationId xmlns:a16="http://schemas.microsoft.com/office/drawing/2014/main" id="{89F73477-CC45-47A5-94FF-71E125BE46C1}"/>
            </a:ext>
          </a:extLst>
        </xdr:cNvPr>
        <xdr:cNvSpPr/>
      </xdr:nvSpPr>
      <xdr:spPr>
        <a:xfrm>
          <a:off x="7639594" y="4669427"/>
          <a:ext cx="671920" cy="497749"/>
        </a:xfrm>
        <a:prstGeom prst="righ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600">
            <a:latin typeface="游ゴシック" panose="020B0400000000000000" pitchFamily="50" charset="-128"/>
            <a:ea typeface="游ゴシック" panose="020B0400000000000000" pitchFamily="50" charset="-128"/>
          </a:endParaRPr>
        </a:p>
      </xdr:txBody>
    </xdr:sp>
    <xdr:clientData/>
  </xdr:twoCellAnchor>
  <xdr:twoCellAnchor>
    <xdr:from>
      <xdr:col>4</xdr:col>
      <xdr:colOff>119743</xdr:colOff>
      <xdr:row>17</xdr:row>
      <xdr:rowOff>152400</xdr:rowOff>
    </xdr:from>
    <xdr:to>
      <xdr:col>4</xdr:col>
      <xdr:colOff>323850</xdr:colOff>
      <xdr:row>17</xdr:row>
      <xdr:rowOff>158524</xdr:rowOff>
    </xdr:to>
    <xdr:cxnSp macro="">
      <xdr:nvCxnSpPr>
        <xdr:cNvPr id="21" name="直線矢印コネクタ 20">
          <a:extLst>
            <a:ext uri="{FF2B5EF4-FFF2-40B4-BE49-F238E27FC236}">
              <a16:creationId xmlns:a16="http://schemas.microsoft.com/office/drawing/2014/main" id="{AB4A043A-77BB-437B-8D5D-DBF2260D270F}"/>
            </a:ext>
          </a:extLst>
        </xdr:cNvPr>
        <xdr:cNvCxnSpPr>
          <a:endCxn id="2" idx="1"/>
        </xdr:cNvCxnSpPr>
      </xdr:nvCxnSpPr>
      <xdr:spPr>
        <a:xfrm>
          <a:off x="3167743" y="2928257"/>
          <a:ext cx="204107" cy="612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48988</xdr:colOff>
      <xdr:row>10</xdr:row>
      <xdr:rowOff>60415</xdr:rowOff>
    </xdr:from>
    <xdr:to>
      <xdr:col>4</xdr:col>
      <xdr:colOff>85182</xdr:colOff>
      <xdr:row>17</xdr:row>
      <xdr:rowOff>152400</xdr:rowOff>
    </xdr:to>
    <xdr:cxnSp macro="">
      <xdr:nvCxnSpPr>
        <xdr:cNvPr id="22" name="直線コネクタ 21">
          <a:extLst>
            <a:ext uri="{FF2B5EF4-FFF2-40B4-BE49-F238E27FC236}">
              <a16:creationId xmlns:a16="http://schemas.microsoft.com/office/drawing/2014/main" id="{E1E5FCB1-7AD4-4DEE-8976-7011EA304DC9}"/>
            </a:ext>
          </a:extLst>
        </xdr:cNvPr>
        <xdr:cNvCxnSpPr>
          <a:stCxn id="13" idx="2"/>
        </xdr:cNvCxnSpPr>
      </xdr:nvCxnSpPr>
      <xdr:spPr>
        <a:xfrm>
          <a:off x="3096988" y="1693272"/>
          <a:ext cx="36194" cy="123498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597897</xdr:colOff>
      <xdr:row>14</xdr:row>
      <xdr:rowOff>108857</xdr:rowOff>
    </xdr:from>
    <xdr:to>
      <xdr:col>15</xdr:col>
      <xdr:colOff>285750</xdr:colOff>
      <xdr:row>22</xdr:row>
      <xdr:rowOff>0</xdr:rowOff>
    </xdr:to>
    <xdr:sp macro="" textlink="">
      <xdr:nvSpPr>
        <xdr:cNvPr id="23" name="正方形/長方形 22">
          <a:extLst>
            <a:ext uri="{FF2B5EF4-FFF2-40B4-BE49-F238E27FC236}">
              <a16:creationId xmlns:a16="http://schemas.microsoft.com/office/drawing/2014/main" id="{483C273C-843C-4717-B654-97357B108F0B}"/>
            </a:ext>
          </a:extLst>
        </xdr:cNvPr>
        <xdr:cNvSpPr/>
      </xdr:nvSpPr>
      <xdr:spPr>
        <a:xfrm>
          <a:off x="8631554" y="2394857"/>
          <a:ext cx="907053" cy="11974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游ゴシック" panose="020B0400000000000000" pitchFamily="50" charset="-128"/>
              <a:ea typeface="游ゴシック" panose="020B0400000000000000" pitchFamily="50" charset="-128"/>
            </a:rPr>
            <a:t>固定</a:t>
          </a:r>
          <a:endParaRPr kumimoji="1" lang="en-US" altLang="ja-JP" sz="1600" b="1">
            <a:latin typeface="游ゴシック" panose="020B0400000000000000" pitchFamily="50" charset="-128"/>
            <a:ea typeface="游ゴシック" panose="020B0400000000000000" pitchFamily="50" charset="-128"/>
          </a:endParaRPr>
        </a:p>
        <a:p>
          <a:pPr algn="ctr"/>
          <a:r>
            <a:rPr kumimoji="1" lang="ja-JP" altLang="en-US" sz="1600" b="1">
              <a:latin typeface="游ゴシック" panose="020B0400000000000000" pitchFamily="50" charset="-128"/>
              <a:ea typeface="游ゴシック" panose="020B0400000000000000" pitchFamily="50" charset="-128"/>
            </a:rPr>
            <a:t>資本</a:t>
          </a:r>
          <a:endParaRPr kumimoji="1" lang="en-US" altLang="ja-JP" sz="1600" b="1">
            <a:latin typeface="游ゴシック" panose="020B0400000000000000" pitchFamily="50" charset="-128"/>
            <a:ea typeface="游ゴシック" panose="020B0400000000000000" pitchFamily="50" charset="-128"/>
          </a:endParaRPr>
        </a:p>
        <a:p>
          <a:pPr algn="ctr"/>
          <a:r>
            <a:rPr kumimoji="1" lang="ja-JP" altLang="en-US" sz="1600" b="1">
              <a:latin typeface="游ゴシック" panose="020B0400000000000000" pitchFamily="50" charset="-128"/>
              <a:ea typeface="游ゴシック" panose="020B0400000000000000" pitchFamily="50" charset="-128"/>
            </a:rPr>
            <a:t>投資</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13</xdr:col>
      <xdr:colOff>597897</xdr:colOff>
      <xdr:row>22</xdr:row>
      <xdr:rowOff>0</xdr:rowOff>
    </xdr:from>
    <xdr:to>
      <xdr:col>15</xdr:col>
      <xdr:colOff>285477</xdr:colOff>
      <xdr:row>42</xdr:row>
      <xdr:rowOff>3276</xdr:rowOff>
    </xdr:to>
    <xdr:sp macro="" textlink="">
      <xdr:nvSpPr>
        <xdr:cNvPr id="24" name="正方形/長方形 23">
          <a:extLst>
            <a:ext uri="{FF2B5EF4-FFF2-40B4-BE49-F238E27FC236}">
              <a16:creationId xmlns:a16="http://schemas.microsoft.com/office/drawing/2014/main" id="{0CC914C0-5E75-4A41-B9EA-5DFBFE714165}"/>
            </a:ext>
          </a:extLst>
        </xdr:cNvPr>
        <xdr:cNvSpPr/>
      </xdr:nvSpPr>
      <xdr:spPr>
        <a:xfrm>
          <a:off x="9238977" y="3688080"/>
          <a:ext cx="906780" cy="335607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游ゴシック" panose="020B0400000000000000" pitchFamily="50" charset="-128"/>
              <a:ea typeface="游ゴシック" panose="020B0400000000000000" pitchFamily="50" charset="-128"/>
            </a:rPr>
            <a:t>期首</a:t>
          </a:r>
          <a:endParaRPr kumimoji="1" lang="en-US" altLang="ja-JP" sz="1600" b="1">
            <a:latin typeface="游ゴシック" panose="020B0400000000000000" pitchFamily="50" charset="-128"/>
            <a:ea typeface="游ゴシック" panose="020B0400000000000000" pitchFamily="50" charset="-128"/>
          </a:endParaRPr>
        </a:p>
        <a:p>
          <a:pPr algn="ctr"/>
          <a:r>
            <a:rPr kumimoji="1" lang="ja-JP" altLang="en-US" sz="1600" b="1">
              <a:latin typeface="游ゴシック" panose="020B0400000000000000" pitchFamily="50" charset="-128"/>
              <a:ea typeface="游ゴシック" panose="020B0400000000000000" pitchFamily="50" charset="-128"/>
            </a:rPr>
            <a:t>固定</a:t>
          </a:r>
          <a:endParaRPr kumimoji="1" lang="en-US" altLang="ja-JP" sz="1600" b="1">
            <a:latin typeface="游ゴシック" panose="020B0400000000000000" pitchFamily="50" charset="-128"/>
            <a:ea typeface="游ゴシック" panose="020B0400000000000000" pitchFamily="50" charset="-128"/>
          </a:endParaRPr>
        </a:p>
        <a:p>
          <a:pPr algn="ctr"/>
          <a:r>
            <a:rPr kumimoji="1" lang="ja-JP" altLang="en-US" sz="1600" b="1">
              <a:latin typeface="游ゴシック" panose="020B0400000000000000" pitchFamily="50" charset="-128"/>
              <a:ea typeface="游ゴシック" panose="020B0400000000000000" pitchFamily="50" charset="-128"/>
            </a:rPr>
            <a:t>資本</a:t>
          </a:r>
          <a:endParaRPr kumimoji="1" lang="en-US" altLang="ja-JP" sz="1600" b="1">
            <a:latin typeface="游ゴシック" panose="020B0400000000000000" pitchFamily="50" charset="-128"/>
            <a:ea typeface="游ゴシック" panose="020B0400000000000000" pitchFamily="50" charset="-128"/>
          </a:endParaRPr>
        </a:p>
        <a:p>
          <a:pPr algn="ctr"/>
          <a:r>
            <a:rPr kumimoji="1" lang="ja-JP" altLang="en-US" sz="1600" b="1">
              <a:latin typeface="游ゴシック" panose="020B0400000000000000" pitchFamily="50" charset="-128"/>
              <a:ea typeface="游ゴシック" panose="020B0400000000000000" pitchFamily="50" charset="-128"/>
            </a:rPr>
            <a:t>ストック</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17</xdr:col>
      <xdr:colOff>541019</xdr:colOff>
      <xdr:row>16</xdr:row>
      <xdr:rowOff>32658</xdr:rowOff>
    </xdr:from>
    <xdr:to>
      <xdr:col>19</xdr:col>
      <xdr:colOff>217713</xdr:colOff>
      <xdr:row>35</xdr:row>
      <xdr:rowOff>3276</xdr:rowOff>
    </xdr:to>
    <xdr:sp macro="" textlink="">
      <xdr:nvSpPr>
        <xdr:cNvPr id="25" name="正方形/長方形 24">
          <a:extLst>
            <a:ext uri="{FF2B5EF4-FFF2-40B4-BE49-F238E27FC236}">
              <a16:creationId xmlns:a16="http://schemas.microsoft.com/office/drawing/2014/main" id="{FC0705BD-41F7-43E5-94EC-66E146CC9C17}"/>
            </a:ext>
          </a:extLst>
        </xdr:cNvPr>
        <xdr:cNvSpPr/>
      </xdr:nvSpPr>
      <xdr:spPr>
        <a:xfrm>
          <a:off x="11622676" y="2645229"/>
          <a:ext cx="895894" cy="3073047"/>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游ゴシック" panose="020B0400000000000000" pitchFamily="50" charset="-128"/>
              <a:ea typeface="游ゴシック" panose="020B0400000000000000" pitchFamily="50" charset="-128"/>
            </a:rPr>
            <a:t>期末</a:t>
          </a:r>
          <a:endParaRPr kumimoji="1" lang="en-US" altLang="ja-JP" sz="1600" b="1">
            <a:latin typeface="游ゴシック" panose="020B0400000000000000" pitchFamily="50" charset="-128"/>
            <a:ea typeface="游ゴシック" panose="020B0400000000000000" pitchFamily="50" charset="-128"/>
          </a:endParaRPr>
        </a:p>
        <a:p>
          <a:pPr algn="ctr"/>
          <a:r>
            <a:rPr kumimoji="1" lang="ja-JP" altLang="en-US" sz="1600" b="1">
              <a:latin typeface="游ゴシック" panose="020B0400000000000000" pitchFamily="50" charset="-128"/>
              <a:ea typeface="游ゴシック" panose="020B0400000000000000" pitchFamily="50" charset="-128"/>
            </a:rPr>
            <a:t>固定</a:t>
          </a:r>
          <a:endParaRPr kumimoji="1" lang="en-US" altLang="ja-JP" sz="1600" b="1">
            <a:latin typeface="游ゴシック" panose="020B0400000000000000" pitchFamily="50" charset="-128"/>
            <a:ea typeface="游ゴシック" panose="020B0400000000000000" pitchFamily="50" charset="-128"/>
          </a:endParaRPr>
        </a:p>
        <a:p>
          <a:pPr algn="ctr"/>
          <a:r>
            <a:rPr kumimoji="1" lang="ja-JP" altLang="en-US" sz="1600" b="1">
              <a:latin typeface="游ゴシック" panose="020B0400000000000000" pitchFamily="50" charset="-128"/>
              <a:ea typeface="游ゴシック" panose="020B0400000000000000" pitchFamily="50" charset="-128"/>
            </a:rPr>
            <a:t>資本</a:t>
          </a:r>
          <a:endParaRPr kumimoji="1" lang="en-US" altLang="ja-JP" sz="1600" b="1">
            <a:latin typeface="游ゴシック" panose="020B0400000000000000" pitchFamily="50" charset="-128"/>
            <a:ea typeface="游ゴシック" panose="020B0400000000000000" pitchFamily="50" charset="-128"/>
          </a:endParaRPr>
        </a:p>
        <a:p>
          <a:pPr algn="ctr"/>
          <a:r>
            <a:rPr kumimoji="1" lang="ja-JP" altLang="en-US" sz="1600" b="1">
              <a:latin typeface="游ゴシック" panose="020B0400000000000000" pitchFamily="50" charset="-128"/>
              <a:ea typeface="游ゴシック" panose="020B0400000000000000" pitchFamily="50" charset="-128"/>
            </a:rPr>
            <a:t>ストック</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17</xdr:col>
      <xdr:colOff>539114</xdr:colOff>
      <xdr:row>35</xdr:row>
      <xdr:rowOff>3276</xdr:rowOff>
    </xdr:from>
    <xdr:to>
      <xdr:col>19</xdr:col>
      <xdr:colOff>223972</xdr:colOff>
      <xdr:row>42</xdr:row>
      <xdr:rowOff>3276</xdr:rowOff>
    </xdr:to>
    <xdr:sp macro="" textlink="">
      <xdr:nvSpPr>
        <xdr:cNvPr id="26" name="正方形/長方形 25">
          <a:extLst>
            <a:ext uri="{FF2B5EF4-FFF2-40B4-BE49-F238E27FC236}">
              <a16:creationId xmlns:a16="http://schemas.microsoft.com/office/drawing/2014/main" id="{637094E5-B823-49E0-96E1-0BC2E61FA2E5}"/>
            </a:ext>
          </a:extLst>
        </xdr:cNvPr>
        <xdr:cNvSpPr/>
      </xdr:nvSpPr>
      <xdr:spPr>
        <a:xfrm>
          <a:off x="11618594" y="5870676"/>
          <a:ext cx="904058" cy="117348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游ゴシック" panose="020B0400000000000000" pitchFamily="50" charset="-128"/>
              <a:ea typeface="游ゴシック" panose="020B0400000000000000" pitchFamily="50" charset="-128"/>
            </a:rPr>
            <a:t>固定</a:t>
          </a:r>
          <a:endParaRPr kumimoji="1" lang="en-US" altLang="ja-JP" sz="1600" b="1">
            <a:latin typeface="游ゴシック" panose="020B0400000000000000" pitchFamily="50" charset="-128"/>
            <a:ea typeface="游ゴシック" panose="020B0400000000000000" pitchFamily="50" charset="-128"/>
          </a:endParaRPr>
        </a:p>
        <a:p>
          <a:pPr algn="ctr"/>
          <a:r>
            <a:rPr kumimoji="1" lang="ja-JP" altLang="en-US" sz="1600" b="1">
              <a:latin typeface="游ゴシック" panose="020B0400000000000000" pitchFamily="50" charset="-128"/>
              <a:ea typeface="游ゴシック" panose="020B0400000000000000" pitchFamily="50" charset="-128"/>
            </a:rPr>
            <a:t>資本</a:t>
          </a:r>
          <a:endParaRPr kumimoji="1" lang="en-US" altLang="ja-JP" sz="1600" b="1">
            <a:latin typeface="游ゴシック" panose="020B0400000000000000" pitchFamily="50" charset="-128"/>
            <a:ea typeface="游ゴシック" panose="020B0400000000000000" pitchFamily="50" charset="-128"/>
          </a:endParaRPr>
        </a:p>
        <a:p>
          <a:pPr algn="ctr"/>
          <a:r>
            <a:rPr kumimoji="1" lang="ja-JP" altLang="en-US" sz="1600" b="1">
              <a:latin typeface="游ゴシック" panose="020B0400000000000000" pitchFamily="50" charset="-128"/>
              <a:ea typeface="游ゴシック" panose="020B0400000000000000" pitchFamily="50" charset="-128"/>
            </a:rPr>
            <a:t>減耗</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15</xdr:col>
      <xdr:colOff>285477</xdr:colOff>
      <xdr:row>21</xdr:row>
      <xdr:rowOff>130629</xdr:rowOff>
    </xdr:from>
    <xdr:to>
      <xdr:col>15</xdr:col>
      <xdr:colOff>429634</xdr:colOff>
      <xdr:row>42</xdr:row>
      <xdr:rowOff>5725</xdr:rowOff>
    </xdr:to>
    <xdr:sp macro="" textlink="">
      <xdr:nvSpPr>
        <xdr:cNvPr id="27" name="右大かっこ 26">
          <a:extLst>
            <a:ext uri="{FF2B5EF4-FFF2-40B4-BE49-F238E27FC236}">
              <a16:creationId xmlns:a16="http://schemas.microsoft.com/office/drawing/2014/main" id="{4458AA3D-F021-453C-AF4F-8DF169ED623D}"/>
            </a:ext>
          </a:extLst>
        </xdr:cNvPr>
        <xdr:cNvSpPr/>
      </xdr:nvSpPr>
      <xdr:spPr>
        <a:xfrm>
          <a:off x="10147934" y="3559629"/>
          <a:ext cx="144157" cy="3304096"/>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600">
            <a:latin typeface="游ゴシック" panose="020B0400000000000000" pitchFamily="50" charset="-128"/>
            <a:ea typeface="游ゴシック" panose="020B0400000000000000" pitchFamily="50" charset="-128"/>
          </a:endParaRPr>
        </a:p>
      </xdr:txBody>
    </xdr:sp>
    <xdr:clientData/>
  </xdr:twoCellAnchor>
  <xdr:twoCellAnchor>
    <xdr:from>
      <xdr:col>15</xdr:col>
      <xdr:colOff>441687</xdr:colOff>
      <xdr:row>38</xdr:row>
      <xdr:rowOff>79476</xdr:rowOff>
    </xdr:from>
    <xdr:to>
      <xdr:col>17</xdr:col>
      <xdr:colOff>539114</xdr:colOff>
      <xdr:row>38</xdr:row>
      <xdr:rowOff>79476</xdr:rowOff>
    </xdr:to>
    <xdr:cxnSp macro="">
      <xdr:nvCxnSpPr>
        <xdr:cNvPr id="28" name="直線矢印コネクタ 27">
          <a:extLst>
            <a:ext uri="{FF2B5EF4-FFF2-40B4-BE49-F238E27FC236}">
              <a16:creationId xmlns:a16="http://schemas.microsoft.com/office/drawing/2014/main" id="{34C993BE-53A6-4F97-BA0C-D1C549225198}"/>
            </a:ext>
          </a:extLst>
        </xdr:cNvPr>
        <xdr:cNvCxnSpPr>
          <a:endCxn id="26" idx="1"/>
        </xdr:cNvCxnSpPr>
      </xdr:nvCxnSpPr>
      <xdr:spPr>
        <a:xfrm>
          <a:off x="10301967" y="6449796"/>
          <a:ext cx="131662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444680</xdr:colOff>
      <xdr:row>0</xdr:row>
      <xdr:rowOff>0</xdr:rowOff>
    </xdr:from>
    <xdr:to>
      <xdr:col>18</xdr:col>
      <xdr:colOff>93345</xdr:colOff>
      <xdr:row>3</xdr:row>
      <xdr:rowOff>126274</xdr:rowOff>
    </xdr:to>
    <xdr:sp macro="" textlink="">
      <xdr:nvSpPr>
        <xdr:cNvPr id="29" name="テキスト ボックス 28">
          <a:extLst>
            <a:ext uri="{FF2B5EF4-FFF2-40B4-BE49-F238E27FC236}">
              <a16:creationId xmlns:a16="http://schemas.microsoft.com/office/drawing/2014/main" id="{DD11B201-3A3F-463B-9D24-2FA5C7C3E61F}"/>
            </a:ext>
          </a:extLst>
        </xdr:cNvPr>
        <xdr:cNvSpPr txBox="1"/>
      </xdr:nvSpPr>
      <xdr:spPr>
        <a:xfrm>
          <a:off x="10304960" y="0"/>
          <a:ext cx="1477465" cy="629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b="1" u="sng">
              <a:latin typeface="游ゴシック" panose="020B0400000000000000" pitchFamily="50" charset="-128"/>
              <a:ea typeface="游ゴシック" panose="020B0400000000000000" pitchFamily="50" charset="-128"/>
            </a:rPr>
            <a:t>翌期</a:t>
          </a:r>
        </a:p>
      </xdr:txBody>
    </xdr:sp>
    <xdr:clientData/>
  </xdr:twoCellAnchor>
  <xdr:twoCellAnchor>
    <xdr:from>
      <xdr:col>15</xdr:col>
      <xdr:colOff>153218</xdr:colOff>
      <xdr:row>38</xdr:row>
      <xdr:rowOff>103152</xdr:rowOff>
    </xdr:from>
    <xdr:to>
      <xdr:col>18</xdr:col>
      <xdr:colOff>89807</xdr:colOff>
      <xdr:row>40</xdr:row>
      <xdr:rowOff>69681</xdr:rowOff>
    </xdr:to>
    <xdr:sp macro="" textlink="">
      <xdr:nvSpPr>
        <xdr:cNvPr id="30" name="テキスト ボックス 29">
          <a:extLst>
            <a:ext uri="{FF2B5EF4-FFF2-40B4-BE49-F238E27FC236}">
              <a16:creationId xmlns:a16="http://schemas.microsoft.com/office/drawing/2014/main" id="{DB548DDD-3AFF-4BE3-85B5-8A880FB872E4}"/>
            </a:ext>
          </a:extLst>
        </xdr:cNvPr>
        <xdr:cNvSpPr txBox="1"/>
      </xdr:nvSpPr>
      <xdr:spPr>
        <a:xfrm>
          <a:off x="10015675" y="6308009"/>
          <a:ext cx="1765389" cy="2931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b="1" u="none">
              <a:latin typeface="游ゴシック" panose="020B0400000000000000" pitchFamily="50" charset="-128"/>
              <a:ea typeface="游ゴシック" panose="020B0400000000000000" pitchFamily="50" charset="-128"/>
            </a:rPr>
            <a:t>×</a:t>
          </a:r>
          <a:r>
            <a:rPr kumimoji="1" lang="ja-JP" altLang="en-US" sz="1600" b="1" u="none">
              <a:latin typeface="游ゴシック" panose="020B0400000000000000" pitchFamily="50" charset="-128"/>
              <a:ea typeface="游ゴシック" panose="020B0400000000000000" pitchFamily="50" charset="-128"/>
            </a:rPr>
            <a:t>減耗率</a:t>
          </a:r>
        </a:p>
      </xdr:txBody>
    </xdr:sp>
    <xdr:clientData/>
  </xdr:twoCellAnchor>
  <xdr:twoCellAnchor>
    <xdr:from>
      <xdr:col>13</xdr:col>
      <xdr:colOff>260712</xdr:colOff>
      <xdr:row>11</xdr:row>
      <xdr:rowOff>130367</xdr:rowOff>
    </xdr:from>
    <xdr:to>
      <xdr:col>15</xdr:col>
      <xdr:colOff>130627</xdr:colOff>
      <xdr:row>14</xdr:row>
      <xdr:rowOff>18242</xdr:rowOff>
    </xdr:to>
    <xdr:sp macro="" textlink="">
      <xdr:nvSpPr>
        <xdr:cNvPr id="31" name="テキスト ボックス 30">
          <a:extLst>
            <a:ext uri="{FF2B5EF4-FFF2-40B4-BE49-F238E27FC236}">
              <a16:creationId xmlns:a16="http://schemas.microsoft.com/office/drawing/2014/main" id="{42529CF5-E4F9-4DD9-9665-704449BE2506}"/>
            </a:ext>
          </a:extLst>
        </xdr:cNvPr>
        <xdr:cNvSpPr txBox="1"/>
      </xdr:nvSpPr>
      <xdr:spPr>
        <a:xfrm>
          <a:off x="8901792" y="1974407"/>
          <a:ext cx="1089115" cy="390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b="1" u="none">
              <a:latin typeface="游ゴシック" panose="020B0400000000000000" pitchFamily="50" charset="-128"/>
              <a:ea typeface="游ゴシック" panose="020B0400000000000000" pitchFamily="50" charset="-128"/>
            </a:rPr>
            <a:t>×</a:t>
          </a:r>
          <a:r>
            <a:rPr kumimoji="1" lang="ja-JP" altLang="en-US" sz="1600" b="1" u="none">
              <a:latin typeface="游ゴシック" panose="020B0400000000000000" pitchFamily="50" charset="-128"/>
              <a:ea typeface="游ゴシック" panose="020B0400000000000000" pitchFamily="50" charset="-128"/>
            </a:rPr>
            <a:t>投資率</a:t>
          </a:r>
        </a:p>
      </xdr:txBody>
    </xdr:sp>
    <xdr:clientData/>
  </xdr:twoCellAnchor>
  <xdr:twoCellAnchor>
    <xdr:from>
      <xdr:col>10</xdr:col>
      <xdr:colOff>349704</xdr:colOff>
      <xdr:row>5</xdr:row>
      <xdr:rowOff>108857</xdr:rowOff>
    </xdr:from>
    <xdr:to>
      <xdr:col>16</xdr:col>
      <xdr:colOff>352154</xdr:colOff>
      <xdr:row>10</xdr:row>
      <xdr:rowOff>57976</xdr:rowOff>
    </xdr:to>
    <xdr:sp macro="" textlink="">
      <xdr:nvSpPr>
        <xdr:cNvPr id="32" name="テキスト ボックス 31">
          <a:extLst>
            <a:ext uri="{FF2B5EF4-FFF2-40B4-BE49-F238E27FC236}">
              <a16:creationId xmlns:a16="http://schemas.microsoft.com/office/drawing/2014/main" id="{8207B07C-41E3-4152-8370-4D24D03FA8F9}"/>
            </a:ext>
          </a:extLst>
        </xdr:cNvPr>
        <xdr:cNvSpPr txBox="1"/>
      </xdr:nvSpPr>
      <xdr:spPr>
        <a:xfrm>
          <a:off x="7161984" y="947057"/>
          <a:ext cx="3660050" cy="787319"/>
        </a:xfrm>
        <a:prstGeom prst="rect">
          <a:avLst/>
        </a:prstGeom>
        <a:ln>
          <a:prstDash val="dash"/>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en-US" altLang="ja-JP" sz="1600" b="1" u="none">
              <a:solidFill>
                <a:sysClr val="windowText" lastClr="000000"/>
              </a:solidFill>
              <a:latin typeface="游ゴシック" panose="020B0400000000000000" pitchFamily="50" charset="-128"/>
              <a:ea typeface="游ゴシック" panose="020B0400000000000000" pitchFamily="50" charset="-128"/>
            </a:rPr>
            <a:t>GDP</a:t>
          </a:r>
          <a:endParaRPr kumimoji="1" lang="ja-JP" altLang="en-US" sz="1600" b="1" u="none">
            <a:solidFill>
              <a:sysClr val="windowText" lastClr="000000"/>
            </a:solidFill>
            <a:latin typeface="游ゴシック" panose="020B0400000000000000" pitchFamily="50" charset="-128"/>
            <a:ea typeface="游ゴシック" panose="020B0400000000000000" pitchFamily="50" charset="-128"/>
          </a:endParaRPr>
        </a:p>
      </xdr:txBody>
    </xdr:sp>
    <xdr:clientData/>
  </xdr:twoCellAnchor>
  <xdr:twoCellAnchor>
    <xdr:from>
      <xdr:col>13</xdr:col>
      <xdr:colOff>381000</xdr:colOff>
      <xdr:row>18</xdr:row>
      <xdr:rowOff>43543</xdr:rowOff>
    </xdr:from>
    <xdr:to>
      <xdr:col>13</xdr:col>
      <xdr:colOff>597897</xdr:colOff>
      <xdr:row>18</xdr:row>
      <xdr:rowOff>54429</xdr:rowOff>
    </xdr:to>
    <xdr:cxnSp macro="">
      <xdr:nvCxnSpPr>
        <xdr:cNvPr id="38" name="直線矢印コネクタ 37">
          <a:extLst>
            <a:ext uri="{FF2B5EF4-FFF2-40B4-BE49-F238E27FC236}">
              <a16:creationId xmlns:a16="http://schemas.microsoft.com/office/drawing/2014/main" id="{CECC8923-5D7F-40BB-9E82-84E1FFDCF7A4}"/>
            </a:ext>
          </a:extLst>
        </xdr:cNvPr>
        <xdr:cNvCxnSpPr>
          <a:endCxn id="23" idx="1"/>
        </xdr:cNvCxnSpPr>
      </xdr:nvCxnSpPr>
      <xdr:spPr>
        <a:xfrm>
          <a:off x="8414657" y="2982686"/>
          <a:ext cx="216897" cy="1088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350929</xdr:colOff>
      <xdr:row>10</xdr:row>
      <xdr:rowOff>57976</xdr:rowOff>
    </xdr:from>
    <xdr:to>
      <xdr:col>13</xdr:col>
      <xdr:colOff>381000</xdr:colOff>
      <xdr:row>18</xdr:row>
      <xdr:rowOff>21771</xdr:rowOff>
    </xdr:to>
    <xdr:cxnSp macro="">
      <xdr:nvCxnSpPr>
        <xdr:cNvPr id="39" name="直線コネクタ 38">
          <a:extLst>
            <a:ext uri="{FF2B5EF4-FFF2-40B4-BE49-F238E27FC236}">
              <a16:creationId xmlns:a16="http://schemas.microsoft.com/office/drawing/2014/main" id="{F620DE13-E041-4814-B12D-EAF58486231A}"/>
            </a:ext>
          </a:extLst>
        </xdr:cNvPr>
        <xdr:cNvCxnSpPr>
          <a:stCxn id="32" idx="2"/>
        </xdr:cNvCxnSpPr>
      </xdr:nvCxnSpPr>
      <xdr:spPr>
        <a:xfrm>
          <a:off x="8384586" y="1690833"/>
          <a:ext cx="30071" cy="1270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64</xdr:col>
      <xdr:colOff>146955</xdr:colOff>
      <xdr:row>47</xdr:row>
      <xdr:rowOff>48983</xdr:rowOff>
    </xdr:from>
    <xdr:to>
      <xdr:col>78</xdr:col>
      <xdr:colOff>453576</xdr:colOff>
      <xdr:row>73</xdr:row>
      <xdr:rowOff>141515</xdr:rowOff>
    </xdr:to>
    <xdr:graphicFrame macro="">
      <xdr:nvGraphicFramePr>
        <xdr:cNvPr id="2" name="グラフ 1">
          <a:extLst>
            <a:ext uri="{FF2B5EF4-FFF2-40B4-BE49-F238E27FC236}">
              <a16:creationId xmlns:a16="http://schemas.microsoft.com/office/drawing/2014/main" id="{968A87D6-D760-4651-8EEE-A128B87ED6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133</xdr:col>
      <xdr:colOff>332015</xdr:colOff>
      <xdr:row>47</xdr:row>
      <xdr:rowOff>146957</xdr:rowOff>
    </xdr:from>
    <xdr:to>
      <xdr:col>146</xdr:col>
      <xdr:colOff>213274</xdr:colOff>
      <xdr:row>72</xdr:row>
      <xdr:rowOff>32657</xdr:rowOff>
    </xdr:to>
    <xdr:graphicFrame macro="">
      <xdr:nvGraphicFramePr>
        <xdr:cNvPr id="6" name="グラフ 5">
          <a:extLst>
            <a:ext uri="{FF2B5EF4-FFF2-40B4-BE49-F238E27FC236}">
              <a16:creationId xmlns:a16="http://schemas.microsoft.com/office/drawing/2014/main" id="{D931443C-A248-4C81-8C68-A2F80CBC3B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190498</xdr:colOff>
      <xdr:row>47</xdr:row>
      <xdr:rowOff>125186</xdr:rowOff>
    </xdr:from>
    <xdr:to>
      <xdr:col>29</xdr:col>
      <xdr:colOff>0</xdr:colOff>
      <xdr:row>70</xdr:row>
      <xdr:rowOff>187235</xdr:rowOff>
    </xdr:to>
    <xdr:graphicFrame macro="">
      <xdr:nvGraphicFramePr>
        <xdr:cNvPr id="7" name="グラフ 6">
          <a:extLst>
            <a:ext uri="{FF2B5EF4-FFF2-40B4-BE49-F238E27FC236}">
              <a16:creationId xmlns:a16="http://schemas.microsoft.com/office/drawing/2014/main" id="{77F02530-EFC8-4546-BB64-82398AC6D6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119</xdr:col>
      <xdr:colOff>440869</xdr:colOff>
      <xdr:row>48</xdr:row>
      <xdr:rowOff>48985</xdr:rowOff>
    </xdr:from>
    <xdr:to>
      <xdr:col>132</xdr:col>
      <xdr:colOff>540655</xdr:colOff>
      <xdr:row>73</xdr:row>
      <xdr:rowOff>141514</xdr:rowOff>
    </xdr:to>
    <xdr:grpSp>
      <xdr:nvGrpSpPr>
        <xdr:cNvPr id="4" name="グループ化 3">
          <a:extLst>
            <a:ext uri="{FF2B5EF4-FFF2-40B4-BE49-F238E27FC236}">
              <a16:creationId xmlns:a16="http://schemas.microsoft.com/office/drawing/2014/main" id="{83A75CE9-B43A-4E4E-B02D-AF8EB9E0348A}"/>
            </a:ext>
          </a:extLst>
        </xdr:cNvPr>
        <xdr:cNvGrpSpPr/>
      </xdr:nvGrpSpPr>
      <xdr:grpSpPr>
        <a:xfrm>
          <a:off x="50762558" y="11884725"/>
          <a:ext cx="9916721" cy="6030191"/>
          <a:chOff x="40108412" y="10847614"/>
          <a:chExt cx="8354785" cy="5012871"/>
        </a:xfrm>
      </xdr:grpSpPr>
      <xdr:graphicFrame macro="">
        <xdr:nvGraphicFramePr>
          <xdr:cNvPr id="9" name="グラフ 8">
            <a:extLst>
              <a:ext uri="{FF2B5EF4-FFF2-40B4-BE49-F238E27FC236}">
                <a16:creationId xmlns:a16="http://schemas.microsoft.com/office/drawing/2014/main" id="{9688176B-8886-46D6-9C8E-A0D42B865BBE}"/>
              </a:ext>
            </a:extLst>
          </xdr:cNvPr>
          <xdr:cNvGraphicFramePr/>
        </xdr:nvGraphicFramePr>
        <xdr:xfrm>
          <a:off x="40108412" y="10847614"/>
          <a:ext cx="8354785" cy="5012871"/>
        </xdr:xfrm>
        <a:graphic>
          <a:graphicData uri="http://schemas.openxmlformats.org/drawingml/2006/chart">
            <c:chart xmlns:c="http://schemas.openxmlformats.org/drawingml/2006/chart" xmlns:r="http://schemas.openxmlformats.org/officeDocument/2006/relationships" r:id="rId4"/>
          </a:graphicData>
        </a:graphic>
      </xdr:graphicFrame>
      <xdr:cxnSp macro="">
        <xdr:nvCxnSpPr>
          <xdr:cNvPr id="13" name="直線コネクタ 12">
            <a:extLst>
              <a:ext uri="{FF2B5EF4-FFF2-40B4-BE49-F238E27FC236}">
                <a16:creationId xmlns:a16="http://schemas.microsoft.com/office/drawing/2014/main" id="{9D44E0C8-94FA-4BA2-BF8F-650194157BDB}"/>
              </a:ext>
            </a:extLst>
          </xdr:cNvPr>
          <xdr:cNvCxnSpPr/>
        </xdr:nvCxnSpPr>
        <xdr:spPr>
          <a:xfrm flipV="1">
            <a:off x="43379571" y="11005457"/>
            <a:ext cx="0" cy="418011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 name="直線コネクタ 25">
            <a:extLst>
              <a:ext uri="{FF2B5EF4-FFF2-40B4-BE49-F238E27FC236}">
                <a16:creationId xmlns:a16="http://schemas.microsoft.com/office/drawing/2014/main" id="{0636325A-89A4-4778-BCAF-27585876317D}"/>
              </a:ext>
            </a:extLst>
          </xdr:cNvPr>
          <xdr:cNvCxnSpPr/>
        </xdr:nvCxnSpPr>
        <xdr:spPr>
          <a:xfrm flipV="1">
            <a:off x="46482000" y="10994571"/>
            <a:ext cx="0" cy="418011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7" name="直線コネクタ 26">
            <a:extLst>
              <a:ext uri="{FF2B5EF4-FFF2-40B4-BE49-F238E27FC236}">
                <a16:creationId xmlns:a16="http://schemas.microsoft.com/office/drawing/2014/main" id="{105A34E9-A84A-4E85-B5EF-38A253439B85}"/>
              </a:ext>
            </a:extLst>
          </xdr:cNvPr>
          <xdr:cNvCxnSpPr/>
        </xdr:nvCxnSpPr>
        <xdr:spPr>
          <a:xfrm flipV="1">
            <a:off x="47450829" y="10994571"/>
            <a:ext cx="0" cy="4180114"/>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3" name="テキスト ボックス 2">
            <a:extLst>
              <a:ext uri="{FF2B5EF4-FFF2-40B4-BE49-F238E27FC236}">
                <a16:creationId xmlns:a16="http://schemas.microsoft.com/office/drawing/2014/main" id="{3AABC7EE-5D3B-4C92-8EF8-1CA1D607EB4F}"/>
              </a:ext>
            </a:extLst>
          </xdr:cNvPr>
          <xdr:cNvSpPr txBox="1"/>
        </xdr:nvSpPr>
        <xdr:spPr>
          <a:xfrm>
            <a:off x="43336029" y="14771916"/>
            <a:ext cx="1293214" cy="446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阪神・淡路大震災</a:t>
            </a:r>
          </a:p>
        </xdr:txBody>
      </xdr:sp>
      <xdr:sp macro="" textlink="">
        <xdr:nvSpPr>
          <xdr:cNvPr id="15" name="テキスト ボックス 14">
            <a:extLst>
              <a:ext uri="{FF2B5EF4-FFF2-40B4-BE49-F238E27FC236}">
                <a16:creationId xmlns:a16="http://schemas.microsoft.com/office/drawing/2014/main" id="{189E207F-C04D-44C8-9588-73F02DEE8D7D}"/>
              </a:ext>
            </a:extLst>
          </xdr:cNvPr>
          <xdr:cNvSpPr txBox="1"/>
        </xdr:nvSpPr>
        <xdr:spPr>
          <a:xfrm>
            <a:off x="46318714" y="14771914"/>
            <a:ext cx="1273629" cy="4245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東日本大震災</a:t>
            </a:r>
          </a:p>
        </xdr:txBody>
      </xdr:sp>
      <xdr:sp macro="" textlink="">
        <xdr:nvSpPr>
          <xdr:cNvPr id="16" name="テキスト ボックス 15">
            <a:extLst>
              <a:ext uri="{FF2B5EF4-FFF2-40B4-BE49-F238E27FC236}">
                <a16:creationId xmlns:a16="http://schemas.microsoft.com/office/drawing/2014/main" id="{E68BFD8A-467D-4E7F-89AF-94A5E8D8A030}"/>
              </a:ext>
            </a:extLst>
          </xdr:cNvPr>
          <xdr:cNvSpPr txBox="1"/>
        </xdr:nvSpPr>
        <xdr:spPr>
          <a:xfrm>
            <a:off x="47320202" y="14771915"/>
            <a:ext cx="990600" cy="4245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熊本地震</a:t>
            </a:r>
          </a:p>
        </xdr:txBody>
      </xdr:sp>
    </xdr:grpSp>
    <xdr:clientData/>
  </xdr:twoCellAnchor>
  <xdr:twoCellAnchor>
    <xdr:from>
      <xdr:col>148</xdr:col>
      <xdr:colOff>647700</xdr:colOff>
      <xdr:row>47</xdr:row>
      <xdr:rowOff>92530</xdr:rowOff>
    </xdr:from>
    <xdr:to>
      <xdr:col>157</xdr:col>
      <xdr:colOff>685801</xdr:colOff>
      <xdr:row>63</xdr:row>
      <xdr:rowOff>193768</xdr:rowOff>
    </xdr:to>
    <xdr:graphicFrame macro="">
      <xdr:nvGraphicFramePr>
        <xdr:cNvPr id="5" name="グラフ 4">
          <a:extLst>
            <a:ext uri="{FF2B5EF4-FFF2-40B4-BE49-F238E27FC236}">
              <a16:creationId xmlns:a16="http://schemas.microsoft.com/office/drawing/2014/main" id="{F4C5B038-F3B9-42DA-87C1-6DA8A41669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159</xdr:col>
      <xdr:colOff>92527</xdr:colOff>
      <xdr:row>47</xdr:row>
      <xdr:rowOff>70755</xdr:rowOff>
    </xdr:from>
    <xdr:to>
      <xdr:col>170</xdr:col>
      <xdr:colOff>54428</xdr:colOff>
      <xdr:row>67</xdr:row>
      <xdr:rowOff>108856</xdr:rowOff>
    </xdr:to>
    <xdr:graphicFrame macro="">
      <xdr:nvGraphicFramePr>
        <xdr:cNvPr id="8" name="グラフ 7">
          <a:extLst>
            <a:ext uri="{FF2B5EF4-FFF2-40B4-BE49-F238E27FC236}">
              <a16:creationId xmlns:a16="http://schemas.microsoft.com/office/drawing/2014/main" id="{BD70CDD1-B93F-439E-82C5-269F7D9F34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172</xdr:col>
      <xdr:colOff>87356</xdr:colOff>
      <xdr:row>24</xdr:row>
      <xdr:rowOff>214721</xdr:rowOff>
    </xdr:from>
    <xdr:to>
      <xdr:col>180</xdr:col>
      <xdr:colOff>960390</xdr:colOff>
      <xdr:row>42</xdr:row>
      <xdr:rowOff>198120</xdr:rowOff>
    </xdr:to>
    <xdr:graphicFrame macro="">
      <xdr:nvGraphicFramePr>
        <xdr:cNvPr id="10" name="グラフ 9">
          <a:extLst>
            <a:ext uri="{FF2B5EF4-FFF2-40B4-BE49-F238E27FC236}">
              <a16:creationId xmlns:a16="http://schemas.microsoft.com/office/drawing/2014/main" id="{054E53AD-ACB8-41AC-A0B8-C679C646E6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26</xdr:row>
      <xdr:rowOff>0</xdr:rowOff>
    </xdr:from>
    <xdr:to>
      <xdr:col>5</xdr:col>
      <xdr:colOff>171274</xdr:colOff>
      <xdr:row>33</xdr:row>
      <xdr:rowOff>112059</xdr:rowOff>
    </xdr:to>
    <xdr:sp macro="" textlink="">
      <xdr:nvSpPr>
        <xdr:cNvPr id="2" name="テキスト ボックス 1">
          <a:extLst>
            <a:ext uri="{FF2B5EF4-FFF2-40B4-BE49-F238E27FC236}">
              <a16:creationId xmlns:a16="http://schemas.microsoft.com/office/drawing/2014/main" id="{563DE19A-D0D4-463B-87DA-1B3C23B144C6}"/>
            </a:ext>
          </a:extLst>
        </xdr:cNvPr>
        <xdr:cNvSpPr txBox="1"/>
      </xdr:nvSpPr>
      <xdr:spPr>
        <a:xfrm>
          <a:off x="0" y="5670176"/>
          <a:ext cx="3577862" cy="1288677"/>
        </a:xfrm>
        <a:prstGeom prst="rect">
          <a:avLst/>
        </a:prstGeo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r>
            <a:rPr kumimoji="1" lang="ja-JP" altLang="en-US" sz="1600" b="1">
              <a:latin typeface="+mn-ea"/>
              <a:ea typeface="+mn-ea"/>
            </a:rPr>
            <a:t>橙色セル･･･統計データ値</a:t>
          </a:r>
          <a:endParaRPr kumimoji="1" lang="en-US" altLang="ja-JP" sz="1600" b="1">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1">
              <a:solidFill>
                <a:schemeClr val="lt1"/>
              </a:solidFill>
              <a:effectLst/>
              <a:latin typeface="+mn-ea"/>
              <a:ea typeface="+mn-ea"/>
              <a:cs typeface="+mn-cs"/>
            </a:rPr>
            <a:t>緑色セル･･･恒等式</a:t>
          </a:r>
          <a:r>
            <a:rPr kumimoji="1" lang="ja-JP" altLang="en-US" sz="1600" b="1">
              <a:solidFill>
                <a:schemeClr val="lt1"/>
              </a:solidFill>
              <a:effectLst/>
              <a:latin typeface="+mn-ea"/>
              <a:ea typeface="+mn-ea"/>
              <a:cs typeface="+mn-cs"/>
            </a:rPr>
            <a:t>・計算式</a:t>
          </a:r>
          <a:br>
            <a:rPr kumimoji="1" lang="en-US" altLang="ja-JP" sz="1600" b="1">
              <a:latin typeface="+mn-ea"/>
              <a:ea typeface="+mn-ea"/>
            </a:rPr>
          </a:br>
          <a:r>
            <a:rPr kumimoji="1" lang="ja-JP" altLang="en-US" sz="1600" b="1">
              <a:latin typeface="+mn-ea"/>
              <a:ea typeface="+mn-ea"/>
            </a:rPr>
            <a:t>青色セル･･･予測値・推計値・想定値</a:t>
          </a:r>
          <a:endParaRPr kumimoji="1" lang="en-US" altLang="ja-JP" sz="1600" b="1">
            <a:latin typeface="+mn-ea"/>
            <a:ea typeface="+mn-ea"/>
          </a:endParaRPr>
        </a:p>
        <a:p>
          <a:r>
            <a:rPr kumimoji="1" lang="ja-JP" altLang="en-US" sz="1600" b="1">
              <a:latin typeface="+mn-ea"/>
              <a:ea typeface="+mn-ea"/>
            </a:rPr>
            <a:t>赤色セル･･･イレギュラー処理</a:t>
          </a:r>
          <a:endParaRPr kumimoji="1" lang="en-US" altLang="ja-JP" sz="1600" b="1">
            <a:latin typeface="+mn-ea"/>
            <a:ea typeface="+mn-ea"/>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18</xdr:col>
      <xdr:colOff>0</xdr:colOff>
      <xdr:row>2</xdr:row>
      <xdr:rowOff>0</xdr:rowOff>
    </xdr:from>
    <xdr:to>
      <xdr:col>20</xdr:col>
      <xdr:colOff>15240</xdr:colOff>
      <xdr:row>57</xdr:row>
      <xdr:rowOff>217170</xdr:rowOff>
    </xdr:to>
    <xdr:sp macro="" textlink="">
      <xdr:nvSpPr>
        <xdr:cNvPr id="2" name="正方形/長方形 1">
          <a:extLst>
            <a:ext uri="{FF2B5EF4-FFF2-40B4-BE49-F238E27FC236}">
              <a16:creationId xmlns:a16="http://schemas.microsoft.com/office/drawing/2014/main" id="{C35E529B-123B-499C-9149-A4F33A64A57D}"/>
            </a:ext>
          </a:extLst>
        </xdr:cNvPr>
        <xdr:cNvSpPr/>
      </xdr:nvSpPr>
      <xdr:spPr>
        <a:xfrm>
          <a:off x="17983200" y="914400"/>
          <a:ext cx="843915" cy="364617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171</xdr:col>
      <xdr:colOff>0</xdr:colOff>
      <xdr:row>45</xdr:row>
      <xdr:rowOff>13607</xdr:rowOff>
    </xdr:from>
    <xdr:to>
      <xdr:col>177</xdr:col>
      <xdr:colOff>707572</xdr:colOff>
      <xdr:row>66</xdr:row>
      <xdr:rowOff>17417</xdr:rowOff>
    </xdr:to>
    <xdr:sp macro="" textlink="">
      <xdr:nvSpPr>
        <xdr:cNvPr id="3" name="正方形/長方形 2">
          <a:extLst>
            <a:ext uri="{FF2B5EF4-FFF2-40B4-BE49-F238E27FC236}">
              <a16:creationId xmlns:a16="http://schemas.microsoft.com/office/drawing/2014/main" id="{EE2EDB99-A505-45C5-97CF-F8966F414FF3}"/>
            </a:ext>
          </a:extLst>
        </xdr:cNvPr>
        <xdr:cNvSpPr/>
      </xdr:nvSpPr>
      <xdr:spPr>
        <a:xfrm>
          <a:off x="62620071" y="1605643"/>
          <a:ext cx="5170715" cy="370495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171</xdr:col>
      <xdr:colOff>17418</xdr:colOff>
      <xdr:row>4</xdr:row>
      <xdr:rowOff>228600</xdr:rowOff>
    </xdr:from>
    <xdr:to>
      <xdr:col>178</xdr:col>
      <xdr:colOff>40821</xdr:colOff>
      <xdr:row>60</xdr:row>
      <xdr:rowOff>220708</xdr:rowOff>
    </xdr:to>
    <xdr:sp macro="" textlink="">
      <xdr:nvSpPr>
        <xdr:cNvPr id="2" name="正方形/長方形 1">
          <a:extLst>
            <a:ext uri="{FF2B5EF4-FFF2-40B4-BE49-F238E27FC236}">
              <a16:creationId xmlns:a16="http://schemas.microsoft.com/office/drawing/2014/main" id="{A34FFDDA-0376-4E3E-9A0C-DDE82F42FD46}"/>
            </a:ext>
          </a:extLst>
        </xdr:cNvPr>
        <xdr:cNvSpPr/>
      </xdr:nvSpPr>
      <xdr:spPr>
        <a:xfrm>
          <a:off x="121017575" y="1611086"/>
          <a:ext cx="5253989" cy="373679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168</xdr:col>
      <xdr:colOff>478969</xdr:colOff>
      <xdr:row>56</xdr:row>
      <xdr:rowOff>70758</xdr:rowOff>
    </xdr:from>
    <xdr:to>
      <xdr:col>179</xdr:col>
      <xdr:colOff>370113</xdr:colOff>
      <xdr:row>75</xdr:row>
      <xdr:rowOff>21772</xdr:rowOff>
    </xdr:to>
    <xdr:graphicFrame macro="">
      <xdr:nvGraphicFramePr>
        <xdr:cNvPr id="3" name="グラフ 2">
          <a:extLst>
            <a:ext uri="{FF2B5EF4-FFF2-40B4-BE49-F238E27FC236}">
              <a16:creationId xmlns:a16="http://schemas.microsoft.com/office/drawing/2014/main" id="{5836FEA5-8F19-40B2-92CA-717E035E81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5</xdr:col>
      <xdr:colOff>66504</xdr:colOff>
      <xdr:row>36</xdr:row>
      <xdr:rowOff>53617</xdr:rowOff>
    </xdr:from>
    <xdr:to>
      <xdr:col>18</xdr:col>
      <xdr:colOff>339875</xdr:colOff>
      <xdr:row>57</xdr:row>
      <xdr:rowOff>120626</xdr:rowOff>
    </xdr:to>
    <xdr:grpSp>
      <xdr:nvGrpSpPr>
        <xdr:cNvPr id="2" name="グループ化 1">
          <a:extLst>
            <a:ext uri="{FF2B5EF4-FFF2-40B4-BE49-F238E27FC236}">
              <a16:creationId xmlns:a16="http://schemas.microsoft.com/office/drawing/2014/main" id="{E3275E50-77B1-4B1A-A635-7E28793E3A1F}"/>
            </a:ext>
          </a:extLst>
        </xdr:cNvPr>
        <xdr:cNvGrpSpPr/>
      </xdr:nvGrpSpPr>
      <xdr:grpSpPr>
        <a:xfrm>
          <a:off x="4638504" y="8582895"/>
          <a:ext cx="8431253" cy="5042420"/>
          <a:chOff x="2730815" y="8302939"/>
          <a:chExt cx="8209600" cy="4870187"/>
        </a:xfrm>
      </xdr:grpSpPr>
      <xdr:graphicFrame macro="">
        <xdr:nvGraphicFramePr>
          <xdr:cNvPr id="3" name="グラフ 2">
            <a:extLst>
              <a:ext uri="{FF2B5EF4-FFF2-40B4-BE49-F238E27FC236}">
                <a16:creationId xmlns:a16="http://schemas.microsoft.com/office/drawing/2014/main" id="{D60D4EF4-9E5B-49A1-97A6-3B21B0B5227D}"/>
              </a:ext>
            </a:extLst>
          </xdr:cNvPr>
          <xdr:cNvGraphicFramePr/>
        </xdr:nvGraphicFramePr>
        <xdr:xfrm>
          <a:off x="2730815" y="8302939"/>
          <a:ext cx="8209600" cy="4870187"/>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直線コネクタ 3">
            <a:extLst>
              <a:ext uri="{FF2B5EF4-FFF2-40B4-BE49-F238E27FC236}">
                <a16:creationId xmlns:a16="http://schemas.microsoft.com/office/drawing/2014/main" id="{5100752E-3113-471F-8264-79E7B7EF8421}"/>
              </a:ext>
            </a:extLst>
          </xdr:cNvPr>
          <xdr:cNvCxnSpPr/>
        </xdr:nvCxnSpPr>
        <xdr:spPr>
          <a:xfrm flipV="1">
            <a:off x="8694420" y="8446770"/>
            <a:ext cx="0" cy="413766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 name="直線コネクタ 4">
            <a:extLst>
              <a:ext uri="{FF2B5EF4-FFF2-40B4-BE49-F238E27FC236}">
                <a16:creationId xmlns:a16="http://schemas.microsoft.com/office/drawing/2014/main" id="{D5FFA21D-28DB-49C7-89C7-3EEC2624DDF3}"/>
              </a:ext>
            </a:extLst>
          </xdr:cNvPr>
          <xdr:cNvCxnSpPr/>
        </xdr:nvCxnSpPr>
        <xdr:spPr>
          <a:xfrm flipV="1">
            <a:off x="8983980" y="8446770"/>
            <a:ext cx="0" cy="413766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6" name="テキスト ボックス 5">
            <a:extLst>
              <a:ext uri="{FF2B5EF4-FFF2-40B4-BE49-F238E27FC236}">
                <a16:creationId xmlns:a16="http://schemas.microsoft.com/office/drawing/2014/main" id="{78256437-97EA-40F8-969A-52FCD6AE36A3}"/>
              </a:ext>
            </a:extLst>
          </xdr:cNvPr>
          <xdr:cNvSpPr txBox="1"/>
        </xdr:nvSpPr>
        <xdr:spPr>
          <a:xfrm>
            <a:off x="5455920" y="11991975"/>
            <a:ext cx="1190625" cy="588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実現値</a:t>
            </a:r>
          </a:p>
        </xdr:txBody>
      </xdr:sp>
      <xdr:sp macro="" textlink="">
        <xdr:nvSpPr>
          <xdr:cNvPr id="7" name="テキスト ボックス 6">
            <a:extLst>
              <a:ext uri="{FF2B5EF4-FFF2-40B4-BE49-F238E27FC236}">
                <a16:creationId xmlns:a16="http://schemas.microsoft.com/office/drawing/2014/main" id="{3B5278C3-6EF1-419F-912E-AF54A10E4A34}"/>
              </a:ext>
            </a:extLst>
          </xdr:cNvPr>
          <xdr:cNvSpPr txBox="1"/>
        </xdr:nvSpPr>
        <xdr:spPr>
          <a:xfrm>
            <a:off x="8244840" y="11946255"/>
            <a:ext cx="1184910" cy="603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短期</a:t>
            </a:r>
            <a:endParaRPr kumimoji="1" lang="en-US" altLang="ja-JP" sz="1100" b="1">
              <a:latin typeface="游ゴシック" panose="020B0400000000000000" pitchFamily="50" charset="-128"/>
              <a:ea typeface="游ゴシック" panose="020B0400000000000000" pitchFamily="50" charset="-128"/>
            </a:endParaRPr>
          </a:p>
          <a:p>
            <a:pPr algn="ctr"/>
            <a:r>
              <a:rPr kumimoji="1" lang="ja-JP" altLang="en-US" sz="1100" b="1">
                <a:latin typeface="游ゴシック" panose="020B0400000000000000" pitchFamily="50" charset="-128"/>
                <a:ea typeface="游ゴシック" panose="020B0400000000000000" pitchFamily="50" charset="-128"/>
              </a:rPr>
              <a:t>予測</a:t>
            </a:r>
          </a:p>
        </xdr:txBody>
      </xdr:sp>
      <xdr:sp macro="" textlink="">
        <xdr:nvSpPr>
          <xdr:cNvPr id="8" name="テキスト ボックス 7">
            <a:extLst>
              <a:ext uri="{FF2B5EF4-FFF2-40B4-BE49-F238E27FC236}">
                <a16:creationId xmlns:a16="http://schemas.microsoft.com/office/drawing/2014/main" id="{951C29EB-7ED0-4D82-A94F-584D1A2E698E}"/>
              </a:ext>
            </a:extLst>
          </xdr:cNvPr>
          <xdr:cNvSpPr txBox="1"/>
        </xdr:nvSpPr>
        <xdr:spPr>
          <a:xfrm>
            <a:off x="9239250" y="11751945"/>
            <a:ext cx="124587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中長期予測</a:t>
            </a: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6</xdr:col>
      <xdr:colOff>197165</xdr:colOff>
      <xdr:row>34</xdr:row>
      <xdr:rowOff>210499</xdr:rowOff>
    </xdr:from>
    <xdr:to>
      <xdr:col>19</xdr:col>
      <xdr:colOff>481965</xdr:colOff>
      <xdr:row>56</xdr:row>
      <xdr:rowOff>53391</xdr:rowOff>
    </xdr:to>
    <xdr:grpSp>
      <xdr:nvGrpSpPr>
        <xdr:cNvPr id="2" name="グループ化 1">
          <a:extLst>
            <a:ext uri="{FF2B5EF4-FFF2-40B4-BE49-F238E27FC236}">
              <a16:creationId xmlns:a16="http://schemas.microsoft.com/office/drawing/2014/main" id="{2823EACB-C756-4B16-BD78-8C930554D3F5}"/>
            </a:ext>
          </a:extLst>
        </xdr:cNvPr>
        <xdr:cNvGrpSpPr/>
      </xdr:nvGrpSpPr>
      <xdr:grpSpPr>
        <a:xfrm>
          <a:off x="5396694" y="8265927"/>
          <a:ext cx="8442683" cy="5055229"/>
          <a:chOff x="2730815" y="8302939"/>
          <a:chExt cx="8209600" cy="4870187"/>
        </a:xfrm>
      </xdr:grpSpPr>
      <xdr:graphicFrame macro="">
        <xdr:nvGraphicFramePr>
          <xdr:cNvPr id="3" name="グラフ 2">
            <a:extLst>
              <a:ext uri="{FF2B5EF4-FFF2-40B4-BE49-F238E27FC236}">
                <a16:creationId xmlns:a16="http://schemas.microsoft.com/office/drawing/2014/main" id="{7BFDE130-0538-45EB-B721-C1FEC4EB1BCB}"/>
              </a:ext>
            </a:extLst>
          </xdr:cNvPr>
          <xdr:cNvGraphicFramePr/>
        </xdr:nvGraphicFramePr>
        <xdr:xfrm>
          <a:off x="2730815" y="8302939"/>
          <a:ext cx="8209600" cy="4870187"/>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直線コネクタ 3">
            <a:extLst>
              <a:ext uri="{FF2B5EF4-FFF2-40B4-BE49-F238E27FC236}">
                <a16:creationId xmlns:a16="http://schemas.microsoft.com/office/drawing/2014/main" id="{4FB47DDE-C088-4FFE-9D19-DE174C9186D9}"/>
              </a:ext>
            </a:extLst>
          </xdr:cNvPr>
          <xdr:cNvCxnSpPr/>
        </xdr:nvCxnSpPr>
        <xdr:spPr>
          <a:xfrm flipV="1">
            <a:off x="8694420" y="8446770"/>
            <a:ext cx="0" cy="413766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 name="直線コネクタ 4">
            <a:extLst>
              <a:ext uri="{FF2B5EF4-FFF2-40B4-BE49-F238E27FC236}">
                <a16:creationId xmlns:a16="http://schemas.microsoft.com/office/drawing/2014/main" id="{CBE21776-FA99-4194-ADE2-3A1F93DFE550}"/>
              </a:ext>
            </a:extLst>
          </xdr:cNvPr>
          <xdr:cNvCxnSpPr/>
        </xdr:nvCxnSpPr>
        <xdr:spPr>
          <a:xfrm flipV="1">
            <a:off x="8983980" y="8446770"/>
            <a:ext cx="0" cy="413766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6" name="テキスト ボックス 5">
            <a:extLst>
              <a:ext uri="{FF2B5EF4-FFF2-40B4-BE49-F238E27FC236}">
                <a16:creationId xmlns:a16="http://schemas.microsoft.com/office/drawing/2014/main" id="{D43D010F-3AE8-49F5-BDAA-ECF8C67B8AD0}"/>
              </a:ext>
            </a:extLst>
          </xdr:cNvPr>
          <xdr:cNvSpPr txBox="1"/>
        </xdr:nvSpPr>
        <xdr:spPr>
          <a:xfrm>
            <a:off x="5455920" y="11991975"/>
            <a:ext cx="1190625" cy="588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実現値</a:t>
            </a:r>
          </a:p>
        </xdr:txBody>
      </xdr:sp>
      <xdr:sp macro="" textlink="">
        <xdr:nvSpPr>
          <xdr:cNvPr id="7" name="テキスト ボックス 6">
            <a:extLst>
              <a:ext uri="{FF2B5EF4-FFF2-40B4-BE49-F238E27FC236}">
                <a16:creationId xmlns:a16="http://schemas.microsoft.com/office/drawing/2014/main" id="{EB19EC42-761C-4F17-8401-520BBA46B4AF}"/>
              </a:ext>
            </a:extLst>
          </xdr:cNvPr>
          <xdr:cNvSpPr txBox="1"/>
        </xdr:nvSpPr>
        <xdr:spPr>
          <a:xfrm>
            <a:off x="8244840" y="11946255"/>
            <a:ext cx="1184910" cy="603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短期</a:t>
            </a:r>
            <a:endParaRPr kumimoji="1" lang="en-US" altLang="ja-JP" sz="1100" b="1">
              <a:latin typeface="游ゴシック" panose="020B0400000000000000" pitchFamily="50" charset="-128"/>
              <a:ea typeface="游ゴシック" panose="020B0400000000000000" pitchFamily="50" charset="-128"/>
            </a:endParaRPr>
          </a:p>
          <a:p>
            <a:pPr algn="ctr"/>
            <a:r>
              <a:rPr kumimoji="1" lang="ja-JP" altLang="en-US" sz="1100" b="1">
                <a:latin typeface="游ゴシック" panose="020B0400000000000000" pitchFamily="50" charset="-128"/>
                <a:ea typeface="游ゴシック" panose="020B0400000000000000" pitchFamily="50" charset="-128"/>
              </a:rPr>
              <a:t>予測</a:t>
            </a:r>
          </a:p>
        </xdr:txBody>
      </xdr:sp>
      <xdr:sp macro="" textlink="">
        <xdr:nvSpPr>
          <xdr:cNvPr id="8" name="テキスト ボックス 7">
            <a:extLst>
              <a:ext uri="{FF2B5EF4-FFF2-40B4-BE49-F238E27FC236}">
                <a16:creationId xmlns:a16="http://schemas.microsoft.com/office/drawing/2014/main" id="{4B6F88A5-A4C9-40F4-82A4-C7797F202AF2}"/>
              </a:ext>
            </a:extLst>
          </xdr:cNvPr>
          <xdr:cNvSpPr txBox="1"/>
        </xdr:nvSpPr>
        <xdr:spPr>
          <a:xfrm>
            <a:off x="9239250" y="11751945"/>
            <a:ext cx="124587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中長期予測</a:t>
            </a: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6</xdr:col>
      <xdr:colOff>206690</xdr:colOff>
      <xdr:row>34</xdr:row>
      <xdr:rowOff>210499</xdr:rowOff>
    </xdr:from>
    <xdr:to>
      <xdr:col>19</xdr:col>
      <xdr:colOff>474345</xdr:colOff>
      <xdr:row>56</xdr:row>
      <xdr:rowOff>53391</xdr:rowOff>
    </xdr:to>
    <xdr:grpSp>
      <xdr:nvGrpSpPr>
        <xdr:cNvPr id="2" name="グループ化 1">
          <a:extLst>
            <a:ext uri="{FF2B5EF4-FFF2-40B4-BE49-F238E27FC236}">
              <a16:creationId xmlns:a16="http://schemas.microsoft.com/office/drawing/2014/main" id="{C9441A9F-1E8C-4527-ABEA-146DB29BD885}"/>
            </a:ext>
          </a:extLst>
        </xdr:cNvPr>
        <xdr:cNvGrpSpPr/>
      </xdr:nvGrpSpPr>
      <xdr:grpSpPr>
        <a:xfrm>
          <a:off x="5399176" y="8167956"/>
          <a:ext cx="8404726" cy="4991835"/>
          <a:chOff x="2730815" y="8302939"/>
          <a:chExt cx="8209600" cy="4870187"/>
        </a:xfrm>
      </xdr:grpSpPr>
      <xdr:graphicFrame macro="">
        <xdr:nvGraphicFramePr>
          <xdr:cNvPr id="3" name="グラフ 2">
            <a:extLst>
              <a:ext uri="{FF2B5EF4-FFF2-40B4-BE49-F238E27FC236}">
                <a16:creationId xmlns:a16="http://schemas.microsoft.com/office/drawing/2014/main" id="{4C3357DE-A76B-45A4-A3C6-623F012A1977}"/>
              </a:ext>
            </a:extLst>
          </xdr:cNvPr>
          <xdr:cNvGraphicFramePr/>
        </xdr:nvGraphicFramePr>
        <xdr:xfrm>
          <a:off x="2730815" y="8302939"/>
          <a:ext cx="8209600" cy="4870187"/>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直線コネクタ 3">
            <a:extLst>
              <a:ext uri="{FF2B5EF4-FFF2-40B4-BE49-F238E27FC236}">
                <a16:creationId xmlns:a16="http://schemas.microsoft.com/office/drawing/2014/main" id="{31BF5A95-535E-4A3B-9D40-3F8639BD5A9E}"/>
              </a:ext>
            </a:extLst>
          </xdr:cNvPr>
          <xdr:cNvCxnSpPr/>
        </xdr:nvCxnSpPr>
        <xdr:spPr>
          <a:xfrm flipV="1">
            <a:off x="8694420" y="8446770"/>
            <a:ext cx="0" cy="413766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 name="直線コネクタ 4">
            <a:extLst>
              <a:ext uri="{FF2B5EF4-FFF2-40B4-BE49-F238E27FC236}">
                <a16:creationId xmlns:a16="http://schemas.microsoft.com/office/drawing/2014/main" id="{3E0DA557-E5E5-4767-912B-46562B8A821F}"/>
              </a:ext>
            </a:extLst>
          </xdr:cNvPr>
          <xdr:cNvCxnSpPr/>
        </xdr:nvCxnSpPr>
        <xdr:spPr>
          <a:xfrm flipV="1">
            <a:off x="8964906" y="8446770"/>
            <a:ext cx="0" cy="413766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6" name="テキスト ボックス 5">
            <a:extLst>
              <a:ext uri="{FF2B5EF4-FFF2-40B4-BE49-F238E27FC236}">
                <a16:creationId xmlns:a16="http://schemas.microsoft.com/office/drawing/2014/main" id="{9CA1C32E-C603-4913-87CA-6BA00B0C9572}"/>
              </a:ext>
            </a:extLst>
          </xdr:cNvPr>
          <xdr:cNvSpPr txBox="1"/>
        </xdr:nvSpPr>
        <xdr:spPr>
          <a:xfrm>
            <a:off x="5455920" y="11991975"/>
            <a:ext cx="1190625" cy="588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実現値</a:t>
            </a:r>
          </a:p>
        </xdr:txBody>
      </xdr:sp>
      <xdr:sp macro="" textlink="">
        <xdr:nvSpPr>
          <xdr:cNvPr id="7" name="テキスト ボックス 6">
            <a:extLst>
              <a:ext uri="{FF2B5EF4-FFF2-40B4-BE49-F238E27FC236}">
                <a16:creationId xmlns:a16="http://schemas.microsoft.com/office/drawing/2014/main" id="{5647A98C-99C8-40EC-AB0C-CCB8271ACF91}"/>
              </a:ext>
            </a:extLst>
          </xdr:cNvPr>
          <xdr:cNvSpPr txBox="1"/>
        </xdr:nvSpPr>
        <xdr:spPr>
          <a:xfrm>
            <a:off x="8244840" y="11946255"/>
            <a:ext cx="1184910" cy="603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短期</a:t>
            </a:r>
            <a:endParaRPr kumimoji="1" lang="en-US" altLang="ja-JP" sz="1100" b="1">
              <a:latin typeface="游ゴシック" panose="020B0400000000000000" pitchFamily="50" charset="-128"/>
              <a:ea typeface="游ゴシック" panose="020B0400000000000000" pitchFamily="50" charset="-128"/>
            </a:endParaRPr>
          </a:p>
          <a:p>
            <a:pPr algn="ctr"/>
            <a:r>
              <a:rPr kumimoji="1" lang="ja-JP" altLang="en-US" sz="1100" b="1">
                <a:latin typeface="游ゴシック" panose="020B0400000000000000" pitchFamily="50" charset="-128"/>
                <a:ea typeface="游ゴシック" panose="020B0400000000000000" pitchFamily="50" charset="-128"/>
              </a:rPr>
              <a:t>予測</a:t>
            </a:r>
          </a:p>
        </xdr:txBody>
      </xdr:sp>
      <xdr:sp macro="" textlink="">
        <xdr:nvSpPr>
          <xdr:cNvPr id="8" name="テキスト ボックス 7">
            <a:extLst>
              <a:ext uri="{FF2B5EF4-FFF2-40B4-BE49-F238E27FC236}">
                <a16:creationId xmlns:a16="http://schemas.microsoft.com/office/drawing/2014/main" id="{43FD7227-784D-4DCA-9942-0102EF960985}"/>
              </a:ext>
            </a:extLst>
          </xdr:cNvPr>
          <xdr:cNvSpPr txBox="1"/>
        </xdr:nvSpPr>
        <xdr:spPr>
          <a:xfrm>
            <a:off x="9239250" y="11751945"/>
            <a:ext cx="124587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中長期予測</a:t>
            </a: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6</xdr:col>
      <xdr:colOff>206690</xdr:colOff>
      <xdr:row>34</xdr:row>
      <xdr:rowOff>210499</xdr:rowOff>
    </xdr:from>
    <xdr:to>
      <xdr:col>19</xdr:col>
      <xdr:colOff>474345</xdr:colOff>
      <xdr:row>56</xdr:row>
      <xdr:rowOff>53391</xdr:rowOff>
    </xdr:to>
    <xdr:grpSp>
      <xdr:nvGrpSpPr>
        <xdr:cNvPr id="2" name="グループ化 1">
          <a:extLst>
            <a:ext uri="{FF2B5EF4-FFF2-40B4-BE49-F238E27FC236}">
              <a16:creationId xmlns:a16="http://schemas.microsoft.com/office/drawing/2014/main" id="{AE5BB7A2-F1DE-4962-A120-6C149834EFBC}"/>
            </a:ext>
          </a:extLst>
        </xdr:cNvPr>
        <xdr:cNvGrpSpPr/>
      </xdr:nvGrpSpPr>
      <xdr:grpSpPr>
        <a:xfrm>
          <a:off x="5399176" y="8167956"/>
          <a:ext cx="8404726" cy="4991835"/>
          <a:chOff x="2730815" y="8302939"/>
          <a:chExt cx="8209600" cy="4870187"/>
        </a:xfrm>
      </xdr:grpSpPr>
      <xdr:graphicFrame macro="">
        <xdr:nvGraphicFramePr>
          <xdr:cNvPr id="3" name="グラフ 2">
            <a:extLst>
              <a:ext uri="{FF2B5EF4-FFF2-40B4-BE49-F238E27FC236}">
                <a16:creationId xmlns:a16="http://schemas.microsoft.com/office/drawing/2014/main" id="{CF4C0113-8AF7-4AEC-98A8-585DD2962730}"/>
              </a:ext>
            </a:extLst>
          </xdr:cNvPr>
          <xdr:cNvGraphicFramePr/>
        </xdr:nvGraphicFramePr>
        <xdr:xfrm>
          <a:off x="2730815" y="8302939"/>
          <a:ext cx="8209600" cy="4870187"/>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直線コネクタ 3">
            <a:extLst>
              <a:ext uri="{FF2B5EF4-FFF2-40B4-BE49-F238E27FC236}">
                <a16:creationId xmlns:a16="http://schemas.microsoft.com/office/drawing/2014/main" id="{EADD3636-95CF-463E-82D4-7AB7662ED370}"/>
              </a:ext>
            </a:extLst>
          </xdr:cNvPr>
          <xdr:cNvCxnSpPr/>
        </xdr:nvCxnSpPr>
        <xdr:spPr>
          <a:xfrm flipV="1">
            <a:off x="8694420" y="8446770"/>
            <a:ext cx="0" cy="413766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 name="直線コネクタ 4">
            <a:extLst>
              <a:ext uri="{FF2B5EF4-FFF2-40B4-BE49-F238E27FC236}">
                <a16:creationId xmlns:a16="http://schemas.microsoft.com/office/drawing/2014/main" id="{2F39B59D-7A12-4686-A8B4-D24E8026A738}"/>
              </a:ext>
            </a:extLst>
          </xdr:cNvPr>
          <xdr:cNvCxnSpPr/>
        </xdr:nvCxnSpPr>
        <xdr:spPr>
          <a:xfrm flipV="1">
            <a:off x="8955372" y="8437263"/>
            <a:ext cx="0" cy="413766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6" name="テキスト ボックス 5">
            <a:extLst>
              <a:ext uri="{FF2B5EF4-FFF2-40B4-BE49-F238E27FC236}">
                <a16:creationId xmlns:a16="http://schemas.microsoft.com/office/drawing/2014/main" id="{5A2CE854-B015-496A-B9F1-9CE303A2BCCF}"/>
              </a:ext>
            </a:extLst>
          </xdr:cNvPr>
          <xdr:cNvSpPr txBox="1"/>
        </xdr:nvSpPr>
        <xdr:spPr>
          <a:xfrm>
            <a:off x="5455920" y="11991975"/>
            <a:ext cx="1190625" cy="588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実現値</a:t>
            </a:r>
          </a:p>
        </xdr:txBody>
      </xdr:sp>
      <xdr:sp macro="" textlink="">
        <xdr:nvSpPr>
          <xdr:cNvPr id="7" name="テキスト ボックス 6">
            <a:extLst>
              <a:ext uri="{FF2B5EF4-FFF2-40B4-BE49-F238E27FC236}">
                <a16:creationId xmlns:a16="http://schemas.microsoft.com/office/drawing/2014/main" id="{FFB5312A-E6F4-4B36-897D-0B6564572B29}"/>
              </a:ext>
            </a:extLst>
          </xdr:cNvPr>
          <xdr:cNvSpPr txBox="1"/>
        </xdr:nvSpPr>
        <xdr:spPr>
          <a:xfrm>
            <a:off x="8244840" y="11946255"/>
            <a:ext cx="1184910" cy="603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短期</a:t>
            </a:r>
            <a:endParaRPr kumimoji="1" lang="en-US" altLang="ja-JP" sz="1100" b="1">
              <a:latin typeface="游ゴシック" panose="020B0400000000000000" pitchFamily="50" charset="-128"/>
              <a:ea typeface="游ゴシック" panose="020B0400000000000000" pitchFamily="50" charset="-128"/>
            </a:endParaRPr>
          </a:p>
          <a:p>
            <a:pPr algn="ctr"/>
            <a:r>
              <a:rPr kumimoji="1" lang="ja-JP" altLang="en-US" sz="1100" b="1">
                <a:latin typeface="游ゴシック" panose="020B0400000000000000" pitchFamily="50" charset="-128"/>
                <a:ea typeface="游ゴシック" panose="020B0400000000000000" pitchFamily="50" charset="-128"/>
              </a:rPr>
              <a:t>予測</a:t>
            </a:r>
          </a:p>
        </xdr:txBody>
      </xdr:sp>
      <xdr:sp macro="" textlink="">
        <xdr:nvSpPr>
          <xdr:cNvPr id="8" name="テキスト ボックス 7">
            <a:extLst>
              <a:ext uri="{FF2B5EF4-FFF2-40B4-BE49-F238E27FC236}">
                <a16:creationId xmlns:a16="http://schemas.microsoft.com/office/drawing/2014/main" id="{7F7F640B-53C4-4B6A-94C6-2A7186FECCD7}"/>
              </a:ext>
            </a:extLst>
          </xdr:cNvPr>
          <xdr:cNvSpPr txBox="1"/>
        </xdr:nvSpPr>
        <xdr:spPr>
          <a:xfrm>
            <a:off x="9239250" y="11751945"/>
            <a:ext cx="124587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中長期予測</a:t>
            </a: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6</xdr:col>
      <xdr:colOff>206690</xdr:colOff>
      <xdr:row>34</xdr:row>
      <xdr:rowOff>210499</xdr:rowOff>
    </xdr:from>
    <xdr:to>
      <xdr:col>19</xdr:col>
      <xdr:colOff>474345</xdr:colOff>
      <xdr:row>56</xdr:row>
      <xdr:rowOff>53391</xdr:rowOff>
    </xdr:to>
    <xdr:grpSp>
      <xdr:nvGrpSpPr>
        <xdr:cNvPr id="2" name="グループ化 1">
          <a:extLst>
            <a:ext uri="{FF2B5EF4-FFF2-40B4-BE49-F238E27FC236}">
              <a16:creationId xmlns:a16="http://schemas.microsoft.com/office/drawing/2014/main" id="{B41CBBD7-7286-4EDD-A0CD-B965ECAFC1E2}"/>
            </a:ext>
          </a:extLst>
        </xdr:cNvPr>
        <xdr:cNvGrpSpPr/>
      </xdr:nvGrpSpPr>
      <xdr:grpSpPr>
        <a:xfrm>
          <a:off x="5399176" y="8167956"/>
          <a:ext cx="8404726" cy="4991835"/>
          <a:chOff x="2730815" y="8302939"/>
          <a:chExt cx="8209600" cy="4870187"/>
        </a:xfrm>
      </xdr:grpSpPr>
      <xdr:graphicFrame macro="">
        <xdr:nvGraphicFramePr>
          <xdr:cNvPr id="3" name="グラフ 2">
            <a:extLst>
              <a:ext uri="{FF2B5EF4-FFF2-40B4-BE49-F238E27FC236}">
                <a16:creationId xmlns:a16="http://schemas.microsoft.com/office/drawing/2014/main" id="{616C27C9-B7A3-4EDB-9F3A-C060AC9F0E33}"/>
              </a:ext>
            </a:extLst>
          </xdr:cNvPr>
          <xdr:cNvGraphicFramePr/>
        </xdr:nvGraphicFramePr>
        <xdr:xfrm>
          <a:off x="2730815" y="8302939"/>
          <a:ext cx="8209600" cy="4870187"/>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直線コネクタ 3">
            <a:extLst>
              <a:ext uri="{FF2B5EF4-FFF2-40B4-BE49-F238E27FC236}">
                <a16:creationId xmlns:a16="http://schemas.microsoft.com/office/drawing/2014/main" id="{B4365A59-9B9A-4F63-8872-08CEDE801B44}"/>
              </a:ext>
            </a:extLst>
          </xdr:cNvPr>
          <xdr:cNvCxnSpPr/>
        </xdr:nvCxnSpPr>
        <xdr:spPr>
          <a:xfrm flipV="1">
            <a:off x="8694420" y="8446770"/>
            <a:ext cx="0" cy="413766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 name="直線コネクタ 4">
            <a:extLst>
              <a:ext uri="{FF2B5EF4-FFF2-40B4-BE49-F238E27FC236}">
                <a16:creationId xmlns:a16="http://schemas.microsoft.com/office/drawing/2014/main" id="{132B69C2-3A75-4342-9055-F92368E2FE6C}"/>
              </a:ext>
            </a:extLst>
          </xdr:cNvPr>
          <xdr:cNvCxnSpPr/>
        </xdr:nvCxnSpPr>
        <xdr:spPr>
          <a:xfrm flipV="1">
            <a:off x="8983980" y="8446770"/>
            <a:ext cx="0" cy="413766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6" name="テキスト ボックス 5">
            <a:extLst>
              <a:ext uri="{FF2B5EF4-FFF2-40B4-BE49-F238E27FC236}">
                <a16:creationId xmlns:a16="http://schemas.microsoft.com/office/drawing/2014/main" id="{8C041971-9556-4F7D-8DAF-D400585FAB9E}"/>
              </a:ext>
            </a:extLst>
          </xdr:cNvPr>
          <xdr:cNvSpPr txBox="1"/>
        </xdr:nvSpPr>
        <xdr:spPr>
          <a:xfrm>
            <a:off x="5455920" y="11991975"/>
            <a:ext cx="1190625" cy="588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実現値</a:t>
            </a:r>
          </a:p>
        </xdr:txBody>
      </xdr:sp>
      <xdr:sp macro="" textlink="">
        <xdr:nvSpPr>
          <xdr:cNvPr id="7" name="テキスト ボックス 6">
            <a:extLst>
              <a:ext uri="{FF2B5EF4-FFF2-40B4-BE49-F238E27FC236}">
                <a16:creationId xmlns:a16="http://schemas.microsoft.com/office/drawing/2014/main" id="{BAF5FB61-5468-4CFD-AEAA-C1AFE4080CE2}"/>
              </a:ext>
            </a:extLst>
          </xdr:cNvPr>
          <xdr:cNvSpPr txBox="1"/>
        </xdr:nvSpPr>
        <xdr:spPr>
          <a:xfrm>
            <a:off x="8244840" y="11946255"/>
            <a:ext cx="1184910" cy="603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短期</a:t>
            </a:r>
            <a:endParaRPr kumimoji="1" lang="en-US" altLang="ja-JP" sz="1100" b="1">
              <a:latin typeface="游ゴシック" panose="020B0400000000000000" pitchFamily="50" charset="-128"/>
              <a:ea typeface="游ゴシック" panose="020B0400000000000000" pitchFamily="50" charset="-128"/>
            </a:endParaRPr>
          </a:p>
          <a:p>
            <a:pPr algn="ctr"/>
            <a:r>
              <a:rPr kumimoji="1" lang="ja-JP" altLang="en-US" sz="1100" b="1">
                <a:latin typeface="游ゴシック" panose="020B0400000000000000" pitchFamily="50" charset="-128"/>
                <a:ea typeface="游ゴシック" panose="020B0400000000000000" pitchFamily="50" charset="-128"/>
              </a:rPr>
              <a:t>予測</a:t>
            </a:r>
          </a:p>
        </xdr:txBody>
      </xdr:sp>
      <xdr:sp macro="" textlink="">
        <xdr:nvSpPr>
          <xdr:cNvPr id="8" name="テキスト ボックス 7">
            <a:extLst>
              <a:ext uri="{FF2B5EF4-FFF2-40B4-BE49-F238E27FC236}">
                <a16:creationId xmlns:a16="http://schemas.microsoft.com/office/drawing/2014/main" id="{114DE1D1-480F-4E3C-8E59-8440E4EF6E2E}"/>
              </a:ext>
            </a:extLst>
          </xdr:cNvPr>
          <xdr:cNvSpPr txBox="1"/>
        </xdr:nvSpPr>
        <xdr:spPr>
          <a:xfrm>
            <a:off x="9239250" y="11751945"/>
            <a:ext cx="124587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中長期予測</a:t>
            </a: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202880</xdr:colOff>
      <xdr:row>34</xdr:row>
      <xdr:rowOff>206689</xdr:rowOff>
    </xdr:from>
    <xdr:to>
      <xdr:col>19</xdr:col>
      <xdr:colOff>478155</xdr:colOff>
      <xdr:row>56</xdr:row>
      <xdr:rowOff>57201</xdr:rowOff>
    </xdr:to>
    <xdr:grpSp>
      <xdr:nvGrpSpPr>
        <xdr:cNvPr id="2" name="グループ化 1">
          <a:extLst>
            <a:ext uri="{FF2B5EF4-FFF2-40B4-BE49-F238E27FC236}">
              <a16:creationId xmlns:a16="http://schemas.microsoft.com/office/drawing/2014/main" id="{45A04DDD-DF07-49F2-8B84-9B62C3D244FE}"/>
            </a:ext>
          </a:extLst>
        </xdr:cNvPr>
        <xdr:cNvGrpSpPr/>
      </xdr:nvGrpSpPr>
      <xdr:grpSpPr>
        <a:xfrm>
          <a:off x="5395366" y="8164146"/>
          <a:ext cx="8412346" cy="4999455"/>
          <a:chOff x="2730815" y="8302939"/>
          <a:chExt cx="8209600" cy="4870187"/>
        </a:xfrm>
      </xdr:grpSpPr>
      <xdr:graphicFrame macro="">
        <xdr:nvGraphicFramePr>
          <xdr:cNvPr id="3" name="グラフ 2">
            <a:extLst>
              <a:ext uri="{FF2B5EF4-FFF2-40B4-BE49-F238E27FC236}">
                <a16:creationId xmlns:a16="http://schemas.microsoft.com/office/drawing/2014/main" id="{1222C6CB-4A44-4E55-AEAF-A0D634DABC26}"/>
              </a:ext>
            </a:extLst>
          </xdr:cNvPr>
          <xdr:cNvGraphicFramePr/>
        </xdr:nvGraphicFramePr>
        <xdr:xfrm>
          <a:off x="2730815" y="8302939"/>
          <a:ext cx="8209600" cy="4870187"/>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直線コネクタ 3">
            <a:extLst>
              <a:ext uri="{FF2B5EF4-FFF2-40B4-BE49-F238E27FC236}">
                <a16:creationId xmlns:a16="http://schemas.microsoft.com/office/drawing/2014/main" id="{5033B76D-399A-4EFE-9538-806A0332BCD4}"/>
              </a:ext>
            </a:extLst>
          </xdr:cNvPr>
          <xdr:cNvCxnSpPr/>
        </xdr:nvCxnSpPr>
        <xdr:spPr>
          <a:xfrm flipV="1">
            <a:off x="8694420" y="8446770"/>
            <a:ext cx="0" cy="413766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 name="直線コネクタ 4">
            <a:extLst>
              <a:ext uri="{FF2B5EF4-FFF2-40B4-BE49-F238E27FC236}">
                <a16:creationId xmlns:a16="http://schemas.microsoft.com/office/drawing/2014/main" id="{B4F17F00-5AFB-46A0-9877-E5E918D7FE9E}"/>
              </a:ext>
            </a:extLst>
          </xdr:cNvPr>
          <xdr:cNvCxnSpPr/>
        </xdr:nvCxnSpPr>
        <xdr:spPr>
          <a:xfrm flipV="1">
            <a:off x="8964906" y="8446770"/>
            <a:ext cx="0" cy="413766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6" name="テキスト ボックス 5">
            <a:extLst>
              <a:ext uri="{FF2B5EF4-FFF2-40B4-BE49-F238E27FC236}">
                <a16:creationId xmlns:a16="http://schemas.microsoft.com/office/drawing/2014/main" id="{387E67E4-50EF-44B9-B98E-BD8FC5AF2682}"/>
              </a:ext>
            </a:extLst>
          </xdr:cNvPr>
          <xdr:cNvSpPr txBox="1"/>
        </xdr:nvSpPr>
        <xdr:spPr>
          <a:xfrm>
            <a:off x="5455920" y="11991975"/>
            <a:ext cx="1190625" cy="588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実現値</a:t>
            </a:r>
          </a:p>
        </xdr:txBody>
      </xdr:sp>
      <xdr:sp macro="" textlink="">
        <xdr:nvSpPr>
          <xdr:cNvPr id="7" name="テキスト ボックス 6">
            <a:extLst>
              <a:ext uri="{FF2B5EF4-FFF2-40B4-BE49-F238E27FC236}">
                <a16:creationId xmlns:a16="http://schemas.microsoft.com/office/drawing/2014/main" id="{CDA8B24A-5F4C-4C5F-8946-014549E821CF}"/>
              </a:ext>
            </a:extLst>
          </xdr:cNvPr>
          <xdr:cNvSpPr txBox="1"/>
        </xdr:nvSpPr>
        <xdr:spPr>
          <a:xfrm>
            <a:off x="8244840" y="11946255"/>
            <a:ext cx="1184910" cy="603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短期</a:t>
            </a:r>
            <a:endParaRPr kumimoji="1" lang="en-US" altLang="ja-JP" sz="1100" b="1">
              <a:latin typeface="游ゴシック" panose="020B0400000000000000" pitchFamily="50" charset="-128"/>
              <a:ea typeface="游ゴシック" panose="020B0400000000000000" pitchFamily="50" charset="-128"/>
            </a:endParaRPr>
          </a:p>
          <a:p>
            <a:pPr algn="ctr"/>
            <a:r>
              <a:rPr kumimoji="1" lang="ja-JP" altLang="en-US" sz="1100" b="1">
                <a:latin typeface="游ゴシック" panose="020B0400000000000000" pitchFamily="50" charset="-128"/>
                <a:ea typeface="游ゴシック" panose="020B0400000000000000" pitchFamily="50" charset="-128"/>
              </a:rPr>
              <a:t>予測</a:t>
            </a:r>
          </a:p>
        </xdr:txBody>
      </xdr:sp>
      <xdr:sp macro="" textlink="">
        <xdr:nvSpPr>
          <xdr:cNvPr id="8" name="テキスト ボックス 7">
            <a:extLst>
              <a:ext uri="{FF2B5EF4-FFF2-40B4-BE49-F238E27FC236}">
                <a16:creationId xmlns:a16="http://schemas.microsoft.com/office/drawing/2014/main" id="{E83F5892-474E-41A0-B203-FBE8242C47EC}"/>
              </a:ext>
            </a:extLst>
          </xdr:cNvPr>
          <xdr:cNvSpPr txBox="1"/>
        </xdr:nvSpPr>
        <xdr:spPr>
          <a:xfrm>
            <a:off x="9239250" y="11751945"/>
            <a:ext cx="124587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中長期予測</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162950</xdr:colOff>
      <xdr:row>33</xdr:row>
      <xdr:rowOff>208638</xdr:rowOff>
    </xdr:from>
    <xdr:to>
      <xdr:col>10</xdr:col>
      <xdr:colOff>545532</xdr:colOff>
      <xdr:row>72</xdr:row>
      <xdr:rowOff>41074</xdr:rowOff>
    </xdr:to>
    <xdr:graphicFrame macro="">
      <xdr:nvGraphicFramePr>
        <xdr:cNvPr id="3" name="グラフ 2">
          <a:extLst>
            <a:ext uri="{FF2B5EF4-FFF2-40B4-BE49-F238E27FC236}">
              <a16:creationId xmlns:a16="http://schemas.microsoft.com/office/drawing/2014/main" id="{F90C9943-0670-4DFF-8787-C6A5B28D81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6</xdr:col>
      <xdr:colOff>202880</xdr:colOff>
      <xdr:row>34</xdr:row>
      <xdr:rowOff>206689</xdr:rowOff>
    </xdr:from>
    <xdr:to>
      <xdr:col>19</xdr:col>
      <xdr:colOff>478155</xdr:colOff>
      <xdr:row>56</xdr:row>
      <xdr:rowOff>57201</xdr:rowOff>
    </xdr:to>
    <xdr:grpSp>
      <xdr:nvGrpSpPr>
        <xdr:cNvPr id="2" name="グループ化 1">
          <a:extLst>
            <a:ext uri="{FF2B5EF4-FFF2-40B4-BE49-F238E27FC236}">
              <a16:creationId xmlns:a16="http://schemas.microsoft.com/office/drawing/2014/main" id="{57F3E8AB-7FD6-4662-A860-9D4CDA0B0BBA}"/>
            </a:ext>
          </a:extLst>
        </xdr:cNvPr>
        <xdr:cNvGrpSpPr/>
      </xdr:nvGrpSpPr>
      <xdr:grpSpPr>
        <a:xfrm>
          <a:off x="5395366" y="8164146"/>
          <a:ext cx="8412346" cy="4999455"/>
          <a:chOff x="2730815" y="8302939"/>
          <a:chExt cx="8209600" cy="4870187"/>
        </a:xfrm>
      </xdr:grpSpPr>
      <xdr:graphicFrame macro="">
        <xdr:nvGraphicFramePr>
          <xdr:cNvPr id="3" name="グラフ 2">
            <a:extLst>
              <a:ext uri="{FF2B5EF4-FFF2-40B4-BE49-F238E27FC236}">
                <a16:creationId xmlns:a16="http://schemas.microsoft.com/office/drawing/2014/main" id="{4FB914A7-8D0D-4188-81B8-188FDBC88317}"/>
              </a:ext>
            </a:extLst>
          </xdr:cNvPr>
          <xdr:cNvGraphicFramePr/>
        </xdr:nvGraphicFramePr>
        <xdr:xfrm>
          <a:off x="2730815" y="8302939"/>
          <a:ext cx="8209600" cy="4870187"/>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直線コネクタ 3">
            <a:extLst>
              <a:ext uri="{FF2B5EF4-FFF2-40B4-BE49-F238E27FC236}">
                <a16:creationId xmlns:a16="http://schemas.microsoft.com/office/drawing/2014/main" id="{637C2D93-3356-43A0-8AE3-F62C3AD3CD21}"/>
              </a:ext>
            </a:extLst>
          </xdr:cNvPr>
          <xdr:cNvCxnSpPr/>
        </xdr:nvCxnSpPr>
        <xdr:spPr>
          <a:xfrm flipV="1">
            <a:off x="8694420" y="8446770"/>
            <a:ext cx="0" cy="413766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 name="直線コネクタ 4">
            <a:extLst>
              <a:ext uri="{FF2B5EF4-FFF2-40B4-BE49-F238E27FC236}">
                <a16:creationId xmlns:a16="http://schemas.microsoft.com/office/drawing/2014/main" id="{56CDA4FF-94A5-4C56-ABE0-7863AFED01EF}"/>
              </a:ext>
            </a:extLst>
          </xdr:cNvPr>
          <xdr:cNvCxnSpPr/>
        </xdr:nvCxnSpPr>
        <xdr:spPr>
          <a:xfrm flipV="1">
            <a:off x="8955372" y="8437263"/>
            <a:ext cx="0" cy="413766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6" name="テキスト ボックス 5">
            <a:extLst>
              <a:ext uri="{FF2B5EF4-FFF2-40B4-BE49-F238E27FC236}">
                <a16:creationId xmlns:a16="http://schemas.microsoft.com/office/drawing/2014/main" id="{4BF2CBAF-AD51-40E9-A47B-E62035891FAC}"/>
              </a:ext>
            </a:extLst>
          </xdr:cNvPr>
          <xdr:cNvSpPr txBox="1"/>
        </xdr:nvSpPr>
        <xdr:spPr>
          <a:xfrm>
            <a:off x="5455920" y="11991975"/>
            <a:ext cx="1190625" cy="588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実現値</a:t>
            </a:r>
          </a:p>
        </xdr:txBody>
      </xdr:sp>
      <xdr:sp macro="" textlink="">
        <xdr:nvSpPr>
          <xdr:cNvPr id="7" name="テキスト ボックス 6">
            <a:extLst>
              <a:ext uri="{FF2B5EF4-FFF2-40B4-BE49-F238E27FC236}">
                <a16:creationId xmlns:a16="http://schemas.microsoft.com/office/drawing/2014/main" id="{356E4881-1E05-40A4-8D94-B8DE6A5B880F}"/>
              </a:ext>
            </a:extLst>
          </xdr:cNvPr>
          <xdr:cNvSpPr txBox="1"/>
        </xdr:nvSpPr>
        <xdr:spPr>
          <a:xfrm>
            <a:off x="8244840" y="11946255"/>
            <a:ext cx="1184910" cy="603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短期</a:t>
            </a:r>
            <a:endParaRPr kumimoji="1" lang="en-US" altLang="ja-JP" sz="1100" b="1">
              <a:latin typeface="游ゴシック" panose="020B0400000000000000" pitchFamily="50" charset="-128"/>
              <a:ea typeface="游ゴシック" panose="020B0400000000000000" pitchFamily="50" charset="-128"/>
            </a:endParaRPr>
          </a:p>
          <a:p>
            <a:pPr algn="ctr"/>
            <a:r>
              <a:rPr kumimoji="1" lang="ja-JP" altLang="en-US" sz="1100" b="1">
                <a:latin typeface="游ゴシック" panose="020B0400000000000000" pitchFamily="50" charset="-128"/>
                <a:ea typeface="游ゴシック" panose="020B0400000000000000" pitchFamily="50" charset="-128"/>
              </a:rPr>
              <a:t>予測</a:t>
            </a:r>
          </a:p>
        </xdr:txBody>
      </xdr:sp>
      <xdr:sp macro="" textlink="">
        <xdr:nvSpPr>
          <xdr:cNvPr id="8" name="テキスト ボックス 7">
            <a:extLst>
              <a:ext uri="{FF2B5EF4-FFF2-40B4-BE49-F238E27FC236}">
                <a16:creationId xmlns:a16="http://schemas.microsoft.com/office/drawing/2014/main" id="{92DC4D09-46BF-4F2B-A038-816E15F67440}"/>
              </a:ext>
            </a:extLst>
          </xdr:cNvPr>
          <xdr:cNvSpPr txBox="1"/>
        </xdr:nvSpPr>
        <xdr:spPr>
          <a:xfrm>
            <a:off x="9239250" y="11751945"/>
            <a:ext cx="124587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中長期予測</a:t>
            </a: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6</xdr:col>
      <xdr:colOff>202880</xdr:colOff>
      <xdr:row>34</xdr:row>
      <xdr:rowOff>206689</xdr:rowOff>
    </xdr:from>
    <xdr:to>
      <xdr:col>19</xdr:col>
      <xdr:colOff>478155</xdr:colOff>
      <xdr:row>56</xdr:row>
      <xdr:rowOff>57201</xdr:rowOff>
    </xdr:to>
    <xdr:grpSp>
      <xdr:nvGrpSpPr>
        <xdr:cNvPr id="2" name="グループ化 1">
          <a:extLst>
            <a:ext uri="{FF2B5EF4-FFF2-40B4-BE49-F238E27FC236}">
              <a16:creationId xmlns:a16="http://schemas.microsoft.com/office/drawing/2014/main" id="{BCF37279-67DF-41A0-B3A4-17A660C146FA}"/>
            </a:ext>
          </a:extLst>
        </xdr:cNvPr>
        <xdr:cNvGrpSpPr/>
      </xdr:nvGrpSpPr>
      <xdr:grpSpPr>
        <a:xfrm>
          <a:off x="5395366" y="8164146"/>
          <a:ext cx="8412346" cy="4999455"/>
          <a:chOff x="2730815" y="8302939"/>
          <a:chExt cx="8209600" cy="4870187"/>
        </a:xfrm>
      </xdr:grpSpPr>
      <xdr:graphicFrame macro="">
        <xdr:nvGraphicFramePr>
          <xdr:cNvPr id="3" name="グラフ 2">
            <a:extLst>
              <a:ext uri="{FF2B5EF4-FFF2-40B4-BE49-F238E27FC236}">
                <a16:creationId xmlns:a16="http://schemas.microsoft.com/office/drawing/2014/main" id="{A713091C-EEAE-4F26-B56E-93AB9430EB19}"/>
              </a:ext>
            </a:extLst>
          </xdr:cNvPr>
          <xdr:cNvGraphicFramePr/>
        </xdr:nvGraphicFramePr>
        <xdr:xfrm>
          <a:off x="2730815" y="8302939"/>
          <a:ext cx="8209600" cy="4870187"/>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直線コネクタ 3">
            <a:extLst>
              <a:ext uri="{FF2B5EF4-FFF2-40B4-BE49-F238E27FC236}">
                <a16:creationId xmlns:a16="http://schemas.microsoft.com/office/drawing/2014/main" id="{0FB5660B-CE25-4AD0-A5EE-8A24A032AD42}"/>
              </a:ext>
            </a:extLst>
          </xdr:cNvPr>
          <xdr:cNvCxnSpPr/>
        </xdr:nvCxnSpPr>
        <xdr:spPr>
          <a:xfrm flipV="1">
            <a:off x="8694420" y="8446770"/>
            <a:ext cx="0" cy="413766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 name="直線コネクタ 4">
            <a:extLst>
              <a:ext uri="{FF2B5EF4-FFF2-40B4-BE49-F238E27FC236}">
                <a16:creationId xmlns:a16="http://schemas.microsoft.com/office/drawing/2014/main" id="{2F3063FE-1B16-4618-A4BD-8B543E208AAF}"/>
              </a:ext>
            </a:extLst>
          </xdr:cNvPr>
          <xdr:cNvCxnSpPr/>
        </xdr:nvCxnSpPr>
        <xdr:spPr>
          <a:xfrm flipV="1">
            <a:off x="8983980" y="8446770"/>
            <a:ext cx="0" cy="413766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6" name="テキスト ボックス 5">
            <a:extLst>
              <a:ext uri="{FF2B5EF4-FFF2-40B4-BE49-F238E27FC236}">
                <a16:creationId xmlns:a16="http://schemas.microsoft.com/office/drawing/2014/main" id="{66250BCE-B94F-4F09-B889-B0010A97B021}"/>
              </a:ext>
            </a:extLst>
          </xdr:cNvPr>
          <xdr:cNvSpPr txBox="1"/>
        </xdr:nvSpPr>
        <xdr:spPr>
          <a:xfrm>
            <a:off x="5455920" y="11991975"/>
            <a:ext cx="1190625" cy="588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実現値</a:t>
            </a:r>
          </a:p>
        </xdr:txBody>
      </xdr:sp>
      <xdr:sp macro="" textlink="">
        <xdr:nvSpPr>
          <xdr:cNvPr id="7" name="テキスト ボックス 6">
            <a:extLst>
              <a:ext uri="{FF2B5EF4-FFF2-40B4-BE49-F238E27FC236}">
                <a16:creationId xmlns:a16="http://schemas.microsoft.com/office/drawing/2014/main" id="{4DAFC166-C6F2-4243-AAFD-1A3E32D6EA76}"/>
              </a:ext>
            </a:extLst>
          </xdr:cNvPr>
          <xdr:cNvSpPr txBox="1"/>
        </xdr:nvSpPr>
        <xdr:spPr>
          <a:xfrm>
            <a:off x="8244840" y="11946255"/>
            <a:ext cx="1184910" cy="603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短期</a:t>
            </a:r>
            <a:endParaRPr kumimoji="1" lang="en-US" altLang="ja-JP" sz="1100" b="1">
              <a:latin typeface="游ゴシック" panose="020B0400000000000000" pitchFamily="50" charset="-128"/>
              <a:ea typeface="游ゴシック" panose="020B0400000000000000" pitchFamily="50" charset="-128"/>
            </a:endParaRPr>
          </a:p>
          <a:p>
            <a:pPr algn="ctr"/>
            <a:r>
              <a:rPr kumimoji="1" lang="ja-JP" altLang="en-US" sz="1100" b="1">
                <a:latin typeface="游ゴシック" panose="020B0400000000000000" pitchFamily="50" charset="-128"/>
                <a:ea typeface="游ゴシック" panose="020B0400000000000000" pitchFamily="50" charset="-128"/>
              </a:rPr>
              <a:t>予測</a:t>
            </a:r>
          </a:p>
        </xdr:txBody>
      </xdr:sp>
      <xdr:sp macro="" textlink="">
        <xdr:nvSpPr>
          <xdr:cNvPr id="8" name="テキスト ボックス 7">
            <a:extLst>
              <a:ext uri="{FF2B5EF4-FFF2-40B4-BE49-F238E27FC236}">
                <a16:creationId xmlns:a16="http://schemas.microsoft.com/office/drawing/2014/main" id="{DA556BD1-4786-4D17-AA7C-98C66CAE3126}"/>
              </a:ext>
            </a:extLst>
          </xdr:cNvPr>
          <xdr:cNvSpPr txBox="1"/>
        </xdr:nvSpPr>
        <xdr:spPr>
          <a:xfrm>
            <a:off x="9239250" y="11751945"/>
            <a:ext cx="124587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中長期予測</a:t>
            </a: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7</xdr:col>
      <xdr:colOff>240003</xdr:colOff>
      <xdr:row>42</xdr:row>
      <xdr:rowOff>5838</xdr:rowOff>
    </xdr:from>
    <xdr:to>
      <xdr:col>20</xdr:col>
      <xdr:colOff>517873</xdr:colOff>
      <xdr:row>68</xdr:row>
      <xdr:rowOff>78426</xdr:rowOff>
    </xdr:to>
    <xdr:grpSp>
      <xdr:nvGrpSpPr>
        <xdr:cNvPr id="2" name="グループ化 1">
          <a:extLst>
            <a:ext uri="{FF2B5EF4-FFF2-40B4-BE49-F238E27FC236}">
              <a16:creationId xmlns:a16="http://schemas.microsoft.com/office/drawing/2014/main" id="{338CDE14-4DA9-4B5C-8567-72B4F2B8F09A}"/>
            </a:ext>
          </a:extLst>
        </xdr:cNvPr>
        <xdr:cNvGrpSpPr/>
      </xdr:nvGrpSpPr>
      <xdr:grpSpPr>
        <a:xfrm>
          <a:off x="9460203" y="10303724"/>
          <a:ext cx="8414941" cy="4987488"/>
          <a:chOff x="2702195" y="8510191"/>
          <a:chExt cx="8220156" cy="4881518"/>
        </a:xfrm>
      </xdr:grpSpPr>
      <xdr:graphicFrame macro="">
        <xdr:nvGraphicFramePr>
          <xdr:cNvPr id="3" name="グラフ 2">
            <a:extLst>
              <a:ext uri="{FF2B5EF4-FFF2-40B4-BE49-F238E27FC236}">
                <a16:creationId xmlns:a16="http://schemas.microsoft.com/office/drawing/2014/main" id="{D4020EF2-3C54-49CD-B264-BB3088D3DDAB}"/>
              </a:ext>
            </a:extLst>
          </xdr:cNvPr>
          <xdr:cNvGraphicFramePr/>
        </xdr:nvGraphicFramePr>
        <xdr:xfrm>
          <a:off x="2702195" y="8510191"/>
          <a:ext cx="8220156" cy="4881518"/>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直線コネクタ 3">
            <a:extLst>
              <a:ext uri="{FF2B5EF4-FFF2-40B4-BE49-F238E27FC236}">
                <a16:creationId xmlns:a16="http://schemas.microsoft.com/office/drawing/2014/main" id="{2E569F21-8718-4461-90A5-FA254A99F499}"/>
              </a:ext>
            </a:extLst>
          </xdr:cNvPr>
          <xdr:cNvCxnSpPr/>
        </xdr:nvCxnSpPr>
        <xdr:spPr>
          <a:xfrm flipV="1">
            <a:off x="8637723" y="8660933"/>
            <a:ext cx="0" cy="390578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 name="直線コネクタ 4">
            <a:extLst>
              <a:ext uri="{FF2B5EF4-FFF2-40B4-BE49-F238E27FC236}">
                <a16:creationId xmlns:a16="http://schemas.microsoft.com/office/drawing/2014/main" id="{77690425-F7AD-46B9-AFDC-1A4ED7FBD108}"/>
              </a:ext>
            </a:extLst>
          </xdr:cNvPr>
          <xdr:cNvCxnSpPr/>
        </xdr:nvCxnSpPr>
        <xdr:spPr>
          <a:xfrm flipV="1">
            <a:off x="8915944" y="8645657"/>
            <a:ext cx="0" cy="3924938"/>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6" name="テキスト ボックス 5">
            <a:extLst>
              <a:ext uri="{FF2B5EF4-FFF2-40B4-BE49-F238E27FC236}">
                <a16:creationId xmlns:a16="http://schemas.microsoft.com/office/drawing/2014/main" id="{B4CC5E98-9536-49E0-B26B-9E93E43CEB61}"/>
              </a:ext>
            </a:extLst>
          </xdr:cNvPr>
          <xdr:cNvSpPr txBox="1"/>
        </xdr:nvSpPr>
        <xdr:spPr>
          <a:xfrm>
            <a:off x="5455920" y="11991975"/>
            <a:ext cx="1190625" cy="588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実現値</a:t>
            </a:r>
          </a:p>
        </xdr:txBody>
      </xdr:sp>
      <xdr:sp macro="" textlink="">
        <xdr:nvSpPr>
          <xdr:cNvPr id="7" name="テキスト ボックス 6">
            <a:extLst>
              <a:ext uri="{FF2B5EF4-FFF2-40B4-BE49-F238E27FC236}">
                <a16:creationId xmlns:a16="http://schemas.microsoft.com/office/drawing/2014/main" id="{01C4B741-8B3F-49CB-BEDD-0DB6A723A611}"/>
              </a:ext>
            </a:extLst>
          </xdr:cNvPr>
          <xdr:cNvSpPr txBox="1"/>
        </xdr:nvSpPr>
        <xdr:spPr>
          <a:xfrm>
            <a:off x="8199483" y="11946255"/>
            <a:ext cx="1184910" cy="603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短期</a:t>
            </a:r>
            <a:endParaRPr kumimoji="1" lang="en-US" altLang="ja-JP" sz="1100" b="1">
              <a:latin typeface="游ゴシック" panose="020B0400000000000000" pitchFamily="50" charset="-128"/>
              <a:ea typeface="游ゴシック" panose="020B0400000000000000" pitchFamily="50" charset="-128"/>
            </a:endParaRPr>
          </a:p>
          <a:p>
            <a:pPr algn="ctr"/>
            <a:r>
              <a:rPr kumimoji="1" lang="ja-JP" altLang="en-US" sz="1100" b="1">
                <a:latin typeface="游ゴシック" panose="020B0400000000000000" pitchFamily="50" charset="-128"/>
                <a:ea typeface="游ゴシック" panose="020B0400000000000000" pitchFamily="50" charset="-128"/>
              </a:rPr>
              <a:t>予測</a:t>
            </a:r>
          </a:p>
        </xdr:txBody>
      </xdr:sp>
      <xdr:sp macro="" textlink="">
        <xdr:nvSpPr>
          <xdr:cNvPr id="8" name="テキスト ボックス 7">
            <a:extLst>
              <a:ext uri="{FF2B5EF4-FFF2-40B4-BE49-F238E27FC236}">
                <a16:creationId xmlns:a16="http://schemas.microsoft.com/office/drawing/2014/main" id="{2BF179D4-1AD2-47E2-BFCE-9D93B3F0B507}"/>
              </a:ext>
            </a:extLst>
          </xdr:cNvPr>
          <xdr:cNvSpPr txBox="1"/>
        </xdr:nvSpPr>
        <xdr:spPr>
          <a:xfrm>
            <a:off x="9239250" y="11751945"/>
            <a:ext cx="124587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中長期予測</a:t>
            </a:r>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7</xdr:col>
      <xdr:colOff>478336</xdr:colOff>
      <xdr:row>28</xdr:row>
      <xdr:rowOff>226144</xdr:rowOff>
    </xdr:from>
    <xdr:to>
      <xdr:col>21</xdr:col>
      <xdr:colOff>140874</xdr:colOff>
      <xdr:row>50</xdr:row>
      <xdr:rowOff>67411</xdr:rowOff>
    </xdr:to>
    <xdr:grpSp>
      <xdr:nvGrpSpPr>
        <xdr:cNvPr id="2" name="グループ化 1">
          <a:extLst>
            <a:ext uri="{FF2B5EF4-FFF2-40B4-BE49-F238E27FC236}">
              <a16:creationId xmlns:a16="http://schemas.microsoft.com/office/drawing/2014/main" id="{50C55412-F987-42C3-8A3E-347260579ABD}"/>
            </a:ext>
          </a:extLst>
        </xdr:cNvPr>
        <xdr:cNvGrpSpPr/>
      </xdr:nvGrpSpPr>
      <xdr:grpSpPr>
        <a:xfrm>
          <a:off x="14016207" y="6876326"/>
          <a:ext cx="8390902" cy="5066410"/>
          <a:chOff x="2702200" y="8508296"/>
          <a:chExt cx="8222079" cy="4879724"/>
        </a:xfrm>
      </xdr:grpSpPr>
      <xdr:graphicFrame macro="">
        <xdr:nvGraphicFramePr>
          <xdr:cNvPr id="3" name="グラフ 2">
            <a:extLst>
              <a:ext uri="{FF2B5EF4-FFF2-40B4-BE49-F238E27FC236}">
                <a16:creationId xmlns:a16="http://schemas.microsoft.com/office/drawing/2014/main" id="{ECB8E3CC-7ACA-4D2D-8CCD-C093DA548E0F}"/>
              </a:ext>
            </a:extLst>
          </xdr:cNvPr>
          <xdr:cNvGraphicFramePr/>
        </xdr:nvGraphicFramePr>
        <xdr:xfrm>
          <a:off x="2702200" y="8508296"/>
          <a:ext cx="8222079" cy="4879724"/>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直線コネクタ 3">
            <a:extLst>
              <a:ext uri="{FF2B5EF4-FFF2-40B4-BE49-F238E27FC236}">
                <a16:creationId xmlns:a16="http://schemas.microsoft.com/office/drawing/2014/main" id="{8AB3F770-9C28-4140-9CDD-2E48F94A5FF9}"/>
              </a:ext>
            </a:extLst>
          </xdr:cNvPr>
          <xdr:cNvCxnSpPr/>
        </xdr:nvCxnSpPr>
        <xdr:spPr>
          <a:xfrm flipV="1">
            <a:off x="8694420" y="8660933"/>
            <a:ext cx="0" cy="390578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 name="直線コネクタ 4">
            <a:extLst>
              <a:ext uri="{FF2B5EF4-FFF2-40B4-BE49-F238E27FC236}">
                <a16:creationId xmlns:a16="http://schemas.microsoft.com/office/drawing/2014/main" id="{E84931B8-1F14-4C20-B78F-029567A7D9A6}"/>
              </a:ext>
            </a:extLst>
          </xdr:cNvPr>
          <xdr:cNvCxnSpPr/>
        </xdr:nvCxnSpPr>
        <xdr:spPr>
          <a:xfrm flipV="1">
            <a:off x="8983980" y="8645657"/>
            <a:ext cx="0" cy="3924938"/>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6" name="テキスト ボックス 5">
            <a:extLst>
              <a:ext uri="{FF2B5EF4-FFF2-40B4-BE49-F238E27FC236}">
                <a16:creationId xmlns:a16="http://schemas.microsoft.com/office/drawing/2014/main" id="{AD9FBED6-1967-43CC-B2E6-0ACA71B8BCE3}"/>
              </a:ext>
            </a:extLst>
          </xdr:cNvPr>
          <xdr:cNvSpPr txBox="1"/>
        </xdr:nvSpPr>
        <xdr:spPr>
          <a:xfrm>
            <a:off x="5455920" y="11991975"/>
            <a:ext cx="1190625" cy="588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実現値</a:t>
            </a:r>
          </a:p>
        </xdr:txBody>
      </xdr:sp>
      <xdr:sp macro="" textlink="">
        <xdr:nvSpPr>
          <xdr:cNvPr id="7" name="テキスト ボックス 6">
            <a:extLst>
              <a:ext uri="{FF2B5EF4-FFF2-40B4-BE49-F238E27FC236}">
                <a16:creationId xmlns:a16="http://schemas.microsoft.com/office/drawing/2014/main" id="{92A44751-74C0-47F7-88D0-3AA0515FCD14}"/>
              </a:ext>
            </a:extLst>
          </xdr:cNvPr>
          <xdr:cNvSpPr txBox="1"/>
        </xdr:nvSpPr>
        <xdr:spPr>
          <a:xfrm>
            <a:off x="8244840" y="11946255"/>
            <a:ext cx="1184910" cy="603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短期</a:t>
            </a:r>
            <a:endParaRPr kumimoji="1" lang="en-US" altLang="ja-JP" sz="1100" b="1">
              <a:latin typeface="游ゴシック" panose="020B0400000000000000" pitchFamily="50" charset="-128"/>
              <a:ea typeface="游ゴシック" panose="020B0400000000000000" pitchFamily="50" charset="-128"/>
            </a:endParaRPr>
          </a:p>
          <a:p>
            <a:pPr algn="ctr"/>
            <a:r>
              <a:rPr kumimoji="1" lang="ja-JP" altLang="en-US" sz="1100" b="1">
                <a:latin typeface="游ゴシック" panose="020B0400000000000000" pitchFamily="50" charset="-128"/>
                <a:ea typeface="游ゴシック" panose="020B0400000000000000" pitchFamily="50" charset="-128"/>
              </a:rPr>
              <a:t>予測</a:t>
            </a:r>
          </a:p>
        </xdr:txBody>
      </xdr:sp>
      <xdr:sp macro="" textlink="">
        <xdr:nvSpPr>
          <xdr:cNvPr id="8" name="テキスト ボックス 7">
            <a:extLst>
              <a:ext uri="{FF2B5EF4-FFF2-40B4-BE49-F238E27FC236}">
                <a16:creationId xmlns:a16="http://schemas.microsoft.com/office/drawing/2014/main" id="{7AC66584-78F5-492D-8122-2E38F81B1226}"/>
              </a:ext>
            </a:extLst>
          </xdr:cNvPr>
          <xdr:cNvSpPr txBox="1"/>
        </xdr:nvSpPr>
        <xdr:spPr>
          <a:xfrm>
            <a:off x="9239250" y="11751945"/>
            <a:ext cx="124587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游ゴシック" panose="020B0400000000000000" pitchFamily="50" charset="-128"/>
                <a:ea typeface="游ゴシック" panose="020B0400000000000000" pitchFamily="50" charset="-128"/>
              </a:rPr>
              <a:t>中長期予測</a:t>
            </a: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9</xdr:col>
      <xdr:colOff>978780</xdr:colOff>
      <xdr:row>52</xdr:row>
      <xdr:rowOff>197221</xdr:rowOff>
    </xdr:from>
    <xdr:to>
      <xdr:col>33</xdr:col>
      <xdr:colOff>575784</xdr:colOff>
      <xdr:row>84</xdr:row>
      <xdr:rowOff>221673</xdr:rowOff>
    </xdr:to>
    <xdr:grpSp>
      <xdr:nvGrpSpPr>
        <xdr:cNvPr id="16" name="グループ化 15">
          <a:extLst>
            <a:ext uri="{FF2B5EF4-FFF2-40B4-BE49-F238E27FC236}">
              <a16:creationId xmlns:a16="http://schemas.microsoft.com/office/drawing/2014/main" id="{40604C6A-57ED-4261-BB63-CC439758754E}"/>
            </a:ext>
          </a:extLst>
        </xdr:cNvPr>
        <xdr:cNvGrpSpPr/>
      </xdr:nvGrpSpPr>
      <xdr:grpSpPr>
        <a:xfrm>
          <a:off x="5115351" y="12517870"/>
          <a:ext cx="12837991" cy="7624659"/>
          <a:chOff x="4982744" y="12430785"/>
          <a:chExt cx="12467876" cy="7561324"/>
        </a:xfrm>
      </xdr:grpSpPr>
      <xdr:graphicFrame macro="">
        <xdr:nvGraphicFramePr>
          <xdr:cNvPr id="12" name="グラフ 11">
            <a:extLst>
              <a:ext uri="{FF2B5EF4-FFF2-40B4-BE49-F238E27FC236}">
                <a16:creationId xmlns:a16="http://schemas.microsoft.com/office/drawing/2014/main" id="{51006C3B-55FE-4240-8FD6-D1682C7309E4}"/>
              </a:ext>
            </a:extLst>
          </xdr:cNvPr>
          <xdr:cNvGraphicFramePr/>
        </xdr:nvGraphicFramePr>
        <xdr:xfrm>
          <a:off x="4982744" y="12430785"/>
          <a:ext cx="12467876" cy="7561324"/>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14" name="直線コネクタ 13">
            <a:extLst>
              <a:ext uri="{FF2B5EF4-FFF2-40B4-BE49-F238E27FC236}">
                <a16:creationId xmlns:a16="http://schemas.microsoft.com/office/drawing/2014/main" id="{8E254393-829E-4412-AD6C-F0CFACF4D6FE}"/>
              </a:ext>
            </a:extLst>
          </xdr:cNvPr>
          <xdr:cNvCxnSpPr/>
        </xdr:nvCxnSpPr>
        <xdr:spPr>
          <a:xfrm>
            <a:off x="14034655" y="12566073"/>
            <a:ext cx="0" cy="6677891"/>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15" name="テキスト ボックス 14">
            <a:extLst>
              <a:ext uri="{FF2B5EF4-FFF2-40B4-BE49-F238E27FC236}">
                <a16:creationId xmlns:a16="http://schemas.microsoft.com/office/drawing/2014/main" id="{6BB351F7-998D-41D8-9BBC-7D4B10D803E6}"/>
              </a:ext>
            </a:extLst>
          </xdr:cNvPr>
          <xdr:cNvSpPr txBox="1"/>
        </xdr:nvSpPr>
        <xdr:spPr>
          <a:xfrm>
            <a:off x="8492837" y="18648218"/>
            <a:ext cx="2175163" cy="360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游ゴシック" panose="020B0400000000000000" pitchFamily="50" charset="-128"/>
                <a:ea typeface="游ゴシック" panose="020B0400000000000000" pitchFamily="50" charset="-128"/>
              </a:rPr>
              <a:t>実現値</a:t>
            </a:r>
          </a:p>
        </xdr:txBody>
      </xdr:sp>
    </xdr:grpSp>
    <xdr:clientData/>
  </xdr:twoCellAnchor>
</xdr:wsDr>
</file>

<file path=xl/drawings/drawing45.xml><?xml version="1.0" encoding="utf-8"?>
<c:userShapes xmlns:c="http://schemas.openxmlformats.org/drawingml/2006/chart">
  <cdr:relSizeAnchor xmlns:cdr="http://schemas.openxmlformats.org/drawingml/2006/chartDrawing">
    <cdr:from>
      <cdr:x>0.76748</cdr:x>
      <cdr:y>0.82209</cdr:y>
    </cdr:from>
    <cdr:to>
      <cdr:x>0.94194</cdr:x>
      <cdr:y>0.86973</cdr:y>
    </cdr:to>
    <cdr:sp macro="" textlink="">
      <cdr:nvSpPr>
        <cdr:cNvPr id="2" name="テキスト ボックス 14">
          <a:extLst xmlns:a="http://schemas.openxmlformats.org/drawingml/2006/main">
            <a:ext uri="{FF2B5EF4-FFF2-40B4-BE49-F238E27FC236}">
              <a16:creationId xmlns:a16="http://schemas.microsoft.com/office/drawing/2014/main" id="{6BB351F7-998D-41D8-9BBC-7D4B10D803E6}"/>
            </a:ext>
          </a:extLst>
        </cdr:cNvPr>
        <cdr:cNvSpPr txBox="1"/>
      </cdr:nvSpPr>
      <cdr:spPr>
        <a:xfrm xmlns:a="http://schemas.openxmlformats.org/drawingml/2006/main">
          <a:off x="9568874" y="6216073"/>
          <a:ext cx="2175163" cy="3602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1200" b="1">
              <a:latin typeface="游ゴシック" panose="020B0400000000000000" pitchFamily="50" charset="-128"/>
              <a:ea typeface="游ゴシック" panose="020B0400000000000000" pitchFamily="50" charset="-128"/>
            </a:rPr>
            <a:t>中長期予測</a:t>
          </a:r>
        </a:p>
      </cdr:txBody>
    </cdr:sp>
  </cdr:relSizeAnchor>
</c:userShapes>
</file>

<file path=xl/drawings/drawing5.xml><?xml version="1.0" encoding="utf-8"?>
<c:userShapes xmlns:c="http://schemas.openxmlformats.org/drawingml/2006/chart">
  <cdr:relSizeAnchor xmlns:cdr="http://schemas.openxmlformats.org/drawingml/2006/chartDrawing">
    <cdr:from>
      <cdr:x>0.62463</cdr:x>
      <cdr:y>0.01725</cdr:y>
    </cdr:from>
    <cdr:to>
      <cdr:x>0.62463</cdr:x>
      <cdr:y>0.9267</cdr:y>
    </cdr:to>
    <cdr:cxnSp macro="">
      <cdr:nvCxnSpPr>
        <cdr:cNvPr id="3" name="直線コネクタ 2">
          <a:extLst xmlns:a="http://schemas.openxmlformats.org/drawingml/2006/main">
            <a:ext uri="{FF2B5EF4-FFF2-40B4-BE49-F238E27FC236}">
              <a16:creationId xmlns:a16="http://schemas.microsoft.com/office/drawing/2014/main" id="{C4443339-268D-42F6-9394-8A4B5004F9CC}"/>
            </a:ext>
          </a:extLst>
        </cdr:cNvPr>
        <cdr:cNvCxnSpPr/>
      </cdr:nvCxnSpPr>
      <cdr:spPr>
        <a:xfrm xmlns:a="http://schemas.openxmlformats.org/drawingml/2006/main" flipV="1">
          <a:off x="8430974" y="154945"/>
          <a:ext cx="0" cy="816997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0.68876</cdr:x>
      <cdr:y>0.01498</cdr:y>
    </cdr:from>
    <cdr:to>
      <cdr:x>0.68876</cdr:x>
      <cdr:y>0.92919</cdr:y>
    </cdr:to>
    <cdr:cxnSp macro="">
      <cdr:nvCxnSpPr>
        <cdr:cNvPr id="5" name="直線コネクタ 4">
          <a:extLst xmlns:a="http://schemas.openxmlformats.org/drawingml/2006/main">
            <a:ext uri="{FF2B5EF4-FFF2-40B4-BE49-F238E27FC236}">
              <a16:creationId xmlns:a16="http://schemas.microsoft.com/office/drawing/2014/main" id="{A3BBB8FD-BB50-4C91-A6A7-59CC18907758}"/>
            </a:ext>
          </a:extLst>
        </cdr:cNvPr>
        <cdr:cNvCxnSpPr/>
      </cdr:nvCxnSpPr>
      <cdr:spPr>
        <a:xfrm xmlns:a="http://schemas.openxmlformats.org/drawingml/2006/main" flipV="1">
          <a:off x="9296598" y="134528"/>
          <a:ext cx="0" cy="821270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0.68832</cdr:x>
      <cdr:y>0.02475</cdr:y>
    </cdr:from>
    <cdr:to>
      <cdr:x>0.98282</cdr:x>
      <cdr:y>0.1025</cdr:y>
    </cdr:to>
    <cdr:sp macro="" textlink="">
      <cdr:nvSpPr>
        <cdr:cNvPr id="6" name="テキスト ボックス 3">
          <a:extLst xmlns:a="http://schemas.openxmlformats.org/drawingml/2006/main">
            <a:ext uri="{FF2B5EF4-FFF2-40B4-BE49-F238E27FC236}">
              <a16:creationId xmlns:a16="http://schemas.microsoft.com/office/drawing/2014/main" id="{D76094B0-A644-4E0E-BAB8-6C4B96526381}"/>
            </a:ext>
          </a:extLst>
        </cdr:cNvPr>
        <cdr:cNvSpPr txBox="1"/>
      </cdr:nvSpPr>
      <cdr:spPr>
        <a:xfrm xmlns:a="http://schemas.openxmlformats.org/drawingml/2006/main">
          <a:off x="9290659" y="222329"/>
          <a:ext cx="3975028" cy="6984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1600" b="1">
              <a:latin typeface="游ゴシック" panose="020B0400000000000000" pitchFamily="50" charset="-128"/>
              <a:ea typeface="游ゴシック" panose="020B0400000000000000" pitchFamily="50" charset="-128"/>
            </a:rPr>
            <a:t>中長期試算</a:t>
          </a:r>
        </a:p>
      </cdr:txBody>
    </cdr:sp>
  </cdr:relSizeAnchor>
  <cdr:relSizeAnchor xmlns:cdr="http://schemas.openxmlformats.org/drawingml/2006/chartDrawing">
    <cdr:from>
      <cdr:x>0.02504</cdr:x>
      <cdr:y>0.02626</cdr:y>
    </cdr:from>
    <cdr:to>
      <cdr:x>0.63892</cdr:x>
      <cdr:y>0.09795</cdr:y>
    </cdr:to>
    <cdr:sp macro="" textlink="">
      <cdr:nvSpPr>
        <cdr:cNvPr id="7" name="テキスト ボックス 3">
          <a:extLst xmlns:a="http://schemas.openxmlformats.org/drawingml/2006/main">
            <a:ext uri="{FF2B5EF4-FFF2-40B4-BE49-F238E27FC236}">
              <a16:creationId xmlns:a16="http://schemas.microsoft.com/office/drawing/2014/main" id="{027EF332-1176-4B57-8252-DA691706A34A}"/>
            </a:ext>
          </a:extLst>
        </cdr:cNvPr>
        <cdr:cNvSpPr txBox="1"/>
      </cdr:nvSpPr>
      <cdr:spPr>
        <a:xfrm xmlns:a="http://schemas.openxmlformats.org/drawingml/2006/main">
          <a:off x="338004" y="235936"/>
          <a:ext cx="8285875" cy="64401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1600" b="1">
              <a:latin typeface="游ゴシック" panose="020B0400000000000000" pitchFamily="50" charset="-128"/>
              <a:ea typeface="游ゴシック" panose="020B0400000000000000" pitchFamily="50" charset="-128"/>
            </a:rPr>
            <a:t>実現値</a:t>
          </a:r>
        </a:p>
      </cdr:txBody>
    </cdr:sp>
  </cdr:relSizeAnchor>
  <cdr:relSizeAnchor xmlns:cdr="http://schemas.openxmlformats.org/drawingml/2006/chartDrawing">
    <cdr:from>
      <cdr:x>0.50834</cdr:x>
      <cdr:y>0.02173</cdr:y>
    </cdr:from>
    <cdr:to>
      <cdr:x>0.80284</cdr:x>
      <cdr:y>0.09948</cdr:y>
    </cdr:to>
    <cdr:sp macro="" textlink="">
      <cdr:nvSpPr>
        <cdr:cNvPr id="10" name="テキスト ボックス 3">
          <a:extLst xmlns:a="http://schemas.openxmlformats.org/drawingml/2006/main">
            <a:ext uri="{FF2B5EF4-FFF2-40B4-BE49-F238E27FC236}">
              <a16:creationId xmlns:a16="http://schemas.microsoft.com/office/drawing/2014/main" id="{E7F7A567-BB43-43D1-94AF-E1D86D6EFEE3}"/>
            </a:ext>
          </a:extLst>
        </cdr:cNvPr>
        <cdr:cNvSpPr txBox="1"/>
      </cdr:nvSpPr>
      <cdr:spPr>
        <a:xfrm xmlns:a="http://schemas.openxmlformats.org/drawingml/2006/main">
          <a:off x="6806943" y="187072"/>
          <a:ext cx="3943485" cy="66934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1600" b="1">
              <a:latin typeface="游ゴシック" panose="020B0400000000000000" pitchFamily="50" charset="-128"/>
              <a:ea typeface="游ゴシック" panose="020B0400000000000000" pitchFamily="50" charset="-128"/>
            </a:rPr>
            <a:t>経済</a:t>
          </a:r>
          <a:endParaRPr kumimoji="1" lang="en-US" altLang="ja-JP" sz="1600" b="1">
            <a:latin typeface="游ゴシック" panose="020B0400000000000000" pitchFamily="50" charset="-128"/>
            <a:ea typeface="游ゴシック" panose="020B0400000000000000" pitchFamily="50" charset="-128"/>
          </a:endParaRPr>
        </a:p>
        <a:p xmlns:a="http://schemas.openxmlformats.org/drawingml/2006/main">
          <a:pPr algn="ctr"/>
          <a:r>
            <a:rPr kumimoji="1" lang="ja-JP" altLang="en-US" sz="1600" b="1">
              <a:latin typeface="游ゴシック" panose="020B0400000000000000" pitchFamily="50" charset="-128"/>
              <a:ea typeface="游ゴシック" panose="020B0400000000000000" pitchFamily="50" charset="-128"/>
            </a:rPr>
            <a:t>見通し</a:t>
          </a:r>
        </a:p>
      </cdr:txBody>
    </cdr:sp>
  </cdr:relSizeAnchor>
</c:userShapes>
</file>

<file path=xl/drawings/drawing6.xml><?xml version="1.0" encoding="utf-8"?>
<xdr:wsDr xmlns:xdr="http://schemas.openxmlformats.org/drawingml/2006/spreadsheetDrawing" xmlns:a="http://schemas.openxmlformats.org/drawingml/2006/main">
  <xdr:twoCellAnchor>
    <xdr:from>
      <xdr:col>4</xdr:col>
      <xdr:colOff>465773</xdr:colOff>
      <xdr:row>4</xdr:row>
      <xdr:rowOff>142332</xdr:rowOff>
    </xdr:from>
    <xdr:to>
      <xdr:col>26</xdr:col>
      <xdr:colOff>178344</xdr:colOff>
      <xdr:row>41</xdr:row>
      <xdr:rowOff>170588</xdr:rowOff>
    </xdr:to>
    <xdr:graphicFrame macro="">
      <xdr:nvGraphicFramePr>
        <xdr:cNvPr id="2" name="グラフ 1">
          <a:extLst>
            <a:ext uri="{FF2B5EF4-FFF2-40B4-BE49-F238E27FC236}">
              <a16:creationId xmlns:a16="http://schemas.microsoft.com/office/drawing/2014/main" id="{682BAEFD-606C-4524-A307-F392F81F7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0.62073</cdr:x>
      <cdr:y>0.01733</cdr:y>
    </cdr:from>
    <cdr:to>
      <cdr:x>0.62073</cdr:x>
      <cdr:y>0.93428</cdr:y>
    </cdr:to>
    <cdr:cxnSp macro="">
      <cdr:nvCxnSpPr>
        <cdr:cNvPr id="3" name="直線コネクタ 2">
          <a:extLst xmlns:a="http://schemas.openxmlformats.org/drawingml/2006/main">
            <a:ext uri="{FF2B5EF4-FFF2-40B4-BE49-F238E27FC236}">
              <a16:creationId xmlns:a16="http://schemas.microsoft.com/office/drawing/2014/main" id="{C4443339-268D-42F6-9394-8A4B5004F9CC}"/>
            </a:ext>
          </a:extLst>
        </cdr:cNvPr>
        <cdr:cNvCxnSpPr/>
      </cdr:nvCxnSpPr>
      <cdr:spPr>
        <a:xfrm xmlns:a="http://schemas.openxmlformats.org/drawingml/2006/main" flipV="1">
          <a:off x="8431919" y="155106"/>
          <a:ext cx="0" cy="820669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0.68486</cdr:x>
      <cdr:y>0.02257</cdr:y>
    </cdr:from>
    <cdr:to>
      <cdr:x>0.68486</cdr:x>
      <cdr:y>0.93678</cdr:y>
    </cdr:to>
    <cdr:cxnSp macro="">
      <cdr:nvCxnSpPr>
        <cdr:cNvPr id="5" name="直線コネクタ 4">
          <a:extLst xmlns:a="http://schemas.openxmlformats.org/drawingml/2006/main">
            <a:ext uri="{FF2B5EF4-FFF2-40B4-BE49-F238E27FC236}">
              <a16:creationId xmlns:a16="http://schemas.microsoft.com/office/drawing/2014/main" id="{A3BBB8FD-BB50-4C91-A6A7-59CC18907758}"/>
            </a:ext>
          </a:extLst>
        </cdr:cNvPr>
        <cdr:cNvCxnSpPr/>
      </cdr:nvCxnSpPr>
      <cdr:spPr>
        <a:xfrm xmlns:a="http://schemas.openxmlformats.org/drawingml/2006/main" flipV="1">
          <a:off x="9303170" y="202013"/>
          <a:ext cx="0" cy="818217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0.69043</cdr:x>
      <cdr:y>0.02477</cdr:y>
    </cdr:from>
    <cdr:to>
      <cdr:x>0.98493</cdr:x>
      <cdr:y>0.10252</cdr:y>
    </cdr:to>
    <cdr:sp macro="" textlink="">
      <cdr:nvSpPr>
        <cdr:cNvPr id="6" name="テキスト ボックス 3">
          <a:extLst xmlns:a="http://schemas.openxmlformats.org/drawingml/2006/main">
            <a:ext uri="{FF2B5EF4-FFF2-40B4-BE49-F238E27FC236}">
              <a16:creationId xmlns:a16="http://schemas.microsoft.com/office/drawing/2014/main" id="{D76094B0-A644-4E0E-BAB8-6C4B96526381}"/>
            </a:ext>
          </a:extLst>
        </cdr:cNvPr>
        <cdr:cNvSpPr txBox="1"/>
      </cdr:nvSpPr>
      <cdr:spPr>
        <a:xfrm xmlns:a="http://schemas.openxmlformats.org/drawingml/2006/main">
          <a:off x="9378836" y="221704"/>
          <a:ext cx="4000478" cy="6958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1200" b="1">
              <a:latin typeface="游ゴシック" panose="020B0400000000000000" pitchFamily="50" charset="-128"/>
              <a:ea typeface="游ゴシック" panose="020B0400000000000000" pitchFamily="50" charset="-128"/>
            </a:rPr>
            <a:t>中長期試算</a:t>
          </a:r>
        </a:p>
      </cdr:txBody>
    </cdr:sp>
  </cdr:relSizeAnchor>
  <cdr:relSizeAnchor xmlns:cdr="http://schemas.openxmlformats.org/drawingml/2006/chartDrawing">
    <cdr:from>
      <cdr:x>0.02004</cdr:x>
      <cdr:y>0.02629</cdr:y>
    </cdr:from>
    <cdr:to>
      <cdr:x>0.63392</cdr:x>
      <cdr:y>0.09798</cdr:y>
    </cdr:to>
    <cdr:sp macro="" textlink="">
      <cdr:nvSpPr>
        <cdr:cNvPr id="7" name="テキスト ボックス 3">
          <a:extLst xmlns:a="http://schemas.openxmlformats.org/drawingml/2006/main">
            <a:ext uri="{FF2B5EF4-FFF2-40B4-BE49-F238E27FC236}">
              <a16:creationId xmlns:a16="http://schemas.microsoft.com/office/drawing/2014/main" id="{027EF332-1176-4B57-8252-DA691706A34A}"/>
            </a:ext>
          </a:extLst>
        </cdr:cNvPr>
        <cdr:cNvSpPr txBox="1"/>
      </cdr:nvSpPr>
      <cdr:spPr>
        <a:xfrm xmlns:a="http://schemas.openxmlformats.org/drawingml/2006/main">
          <a:off x="272219" y="235311"/>
          <a:ext cx="8338924" cy="6416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1200" b="1">
              <a:latin typeface="游ゴシック" panose="020B0400000000000000" pitchFamily="50" charset="-128"/>
              <a:ea typeface="游ゴシック" panose="020B0400000000000000" pitchFamily="50" charset="-128"/>
            </a:rPr>
            <a:t>実現値</a:t>
          </a:r>
        </a:p>
      </cdr:txBody>
    </cdr:sp>
  </cdr:relSizeAnchor>
  <cdr:relSizeAnchor xmlns:cdr="http://schemas.openxmlformats.org/drawingml/2006/chartDrawing">
    <cdr:from>
      <cdr:x>0.50803</cdr:x>
      <cdr:y>0.02022</cdr:y>
    </cdr:from>
    <cdr:to>
      <cdr:x>0.80253</cdr:x>
      <cdr:y>0.09797</cdr:y>
    </cdr:to>
    <cdr:sp macro="" textlink="">
      <cdr:nvSpPr>
        <cdr:cNvPr id="10" name="テキスト ボックス 3">
          <a:extLst xmlns:a="http://schemas.openxmlformats.org/drawingml/2006/main">
            <a:ext uri="{FF2B5EF4-FFF2-40B4-BE49-F238E27FC236}">
              <a16:creationId xmlns:a16="http://schemas.microsoft.com/office/drawing/2014/main" id="{E7F7A567-BB43-43D1-94AF-E1D86D6EFEE3}"/>
            </a:ext>
          </a:extLst>
        </cdr:cNvPr>
        <cdr:cNvSpPr txBox="1"/>
      </cdr:nvSpPr>
      <cdr:spPr>
        <a:xfrm xmlns:a="http://schemas.openxmlformats.org/drawingml/2006/main">
          <a:off x="6901028" y="180973"/>
          <a:ext cx="4000477" cy="6958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1200" b="1">
              <a:latin typeface="游ゴシック" panose="020B0400000000000000" pitchFamily="50" charset="-128"/>
              <a:ea typeface="游ゴシック" panose="020B0400000000000000" pitchFamily="50" charset="-128"/>
            </a:rPr>
            <a:t>経済見通し</a:t>
          </a:r>
        </a:p>
      </cdr:txBody>
    </cdr:sp>
  </cdr:relSizeAnchor>
</c:userShapes>
</file>

<file path=xl/drawings/drawing8.xml><?xml version="1.0" encoding="utf-8"?>
<xdr:wsDr xmlns:xdr="http://schemas.openxmlformats.org/drawingml/2006/spreadsheetDrawing" xmlns:a="http://schemas.openxmlformats.org/drawingml/2006/main">
  <xdr:twoCellAnchor>
    <xdr:from>
      <xdr:col>25</xdr:col>
      <xdr:colOff>175707</xdr:colOff>
      <xdr:row>71</xdr:row>
      <xdr:rowOff>74804</xdr:rowOff>
    </xdr:from>
    <xdr:to>
      <xdr:col>43</xdr:col>
      <xdr:colOff>537882</xdr:colOff>
      <xdr:row>111</xdr:row>
      <xdr:rowOff>2</xdr:rowOff>
    </xdr:to>
    <xdr:grpSp>
      <xdr:nvGrpSpPr>
        <xdr:cNvPr id="6" name="グループ化 5">
          <a:extLst>
            <a:ext uri="{FF2B5EF4-FFF2-40B4-BE49-F238E27FC236}">
              <a16:creationId xmlns:a16="http://schemas.microsoft.com/office/drawing/2014/main" id="{4C0DB1B0-0C52-4D29-9F3F-61ED4B82B58A}"/>
            </a:ext>
          </a:extLst>
        </xdr:cNvPr>
        <xdr:cNvGrpSpPr/>
      </xdr:nvGrpSpPr>
      <xdr:grpSpPr>
        <a:xfrm>
          <a:off x="26480715" y="11812165"/>
          <a:ext cx="11427183" cy="6328559"/>
          <a:chOff x="3141457" y="760095"/>
          <a:chExt cx="10247148" cy="6217699"/>
        </a:xfrm>
      </xdr:grpSpPr>
      <xdr:graphicFrame macro="">
        <xdr:nvGraphicFramePr>
          <xdr:cNvPr id="4" name="グラフ 3">
            <a:extLst>
              <a:ext uri="{FF2B5EF4-FFF2-40B4-BE49-F238E27FC236}">
                <a16:creationId xmlns:a16="http://schemas.microsoft.com/office/drawing/2014/main" id="{53B8FA9F-147A-4012-88E1-D092D5505C38}"/>
              </a:ext>
            </a:extLst>
          </xdr:cNvPr>
          <xdr:cNvGraphicFramePr/>
        </xdr:nvGraphicFramePr>
        <xdr:xfrm>
          <a:off x="3165494" y="805043"/>
          <a:ext cx="10223111" cy="617275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テキスト ボックス 4">
            <a:extLst>
              <a:ext uri="{FF2B5EF4-FFF2-40B4-BE49-F238E27FC236}">
                <a16:creationId xmlns:a16="http://schemas.microsoft.com/office/drawing/2014/main" id="{A29ABC11-FA85-4D05-BD0C-C19A262932B9}"/>
              </a:ext>
            </a:extLst>
          </xdr:cNvPr>
          <xdr:cNvSpPr txBox="1"/>
        </xdr:nvSpPr>
        <xdr:spPr>
          <a:xfrm>
            <a:off x="3141457" y="760095"/>
            <a:ext cx="1223346" cy="304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latin typeface="+mn-lt"/>
              </a:rPr>
              <a:t>（</a:t>
            </a:r>
            <a:r>
              <a:rPr kumimoji="1" lang="en-US" altLang="ja-JP" sz="900">
                <a:latin typeface="+mn-lt"/>
              </a:rPr>
              <a:t>2015</a:t>
            </a:r>
            <a:r>
              <a:rPr kumimoji="1" lang="ja-JP" altLang="en-US" sz="900">
                <a:latin typeface="+mn-lt"/>
              </a:rPr>
              <a:t>年の水準</a:t>
            </a:r>
            <a:r>
              <a:rPr kumimoji="1" lang="en-US" altLang="ja-JP" sz="900">
                <a:latin typeface="+mn-lt"/>
              </a:rPr>
              <a:t>=100</a:t>
            </a:r>
            <a:r>
              <a:rPr kumimoji="1" lang="ja-JP" altLang="en-US" sz="900">
                <a:latin typeface="+mn-lt"/>
              </a:rPr>
              <a:t>）</a:t>
            </a:r>
          </a:p>
        </xdr:txBody>
      </xdr:sp>
    </xdr:grpSp>
    <xdr:clientData/>
  </xdr:twoCellAnchor>
  <xdr:twoCellAnchor>
    <xdr:from>
      <xdr:col>25</xdr:col>
      <xdr:colOff>371474</xdr:colOff>
      <xdr:row>114</xdr:row>
      <xdr:rowOff>129650</xdr:rowOff>
    </xdr:from>
    <xdr:to>
      <xdr:col>42</xdr:col>
      <xdr:colOff>394980</xdr:colOff>
      <xdr:row>146</xdr:row>
      <xdr:rowOff>9522</xdr:rowOff>
    </xdr:to>
    <xdr:graphicFrame macro="">
      <xdr:nvGraphicFramePr>
        <xdr:cNvPr id="7" name="グラフ 6">
          <a:extLst>
            <a:ext uri="{FF2B5EF4-FFF2-40B4-BE49-F238E27FC236}">
              <a16:creationId xmlns:a16="http://schemas.microsoft.com/office/drawing/2014/main" id="{93E2B385-8A37-466A-9074-2BBB292930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3</xdr:col>
      <xdr:colOff>275937</xdr:colOff>
      <xdr:row>5</xdr:row>
      <xdr:rowOff>123265</xdr:rowOff>
    </xdr:to>
    <xdr:sp macro="" textlink="">
      <xdr:nvSpPr>
        <xdr:cNvPr id="8" name="テキスト ボックス 7">
          <a:extLst>
            <a:ext uri="{FF2B5EF4-FFF2-40B4-BE49-F238E27FC236}">
              <a16:creationId xmlns:a16="http://schemas.microsoft.com/office/drawing/2014/main" id="{EF128AF7-9E91-42D8-A194-5E79DAE4D96D}"/>
            </a:ext>
          </a:extLst>
        </xdr:cNvPr>
        <xdr:cNvSpPr txBox="1"/>
      </xdr:nvSpPr>
      <xdr:spPr>
        <a:xfrm>
          <a:off x="0" y="0"/>
          <a:ext cx="3581672" cy="1288677"/>
        </a:xfrm>
        <a:prstGeom prst="rect">
          <a:avLst/>
        </a:prstGeo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r>
            <a:rPr kumimoji="1" lang="ja-JP" altLang="en-US" sz="1600" b="1">
              <a:latin typeface="+mn-ea"/>
              <a:ea typeface="+mn-ea"/>
            </a:rPr>
            <a:t>橙色セル･･･統計データ値</a:t>
          </a:r>
          <a:endParaRPr kumimoji="1" lang="en-US" altLang="ja-JP" sz="1600" b="1">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1">
              <a:solidFill>
                <a:schemeClr val="lt1"/>
              </a:solidFill>
              <a:effectLst/>
              <a:latin typeface="+mn-ea"/>
              <a:ea typeface="+mn-ea"/>
              <a:cs typeface="+mn-cs"/>
            </a:rPr>
            <a:t>緑色セル･･･恒等式</a:t>
          </a:r>
          <a:r>
            <a:rPr kumimoji="1" lang="ja-JP" altLang="en-US" sz="1600" b="1">
              <a:solidFill>
                <a:schemeClr val="lt1"/>
              </a:solidFill>
              <a:effectLst/>
              <a:latin typeface="+mn-ea"/>
              <a:ea typeface="+mn-ea"/>
              <a:cs typeface="+mn-cs"/>
            </a:rPr>
            <a:t>・計算式</a:t>
          </a:r>
          <a:br>
            <a:rPr kumimoji="1" lang="en-US" altLang="ja-JP" sz="1600" b="1">
              <a:latin typeface="+mn-ea"/>
              <a:ea typeface="+mn-ea"/>
            </a:rPr>
          </a:br>
          <a:r>
            <a:rPr kumimoji="1" lang="ja-JP" altLang="en-US" sz="1600" b="1">
              <a:latin typeface="+mn-ea"/>
              <a:ea typeface="+mn-ea"/>
            </a:rPr>
            <a:t>青色セル･･･予測値・推計値・想定値</a:t>
          </a:r>
          <a:endParaRPr kumimoji="1" lang="en-US" altLang="ja-JP" sz="1600" b="1">
            <a:latin typeface="+mn-ea"/>
            <a:ea typeface="+mn-ea"/>
          </a:endParaRPr>
        </a:p>
        <a:p>
          <a:r>
            <a:rPr kumimoji="1" lang="ja-JP" altLang="en-US" sz="1600" b="1">
              <a:latin typeface="+mn-ea"/>
              <a:ea typeface="+mn-ea"/>
            </a:rPr>
            <a:t>赤色セル･･･イレギュラー処理</a:t>
          </a:r>
          <a:endParaRPr kumimoji="1" lang="en-US" altLang="ja-JP" sz="1600" b="1">
            <a:latin typeface="+mn-ea"/>
            <a:ea typeface="+mn-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53340</xdr:colOff>
      <xdr:row>5</xdr:row>
      <xdr:rowOff>57150</xdr:rowOff>
    </xdr:from>
    <xdr:to>
      <xdr:col>24</xdr:col>
      <xdr:colOff>154304</xdr:colOff>
      <xdr:row>33</xdr:row>
      <xdr:rowOff>97248</xdr:rowOff>
    </xdr:to>
    <xdr:grpSp>
      <xdr:nvGrpSpPr>
        <xdr:cNvPr id="4" name="グループ化 3">
          <a:extLst>
            <a:ext uri="{FF2B5EF4-FFF2-40B4-BE49-F238E27FC236}">
              <a16:creationId xmlns:a16="http://schemas.microsoft.com/office/drawing/2014/main" id="{6D4CB838-4505-4B9D-8C53-415AA654B97B}"/>
            </a:ext>
          </a:extLst>
        </xdr:cNvPr>
        <xdr:cNvGrpSpPr/>
      </xdr:nvGrpSpPr>
      <xdr:grpSpPr>
        <a:xfrm>
          <a:off x="12348754" y="1069521"/>
          <a:ext cx="8591821" cy="4764498"/>
          <a:chOff x="6517005" y="1720215"/>
          <a:chExt cx="8027578" cy="4840638"/>
        </a:xfrm>
      </xdr:grpSpPr>
      <xdr:graphicFrame macro="">
        <xdr:nvGraphicFramePr>
          <xdr:cNvPr id="2" name="グラフ 1">
            <a:extLst>
              <a:ext uri="{FF2B5EF4-FFF2-40B4-BE49-F238E27FC236}">
                <a16:creationId xmlns:a16="http://schemas.microsoft.com/office/drawing/2014/main" id="{2C44B05C-C010-4A0C-BD60-105D38E8DD69}"/>
              </a:ext>
            </a:extLst>
          </xdr:cNvPr>
          <xdr:cNvGraphicFramePr/>
        </xdr:nvGraphicFramePr>
        <xdr:xfrm>
          <a:off x="6551318" y="1768721"/>
          <a:ext cx="7993265" cy="4792132"/>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テキスト ボックス 2">
            <a:extLst>
              <a:ext uri="{FF2B5EF4-FFF2-40B4-BE49-F238E27FC236}">
                <a16:creationId xmlns:a16="http://schemas.microsoft.com/office/drawing/2014/main" id="{1B27CB48-2AF2-4C36-90B3-92A0AFB49E12}"/>
              </a:ext>
            </a:extLst>
          </xdr:cNvPr>
          <xdr:cNvSpPr txBox="1"/>
        </xdr:nvSpPr>
        <xdr:spPr>
          <a:xfrm>
            <a:off x="6517005" y="1720215"/>
            <a:ext cx="994973" cy="293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latin typeface="+mn-lt"/>
              </a:rPr>
              <a:t>（時間、年平均）</a:t>
            </a:r>
          </a:p>
        </xdr:txBody>
      </xdr:sp>
    </xdr:grpSp>
    <xdr:clientData/>
  </xdr:twoCellAnchor>
  <xdr:twoCellAnchor>
    <xdr:from>
      <xdr:col>0</xdr:col>
      <xdr:colOff>251460</xdr:colOff>
      <xdr:row>1</xdr:row>
      <xdr:rowOff>76200</xdr:rowOff>
    </xdr:from>
    <xdr:to>
      <xdr:col>3</xdr:col>
      <xdr:colOff>455567</xdr:colOff>
      <xdr:row>8</xdr:row>
      <xdr:rowOff>162822</xdr:rowOff>
    </xdr:to>
    <xdr:sp macro="" textlink="">
      <xdr:nvSpPr>
        <xdr:cNvPr id="5" name="テキスト ボックス 4">
          <a:extLst>
            <a:ext uri="{FF2B5EF4-FFF2-40B4-BE49-F238E27FC236}">
              <a16:creationId xmlns:a16="http://schemas.microsoft.com/office/drawing/2014/main" id="{0B4E5795-C40C-4302-AF9C-73E9CC339059}"/>
            </a:ext>
          </a:extLst>
        </xdr:cNvPr>
        <xdr:cNvSpPr txBox="1"/>
      </xdr:nvSpPr>
      <xdr:spPr>
        <a:xfrm>
          <a:off x="251460" y="411480"/>
          <a:ext cx="3587387" cy="1260102"/>
        </a:xfrm>
        <a:prstGeom prst="rect">
          <a:avLst/>
        </a:prstGeo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r>
            <a:rPr kumimoji="1" lang="ja-JP" altLang="en-US" sz="1600" b="1">
              <a:latin typeface="+mn-ea"/>
              <a:ea typeface="+mn-ea"/>
            </a:rPr>
            <a:t>橙色セル･･･統計データ値</a:t>
          </a:r>
          <a:endParaRPr kumimoji="1" lang="en-US" altLang="ja-JP" sz="1600" b="1">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1">
              <a:solidFill>
                <a:schemeClr val="lt1"/>
              </a:solidFill>
              <a:effectLst/>
              <a:latin typeface="+mn-ea"/>
              <a:ea typeface="+mn-ea"/>
              <a:cs typeface="+mn-cs"/>
            </a:rPr>
            <a:t>緑色セル･･･恒等式</a:t>
          </a:r>
          <a:r>
            <a:rPr kumimoji="1" lang="ja-JP" altLang="en-US" sz="1600" b="1">
              <a:solidFill>
                <a:schemeClr val="lt1"/>
              </a:solidFill>
              <a:effectLst/>
              <a:latin typeface="+mn-ea"/>
              <a:ea typeface="+mn-ea"/>
              <a:cs typeface="+mn-cs"/>
            </a:rPr>
            <a:t>・計算式</a:t>
          </a:r>
          <a:br>
            <a:rPr kumimoji="1" lang="en-US" altLang="ja-JP" sz="1600" b="1">
              <a:latin typeface="+mn-ea"/>
              <a:ea typeface="+mn-ea"/>
            </a:rPr>
          </a:br>
          <a:r>
            <a:rPr kumimoji="1" lang="ja-JP" altLang="en-US" sz="1600" b="1">
              <a:latin typeface="+mn-ea"/>
              <a:ea typeface="+mn-ea"/>
            </a:rPr>
            <a:t>青色セル･･･予測値・推計値・想定値</a:t>
          </a:r>
          <a:endParaRPr kumimoji="1" lang="en-US" altLang="ja-JP" sz="1600" b="1">
            <a:latin typeface="+mn-ea"/>
            <a:ea typeface="+mn-ea"/>
          </a:endParaRPr>
        </a:p>
        <a:p>
          <a:r>
            <a:rPr kumimoji="1" lang="ja-JP" altLang="en-US" sz="1600" b="1">
              <a:latin typeface="+mn-ea"/>
              <a:ea typeface="+mn-ea"/>
            </a:rPr>
            <a:t>赤色セル･･･イレギュラー処理</a:t>
          </a:r>
          <a:endParaRPr kumimoji="1" lang="en-US" altLang="ja-JP" sz="1600" b="1">
            <a:latin typeface="+mn-ea"/>
            <a:ea typeface="+mn-ea"/>
          </a:endParaRPr>
        </a:p>
      </xdr:txBody>
    </xdr:sp>
    <xdr:clientData/>
  </xdr:twoCellAnchor>
  <xdr:twoCellAnchor>
    <xdr:from>
      <xdr:col>8</xdr:col>
      <xdr:colOff>38098</xdr:colOff>
      <xdr:row>70</xdr:row>
      <xdr:rowOff>38101</xdr:rowOff>
    </xdr:from>
    <xdr:to>
      <xdr:col>16</xdr:col>
      <xdr:colOff>556259</xdr:colOff>
      <xdr:row>79</xdr:row>
      <xdr:rowOff>76201</xdr:rowOff>
    </xdr:to>
    <xdr:sp macro="" textlink="">
      <xdr:nvSpPr>
        <xdr:cNvPr id="6" name="テキスト ボックス 5">
          <a:extLst>
            <a:ext uri="{FF2B5EF4-FFF2-40B4-BE49-F238E27FC236}">
              <a16:creationId xmlns:a16="http://schemas.microsoft.com/office/drawing/2014/main" id="{D6E6E2CF-4F6A-4BFB-AE72-6388F0CA440E}"/>
            </a:ext>
          </a:extLst>
        </xdr:cNvPr>
        <xdr:cNvSpPr txBox="1"/>
      </xdr:nvSpPr>
      <xdr:spPr>
        <a:xfrm>
          <a:off x="8677273" y="12201526"/>
          <a:ext cx="6918961" cy="1581150"/>
        </a:xfrm>
        <a:prstGeom prst="rect">
          <a:avLst/>
        </a:prstGeom>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r>
            <a:rPr kumimoji="1" lang="en-US" altLang="ja-JP" sz="1100"/>
            <a:t>【</a:t>
          </a:r>
          <a:r>
            <a:rPr kumimoji="1" lang="ja-JP" altLang="en-US" sz="1100"/>
            <a:t>内閣府</a:t>
          </a:r>
          <a:r>
            <a:rPr kumimoji="1" lang="en-US" altLang="ja-JP" sz="1100"/>
            <a:t>】</a:t>
          </a:r>
          <a:r>
            <a:rPr kumimoji="1" lang="ja-JP" altLang="en-US" sz="1100"/>
            <a:t>「</a:t>
          </a:r>
          <a:r>
            <a:rPr kumimoji="1" lang="en-US" altLang="ja-JP" sz="1100"/>
            <a:t>GDP</a:t>
          </a:r>
          <a:r>
            <a:rPr kumimoji="1" lang="ja-JP" altLang="en-US" sz="1100"/>
            <a:t>ギャップと潜在成長率」備考より</a:t>
          </a:r>
          <a:endParaRPr kumimoji="1" lang="en-US" altLang="ja-JP" sz="1100"/>
        </a:p>
        <a:p>
          <a:r>
            <a:rPr kumimoji="1" lang="en-US" altLang="ja-JP" sz="1100"/>
            <a:t>2020 </a:t>
          </a:r>
          <a:r>
            <a:rPr kumimoji="1" lang="ja-JP" altLang="en-US" sz="1100"/>
            <a:t>年１－３月期以降の経済データは、新型コロナウイルス感染症の拡大防止のために政策的な経済活動の抑制を行った影響等から、非循環的な振れが生じているとみられる。この間のデータを含めて推計を行うと、推計手法の特性もあいまって、全要素生産性及び労働投入量が過去に遡及して大きく歪んでしまう問題が生じる。このため、これらの推計に関しては、次の処理を行っている。</a:t>
          </a:r>
        </a:p>
        <a:p>
          <a:r>
            <a:rPr kumimoji="1" lang="ja-JP" altLang="en-US" sz="1100"/>
            <a:t>・全要素生産性は、</a:t>
          </a:r>
          <a:r>
            <a:rPr kumimoji="1" lang="en-US" altLang="ja-JP" sz="1100"/>
            <a:t>2019</a:t>
          </a:r>
          <a:r>
            <a:rPr kumimoji="1" lang="ja-JP" altLang="en-US" sz="1100"/>
            <a:t>年</a:t>
          </a:r>
          <a:r>
            <a:rPr kumimoji="1" lang="en-US" altLang="ja-JP" sz="1100"/>
            <a:t>10</a:t>
          </a:r>
          <a:r>
            <a:rPr kumimoji="1" lang="ja-JP" altLang="en-US" sz="1100"/>
            <a:t>－</a:t>
          </a:r>
          <a:r>
            <a:rPr kumimoji="1" lang="en-US" altLang="ja-JP" sz="1100"/>
            <a:t>12</a:t>
          </a:r>
          <a:r>
            <a:rPr kumimoji="1" lang="ja-JP" altLang="en-US" sz="1100"/>
            <a:t>月期までのデータを基にトレンドを推計し、</a:t>
          </a:r>
          <a:r>
            <a:rPr kumimoji="1" lang="en-US" altLang="ja-JP" sz="1100"/>
            <a:t>2020</a:t>
          </a:r>
          <a:r>
            <a:rPr kumimoji="1" lang="ja-JP" altLang="en-US" sz="1100"/>
            <a:t>年１－３月期以降を延伸。</a:t>
          </a:r>
        </a:p>
        <a:p>
          <a:r>
            <a:rPr kumimoji="1" lang="ja-JP" altLang="en-US" sz="1100"/>
            <a:t>・労働投入量は、</a:t>
          </a:r>
          <a:r>
            <a:rPr kumimoji="1" lang="en-US" altLang="ja-JP" sz="1100"/>
            <a:t>2020</a:t>
          </a:r>
          <a:r>
            <a:rPr kumimoji="1" lang="ja-JP" altLang="en-US" sz="1100"/>
            <a:t>年４－６月期以降の潜在的な労働参加率と労働時間を同年１－３月期の値で固定して推計。</a:t>
          </a:r>
        </a:p>
        <a:p>
          <a:r>
            <a:rPr kumimoji="1" lang="ja-JP" altLang="en-US" sz="1100"/>
            <a:t>なお、これらの処理については、感染症の影響がある程度収束した後に遡及計算を行う予定としている。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nakajima-m2yp\&#12487;&#12473;&#12463;&#12488;&#12483;&#12503;\H12&#22303;&#26408;&#37096;&#38272;&#29983;&#29987;&#38989;&#12539;&#29987;&#20986;&#38989;&#25512;&#35336;&#12481;&#12455;&#12483;&#12463;&#2999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備投資動向調査"/>
      <sheetName val="建設補修"/>
      <sheetName val="暦年修正率"/>
      <sheetName val="道路公共"/>
      <sheetName val="道路公共明細"/>
      <sheetName val="業務統計使用リスト"/>
      <sheetName val="河川・下水・他"/>
      <sheetName val="河・下・他明細"/>
      <sheetName val="鉄道"/>
      <sheetName val="鉄道明細"/>
      <sheetName val="電力"/>
      <sheetName val="電力明細"/>
      <sheetName val="通信"/>
      <sheetName val="その他土木"/>
      <sheetName val="他明細"/>
      <sheetName val="総括表"/>
      <sheetName val="生産額経調指示用"/>
      <sheetName val="土木産出（塩入）"/>
      <sheetName val="総務省提出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8" Type="http://schemas.openxmlformats.org/officeDocument/2006/relationships/hyperlink" Target="http://www.mlit.go.jp/sogoseisaku/jouhouka/sosei_jouhouka_tk4_000013.html" TargetMode="External"/><Relationship Id="rId3" Type="http://schemas.openxmlformats.org/officeDocument/2006/relationships/hyperlink" Target="http://www.mlit.go.jp/sogoseisaku/jouhouka/sosei_jouhouka_tk4_000013.html" TargetMode="External"/><Relationship Id="rId7" Type="http://schemas.openxmlformats.org/officeDocument/2006/relationships/hyperlink" Target="http://www.mlit.go.jp/sogoseisaku/jouhouka/sosei_jouhouka_tk4_000013.html" TargetMode="External"/><Relationship Id="rId2" Type="http://schemas.openxmlformats.org/officeDocument/2006/relationships/hyperlink" Target="http://www.mlit.go.jp/sogoseisaku/jouhouka/sosei_jouhouka_tk4_000013.html" TargetMode="External"/><Relationship Id="rId1" Type="http://schemas.openxmlformats.org/officeDocument/2006/relationships/hyperlink" Target="http://www.mlit.go.jp/sogoseisaku/jouhouka/sosei_jouhouka_tk4_000013.html" TargetMode="External"/><Relationship Id="rId6" Type="http://schemas.openxmlformats.org/officeDocument/2006/relationships/hyperlink" Target="http://www.mlit.go.jp/sogoseisaku/jouhouka/sosei_jouhouka_tk4_000013.html" TargetMode="External"/><Relationship Id="rId5" Type="http://schemas.openxmlformats.org/officeDocument/2006/relationships/hyperlink" Target="http://www.mlit.go.jp/sogoseisaku/jouhouka/sosei_jouhouka_tk4_000013.html" TargetMode="External"/><Relationship Id="rId10" Type="http://schemas.openxmlformats.org/officeDocument/2006/relationships/drawing" Target="../drawings/drawing8.xml"/><Relationship Id="rId4" Type="http://schemas.openxmlformats.org/officeDocument/2006/relationships/hyperlink" Target="http://www.mlit.go.jp/sogoseisaku/jouhouka/sosei_jouhouka_tk4_000013.html" TargetMode="External"/><Relationship Id="rId9"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01A59-1C47-41F7-94C0-1A4C79401602}">
  <dimension ref="A1:BC67"/>
  <sheetViews>
    <sheetView topLeftCell="R1" zoomScale="70" zoomScaleNormal="70" workbookViewId="0">
      <selection activeCell="W58" sqref="V3:W58"/>
    </sheetView>
  </sheetViews>
  <sheetFormatPr defaultColWidth="8.84375" defaultRowHeight="18.45" outlineLevelCol="1"/>
  <cols>
    <col min="1" max="1" width="8.84375" style="57"/>
    <col min="2" max="2" width="19.3046875" style="43" hidden="1" customWidth="1" outlineLevel="1"/>
    <col min="3" max="3" width="16.765625" style="24" hidden="1" customWidth="1" outlineLevel="1"/>
    <col min="4" max="7" width="19.07421875" style="43" hidden="1" customWidth="1" outlineLevel="1"/>
    <col min="8" max="8" width="19.07421875" style="43" bestFit="1" customWidth="1" collapsed="1"/>
    <col min="9" max="9" width="23.23046875" style="44" bestFit="1" customWidth="1"/>
    <col min="10" max="10" width="20.3046875" style="44" customWidth="1"/>
    <col min="11" max="11" width="19.07421875" style="43" bestFit="1" customWidth="1"/>
    <col min="12" max="12" width="22.84375" style="44" bestFit="1" customWidth="1"/>
    <col min="13" max="13" width="21" style="44" customWidth="1"/>
    <col min="14" max="15" width="16.765625" style="43" bestFit="1" customWidth="1"/>
    <col min="16" max="16" width="8.84375" style="24"/>
    <col min="17" max="17" width="18.765625" style="24" customWidth="1"/>
    <col min="18" max="18" width="33.84375" style="44" bestFit="1" customWidth="1"/>
    <col min="19" max="19" width="20.4609375" style="44" bestFit="1" customWidth="1"/>
    <col min="20" max="20" width="20.4609375" style="44" customWidth="1"/>
    <col min="21" max="21" width="19.4609375" style="44" bestFit="1" customWidth="1"/>
    <col min="22" max="22" width="20.4609375" style="45" bestFit="1" customWidth="1"/>
    <col min="23" max="23" width="23.3046875" style="44" customWidth="1"/>
    <col min="24" max="24" width="19.4609375" style="44" bestFit="1" customWidth="1"/>
    <col min="25" max="26" width="24.07421875" style="44" customWidth="1"/>
    <col min="27" max="27" width="8.84375" style="24"/>
    <col min="28" max="29" width="19.07421875" style="24" hidden="1" customWidth="1" outlineLevel="1"/>
    <col min="30" max="30" width="19.07421875" style="43" hidden="1" customWidth="1" outlineLevel="1"/>
    <col min="31" max="31" width="19.07421875" style="24" bestFit="1" customWidth="1" collapsed="1"/>
    <col min="32" max="32" width="22.69140625" style="24" bestFit="1" customWidth="1"/>
    <col min="33" max="33" width="16.4609375" style="43" bestFit="1" customWidth="1"/>
    <col min="34" max="34" width="16.765625" style="43" bestFit="1" customWidth="1"/>
    <col min="35" max="35" width="8.84375" style="24"/>
    <col min="36" max="36" width="14.07421875" style="43" hidden="1" customWidth="1" outlineLevel="1"/>
    <col min="37" max="37" width="11.84375" style="43" hidden="1" customWidth="1" outlineLevel="1"/>
    <col min="38" max="38" width="16.4609375" style="44" hidden="1" customWidth="1" outlineLevel="1"/>
    <col min="39" max="39" width="18.84375" style="44" bestFit="1" customWidth="1" collapsed="1"/>
    <col min="40" max="40" width="8.84375" style="24"/>
    <col min="41" max="41" width="8.84375" style="57" hidden="1" customWidth="1" outlineLevel="1"/>
    <col min="42" max="42" width="9.69140625" style="45" hidden="1" customWidth="1" outlineLevel="1"/>
    <col min="43" max="43" width="5.765625" style="45" bestFit="1" customWidth="1" collapsed="1"/>
    <col min="44" max="44" width="11.765625" style="44" bestFit="1" customWidth="1"/>
    <col min="45" max="45" width="13.765625" style="24" bestFit="1" customWidth="1"/>
    <col min="46" max="46" width="8.84375" style="57" hidden="1" customWidth="1" outlineLevel="1"/>
    <col min="47" max="47" width="16.4609375" style="24" hidden="1" customWidth="1" outlineLevel="1"/>
    <col min="48" max="48" width="19.4609375" style="24" bestFit="1" customWidth="1" collapsed="1"/>
    <col min="49" max="49" width="14.07421875" style="24" hidden="1" customWidth="1" outlineLevel="1"/>
    <col min="50" max="50" width="11.84375" style="24" bestFit="1" customWidth="1" collapsed="1"/>
    <col min="51" max="51" width="8.84375" style="24"/>
    <col min="52" max="52" width="14.84375" style="90" bestFit="1" customWidth="1"/>
    <col min="53" max="53" width="24.3046875" style="24" bestFit="1" customWidth="1"/>
    <col min="54" max="54" width="19.4609375" style="24" bestFit="1" customWidth="1"/>
    <col min="55" max="55" width="22.4609375" style="24" customWidth="1"/>
    <col min="56" max="16384" width="8.84375" style="24"/>
  </cols>
  <sheetData>
    <row r="1" spans="1:55" s="59" customFormat="1">
      <c r="A1" s="58"/>
      <c r="B1" s="56" t="s">
        <v>0</v>
      </c>
      <c r="D1" s="407" t="s">
        <v>1</v>
      </c>
      <c r="E1" s="407"/>
      <c r="F1" s="407"/>
      <c r="G1" s="407"/>
      <c r="H1" s="407"/>
      <c r="I1" s="407"/>
      <c r="J1" s="407"/>
      <c r="K1" s="407"/>
      <c r="L1" s="407"/>
      <c r="M1" s="407"/>
      <c r="N1" s="407"/>
      <c r="O1" s="407"/>
      <c r="Q1" s="408" t="s">
        <v>2</v>
      </c>
      <c r="R1" s="408"/>
      <c r="S1" s="408"/>
      <c r="T1" s="408"/>
      <c r="U1" s="408"/>
      <c r="V1" s="408"/>
      <c r="W1" s="408"/>
      <c r="X1" s="408"/>
      <c r="Y1" s="408"/>
      <c r="Z1" s="408"/>
      <c r="AB1" s="407" t="s">
        <v>3</v>
      </c>
      <c r="AC1" s="407"/>
      <c r="AD1" s="407"/>
      <c r="AE1" s="407"/>
      <c r="AF1" s="407"/>
      <c r="AG1" s="407"/>
      <c r="AH1" s="407"/>
      <c r="AJ1" s="407" t="s">
        <v>4</v>
      </c>
      <c r="AK1" s="407"/>
      <c r="AL1" s="407"/>
      <c r="AM1" s="407"/>
      <c r="AO1" s="58"/>
      <c r="AP1" s="407" t="s">
        <v>5</v>
      </c>
      <c r="AQ1" s="407"/>
      <c r="AR1" s="407"/>
      <c r="AT1" s="58"/>
      <c r="AU1" s="407" t="s">
        <v>6</v>
      </c>
      <c r="AV1" s="407"/>
      <c r="AW1" s="407"/>
      <c r="AX1" s="407"/>
      <c r="AZ1" s="95"/>
    </row>
    <row r="2" spans="1:55" ht="55.3">
      <c r="A2" s="57" t="s">
        <v>7</v>
      </c>
      <c r="B2" s="49" t="s">
        <v>8</v>
      </c>
      <c r="D2" s="49" t="s">
        <v>9</v>
      </c>
      <c r="E2" s="49" t="s">
        <v>10</v>
      </c>
      <c r="F2" s="43" t="s">
        <v>11</v>
      </c>
      <c r="G2" s="49" t="s">
        <v>12</v>
      </c>
      <c r="H2" s="49" t="s">
        <v>13</v>
      </c>
      <c r="I2" s="53" t="s">
        <v>14</v>
      </c>
      <c r="J2" s="53" t="s">
        <v>15</v>
      </c>
      <c r="K2" s="49" t="s">
        <v>16</v>
      </c>
      <c r="L2" s="53" t="s">
        <v>17</v>
      </c>
      <c r="M2" s="53" t="s">
        <v>18</v>
      </c>
      <c r="N2" s="43" t="s">
        <v>19</v>
      </c>
      <c r="O2" s="49" t="s">
        <v>20</v>
      </c>
      <c r="R2" s="53" t="s">
        <v>21</v>
      </c>
      <c r="S2" s="53" t="s">
        <v>22</v>
      </c>
      <c r="T2" s="53" t="s">
        <v>22</v>
      </c>
      <c r="U2" s="53" t="s">
        <v>23</v>
      </c>
      <c r="V2" s="54"/>
      <c r="W2" s="44" t="s">
        <v>24</v>
      </c>
      <c r="X2" s="44" t="s">
        <v>25</v>
      </c>
      <c r="Y2" s="53" t="s">
        <v>26</v>
      </c>
      <c r="Z2" s="53" t="s">
        <v>27</v>
      </c>
      <c r="AB2" s="50" t="s">
        <v>28</v>
      </c>
      <c r="AC2" s="32" t="s">
        <v>29</v>
      </c>
      <c r="AD2" s="30" t="s">
        <v>30</v>
      </c>
      <c r="AE2" s="50" t="s">
        <v>31</v>
      </c>
      <c r="AF2" s="30" t="s">
        <v>32</v>
      </c>
      <c r="AG2" s="30" t="s">
        <v>33</v>
      </c>
      <c r="AH2" s="30" t="s">
        <v>34</v>
      </c>
      <c r="AJ2" s="30" t="s">
        <v>35</v>
      </c>
      <c r="AK2" s="30" t="s">
        <v>36</v>
      </c>
      <c r="AL2" s="35" t="s">
        <v>37</v>
      </c>
      <c r="AM2" s="35" t="s">
        <v>38</v>
      </c>
      <c r="AO2" s="57" t="s">
        <v>7</v>
      </c>
      <c r="AP2" s="39" t="s">
        <v>39</v>
      </c>
      <c r="AQ2" s="54" t="s">
        <v>40</v>
      </c>
      <c r="AR2" s="53" t="s">
        <v>41</v>
      </c>
      <c r="AT2" s="57" t="s">
        <v>7</v>
      </c>
      <c r="AU2" s="32" t="s">
        <v>42</v>
      </c>
      <c r="AV2" s="32" t="s">
        <v>43</v>
      </c>
      <c r="AW2" s="32" t="s">
        <v>44</v>
      </c>
      <c r="AX2" s="32" t="s">
        <v>45</v>
      </c>
      <c r="AZ2" s="96" t="s">
        <v>46</v>
      </c>
      <c r="BA2" s="32" t="s">
        <v>47</v>
      </c>
      <c r="BB2" s="32" t="s">
        <v>48</v>
      </c>
      <c r="BC2" s="32"/>
    </row>
    <row r="3" spans="1:55">
      <c r="A3" s="57" t="s">
        <v>49</v>
      </c>
      <c r="B3" s="49">
        <v>672729.84744445409</v>
      </c>
      <c r="D3" s="49"/>
      <c r="E3" s="49"/>
      <c r="F3" s="44"/>
      <c r="H3" s="49"/>
      <c r="I3" s="53"/>
      <c r="J3" s="77">
        <v>3.0076727933746966E-2</v>
      </c>
      <c r="K3" s="49"/>
      <c r="L3" s="53"/>
      <c r="M3" s="77">
        <v>1.5827775574795227E-3</v>
      </c>
      <c r="N3" s="44"/>
      <c r="R3" s="91"/>
      <c r="U3" s="91"/>
      <c r="W3" s="92"/>
      <c r="AB3" s="49">
        <v>2280.8823999999995</v>
      </c>
      <c r="AC3" s="30">
        <v>548.02883189833722</v>
      </c>
      <c r="AD3" s="43">
        <f t="shared" ref="AD3:AD43" si="0">AB3*AC3</f>
        <v>1249989.3173694757</v>
      </c>
      <c r="AE3" s="49">
        <v>2278.0755795411901</v>
      </c>
      <c r="AF3" s="49">
        <v>5536.083333333333</v>
      </c>
      <c r="AG3" s="30">
        <v>518.43212547841347</v>
      </c>
      <c r="AH3" s="43">
        <f>AE3*AG3</f>
        <v>1181027.5647020077</v>
      </c>
      <c r="AJ3" s="30">
        <v>19489.3</v>
      </c>
      <c r="AK3" s="30">
        <v>13415.4</v>
      </c>
      <c r="AL3" s="44">
        <f t="shared" ref="AL3:AL16" si="1">1-AK3/AJ3</f>
        <v>0.31165306091034572</v>
      </c>
      <c r="AM3" s="35">
        <v>0.308037193656299</v>
      </c>
      <c r="AO3" s="57" t="s">
        <v>49</v>
      </c>
      <c r="AQ3" s="54"/>
      <c r="AR3" s="53"/>
      <c r="AT3" s="57" t="s">
        <v>49</v>
      </c>
      <c r="AU3" s="42"/>
      <c r="AV3" s="43"/>
      <c r="AW3" s="44"/>
      <c r="AX3" s="44"/>
      <c r="AZ3" s="96"/>
      <c r="BA3" s="32"/>
      <c r="BB3" s="32"/>
      <c r="BC3" s="32"/>
    </row>
    <row r="4" spans="1:55">
      <c r="A4" s="57" t="s">
        <v>50</v>
      </c>
      <c r="B4" s="49">
        <v>651330.72414749418</v>
      </c>
      <c r="D4" s="49">
        <v>11608.412051853184</v>
      </c>
      <c r="E4" s="49">
        <v>532.10204873840848</v>
      </c>
      <c r="F4" s="44">
        <v>0.80789743103963818</v>
      </c>
      <c r="G4" s="43">
        <f t="shared" ref="G4:G43" si="2">D4*F4+E4</f>
        <v>9910.5083238801708</v>
      </c>
      <c r="H4" s="49">
        <v>11241.132312989799</v>
      </c>
      <c r="I4" s="53">
        <v>9.9397659666527638E-2</v>
      </c>
      <c r="J4" s="77">
        <v>3.0015232990648254E-2</v>
      </c>
      <c r="K4" s="49">
        <v>472.81342905605402</v>
      </c>
      <c r="L4" s="53">
        <v>0.16529717456579643</v>
      </c>
      <c r="M4" s="77">
        <v>1.5750259397105892E-3</v>
      </c>
      <c r="N4" s="44">
        <v>0.82784500000000005</v>
      </c>
      <c r="O4" s="43">
        <f t="shared" ref="O4:O16" si="3">H4*N4+K4</f>
        <v>9778.7286087030952</v>
      </c>
      <c r="R4" s="91"/>
      <c r="U4" s="91"/>
      <c r="W4" s="44">
        <v>3.7000000000000005E-2</v>
      </c>
      <c r="AB4" s="49">
        <v>2292.1447333333331</v>
      </c>
      <c r="AC4" s="30">
        <v>543.47471465378021</v>
      </c>
      <c r="AD4" s="43">
        <f t="shared" si="0"/>
        <v>1245722.7048934982</v>
      </c>
      <c r="AE4" s="49">
        <v>2274.9449153820601</v>
      </c>
      <c r="AF4" s="49">
        <v>5581.75</v>
      </c>
      <c r="AG4" s="30">
        <v>524.38561843499588</v>
      </c>
      <c r="AH4" s="43">
        <f t="shared" ref="AH4:AH63" si="4">AE4*AG4</f>
        <v>1192948.396358171</v>
      </c>
      <c r="AJ4" s="30">
        <v>21185.1</v>
      </c>
      <c r="AK4" s="30">
        <v>14162.7</v>
      </c>
      <c r="AL4" s="44">
        <f t="shared" si="1"/>
        <v>0.33147825594403602</v>
      </c>
      <c r="AM4" s="35">
        <v>0.311199733868668</v>
      </c>
      <c r="AO4" s="57" t="s">
        <v>50</v>
      </c>
      <c r="AP4" s="45">
        <f t="shared" ref="AP4:AP43" si="5">EXP(LOG(B4,EXP(1))-AL4*LOG(G4,EXP(1))-(1-AL4)*LOG(AD4,EXP(1)))</f>
        <v>2.5957384094341149</v>
      </c>
      <c r="AQ4" s="54">
        <v>2.2613179803338999</v>
      </c>
      <c r="AR4" s="53"/>
      <c r="AT4" s="57" t="s">
        <v>50</v>
      </c>
      <c r="AU4" s="42">
        <f t="shared" ref="AU4:AU43" si="6">B4</f>
        <v>651330.72414749418</v>
      </c>
      <c r="AV4" s="43">
        <f t="shared" ref="AV4:AV35" si="7">AQ4*(O4^AM4)*(AH4^(1-AM4))</f>
        <v>604943.85533050459</v>
      </c>
      <c r="AW4" s="44">
        <f t="shared" ref="AW4:AW63" si="8">(AU4-AV4)/AV4</f>
        <v>7.6679626395488587E-2</v>
      </c>
      <c r="AX4" s="44"/>
      <c r="AY4" s="40"/>
      <c r="AZ4" s="96">
        <v>0.51549999999999996</v>
      </c>
      <c r="BA4" s="32"/>
      <c r="BB4" s="32"/>
      <c r="BC4" s="32"/>
    </row>
    <row r="5" spans="1:55">
      <c r="A5" s="57" t="s">
        <v>51</v>
      </c>
      <c r="B5" s="49">
        <v>635334.08977780421</v>
      </c>
      <c r="D5" s="49">
        <v>12409.547405379732</v>
      </c>
      <c r="E5" s="49">
        <v>546.73336208755643</v>
      </c>
      <c r="F5" s="44">
        <v>0.79672072435186447</v>
      </c>
      <c r="G5" s="43">
        <f t="shared" si="2"/>
        <v>10433.676959780496</v>
      </c>
      <c r="H5" s="49">
        <v>11892.6473065052</v>
      </c>
      <c r="I5" s="53">
        <v>0.10155024626748284</v>
      </c>
      <c r="J5" s="77">
        <v>3.023216551820904E-2</v>
      </c>
      <c r="K5" s="49">
        <v>523.38944473409902</v>
      </c>
      <c r="L5" s="53">
        <v>0.16547513255097859</v>
      </c>
      <c r="M5" s="77">
        <v>1.78117691125024E-3</v>
      </c>
      <c r="N5" s="44">
        <v>0.82784500000000005</v>
      </c>
      <c r="O5" s="43">
        <f t="shared" si="3"/>
        <v>10368.658054187898</v>
      </c>
      <c r="R5" s="91"/>
      <c r="U5" s="91"/>
      <c r="W5" s="44">
        <v>3.7999999999999999E-2</v>
      </c>
      <c r="AB5" s="49">
        <v>2275.8576666666668</v>
      </c>
      <c r="AC5" s="30">
        <v>541.05959882112359</v>
      </c>
      <c r="AD5" s="43">
        <f t="shared" si="0"/>
        <v>1231374.6361006452</v>
      </c>
      <c r="AE5" s="49">
        <v>2271.8301885385499</v>
      </c>
      <c r="AF5" s="49">
        <v>5638.583333333333</v>
      </c>
      <c r="AG5" s="30">
        <v>529.53917409834207</v>
      </c>
      <c r="AH5" s="43">
        <f t="shared" si="4"/>
        <v>1203023.0817303844</v>
      </c>
      <c r="AJ5" s="30">
        <v>21667.1</v>
      </c>
      <c r="AK5" s="30">
        <v>14821</v>
      </c>
      <c r="AL5" s="44">
        <f t="shared" si="1"/>
        <v>0.31596752680331008</v>
      </c>
      <c r="AM5" s="35">
        <v>0.31439843275357399</v>
      </c>
      <c r="AO5" s="57" t="s">
        <v>51</v>
      </c>
      <c r="AP5" s="45">
        <f t="shared" si="5"/>
        <v>2.3296021707688053</v>
      </c>
      <c r="AQ5" s="54">
        <v>2.3812542931106999</v>
      </c>
      <c r="AR5" s="53">
        <f>AQ5/AQ4-1</f>
        <v>5.3038234259779049E-2</v>
      </c>
      <c r="AT5" s="57" t="s">
        <v>51</v>
      </c>
      <c r="AU5" s="42">
        <f t="shared" si="6"/>
        <v>635334.08977780421</v>
      </c>
      <c r="AV5" s="43">
        <f t="shared" si="7"/>
        <v>642669.9728225742</v>
      </c>
      <c r="AW5" s="44">
        <f t="shared" si="8"/>
        <v>-1.141469705290751E-2</v>
      </c>
      <c r="AX5" s="44">
        <f t="shared" ref="AX5:AX41" si="9">AV5/AV4-1</f>
        <v>6.236300635115688E-2</v>
      </c>
      <c r="AY5" s="40"/>
      <c r="AZ5" s="96">
        <v>0.51549999999999996</v>
      </c>
      <c r="BA5" s="67">
        <f>((0.99^(-1)+I5-1)/((1-AZ5)*AM5*AQ5))^(1/(AM5-1))*AH5</f>
        <v>6708873.6084545385</v>
      </c>
      <c r="BB5" s="67">
        <f>((0.99^(-1)+M5-1)/((1-AZ5)*AM5*AQ5))^(1/(AM5-1))*AH5</f>
        <v>176113819.36404154</v>
      </c>
      <c r="BC5" s="32"/>
    </row>
    <row r="6" spans="1:55">
      <c r="A6" s="57" t="s">
        <v>52</v>
      </c>
      <c r="B6" s="49">
        <v>624447.63493421394</v>
      </c>
      <c r="D6" s="49">
        <v>13070.107346447743</v>
      </c>
      <c r="E6" s="49">
        <v>569.42682769031705</v>
      </c>
      <c r="F6" s="44">
        <v>0.79459224052434818</v>
      </c>
      <c r="G6" s="43">
        <f t="shared" si="2"/>
        <v>10954.832707997972</v>
      </c>
      <c r="H6" s="49">
        <v>12547.835097409101</v>
      </c>
      <c r="I6" s="53">
        <v>0.10577141616732792</v>
      </c>
      <c r="J6" s="77">
        <v>2.9079027779793962E-2</v>
      </c>
      <c r="K6" s="49">
        <v>574.55834660896699</v>
      </c>
      <c r="L6" s="53">
        <v>0.16564104074701808</v>
      </c>
      <c r="M6" s="77">
        <v>2.2277318277431298E-3</v>
      </c>
      <c r="N6" s="44">
        <v>0.82784500000000005</v>
      </c>
      <c r="O6" s="43">
        <f t="shared" si="3"/>
        <v>10962.220892823605</v>
      </c>
      <c r="R6" s="91"/>
      <c r="U6" s="91"/>
      <c r="W6" s="44">
        <v>3.9E-2</v>
      </c>
      <c r="AB6" s="49">
        <v>2252.8132000000005</v>
      </c>
      <c r="AC6" s="30">
        <v>540.40654355710569</v>
      </c>
      <c r="AD6" s="43">
        <f t="shared" si="0"/>
        <v>1217434.9946918229</v>
      </c>
      <c r="AE6" s="49">
        <v>2268.2678566087998</v>
      </c>
      <c r="AF6" s="49">
        <v>5732.666666666667</v>
      </c>
      <c r="AG6" s="30">
        <v>534.29373986375072</v>
      </c>
      <c r="AH6" s="43">
        <f t="shared" si="4"/>
        <v>1211921.3161202495</v>
      </c>
      <c r="AJ6" s="30">
        <v>20032</v>
      </c>
      <c r="AK6" s="30">
        <v>15047.4</v>
      </c>
      <c r="AL6" s="44">
        <f>1-AK6/AJ6</f>
        <v>0.24883186900958465</v>
      </c>
      <c r="AM6" s="35">
        <v>0.31787223420430799</v>
      </c>
      <c r="AO6" s="57" t="s">
        <v>52</v>
      </c>
      <c r="AP6" s="45">
        <f t="shared" si="5"/>
        <v>1.6562292206040363</v>
      </c>
      <c r="AQ6" s="54">
        <v>2.5045348101781699</v>
      </c>
      <c r="AR6" s="53">
        <f t="shared" ref="AR6:AR42" si="10">AQ6/AQ5-1</f>
        <v>5.1771252412704305E-2</v>
      </c>
      <c r="AT6" s="57" t="s">
        <v>52</v>
      </c>
      <c r="AU6" s="42">
        <f t="shared" si="6"/>
        <v>624447.63493421394</v>
      </c>
      <c r="AV6" s="43">
        <f t="shared" si="7"/>
        <v>680151.19786981656</v>
      </c>
      <c r="AW6" s="44">
        <f t="shared" si="8"/>
        <v>-8.1898794135865774E-2</v>
      </c>
      <c r="AX6" s="44">
        <f t="shared" si="9"/>
        <v>5.8321108239469677E-2</v>
      </c>
      <c r="AY6" s="40"/>
      <c r="AZ6" s="96">
        <v>0.51549999999999996</v>
      </c>
      <c r="BA6" s="67">
        <f t="shared" ref="BA6:BA63" si="11">((0.99^(-1)+I6-1)/((1-AZ6)*AM6*AQ6))^(1/(AM6-1))*AH6</f>
        <v>7065729.4439574908</v>
      </c>
      <c r="BB6" s="67">
        <f t="shared" ref="BB6:BB63" si="12">((0.99^(-1)+M6-1)/((1-AZ6)*AM6*AQ6))^(1/(AM6-1))*AH6</f>
        <v>188653956.85938823</v>
      </c>
      <c r="BC6" s="32"/>
    </row>
    <row r="7" spans="1:55">
      <c r="A7" s="57" t="s">
        <v>53</v>
      </c>
      <c r="B7" s="49">
        <v>647211.48335997341</v>
      </c>
      <c r="D7" s="49">
        <v>13503.496595282833</v>
      </c>
      <c r="E7" s="49">
        <v>614.21656243260713</v>
      </c>
      <c r="F7" s="44">
        <v>0.80249055041149842</v>
      </c>
      <c r="G7" s="43">
        <f t="shared" si="2"/>
        <v>11450.644977660922</v>
      </c>
      <c r="H7" s="49">
        <v>13215.537484079199</v>
      </c>
      <c r="I7" s="53">
        <v>0.1081193944932954</v>
      </c>
      <c r="J7" s="77">
        <v>2.9587709490156947E-2</v>
      </c>
      <c r="K7" s="49">
        <v>627.14646005101895</v>
      </c>
      <c r="L7" s="53">
        <v>0.1662716480849635</v>
      </c>
      <c r="M7" s="77">
        <v>2.4037874415981839E-3</v>
      </c>
      <c r="N7" s="44">
        <v>0.82784500000000005</v>
      </c>
      <c r="O7" s="43">
        <f t="shared" si="3"/>
        <v>11567.563088558565</v>
      </c>
      <c r="R7" s="91"/>
      <c r="U7" s="91"/>
      <c r="W7" s="44">
        <v>0.04</v>
      </c>
      <c r="AB7" s="49">
        <v>2271.1794666666669</v>
      </c>
      <c r="AC7" s="30">
        <v>526.85398165299546</v>
      </c>
      <c r="AD7" s="43">
        <f t="shared" si="0"/>
        <v>1196579.9450618601</v>
      </c>
      <c r="AE7" s="49">
        <v>2263.8346519721999</v>
      </c>
      <c r="AF7" s="49">
        <v>5766</v>
      </c>
      <c r="AG7" s="30">
        <v>539.14589247768799</v>
      </c>
      <c r="AH7" s="43">
        <f t="shared" si="4"/>
        <v>1220537.1538594679</v>
      </c>
      <c r="AJ7" s="30">
        <v>20268.900000000001</v>
      </c>
      <c r="AK7" s="30">
        <v>15008.1</v>
      </c>
      <c r="AL7" s="44">
        <f t="shared" si="1"/>
        <v>0.25955034560336288</v>
      </c>
      <c r="AM7" s="35">
        <v>0.32187577305465498</v>
      </c>
      <c r="AO7" s="57" t="s">
        <v>53</v>
      </c>
      <c r="AP7" s="45">
        <f t="shared" si="5"/>
        <v>1.8078635651681458</v>
      </c>
      <c r="AQ7" s="54">
        <v>2.6339872146038599</v>
      </c>
      <c r="AR7" s="53">
        <f t="shared" si="10"/>
        <v>5.1687205104759881E-2</v>
      </c>
      <c r="AT7" s="57" t="s">
        <v>53</v>
      </c>
      <c r="AU7" s="42">
        <f t="shared" si="6"/>
        <v>647211.48335997341</v>
      </c>
      <c r="AV7" s="43">
        <f t="shared" si="7"/>
        <v>717646.34480833646</v>
      </c>
      <c r="AW7" s="44">
        <f t="shared" si="8"/>
        <v>-9.8147035734118121E-2</v>
      </c>
      <c r="AX7" s="44">
        <f t="shared" si="9"/>
        <v>5.5127664342798921E-2</v>
      </c>
      <c r="AY7" s="40"/>
      <c r="AZ7" s="96">
        <v>0.5292</v>
      </c>
      <c r="BA7" s="67">
        <f t="shared" si="11"/>
        <v>7342214.1604994508</v>
      </c>
      <c r="BB7" s="67">
        <f t="shared" si="12"/>
        <v>201615893.22086495</v>
      </c>
      <c r="BC7" s="32"/>
    </row>
    <row r="8" spans="1:55">
      <c r="A8" s="57" t="s">
        <v>54</v>
      </c>
      <c r="B8" s="49">
        <v>680353.27379812137</v>
      </c>
      <c r="D8" s="49">
        <v>13958.457254693421</v>
      </c>
      <c r="E8" s="49">
        <v>667.66564589174027</v>
      </c>
      <c r="F8" s="44">
        <v>0.80482308224348664</v>
      </c>
      <c r="G8" s="43">
        <f t="shared" si="2"/>
        <v>11901.754236978057</v>
      </c>
      <c r="H8" s="49">
        <v>13909.8189873831</v>
      </c>
      <c r="I8" s="53">
        <v>0.11717576103466582</v>
      </c>
      <c r="J8" s="77">
        <v>2.4286107509598358E-2</v>
      </c>
      <c r="K8" s="49">
        <v>681.92879524142597</v>
      </c>
      <c r="L8" s="53">
        <v>0.16756109163692762</v>
      </c>
      <c r="M8" s="77">
        <v>2.2514902048715057E-3</v>
      </c>
      <c r="N8" s="44">
        <v>0.82784500000000005</v>
      </c>
      <c r="O8" s="43">
        <f t="shared" si="3"/>
        <v>12197.102894851589</v>
      </c>
      <c r="R8" s="91"/>
      <c r="U8" s="91"/>
      <c r="W8" s="44">
        <v>4.2999999999999997E-2</v>
      </c>
      <c r="AB8" s="49">
        <v>2252.2934000000005</v>
      </c>
      <c r="AC8" s="30">
        <v>529.99930416760583</v>
      </c>
      <c r="AD8" s="43">
        <f t="shared" si="0"/>
        <v>1193713.9347812913</v>
      </c>
      <c r="AE8" s="49">
        <v>2257.95276044208</v>
      </c>
      <c r="AF8" s="49">
        <v>5807.25</v>
      </c>
      <c r="AG8" s="30">
        <v>544.6544879631216</v>
      </c>
      <c r="AH8" s="43">
        <f t="shared" si="4"/>
        <v>1229804.1045834981</v>
      </c>
      <c r="AJ8" s="30">
        <v>22246.799999999999</v>
      </c>
      <c r="AK8" s="30">
        <v>15525.7</v>
      </c>
      <c r="AL8" s="44">
        <f t="shared" si="1"/>
        <v>0.30211536041138498</v>
      </c>
      <c r="AM8" s="35">
        <v>0.32597328048645802</v>
      </c>
      <c r="AO8" s="57" t="s">
        <v>54</v>
      </c>
      <c r="AP8" s="45">
        <f t="shared" si="5"/>
        <v>2.293266088842377</v>
      </c>
      <c r="AQ8" s="54">
        <v>2.7639561335595499</v>
      </c>
      <c r="AR8" s="53">
        <f t="shared" si="10"/>
        <v>4.9343033343173248E-2</v>
      </c>
      <c r="AT8" s="57" t="s">
        <v>54</v>
      </c>
      <c r="AU8" s="42">
        <f t="shared" si="6"/>
        <v>680353.27379812137</v>
      </c>
      <c r="AV8" s="43">
        <f t="shared" si="7"/>
        <v>755533.60047919734</v>
      </c>
      <c r="AW8" s="44">
        <f t="shared" si="8"/>
        <v>-9.9506265020368162E-2</v>
      </c>
      <c r="AX8" s="44">
        <f t="shared" si="9"/>
        <v>5.279376944500358E-2</v>
      </c>
      <c r="AY8" s="40"/>
      <c r="AZ8" s="96">
        <v>0.5292</v>
      </c>
      <c r="BA8" s="67">
        <f t="shared" si="11"/>
        <v>7336239.8061774597</v>
      </c>
      <c r="BB8" s="67">
        <f t="shared" si="12"/>
        <v>233546200.18441287</v>
      </c>
      <c r="BC8" s="32"/>
    </row>
    <row r="9" spans="1:55">
      <c r="A9" s="57" t="s">
        <v>55</v>
      </c>
      <c r="B9" s="49">
        <v>763024.5789952171</v>
      </c>
      <c r="D9" s="49">
        <v>13975.177678201706</v>
      </c>
      <c r="E9" s="49">
        <v>708.97173459851911</v>
      </c>
      <c r="F9" s="44">
        <v>0.81042158384827134</v>
      </c>
      <c r="G9" s="43">
        <f t="shared" si="2"/>
        <v>12034.757363127754</v>
      </c>
      <c r="H9" s="49">
        <v>14647.6237193006</v>
      </c>
      <c r="I9" s="53">
        <v>0.11315827810043899</v>
      </c>
      <c r="J9" s="77">
        <v>2.468749342547992E-2</v>
      </c>
      <c r="K9" s="49">
        <v>739.55106338517601</v>
      </c>
      <c r="L9" s="53">
        <v>0.16923977148471012</v>
      </c>
      <c r="M9" s="77">
        <v>2.2560396726414131E-3</v>
      </c>
      <c r="N9" s="44">
        <v>0.82784500000000005</v>
      </c>
      <c r="O9" s="43">
        <f t="shared" si="3"/>
        <v>12865.513121289581</v>
      </c>
      <c r="R9" s="91"/>
      <c r="U9" s="91"/>
      <c r="W9" s="44">
        <v>4.4999999999999998E-2</v>
      </c>
      <c r="AB9" s="49">
        <v>2260.9567333333334</v>
      </c>
      <c r="AC9" s="30">
        <v>534.20519891082301</v>
      </c>
      <c r="AD9" s="43">
        <f t="shared" si="0"/>
        <v>1207814.841459098</v>
      </c>
      <c r="AE9" s="49">
        <v>2250.11781597867</v>
      </c>
      <c r="AF9" s="49">
        <v>5853.583333333333</v>
      </c>
      <c r="AG9" s="30">
        <v>551.26012146449921</v>
      </c>
      <c r="AH9" s="43">
        <f t="shared" si="4"/>
        <v>1240400.2205458353</v>
      </c>
      <c r="AJ9" s="30">
        <v>23689.9</v>
      </c>
      <c r="AK9" s="30">
        <v>16160.4</v>
      </c>
      <c r="AL9" s="44">
        <f>1-AK9/AJ9</f>
        <v>0.31783587098299282</v>
      </c>
      <c r="AM9" s="35">
        <v>0.32910573340704202</v>
      </c>
      <c r="AO9" s="57" t="s">
        <v>55</v>
      </c>
      <c r="AP9" s="45">
        <f t="shared" si="5"/>
        <v>2.7334220461249492</v>
      </c>
      <c r="AQ9" s="54">
        <v>2.8805249577229701</v>
      </c>
      <c r="AR9" s="53">
        <f t="shared" si="10"/>
        <v>4.2174628876362696E-2</v>
      </c>
      <c r="AT9" s="57" t="s">
        <v>55</v>
      </c>
      <c r="AU9" s="42">
        <f t="shared" si="6"/>
        <v>763024.5789952171</v>
      </c>
      <c r="AV9" s="43">
        <f t="shared" si="7"/>
        <v>794407.55202034651</v>
      </c>
      <c r="AW9" s="44">
        <f t="shared" si="8"/>
        <v>-3.9504877496841347E-2</v>
      </c>
      <c r="AX9" s="44">
        <f t="shared" si="9"/>
        <v>5.145231332728728E-2</v>
      </c>
      <c r="AY9" s="40"/>
      <c r="AZ9" s="96">
        <v>0.5292</v>
      </c>
      <c r="BA9" s="67">
        <f>((0.99^(-1)+I9-1)/((1-AZ9)*AM9*AQ9))^(1/(AM9-1))*AH9</f>
        <v>8443365.2392897531</v>
      </c>
      <c r="BB9" s="67">
        <f t="shared" si="12"/>
        <v>260274162.01404238</v>
      </c>
      <c r="BC9" s="32"/>
    </row>
    <row r="10" spans="1:55">
      <c r="A10" s="57" t="s">
        <v>56</v>
      </c>
      <c r="B10" s="49">
        <v>814660.82511505764</v>
      </c>
      <c r="D10" s="49">
        <v>14277.487063731111</v>
      </c>
      <c r="E10" s="49">
        <v>761.12689238731934</v>
      </c>
      <c r="F10" s="44">
        <v>0.81735128419209435</v>
      </c>
      <c r="G10" s="43">
        <f t="shared" si="2"/>
        <v>12430.849278963957</v>
      </c>
      <c r="H10" s="49">
        <v>15446.382174484699</v>
      </c>
      <c r="I10" s="53">
        <v>0.11060647451739838</v>
      </c>
      <c r="J10" s="77">
        <v>2.571036204318633E-2</v>
      </c>
      <c r="K10" s="49">
        <v>800.51634419376103</v>
      </c>
      <c r="L10" s="53">
        <v>0.17035721082788821</v>
      </c>
      <c r="M10" s="77">
        <v>2.2196143382461832E-3</v>
      </c>
      <c r="N10" s="44">
        <v>0.82784500000000005</v>
      </c>
      <c r="O10" s="43">
        <f t="shared" si="3"/>
        <v>13587.726595430047</v>
      </c>
      <c r="R10" s="157">
        <v>5.0023503649634996E-2</v>
      </c>
      <c r="U10" s="91"/>
      <c r="W10" s="44">
        <v>4.7E-2</v>
      </c>
      <c r="AA10" s="40">
        <f>R10-W10</f>
        <v>3.0235036496349954E-3</v>
      </c>
      <c r="AB10" s="49">
        <v>2270.3131333333331</v>
      </c>
      <c r="AC10" s="30">
        <v>532.96989243874862</v>
      </c>
      <c r="AD10" s="43">
        <f t="shared" si="0"/>
        <v>1210008.5464749448</v>
      </c>
      <c r="AE10" s="49">
        <v>2239.7688589378299</v>
      </c>
      <c r="AF10" s="49">
        <v>5910.666666666667</v>
      </c>
      <c r="AG10" s="30">
        <v>559.24937200726674</v>
      </c>
      <c r="AH10" s="43">
        <f t="shared" si="4"/>
        <v>1252589.3278024138</v>
      </c>
      <c r="AJ10" s="30">
        <v>26129.200000000001</v>
      </c>
      <c r="AK10" s="30">
        <v>16769.099999999999</v>
      </c>
      <c r="AL10" s="44">
        <f t="shared" si="1"/>
        <v>0.3582237496746935</v>
      </c>
      <c r="AM10" s="35">
        <v>0.32997552952297798</v>
      </c>
      <c r="AO10" s="57" t="s">
        <v>56</v>
      </c>
      <c r="AP10" s="45">
        <f t="shared" si="5"/>
        <v>3.4708851851190863</v>
      </c>
      <c r="AQ10" s="54">
        <v>2.9650701773242698</v>
      </c>
      <c r="AR10" s="53">
        <f t="shared" si="10"/>
        <v>2.9350629083988888E-2</v>
      </c>
      <c r="AT10" s="57" t="s">
        <v>56</v>
      </c>
      <c r="AU10" s="42">
        <f t="shared" si="6"/>
        <v>814660.82511505764</v>
      </c>
      <c r="AV10" s="43">
        <f t="shared" si="7"/>
        <v>834744.04708368483</v>
      </c>
      <c r="AW10" s="44">
        <f t="shared" si="8"/>
        <v>-2.4059137694711588E-2</v>
      </c>
      <c r="AX10" s="44">
        <f t="shared" si="9"/>
        <v>5.0775568485916356E-2</v>
      </c>
      <c r="AY10" s="40"/>
      <c r="AZ10" s="96">
        <v>0.51549999999999996</v>
      </c>
      <c r="BA10" s="67">
        <f t="shared" si="11"/>
        <v>9648445.7167781126</v>
      </c>
      <c r="BB10" s="67">
        <f t="shared" si="12"/>
        <v>290843440.66061622</v>
      </c>
      <c r="BC10" s="32"/>
    </row>
    <row r="11" spans="1:55">
      <c r="A11" s="57" t="s">
        <v>57</v>
      </c>
      <c r="B11" s="49">
        <v>869898.3104078183</v>
      </c>
      <c r="D11" s="49">
        <v>14792.827030254954</v>
      </c>
      <c r="E11" s="49">
        <v>812.28672273740221</v>
      </c>
      <c r="F11" s="44">
        <v>0.83243356941567237</v>
      </c>
      <c r="G11" s="43">
        <f t="shared" si="2"/>
        <v>13126.332529281173</v>
      </c>
      <c r="H11" s="49">
        <v>16316.8003871773</v>
      </c>
      <c r="I11" s="53">
        <v>0.10622289444240661</v>
      </c>
      <c r="J11" s="77">
        <v>2.8869998254101616E-2</v>
      </c>
      <c r="K11" s="49">
        <v>865.02192409080499</v>
      </c>
      <c r="L11" s="53">
        <v>0.17073589395908595</v>
      </c>
      <c r="M11" s="77">
        <v>2.3666111246334887E-3</v>
      </c>
      <c r="N11" s="44">
        <v>0.82784500000000005</v>
      </c>
      <c r="O11" s="43">
        <f t="shared" si="3"/>
        <v>14372.803540613597</v>
      </c>
      <c r="R11" s="157">
        <v>4.9711391941391937E-2</v>
      </c>
      <c r="U11" s="91"/>
      <c r="W11" s="44">
        <v>4.7E-2</v>
      </c>
      <c r="AA11" s="40">
        <f t="shared" ref="AA11:AA64" si="13">R11-W11</f>
        <v>2.7113919413919371E-3</v>
      </c>
      <c r="AB11" s="49">
        <v>2288.6794</v>
      </c>
      <c r="AC11" s="30">
        <v>560.30058003257557</v>
      </c>
      <c r="AD11" s="43">
        <f t="shared" si="0"/>
        <v>1282348.3953286069</v>
      </c>
      <c r="AE11" s="49">
        <v>2226.4533188489399</v>
      </c>
      <c r="AF11" s="49">
        <v>6010.416666666667</v>
      </c>
      <c r="AG11" s="30">
        <v>568.72478427240276</v>
      </c>
      <c r="AH11" s="43">
        <f t="shared" si="4"/>
        <v>1266239.1834549385</v>
      </c>
      <c r="AJ11" s="30">
        <v>29945.7</v>
      </c>
      <c r="AK11" s="30">
        <v>18553.599999999999</v>
      </c>
      <c r="AL11" s="44">
        <f t="shared" si="1"/>
        <v>0.38042523634445014</v>
      </c>
      <c r="AM11" s="35">
        <v>0.32717236791659698</v>
      </c>
      <c r="AO11" s="57" t="s">
        <v>57</v>
      </c>
      <c r="AP11" s="45">
        <f t="shared" si="5"/>
        <v>3.8766484228900753</v>
      </c>
      <c r="AQ11" s="54">
        <v>2.9974972534773499</v>
      </c>
      <c r="AR11" s="53">
        <f t="shared" si="10"/>
        <v>1.0936360427847625E-2</v>
      </c>
      <c r="AT11" s="57" t="s">
        <v>57</v>
      </c>
      <c r="AU11" s="42">
        <f t="shared" si="6"/>
        <v>869898.3104078183</v>
      </c>
      <c r="AV11" s="43">
        <f t="shared" si="7"/>
        <v>876864.94519029197</v>
      </c>
      <c r="AW11" s="44">
        <f t="shared" si="8"/>
        <v>-7.9449347595504753E-3</v>
      </c>
      <c r="AX11" s="44">
        <f t="shared" si="9"/>
        <v>5.0459656769956451E-2</v>
      </c>
      <c r="AY11" s="40"/>
      <c r="AZ11" s="96">
        <v>0.51549999999999996</v>
      </c>
      <c r="BA11" s="67">
        <f t="shared" si="11"/>
        <v>10253252.407530786</v>
      </c>
      <c r="BB11" s="67">
        <f t="shared" si="12"/>
        <v>283379284.30133653</v>
      </c>
      <c r="BC11" s="32"/>
    </row>
    <row r="12" spans="1:55">
      <c r="A12" s="57" t="s">
        <v>58</v>
      </c>
      <c r="B12" s="49">
        <v>921875.92235572974</v>
      </c>
      <c r="D12" s="49">
        <v>15732.886396387368</v>
      </c>
      <c r="E12" s="49">
        <v>879.4713248508375</v>
      </c>
      <c r="F12" s="44">
        <v>0.83091084772924007</v>
      </c>
      <c r="G12" s="43">
        <f t="shared" si="2"/>
        <v>13952.097297700895</v>
      </c>
      <c r="H12" s="49">
        <v>17257.895440512799</v>
      </c>
      <c r="I12" s="53">
        <v>0.10562191321004738</v>
      </c>
      <c r="J12" s="77">
        <v>3.1200968410059586E-2</v>
      </c>
      <c r="K12" s="49">
        <v>932.87119498186905</v>
      </c>
      <c r="L12" s="53">
        <v>0.17172099635020205</v>
      </c>
      <c r="M12" s="77">
        <v>2.6282844840557883E-3</v>
      </c>
      <c r="N12" s="44">
        <v>0.82784500000000005</v>
      </c>
      <c r="O12" s="43">
        <f t="shared" si="3"/>
        <v>15219.733645933189</v>
      </c>
      <c r="R12" s="157">
        <v>5.1545140562248966E-2</v>
      </c>
      <c r="U12" s="91"/>
      <c r="W12" s="44">
        <v>4.4999999999999998E-2</v>
      </c>
      <c r="AA12" s="40">
        <f t="shared" si="13"/>
        <v>6.5451405622489675E-3</v>
      </c>
      <c r="AB12" s="49">
        <v>2246.0558000000005</v>
      </c>
      <c r="AC12" s="30">
        <v>578.32462500052077</v>
      </c>
      <c r="AD12" s="43">
        <f t="shared" si="0"/>
        <v>1298949.3782652449</v>
      </c>
      <c r="AE12" s="49">
        <v>2210.02406798533</v>
      </c>
      <c r="AF12" s="49">
        <v>6127.833333333333</v>
      </c>
      <c r="AG12" s="30">
        <v>579.50914622360051</v>
      </c>
      <c r="AH12" s="43">
        <f t="shared" si="4"/>
        <v>1280729.1607717869</v>
      </c>
      <c r="AJ12" s="30">
        <v>33251</v>
      </c>
      <c r="AK12" s="30">
        <v>20538.8</v>
      </c>
      <c r="AL12" s="44">
        <f t="shared" si="1"/>
        <v>0.38231030645694863</v>
      </c>
      <c r="AM12" s="35">
        <v>0.31956842987174799</v>
      </c>
      <c r="AO12" s="57" t="s">
        <v>58</v>
      </c>
      <c r="AP12" s="45">
        <f t="shared" si="5"/>
        <v>4.0163464450564419</v>
      </c>
      <c r="AQ12" s="54">
        <v>2.9627697973739</v>
      </c>
      <c r="AR12" s="53">
        <f t="shared" si="10"/>
        <v>-1.1585483877645908E-2</v>
      </c>
      <c r="AT12" s="57" t="s">
        <v>58</v>
      </c>
      <c r="AU12" s="42">
        <f t="shared" si="6"/>
        <v>921875.92235572974</v>
      </c>
      <c r="AV12" s="43">
        <f t="shared" si="7"/>
        <v>920385.82687777793</v>
      </c>
      <c r="AW12" s="44">
        <f t="shared" si="8"/>
        <v>1.6189900305251912E-3</v>
      </c>
      <c r="AX12" s="44">
        <f t="shared" si="9"/>
        <v>4.9632365766476561E-2</v>
      </c>
      <c r="AY12" s="40"/>
      <c r="AZ12" s="96">
        <v>0.51039999999999996</v>
      </c>
      <c r="BA12" s="67">
        <f t="shared" si="11"/>
        <v>9844526.820293095</v>
      </c>
      <c r="BB12" s="67">
        <f t="shared" si="12"/>
        <v>252364777.75632444</v>
      </c>
      <c r="BC12" s="32"/>
    </row>
    <row r="13" spans="1:55">
      <c r="A13" s="57" t="s">
        <v>59</v>
      </c>
      <c r="B13" s="49">
        <v>938020.51009871368</v>
      </c>
      <c r="D13" s="49">
        <v>16947.490988026173</v>
      </c>
      <c r="E13" s="49">
        <v>970.74285098123778</v>
      </c>
      <c r="F13" s="44">
        <v>0.83215700371960644</v>
      </c>
      <c r="G13" s="43">
        <f t="shared" si="2"/>
        <v>15073.716172142131</v>
      </c>
      <c r="H13" s="49">
        <v>18253.4446840565</v>
      </c>
      <c r="I13" s="53">
        <v>9.9648887769073657E-2</v>
      </c>
      <c r="J13" s="77">
        <v>3.9287390810171699E-2</v>
      </c>
      <c r="K13" s="49">
        <v>1003.34019675897</v>
      </c>
      <c r="L13" s="53">
        <v>0.17345639184699976</v>
      </c>
      <c r="M13" s="77">
        <v>2.743690810521204E-3</v>
      </c>
      <c r="N13" s="44">
        <v>0.82784500000000005</v>
      </c>
      <c r="O13" s="43">
        <f t="shared" si="3"/>
        <v>16114.363111231725</v>
      </c>
      <c r="R13" s="157">
        <v>6.8722398373983737E-2</v>
      </c>
      <c r="U13" s="44">
        <v>2.1999999999999999E-2</v>
      </c>
      <c r="W13" s="44">
        <v>0.04</v>
      </c>
      <c r="X13" s="44">
        <f t="shared" ref="X13:X44" si="14">R13-U13-W13</f>
        <v>6.7223983739837373E-3</v>
      </c>
      <c r="Y13" s="44">
        <f t="shared" ref="Y13:Y44" si="15">X13+I13</f>
        <v>0.10637128614305739</v>
      </c>
      <c r="Z13" s="44">
        <f t="shared" ref="Z13:Z44" si="16">X13+L13</f>
        <v>0.18017879022098349</v>
      </c>
      <c r="AA13" s="40">
        <f t="shared" si="13"/>
        <v>2.8722398373983736E-2</v>
      </c>
      <c r="AB13" s="49">
        <v>2210.0163333333335</v>
      </c>
      <c r="AC13" s="30">
        <v>588.53134995179312</v>
      </c>
      <c r="AD13" s="43">
        <f t="shared" si="0"/>
        <v>1300663.8960721788</v>
      </c>
      <c r="AE13" s="49">
        <v>2190.95623943186</v>
      </c>
      <c r="AF13" s="49">
        <v>6249.166666666667</v>
      </c>
      <c r="AG13" s="30">
        <v>591.2819073940293</v>
      </c>
      <c r="AH13" s="43">
        <f t="shared" si="4"/>
        <v>1295472.7842681198</v>
      </c>
      <c r="AJ13" s="30">
        <v>37213.5</v>
      </c>
      <c r="AK13" s="30">
        <v>22637.8</v>
      </c>
      <c r="AL13" s="44">
        <f t="shared" si="1"/>
        <v>0.39167775135367544</v>
      </c>
      <c r="AM13" s="35">
        <v>0.30656842535655898</v>
      </c>
      <c r="AO13" s="57" t="s">
        <v>59</v>
      </c>
      <c r="AP13" s="45">
        <f t="shared" si="5"/>
        <v>4.1334599719520204</v>
      </c>
      <c r="AQ13" s="54">
        <v>2.8546429318998201</v>
      </c>
      <c r="AR13" s="53">
        <f t="shared" si="10"/>
        <v>-3.6495196342935521E-2</v>
      </c>
      <c r="AT13" s="57" t="s">
        <v>59</v>
      </c>
      <c r="AU13" s="42">
        <f t="shared" si="6"/>
        <v>938020.51009871368</v>
      </c>
      <c r="AV13" s="43">
        <f t="shared" si="7"/>
        <v>963609.95651603385</v>
      </c>
      <c r="AW13" s="44">
        <f t="shared" si="8"/>
        <v>-2.6555813630070538E-2</v>
      </c>
      <c r="AX13" s="44">
        <f t="shared" si="9"/>
        <v>4.6963054380014801E-2</v>
      </c>
      <c r="AZ13" s="96">
        <v>0.49980000000000002</v>
      </c>
      <c r="BA13" s="67">
        <f t="shared" si="11"/>
        <v>9525133.4735004175</v>
      </c>
      <c r="BB13" s="67">
        <f t="shared" si="12"/>
        <v>210111638.225281</v>
      </c>
      <c r="BC13" s="32"/>
    </row>
    <row r="14" spans="1:55">
      <c r="A14" s="57" t="s">
        <v>60</v>
      </c>
      <c r="B14" s="49">
        <v>931140.95929229981</v>
      </c>
      <c r="D14" s="49">
        <v>18943.930197413443</v>
      </c>
      <c r="E14" s="49">
        <v>1059.7251240025878</v>
      </c>
      <c r="F14" s="44">
        <v>0.83469703894930436</v>
      </c>
      <c r="G14" s="43">
        <f t="shared" si="2"/>
        <v>16872.167565845899</v>
      </c>
      <c r="H14" s="49">
        <v>19271.9753769323</v>
      </c>
      <c r="I14" s="53">
        <v>0.10219668755332685</v>
      </c>
      <c r="J14" s="77">
        <v>4.1616255210911036E-2</v>
      </c>
      <c r="K14" s="49">
        <v>1075.1709706128499</v>
      </c>
      <c r="L14" s="53">
        <v>0.17428068482567402</v>
      </c>
      <c r="M14" s="77">
        <v>2.7007306355336606E-3</v>
      </c>
      <c r="N14" s="44">
        <v>0.82784500000000005</v>
      </c>
      <c r="O14" s="43">
        <f t="shared" si="3"/>
        <v>17029.379426529373</v>
      </c>
      <c r="R14" s="157">
        <v>6.3770000000000021E-2</v>
      </c>
      <c r="U14" s="44">
        <v>2.7E-2</v>
      </c>
      <c r="W14" s="44">
        <v>3.3000000000000002E-2</v>
      </c>
      <c r="X14" s="44">
        <f t="shared" si="14"/>
        <v>3.7700000000000233E-3</v>
      </c>
      <c r="Y14" s="44">
        <f t="shared" si="15"/>
        <v>0.10596668755332687</v>
      </c>
      <c r="Z14" s="44">
        <f t="shared" si="16"/>
        <v>0.17805068482567404</v>
      </c>
      <c r="AA14" s="40">
        <f t="shared" si="13"/>
        <v>3.077000000000002E-2</v>
      </c>
      <c r="AB14" s="49">
        <v>2178.4818</v>
      </c>
      <c r="AC14" s="30">
        <v>604.33599903638333</v>
      </c>
      <c r="AD14" s="43">
        <f t="shared" si="0"/>
        <v>1316534.9749855786</v>
      </c>
      <c r="AE14" s="49">
        <v>2170.0852835935302</v>
      </c>
      <c r="AF14" s="49">
        <v>6368.583333333333</v>
      </c>
      <c r="AG14" s="30">
        <v>603.62061008858439</v>
      </c>
      <c r="AH14" s="43">
        <f t="shared" si="4"/>
        <v>1309908.2028269854</v>
      </c>
      <c r="AJ14" s="30">
        <v>38347.699999999997</v>
      </c>
      <c r="AK14" s="30">
        <v>25179.1</v>
      </c>
      <c r="AL14" s="44">
        <f t="shared" si="1"/>
        <v>0.34339999530610699</v>
      </c>
      <c r="AM14" s="35">
        <v>0.28820448310500402</v>
      </c>
      <c r="AO14" s="57" t="s">
        <v>60</v>
      </c>
      <c r="AP14" s="45">
        <f t="shared" si="5"/>
        <v>3.157807321724885</v>
      </c>
      <c r="AQ14" s="54">
        <v>2.6774075464182499</v>
      </c>
      <c r="AR14" s="53">
        <f t="shared" si="10"/>
        <v>-6.2086709164573706E-2</v>
      </c>
      <c r="AT14" s="57" t="s">
        <v>60</v>
      </c>
      <c r="AU14" s="42">
        <f t="shared" si="6"/>
        <v>931140.95929229981</v>
      </c>
      <c r="AV14" s="43">
        <f t="shared" si="7"/>
        <v>1003204.7359242873</v>
      </c>
      <c r="AW14" s="44">
        <f t="shared" si="8"/>
        <v>-7.183356901280244E-2</v>
      </c>
      <c r="AX14" s="44">
        <f t="shared" si="9"/>
        <v>4.1090048043307625E-2</v>
      </c>
      <c r="AZ14" s="96">
        <v>0.49980000000000002</v>
      </c>
      <c r="BA14" s="67">
        <f t="shared" si="11"/>
        <v>7422159.9158444256</v>
      </c>
      <c r="BB14" s="67">
        <f t="shared" si="12"/>
        <v>156852716.60915822</v>
      </c>
      <c r="BC14" s="32"/>
    </row>
    <row r="15" spans="1:55">
      <c r="A15" s="57" t="s">
        <v>61</v>
      </c>
      <c r="B15" s="49">
        <v>914515.97595756478</v>
      </c>
      <c r="D15" s="49">
        <v>20882.983261920435</v>
      </c>
      <c r="E15" s="49">
        <v>1126.511595140536</v>
      </c>
      <c r="F15" s="44">
        <v>0.82365230661915823</v>
      </c>
      <c r="G15" s="43">
        <f t="shared" si="2"/>
        <v>18326.828927910574</v>
      </c>
      <c r="H15" s="49">
        <v>20268.9552413038</v>
      </c>
      <c r="I15" s="53">
        <v>0.10635865326378077</v>
      </c>
      <c r="J15" s="77">
        <v>3.9724034575944853E-2</v>
      </c>
      <c r="K15" s="49">
        <v>1146.7795842764201</v>
      </c>
      <c r="L15" s="53">
        <v>0.1745801362210059</v>
      </c>
      <c r="M15" s="77">
        <v>3.3074310610391095E-3</v>
      </c>
      <c r="N15" s="44">
        <v>0.82784500000000005</v>
      </c>
      <c r="O15" s="43">
        <f t="shared" si="3"/>
        <v>17926.332836013567</v>
      </c>
      <c r="R15" s="157">
        <v>5.3482348178137684E-2</v>
      </c>
      <c r="U15" s="44">
        <v>2.4E-2</v>
      </c>
      <c r="W15" s="44">
        <v>2.5000000000000001E-2</v>
      </c>
      <c r="X15" s="44">
        <f t="shared" si="14"/>
        <v>4.4823481781376823E-3</v>
      </c>
      <c r="Y15" s="44">
        <f t="shared" si="15"/>
        <v>0.11084100144191845</v>
      </c>
      <c r="Z15" s="44">
        <f t="shared" si="16"/>
        <v>0.17906248439914357</v>
      </c>
      <c r="AA15" s="40">
        <f t="shared" si="13"/>
        <v>2.8482348178137683E-2</v>
      </c>
      <c r="AB15" s="49">
        <v>2139.8433333333332</v>
      </c>
      <c r="AC15" s="30">
        <v>618.86100882546657</v>
      </c>
      <c r="AD15" s="43">
        <f t="shared" si="0"/>
        <v>1324265.6039951157</v>
      </c>
      <c r="AE15" s="49">
        <v>2148.43725181434</v>
      </c>
      <c r="AF15" s="49">
        <v>6436.25</v>
      </c>
      <c r="AG15" s="30">
        <v>615.96835587990222</v>
      </c>
      <c r="AH15" s="43">
        <f t="shared" si="4"/>
        <v>1323369.3617112145</v>
      </c>
      <c r="AJ15" s="30">
        <v>37647.599999999999</v>
      </c>
      <c r="AK15" s="30">
        <v>26599.599999999999</v>
      </c>
      <c r="AL15" s="44">
        <f t="shared" si="1"/>
        <v>0.29345828153720288</v>
      </c>
      <c r="AM15" s="35">
        <v>0.26535982511103801</v>
      </c>
      <c r="AO15" s="57" t="s">
        <v>61</v>
      </c>
      <c r="AP15" s="45">
        <f t="shared" si="5"/>
        <v>2.4250584416824661</v>
      </c>
      <c r="AQ15" s="54">
        <v>2.4481427006933698</v>
      </c>
      <c r="AR15" s="53">
        <f t="shared" si="10"/>
        <v>-8.5629416422458027E-2</v>
      </c>
      <c r="AT15" s="57" t="s">
        <v>61</v>
      </c>
      <c r="AU15" s="42">
        <f t="shared" si="6"/>
        <v>914515.97595756478</v>
      </c>
      <c r="AV15" s="43">
        <f t="shared" si="7"/>
        <v>1034606.8127486181</v>
      </c>
      <c r="AW15" s="44">
        <f t="shared" si="8"/>
        <v>-0.11607388943439345</v>
      </c>
      <c r="AX15" s="44">
        <f t="shared" si="9"/>
        <v>3.1301762940142863E-2</v>
      </c>
      <c r="AZ15" s="96">
        <v>0.49980000000000002</v>
      </c>
      <c r="BA15" s="67">
        <f t="shared" si="11"/>
        <v>5349227.2817417858</v>
      </c>
      <c r="BB15" s="67">
        <f t="shared" si="12"/>
        <v>101435929.60227482</v>
      </c>
      <c r="BC15" s="32"/>
    </row>
    <row r="16" spans="1:55">
      <c r="A16" s="57" t="s">
        <v>62</v>
      </c>
      <c r="B16" s="49">
        <v>876340.72052990249</v>
      </c>
      <c r="D16" s="49">
        <v>22294.723710971728</v>
      </c>
      <c r="E16" s="49">
        <v>1232.3149018762131</v>
      </c>
      <c r="F16" s="44">
        <v>0.80982216605645885</v>
      </c>
      <c r="G16" s="43">
        <f t="shared" si="2"/>
        <v>19287.076349125629</v>
      </c>
      <c r="H16" s="49">
        <v>21196.571547539399</v>
      </c>
      <c r="I16" s="53">
        <v>0.10896493823100777</v>
      </c>
      <c r="J16" s="77">
        <v>3.729668912572056E-2</v>
      </c>
      <c r="K16" s="49">
        <v>1216.42764701653</v>
      </c>
      <c r="L16" s="53">
        <v>0.17536907717138378</v>
      </c>
      <c r="M16" s="77">
        <v>3.6029616831143247E-3</v>
      </c>
      <c r="N16" s="44">
        <v>0.82784500000000005</v>
      </c>
      <c r="O16" s="43">
        <f t="shared" si="3"/>
        <v>18763.903419789287</v>
      </c>
      <c r="R16" s="157">
        <v>4.3461382113821161E-2</v>
      </c>
      <c r="U16" s="44">
        <v>1.9E-2</v>
      </c>
      <c r="W16" s="44">
        <v>0.02</v>
      </c>
      <c r="X16" s="44">
        <f t="shared" si="14"/>
        <v>4.4613821138211607E-3</v>
      </c>
      <c r="Y16" s="44">
        <f t="shared" si="15"/>
        <v>0.11342632034482893</v>
      </c>
      <c r="Z16" s="44">
        <f t="shared" si="16"/>
        <v>0.17983045928520494</v>
      </c>
      <c r="AA16" s="40">
        <f t="shared" si="13"/>
        <v>2.346138211382116E-2</v>
      </c>
      <c r="AB16" s="49">
        <v>2091.8484666666668</v>
      </c>
      <c r="AC16" s="30">
        <v>640.53298907340525</v>
      </c>
      <c r="AD16" s="43">
        <f t="shared" si="0"/>
        <v>1339897.9510426195</v>
      </c>
      <c r="AE16" s="49">
        <v>2127.1221606023701</v>
      </c>
      <c r="AF16" s="49">
        <v>6450</v>
      </c>
      <c r="AG16" s="30">
        <v>627.66488175266625</v>
      </c>
      <c r="AH16" s="43">
        <f t="shared" si="4"/>
        <v>1335119.8794079626</v>
      </c>
      <c r="AJ16" s="30">
        <v>37628</v>
      </c>
      <c r="AK16" s="30">
        <v>28010.3</v>
      </c>
      <c r="AL16" s="44">
        <f t="shared" si="1"/>
        <v>0.25559955352397157</v>
      </c>
      <c r="AM16" s="35">
        <v>0.23946962849062001</v>
      </c>
      <c r="AO16" s="57" t="s">
        <v>62</v>
      </c>
      <c r="AP16" s="45">
        <f t="shared" si="5"/>
        <v>1.933596661905062</v>
      </c>
      <c r="AQ16" s="54">
        <v>2.1887314522421502</v>
      </c>
      <c r="AR16" s="53">
        <f t="shared" si="10"/>
        <v>-0.10596247039755835</v>
      </c>
      <c r="AT16" s="57" t="s">
        <v>62</v>
      </c>
      <c r="AU16" s="42">
        <f t="shared" si="6"/>
        <v>876340.72052990249</v>
      </c>
      <c r="AV16" s="43">
        <f t="shared" si="7"/>
        <v>1052368.3935011725</v>
      </c>
      <c r="AW16" s="44">
        <f t="shared" si="8"/>
        <v>-0.16726811072844514</v>
      </c>
      <c r="AX16" s="44">
        <f t="shared" si="9"/>
        <v>1.7167469355211074E-2</v>
      </c>
      <c r="AZ16" s="96">
        <v>0.49980000000000002</v>
      </c>
      <c r="BA16" s="67">
        <f t="shared" si="11"/>
        <v>3769268.4508719631</v>
      </c>
      <c r="BB16" s="67">
        <f t="shared" si="12"/>
        <v>64691071.612567894</v>
      </c>
      <c r="BC16" s="32"/>
    </row>
    <row r="17" spans="1:55">
      <c r="A17" s="57" t="s">
        <v>63</v>
      </c>
      <c r="B17" s="43">
        <v>872986.73810545634</v>
      </c>
      <c r="D17" s="49">
        <v>23133.841261109683</v>
      </c>
      <c r="E17" s="49">
        <v>1331.947178491841</v>
      </c>
      <c r="F17" s="44">
        <v>0.80504109241560873</v>
      </c>
      <c r="G17" s="43">
        <f t="shared" si="2"/>
        <v>19955.640019104863</v>
      </c>
      <c r="H17" s="49">
        <v>22013.151846213801</v>
      </c>
      <c r="I17" s="44">
        <v>0.10970254496282243</v>
      </c>
      <c r="J17" s="77">
        <v>3.5312105733588034E-2</v>
      </c>
      <c r="K17" s="49">
        <v>1282.1740882086599</v>
      </c>
      <c r="L17" s="44">
        <v>0.17669407788252073</v>
      </c>
      <c r="M17" s="77">
        <v>3.2990191881381108E-3</v>
      </c>
      <c r="N17" s="44">
        <v>0.82784500000000005</v>
      </c>
      <c r="O17" s="43">
        <f>H17*N17+K17</f>
        <v>19505.651778337524</v>
      </c>
      <c r="R17" s="157">
        <v>4.3577651821862337E-2</v>
      </c>
      <c r="U17" s="44">
        <v>1.7000000000000001E-2</v>
      </c>
      <c r="W17" s="44">
        <v>1.7000000000000001E-2</v>
      </c>
      <c r="X17" s="44">
        <f t="shared" si="14"/>
        <v>9.5776518218623347E-3</v>
      </c>
      <c r="Y17" s="44">
        <f t="shared" si="15"/>
        <v>0.11928019678468477</v>
      </c>
      <c r="Z17" s="44">
        <f t="shared" si="16"/>
        <v>0.18627172970438305</v>
      </c>
      <c r="AA17" s="40">
        <f t="shared" si="13"/>
        <v>2.6577651821862336E-2</v>
      </c>
      <c r="AB17" s="43">
        <v>2063.0862000000006</v>
      </c>
      <c r="AC17" s="43">
        <v>654.78691854150406</v>
      </c>
      <c r="AD17" s="43">
        <f t="shared" si="0"/>
        <v>1350881.8555835015</v>
      </c>
      <c r="AE17" s="43">
        <v>2107.1640872808898</v>
      </c>
      <c r="AF17" s="43">
        <v>6453.666666666667</v>
      </c>
      <c r="AG17" s="43">
        <v>637.98091429446617</v>
      </c>
      <c r="AH17" s="43">
        <f t="shared" si="4"/>
        <v>1344330.4709719263</v>
      </c>
      <c r="AJ17" s="43">
        <v>35240.300000000003</v>
      </c>
      <c r="AK17" s="43">
        <v>29892.3</v>
      </c>
      <c r="AL17" s="44">
        <f>1-AK17/AJ17</f>
        <v>0.15175807243411676</v>
      </c>
      <c r="AM17" s="35">
        <v>0.212250054923974</v>
      </c>
      <c r="AO17" s="57" t="s">
        <v>63</v>
      </c>
      <c r="AP17" s="45">
        <f t="shared" si="5"/>
        <v>1.2251556758270181</v>
      </c>
      <c r="AQ17" s="45">
        <v>1.9208260159916499</v>
      </c>
      <c r="AR17" s="53">
        <f t="shared" si="10"/>
        <v>-0.12240215033052881</v>
      </c>
      <c r="AT17" s="57" t="s">
        <v>63</v>
      </c>
      <c r="AU17" s="42">
        <f t="shared" si="6"/>
        <v>872986.73810545634</v>
      </c>
      <c r="AV17" s="43">
        <f t="shared" si="7"/>
        <v>1051489.9409993226</v>
      </c>
      <c r="AW17" s="44">
        <f t="shared" si="8"/>
        <v>-0.1697621593262405</v>
      </c>
      <c r="AX17" s="44">
        <f t="shared" si="9"/>
        <v>-8.3473858325167072E-4</v>
      </c>
      <c r="AZ17" s="96">
        <v>0.49980000000000002</v>
      </c>
      <c r="BA17" s="67">
        <f t="shared" si="11"/>
        <v>2640941.451185605</v>
      </c>
      <c r="BB17" s="67">
        <f t="shared" si="12"/>
        <v>42604618.18828062</v>
      </c>
      <c r="BC17" s="38"/>
    </row>
    <row r="18" spans="1:55">
      <c r="A18" s="57" t="s">
        <v>64</v>
      </c>
      <c r="B18" s="43">
        <v>883056.79709820484</v>
      </c>
      <c r="D18" s="43">
        <v>23678.7</v>
      </c>
      <c r="E18" s="43">
        <v>1384.6</v>
      </c>
      <c r="F18" s="44">
        <v>0.80543238015226171</v>
      </c>
      <c r="G18" s="43">
        <f t="shared" si="2"/>
        <v>20456.19169991136</v>
      </c>
      <c r="H18" s="43">
        <v>22688.005209536001</v>
      </c>
      <c r="I18" s="44">
        <v>0.10615447638595017</v>
      </c>
      <c r="J18" s="77">
        <v>3.6334016232516267E-2</v>
      </c>
      <c r="K18" s="43">
        <v>1342.2367097768699</v>
      </c>
      <c r="L18" s="44">
        <v>0.17745197168857432</v>
      </c>
      <c r="M18" s="77">
        <v>3.1730688322739778E-3</v>
      </c>
      <c r="N18" s="44">
        <v>0.82784500000000005</v>
      </c>
      <c r="O18" s="43">
        <f t="shared" ref="O18:O63" si="17">H18*N18+K18</f>
        <v>20124.3883824652</v>
      </c>
      <c r="R18" s="157">
        <v>3.4601927710843354E-2</v>
      </c>
      <c r="U18" s="44">
        <v>1.6E-2</v>
      </c>
      <c r="W18" s="44">
        <v>1.4999999999999999E-2</v>
      </c>
      <c r="X18" s="44">
        <f t="shared" si="14"/>
        <v>3.6019277108433542E-3</v>
      </c>
      <c r="Y18" s="44">
        <f t="shared" si="15"/>
        <v>0.10975640409679352</v>
      </c>
      <c r="Z18" s="44">
        <f t="shared" si="16"/>
        <v>0.18105389939941768</v>
      </c>
      <c r="AA18" s="40">
        <f t="shared" si="13"/>
        <v>1.9601927710843355E-2</v>
      </c>
      <c r="AB18" s="43">
        <v>2065.6851999999999</v>
      </c>
      <c r="AC18" s="43">
        <v>662.99189736161873</v>
      </c>
      <c r="AD18" s="43">
        <f t="shared" si="0"/>
        <v>1369532.5500998148</v>
      </c>
      <c r="AE18" s="43">
        <v>2089.2343722338201</v>
      </c>
      <c r="AF18" s="43">
        <v>6457.333333333333</v>
      </c>
      <c r="AG18" s="43">
        <v>646.23938937919286</v>
      </c>
      <c r="AH18" s="43">
        <f t="shared" si="4"/>
        <v>1350145.5449824051</v>
      </c>
      <c r="AJ18" s="43">
        <v>34426.699999999997</v>
      </c>
      <c r="AK18" s="43">
        <v>30074.5</v>
      </c>
      <c r="AL18" s="44">
        <f t="shared" ref="AL18:AL42" si="18">1-AK18/AJ18</f>
        <v>0.12641931988834243</v>
      </c>
      <c r="AM18" s="35">
        <v>0.18557856534165501</v>
      </c>
      <c r="AO18" s="57" t="s">
        <v>64</v>
      </c>
      <c r="AP18" s="45">
        <f t="shared" si="5"/>
        <v>1.097049049768581</v>
      </c>
      <c r="AQ18" s="45">
        <v>1.6635272589654799</v>
      </c>
      <c r="AR18" s="53">
        <f t="shared" si="10"/>
        <v>-0.13395214084152041</v>
      </c>
      <c r="AS18" s="43"/>
      <c r="AT18" s="57" t="s">
        <v>64</v>
      </c>
      <c r="AU18" s="42">
        <f t="shared" si="6"/>
        <v>883056.79709820484</v>
      </c>
      <c r="AV18" s="43">
        <f t="shared" si="7"/>
        <v>1029015.5969107923</v>
      </c>
      <c r="AW18" s="44">
        <f t="shared" si="8"/>
        <v>-0.14184313653823163</v>
      </c>
      <c r="AX18" s="44">
        <f t="shared" si="9"/>
        <v>-2.1373807976870385E-2</v>
      </c>
      <c r="AZ18" s="96">
        <v>0.49980000000000002</v>
      </c>
      <c r="BA18" s="67">
        <f t="shared" si="11"/>
        <v>1913205.5335201286</v>
      </c>
      <c r="BB18" s="67">
        <f t="shared" si="12"/>
        <v>27473451.486810483</v>
      </c>
      <c r="BC18" s="38"/>
    </row>
    <row r="19" spans="1:55">
      <c r="A19" s="57" t="s">
        <v>65</v>
      </c>
      <c r="B19" s="43">
        <v>855111.95504074183</v>
      </c>
      <c r="D19" s="43">
        <v>24373.600000000002</v>
      </c>
      <c r="E19" s="43">
        <v>1419.1</v>
      </c>
      <c r="F19" s="44">
        <v>0.81356770739113005</v>
      </c>
      <c r="G19" s="43">
        <f t="shared" si="2"/>
        <v>21248.673872868447</v>
      </c>
      <c r="H19" s="43">
        <v>23201.647603863799</v>
      </c>
      <c r="I19" s="44">
        <v>0.10796927823546791</v>
      </c>
      <c r="J19" s="77">
        <v>3.2807400054023765E-2</v>
      </c>
      <c r="K19" s="43">
        <v>1395.3310445480699</v>
      </c>
      <c r="L19" s="44">
        <v>0.1782115425269537</v>
      </c>
      <c r="M19" s="77">
        <v>3.5539206089747707E-3</v>
      </c>
      <c r="N19" s="44">
        <v>0.82784500000000005</v>
      </c>
      <c r="O19" s="43">
        <f t="shared" si="17"/>
        <v>20602.699005168699</v>
      </c>
      <c r="R19" s="157">
        <v>3.1179838056680155E-2</v>
      </c>
      <c r="U19" s="44">
        <v>1.7999999999999999E-2</v>
      </c>
      <c r="W19" s="44">
        <v>1.3999999999999999E-2</v>
      </c>
      <c r="X19" s="44">
        <f t="shared" si="14"/>
        <v>-8.2016194331984218E-4</v>
      </c>
      <c r="Y19" s="44">
        <f t="shared" si="15"/>
        <v>0.10714911629214807</v>
      </c>
      <c r="Z19" s="44">
        <f t="shared" si="16"/>
        <v>0.17739138058363385</v>
      </c>
      <c r="AA19" s="40">
        <f t="shared" si="13"/>
        <v>1.7179838056680156E-2</v>
      </c>
      <c r="AB19" s="43">
        <v>2088.7296666666671</v>
      </c>
      <c r="AC19" s="43">
        <v>669.47482644485297</v>
      </c>
      <c r="AD19" s="43">
        <f t="shared" si="0"/>
        <v>1398351.9310818824</v>
      </c>
      <c r="AE19" s="43">
        <v>2073.5635769722398</v>
      </c>
      <c r="AF19" s="43">
        <v>6486.25</v>
      </c>
      <c r="AG19" s="43">
        <v>651.89082098768984</v>
      </c>
      <c r="AH19" s="43">
        <f t="shared" si="4"/>
        <v>1351737.0625626042</v>
      </c>
      <c r="AJ19" s="43">
        <v>35941.800000000003</v>
      </c>
      <c r="AK19" s="43">
        <v>30504.5</v>
      </c>
      <c r="AL19" s="44">
        <f t="shared" si="18"/>
        <v>0.15128068154627761</v>
      </c>
      <c r="AM19" s="35">
        <v>0.16072770084931801</v>
      </c>
      <c r="AO19" s="57" t="s">
        <v>65</v>
      </c>
      <c r="AP19" s="45">
        <f t="shared" si="5"/>
        <v>1.152067256899989</v>
      </c>
      <c r="AQ19" s="45">
        <v>1.42897934478536</v>
      </c>
      <c r="AR19" s="53">
        <f t="shared" si="10"/>
        <v>-0.14099433172257203</v>
      </c>
      <c r="AS19" s="40"/>
      <c r="AT19" s="57" t="s">
        <v>65</v>
      </c>
      <c r="AU19" s="42">
        <f t="shared" si="6"/>
        <v>855111.95504074183</v>
      </c>
      <c r="AV19" s="43">
        <f t="shared" si="7"/>
        <v>986009.42691667133</v>
      </c>
      <c r="AW19" s="44">
        <f t="shared" si="8"/>
        <v>-0.13275478743165381</v>
      </c>
      <c r="AX19" s="44">
        <f t="shared" si="9"/>
        <v>-4.1793506457268315E-2</v>
      </c>
      <c r="AZ19" s="96">
        <v>0.49980000000000002</v>
      </c>
      <c r="BA19" s="67">
        <f t="shared" si="11"/>
        <v>1308388.7479997799</v>
      </c>
      <c r="BB19" s="67">
        <f t="shared" si="12"/>
        <v>17100262.992399562</v>
      </c>
      <c r="BC19" s="38"/>
    </row>
    <row r="20" spans="1:55">
      <c r="A20" s="57" t="s">
        <v>66</v>
      </c>
      <c r="B20" s="43">
        <v>802443.59688947361</v>
      </c>
      <c r="D20" s="43">
        <v>24547.4</v>
      </c>
      <c r="E20" s="43">
        <v>1470.1</v>
      </c>
      <c r="F20" s="44">
        <v>0.81403646043855638</v>
      </c>
      <c r="G20" s="43">
        <f t="shared" si="2"/>
        <v>21452.578608969419</v>
      </c>
      <c r="H20" s="43">
        <v>23544.5019434598</v>
      </c>
      <c r="I20" s="44">
        <v>0.11098527746319375</v>
      </c>
      <c r="J20" s="77">
        <v>3.1837751711188383E-2</v>
      </c>
      <c r="K20" s="43">
        <v>1440.5962582514001</v>
      </c>
      <c r="L20" s="44">
        <v>0.17903543976600228</v>
      </c>
      <c r="M20" s="77">
        <v>3.9080628372587592E-3</v>
      </c>
      <c r="N20" s="44">
        <v>0.82784500000000005</v>
      </c>
      <c r="O20" s="43">
        <f t="shared" si="17"/>
        <v>20931.794469634879</v>
      </c>
      <c r="R20" s="157">
        <v>2.3731061224489789E-2</v>
      </c>
      <c r="U20" s="44">
        <v>1.2E-2</v>
      </c>
      <c r="W20" s="44">
        <v>1.1000000000000001E-2</v>
      </c>
      <c r="X20" s="44">
        <f t="shared" si="14"/>
        <v>7.3106122448978773E-4</v>
      </c>
      <c r="Y20" s="44">
        <f t="shared" si="15"/>
        <v>0.11171633868768355</v>
      </c>
      <c r="Z20" s="44">
        <f t="shared" si="16"/>
        <v>0.17976650099049207</v>
      </c>
      <c r="AA20" s="40">
        <f t="shared" si="13"/>
        <v>1.2731061224489788E-2</v>
      </c>
      <c r="AB20" s="43">
        <v>2071.5762666666665</v>
      </c>
      <c r="AC20" s="43">
        <v>684.60342112773708</v>
      </c>
      <c r="AD20" s="43">
        <f t="shared" si="0"/>
        <v>1418208.1992870253</v>
      </c>
      <c r="AE20" s="43">
        <v>2060.1467712849299</v>
      </c>
      <c r="AF20" s="43">
        <v>6556.916666666667</v>
      </c>
      <c r="AG20" s="43">
        <v>654.54113976425742</v>
      </c>
      <c r="AH20" s="43">
        <f t="shared" si="4"/>
        <v>1348450.815758493</v>
      </c>
      <c r="AJ20" s="43">
        <v>33721.699999999997</v>
      </c>
      <c r="AK20" s="43">
        <v>31412.3</v>
      </c>
      <c r="AL20" s="44">
        <f t="shared" si="18"/>
        <v>6.8484091845903317E-2</v>
      </c>
      <c r="AM20" s="35">
        <v>0.13837841009808199</v>
      </c>
      <c r="AO20" s="57" t="s">
        <v>66</v>
      </c>
      <c r="AP20" s="45">
        <f t="shared" si="5"/>
        <v>0.75393414162323458</v>
      </c>
      <c r="AQ20" s="45">
        <v>1.2236616549813299</v>
      </c>
      <c r="AR20" s="53">
        <f t="shared" si="10"/>
        <v>-0.14368135589452469</v>
      </c>
      <c r="AS20" s="40"/>
      <c r="AT20" s="57" t="s">
        <v>66</v>
      </c>
      <c r="AU20" s="42">
        <f t="shared" si="6"/>
        <v>802443.59688947361</v>
      </c>
      <c r="AV20" s="43">
        <f t="shared" si="7"/>
        <v>927184.05253481399</v>
      </c>
      <c r="AW20" s="44">
        <f t="shared" si="8"/>
        <v>-0.13453688650523529</v>
      </c>
      <c r="AX20" s="44">
        <f t="shared" si="9"/>
        <v>-5.9660052709444078E-2</v>
      </c>
      <c r="AZ20" s="96">
        <v>0.49980000000000002</v>
      </c>
      <c r="BA20" s="67">
        <f t="shared" si="11"/>
        <v>890603.86732605752</v>
      </c>
      <c r="BB20" s="67">
        <f t="shared" si="12"/>
        <v>10884387.67978525</v>
      </c>
      <c r="BC20" s="38"/>
    </row>
    <row r="21" spans="1:55">
      <c r="A21" s="57" t="s">
        <v>67</v>
      </c>
      <c r="B21" s="43">
        <v>766874.02644940093</v>
      </c>
      <c r="D21" s="43">
        <v>24377.8</v>
      </c>
      <c r="E21" s="43">
        <v>1520.5</v>
      </c>
      <c r="F21" s="44">
        <v>0.79833957381538978</v>
      </c>
      <c r="G21" s="43">
        <f t="shared" si="2"/>
        <v>20982.26246255681</v>
      </c>
      <c r="H21" s="43">
        <v>23718.710666547799</v>
      </c>
      <c r="I21" s="44">
        <v>0.1121881383882056</v>
      </c>
      <c r="J21" s="77">
        <v>3.0360918738895678E-2</v>
      </c>
      <c r="K21" s="43">
        <v>1477.4092061705201</v>
      </c>
      <c r="L21" s="44">
        <v>0.18066425517921744</v>
      </c>
      <c r="M21" s="77">
        <v>3.785497878237949E-3</v>
      </c>
      <c r="N21" s="44">
        <v>0.82784500000000005</v>
      </c>
      <c r="O21" s="43">
        <f t="shared" si="17"/>
        <v>21112.825237918783</v>
      </c>
      <c r="R21" s="157">
        <v>1.5285263157894748E-2</v>
      </c>
      <c r="U21" s="44">
        <v>1.4999999999999999E-2</v>
      </c>
      <c r="W21" s="44">
        <v>9.0000000000000011E-3</v>
      </c>
      <c r="X21" s="44">
        <f t="shared" si="14"/>
        <v>-8.7147368421052526E-3</v>
      </c>
      <c r="Y21" s="44">
        <f t="shared" si="15"/>
        <v>0.10347340154610035</v>
      </c>
      <c r="Z21" s="44">
        <f t="shared" si="16"/>
        <v>0.17194951833711219</v>
      </c>
      <c r="AA21" s="40">
        <f t="shared" si="13"/>
        <v>6.2852631578947469E-3</v>
      </c>
      <c r="AB21" s="43">
        <v>2050.7842666666666</v>
      </c>
      <c r="AC21" s="43">
        <v>661.75412035202453</v>
      </c>
      <c r="AD21" s="43">
        <f t="shared" si="0"/>
        <v>1357114.9384197716</v>
      </c>
      <c r="AE21" s="43">
        <v>2049.1306858575799</v>
      </c>
      <c r="AF21" s="43">
        <v>6514</v>
      </c>
      <c r="AG21" s="43">
        <v>653.98243176224071</v>
      </c>
      <c r="AH21" s="43">
        <f t="shared" si="4"/>
        <v>1340095.4689357684</v>
      </c>
      <c r="AJ21" s="43">
        <v>32164.400000000001</v>
      </c>
      <c r="AK21" s="43">
        <v>29572.3</v>
      </c>
      <c r="AL21" s="44">
        <f t="shared" si="18"/>
        <v>8.0589098506423262E-2</v>
      </c>
      <c r="AM21" s="35">
        <v>0.119117171546034</v>
      </c>
      <c r="AO21" s="57" t="s">
        <v>67</v>
      </c>
      <c r="AP21" s="45">
        <f t="shared" si="5"/>
        <v>0.79074282793290251</v>
      </c>
      <c r="AQ21" s="45">
        <v>1.0512844502046099</v>
      </c>
      <c r="AR21" s="53">
        <f t="shared" si="10"/>
        <v>-0.14086998973531628</v>
      </c>
      <c r="AS21" s="40"/>
      <c r="AT21" s="57" t="s">
        <v>67</v>
      </c>
      <c r="AU21" s="42">
        <f t="shared" si="6"/>
        <v>766874.02644940093</v>
      </c>
      <c r="AV21" s="43">
        <f t="shared" si="7"/>
        <v>859283.81230793416</v>
      </c>
      <c r="AW21" s="44">
        <f t="shared" si="8"/>
        <v>-0.10754279847345376</v>
      </c>
      <c r="AX21" s="44">
        <f t="shared" si="9"/>
        <v>-7.3232752484523878E-2</v>
      </c>
      <c r="AZ21" s="90">
        <v>0.46360000000000001</v>
      </c>
      <c r="BA21" s="67">
        <f t="shared" si="11"/>
        <v>678805.11025396048</v>
      </c>
      <c r="BB21" s="67">
        <f t="shared" si="12"/>
        <v>8022313.6688557211</v>
      </c>
      <c r="BC21" s="38"/>
    </row>
    <row r="22" spans="1:55">
      <c r="A22" s="57" t="s">
        <v>68</v>
      </c>
      <c r="B22" s="43">
        <v>751604.13154859724</v>
      </c>
      <c r="D22" s="43">
        <v>23971.200000000001</v>
      </c>
      <c r="E22" s="43">
        <v>1536.1</v>
      </c>
      <c r="F22" s="44">
        <v>0.78839868222937881</v>
      </c>
      <c r="G22" s="43">
        <f t="shared" si="2"/>
        <v>20434.962491456885</v>
      </c>
      <c r="H22" s="43">
        <v>23736.445191917301</v>
      </c>
      <c r="I22" s="44">
        <v>0.11052012414897885</v>
      </c>
      <c r="J22" s="77">
        <v>3.0364388701506723E-2</v>
      </c>
      <c r="K22" s="43">
        <v>1505.4417810065399</v>
      </c>
      <c r="L22" s="44">
        <v>0.18293079877612128</v>
      </c>
      <c r="M22" s="77">
        <v>3.9568702128770922E-3</v>
      </c>
      <c r="N22" s="44">
        <v>0.82784500000000005</v>
      </c>
      <c r="O22" s="43">
        <f t="shared" si="17"/>
        <v>21155.539250909318</v>
      </c>
      <c r="R22" s="157">
        <v>1.7434979591836732E-2</v>
      </c>
      <c r="U22" s="44">
        <v>8.0000000000000002E-3</v>
      </c>
      <c r="W22" s="44">
        <v>8.0000000000000002E-3</v>
      </c>
      <c r="X22" s="44">
        <f t="shared" si="14"/>
        <v>1.4349795918367318E-3</v>
      </c>
      <c r="Y22" s="44">
        <f t="shared" si="15"/>
        <v>0.11195510374081559</v>
      </c>
      <c r="Z22" s="44">
        <f t="shared" si="16"/>
        <v>0.18436577836795801</v>
      </c>
      <c r="AA22" s="40">
        <f t="shared" si="13"/>
        <v>9.434979591836732E-3</v>
      </c>
      <c r="AB22" s="43">
        <v>2026.5269333333335</v>
      </c>
      <c r="AC22" s="43">
        <v>656.6112003019274</v>
      </c>
      <c r="AD22" s="43">
        <f t="shared" si="0"/>
        <v>1330640.2821401842</v>
      </c>
      <c r="AE22" s="43">
        <v>2040.7763463297299</v>
      </c>
      <c r="AF22" s="43">
        <v>6461.833333333333</v>
      </c>
      <c r="AG22" s="43">
        <v>650.3099776970821</v>
      </c>
      <c r="AH22" s="43">
        <f t="shared" si="4"/>
        <v>1327137.2202664195</v>
      </c>
      <c r="AJ22" s="43">
        <v>31273.200000000001</v>
      </c>
      <c r="AK22" s="43">
        <v>28939</v>
      </c>
      <c r="AL22" s="44">
        <f t="shared" si="18"/>
        <v>7.4638988015297447E-2</v>
      </c>
      <c r="AM22" s="35">
        <v>0.102831520468738</v>
      </c>
      <c r="AO22" s="57" t="s">
        <v>68</v>
      </c>
      <c r="AP22" s="45">
        <f t="shared" si="5"/>
        <v>0.77143660253485857</v>
      </c>
      <c r="AQ22" s="45">
        <v>0.910860715972582</v>
      </c>
      <c r="AR22" s="53">
        <f t="shared" si="10"/>
        <v>-0.13357349117519757</v>
      </c>
      <c r="AS22" s="40"/>
      <c r="AT22" s="57" t="s">
        <v>68</v>
      </c>
      <c r="AU22" s="42">
        <f t="shared" si="6"/>
        <v>751604.13154859724</v>
      </c>
      <c r="AV22" s="43">
        <f t="shared" si="7"/>
        <v>789821.57670227694</v>
      </c>
      <c r="AW22" s="44">
        <f t="shared" si="8"/>
        <v>-4.838744126647955E-2</v>
      </c>
      <c r="AX22" s="44">
        <f t="shared" si="9"/>
        <v>-8.083736084715698E-2</v>
      </c>
      <c r="AZ22" s="90">
        <v>0.40870000000000001</v>
      </c>
      <c r="BA22" s="67">
        <f t="shared" si="11"/>
        <v>557356.95116742107</v>
      </c>
      <c r="BB22" s="67">
        <f t="shared" si="12"/>
        <v>6118333.6743456284</v>
      </c>
      <c r="BC22" s="38"/>
    </row>
    <row r="23" spans="1:55">
      <c r="A23" s="57" t="s">
        <v>69</v>
      </c>
      <c r="B23" s="43">
        <v>696493.91938198661</v>
      </c>
      <c r="D23" s="43">
        <v>23604.1</v>
      </c>
      <c r="E23" s="43">
        <v>1552.5</v>
      </c>
      <c r="F23" s="44">
        <v>0.78321155603443193</v>
      </c>
      <c r="G23" s="43">
        <f t="shared" si="2"/>
        <v>20039.503889792333</v>
      </c>
      <c r="H23" s="43">
        <v>23616.467831692102</v>
      </c>
      <c r="I23" s="44">
        <v>0.10780754191009188</v>
      </c>
      <c r="J23" s="77">
        <v>3.6815827513257654E-2</v>
      </c>
      <c r="K23" s="43">
        <v>1524.7967833989201</v>
      </c>
      <c r="L23" s="44">
        <v>0.18595813204508851</v>
      </c>
      <c r="M23" s="77">
        <v>4.3130311929578807E-3</v>
      </c>
      <c r="N23" s="44">
        <v>0.82784500000000005</v>
      </c>
      <c r="O23" s="43">
        <f t="shared" si="17"/>
        <v>21075.571595526071</v>
      </c>
      <c r="R23" s="157">
        <v>1.7461935483870965E-2</v>
      </c>
      <c r="U23" s="44">
        <v>1.2E-2</v>
      </c>
      <c r="W23" s="44">
        <v>9.0000000000000011E-3</v>
      </c>
      <c r="X23" s="44">
        <f t="shared" si="14"/>
        <v>-3.5380645161290358E-3</v>
      </c>
      <c r="Y23" s="44">
        <f t="shared" si="15"/>
        <v>0.10426947739396285</v>
      </c>
      <c r="Z23" s="44">
        <f t="shared" si="16"/>
        <v>0.18242006752895948</v>
      </c>
      <c r="AA23" s="40">
        <f t="shared" si="13"/>
        <v>8.4619354838709644E-3</v>
      </c>
      <c r="AB23" s="43">
        <v>2017.1705333333337</v>
      </c>
      <c r="AC23" s="43">
        <v>653.21341377324222</v>
      </c>
      <c r="AD23" s="43">
        <f t="shared" si="0"/>
        <v>1317642.8502414585</v>
      </c>
      <c r="AE23" s="43">
        <v>2035.36131414897</v>
      </c>
      <c r="AF23" s="43">
        <v>6445.833333333333</v>
      </c>
      <c r="AG23" s="43">
        <v>643.75636680403989</v>
      </c>
      <c r="AH23" s="43">
        <f t="shared" si="4"/>
        <v>1310276.804730037</v>
      </c>
      <c r="AJ23" s="43">
        <v>30501.599999999999</v>
      </c>
      <c r="AK23" s="43">
        <v>27540.7</v>
      </c>
      <c r="AL23" s="44">
        <f t="shared" si="18"/>
        <v>9.7073596139218843E-2</v>
      </c>
      <c r="AM23" s="35">
        <v>8.9023711411359702E-2</v>
      </c>
      <c r="AO23" s="57" t="s">
        <v>69</v>
      </c>
      <c r="AP23" s="45">
        <f t="shared" si="5"/>
        <v>0.79358007079018011</v>
      </c>
      <c r="AQ23" s="45">
        <v>0.79879802157957802</v>
      </c>
      <c r="AR23" s="53">
        <f t="shared" si="10"/>
        <v>-0.12302945162515622</v>
      </c>
      <c r="AS23" s="40"/>
      <c r="AT23" s="57" t="s">
        <v>69</v>
      </c>
      <c r="AU23" s="42">
        <f t="shared" si="6"/>
        <v>696493.91938198661</v>
      </c>
      <c r="AV23" s="43">
        <f t="shared" si="7"/>
        <v>724650.43397633045</v>
      </c>
      <c r="AW23" s="44">
        <f t="shared" si="8"/>
        <v>-3.8855306330035991E-2</v>
      </c>
      <c r="AX23" s="44">
        <f t="shared" si="9"/>
        <v>-8.2513753293565362E-2</v>
      </c>
      <c r="AZ23" s="90">
        <v>0.40870000000000001</v>
      </c>
      <c r="BA23" s="67">
        <f t="shared" si="11"/>
        <v>422482.05958126049</v>
      </c>
      <c r="BB23" s="67">
        <f t="shared" si="12"/>
        <v>4243906.3614914771</v>
      </c>
      <c r="BC23" s="38"/>
    </row>
    <row r="24" spans="1:55">
      <c r="A24" s="57" t="s">
        <v>70</v>
      </c>
      <c r="B24" s="43">
        <v>667741.27891964652</v>
      </c>
      <c r="D24" s="43">
        <v>23623.599999999999</v>
      </c>
      <c r="E24" s="43">
        <v>1564.2</v>
      </c>
      <c r="F24" s="44">
        <v>0.77738919617072988</v>
      </c>
      <c r="G24" s="43">
        <f t="shared" si="2"/>
        <v>19928.931414658855</v>
      </c>
      <c r="H24" s="43">
        <v>23379.8884460767</v>
      </c>
      <c r="I24" s="44">
        <v>0.10978428351309698</v>
      </c>
      <c r="J24" s="77">
        <v>3.4296217296992684E-2</v>
      </c>
      <c r="K24" s="43">
        <v>1535.8835961770201</v>
      </c>
      <c r="L24" s="44">
        <v>0.18948983505945541</v>
      </c>
      <c r="M24" s="77">
        <v>4.2426611764717825E-3</v>
      </c>
      <c r="N24" s="44">
        <v>0.82784500000000005</v>
      </c>
      <c r="O24" s="43">
        <f t="shared" si="17"/>
        <v>20890.807346819387</v>
      </c>
      <c r="R24" s="157">
        <v>1.3287439024390255E-2</v>
      </c>
      <c r="U24" s="44">
        <v>6.0000000000000001E-3</v>
      </c>
      <c r="W24" s="44">
        <v>9.0000000000000011E-3</v>
      </c>
      <c r="X24" s="44">
        <f t="shared" si="14"/>
        <v>-1.7125609756097459E-3</v>
      </c>
      <c r="Y24" s="44">
        <f t="shared" si="15"/>
        <v>0.10807172253748723</v>
      </c>
      <c r="Z24" s="44">
        <f t="shared" si="16"/>
        <v>0.18777727408384567</v>
      </c>
      <c r="AA24" s="40">
        <f t="shared" si="13"/>
        <v>4.2874390243902542E-3</v>
      </c>
      <c r="AB24" s="43">
        <v>1999.3240666666668</v>
      </c>
      <c r="AC24" s="43">
        <v>631.46406991096273</v>
      </c>
      <c r="AD24" s="43">
        <f t="shared" si="0"/>
        <v>1262501.3122082704</v>
      </c>
      <c r="AE24" s="43">
        <v>2033.02065663297</v>
      </c>
      <c r="AF24" s="43">
        <v>6412.166666666667</v>
      </c>
      <c r="AG24" s="43">
        <v>634.68318193500932</v>
      </c>
      <c r="AH24" s="43">
        <f t="shared" si="4"/>
        <v>1290324.0192914153</v>
      </c>
      <c r="AJ24" s="43">
        <v>28908.9</v>
      </c>
      <c r="AK24" s="43">
        <v>25793.9</v>
      </c>
      <c r="AL24" s="44">
        <f t="shared" si="18"/>
        <v>0.10775228389873015</v>
      </c>
      <c r="AM24" s="35">
        <v>7.6914073594525095E-2</v>
      </c>
      <c r="AO24" s="57" t="s">
        <v>70</v>
      </c>
      <c r="AP24" s="45">
        <f t="shared" si="5"/>
        <v>0.82702536499658752</v>
      </c>
      <c r="AQ24" s="45">
        <v>0.71010969518521805</v>
      </c>
      <c r="AR24" s="53">
        <f t="shared" si="10"/>
        <v>-0.11102722340120952</v>
      </c>
      <c r="AS24" s="40"/>
      <c r="AT24" s="57" t="s">
        <v>70</v>
      </c>
      <c r="AU24" s="42">
        <f t="shared" si="6"/>
        <v>667741.27891964652</v>
      </c>
      <c r="AV24" s="43">
        <f t="shared" si="7"/>
        <v>667253.47168293188</v>
      </c>
      <c r="AW24" s="44">
        <f t="shared" si="8"/>
        <v>7.3106736407725431E-4</v>
      </c>
      <c r="AX24" s="44">
        <f t="shared" si="9"/>
        <v>-7.9206414020133398E-2</v>
      </c>
      <c r="AZ24" s="90">
        <v>0.40870000000000001</v>
      </c>
      <c r="BA24" s="67">
        <f t="shared" si="11"/>
        <v>311608.37809598079</v>
      </c>
      <c r="BB24" s="67">
        <f t="shared" si="12"/>
        <v>3108473.0216684761</v>
      </c>
      <c r="BC24" s="38"/>
    </row>
    <row r="25" spans="1:55">
      <c r="A25" s="57" t="s">
        <v>71</v>
      </c>
      <c r="B25" s="43">
        <v>624622.83784950804</v>
      </c>
      <c r="D25" s="43">
        <v>23320.2</v>
      </c>
      <c r="E25" s="43">
        <v>1551.1</v>
      </c>
      <c r="F25" s="44">
        <v>0.76325161343582726</v>
      </c>
      <c r="G25" s="43">
        <f t="shared" si="2"/>
        <v>19350.280275646179</v>
      </c>
      <c r="H25" s="43">
        <v>23047.693216958902</v>
      </c>
      <c r="I25" s="44">
        <v>0.11052220821433778</v>
      </c>
      <c r="J25" s="77">
        <v>3.3674721328501564E-2</v>
      </c>
      <c r="K25" s="43">
        <v>1539.3886343362101</v>
      </c>
      <c r="L25" s="44">
        <v>0.19315324608342463</v>
      </c>
      <c r="M25" s="77">
        <v>4.5307341142749556E-3</v>
      </c>
      <c r="N25" s="44">
        <v>0.82784500000000005</v>
      </c>
      <c r="O25" s="43">
        <f t="shared" si="17"/>
        <v>20619.306225529552</v>
      </c>
      <c r="R25" s="157">
        <v>1.2699065040650411E-2</v>
      </c>
      <c r="U25" s="44">
        <v>8.0000000000000002E-3</v>
      </c>
      <c r="W25" s="44">
        <v>0.01</v>
      </c>
      <c r="X25" s="44">
        <f t="shared" si="14"/>
        <v>-5.3009349593495896E-3</v>
      </c>
      <c r="Y25" s="44">
        <f t="shared" si="15"/>
        <v>0.10522127325498819</v>
      </c>
      <c r="Z25" s="44">
        <f t="shared" si="16"/>
        <v>0.18785231112407505</v>
      </c>
      <c r="AA25" s="40">
        <f t="shared" si="13"/>
        <v>2.6990650406504106E-3</v>
      </c>
      <c r="AB25" s="43">
        <v>2009.3735333333339</v>
      </c>
      <c r="AC25" s="43">
        <v>617.89090719479759</v>
      </c>
      <c r="AD25" s="43">
        <f t="shared" si="0"/>
        <v>1241573.6354045495</v>
      </c>
      <c r="AE25" s="43">
        <v>2033.7075332912</v>
      </c>
      <c r="AF25" s="43">
        <v>6331</v>
      </c>
      <c r="AG25" s="43">
        <v>623.6206708162706</v>
      </c>
      <c r="AH25" s="43">
        <f t="shared" si="4"/>
        <v>1268262.056155161</v>
      </c>
      <c r="AJ25" s="43">
        <v>27034.400000000001</v>
      </c>
      <c r="AK25" s="43">
        <v>24337.8</v>
      </c>
      <c r="AL25" s="44">
        <f t="shared" si="18"/>
        <v>9.9746989021395005E-2</v>
      </c>
      <c r="AM25" s="35">
        <v>6.5803435086138604E-2</v>
      </c>
      <c r="AO25" s="57" t="s">
        <v>71</v>
      </c>
      <c r="AP25" s="45">
        <f t="shared" si="5"/>
        <v>0.76193274177995063</v>
      </c>
      <c r="AQ25" s="45">
        <v>0.63975688544132103</v>
      </c>
      <c r="AR25" s="53">
        <f t="shared" si="10"/>
        <v>-9.9073157599329553E-2</v>
      </c>
      <c r="AS25" s="40"/>
      <c r="AT25" s="57" t="s">
        <v>71</v>
      </c>
      <c r="AU25" s="42">
        <f t="shared" si="6"/>
        <v>624622.83784950804</v>
      </c>
      <c r="AV25" s="43">
        <f t="shared" si="7"/>
        <v>618736.73780149384</v>
      </c>
      <c r="AW25" s="44">
        <f t="shared" si="8"/>
        <v>9.5130928687518837E-3</v>
      </c>
      <c r="AX25" s="44">
        <f t="shared" si="9"/>
        <v>-7.2711099964860693E-2</v>
      </c>
      <c r="AZ25" s="90">
        <v>0.40870000000000001</v>
      </c>
      <c r="BA25" s="67">
        <f>((0.99^(-1)+I25-1)/((1-AZ25)*AM25*AQ25))^(1/(AM25-1))*AH25</f>
        <v>234192.93188741436</v>
      </c>
      <c r="BB25" s="67">
        <f t="shared" si="12"/>
        <v>2239957.5419788319</v>
      </c>
      <c r="BC25" s="38"/>
    </row>
    <row r="26" spans="1:55">
      <c r="A26" s="57" t="s">
        <v>72</v>
      </c>
      <c r="B26" s="43">
        <v>602368.81293877563</v>
      </c>
      <c r="D26" s="43">
        <v>22846.2</v>
      </c>
      <c r="E26" s="43">
        <v>1534.5</v>
      </c>
      <c r="F26" s="44">
        <v>0.76414698430996564</v>
      </c>
      <c r="G26" s="43">
        <f t="shared" si="2"/>
        <v>18992.354832942339</v>
      </c>
      <c r="H26" s="43">
        <v>22643.3054417657</v>
      </c>
      <c r="I26" s="44">
        <v>0.11190920153023266</v>
      </c>
      <c r="J26" s="77">
        <v>2.7513044573382436E-2</v>
      </c>
      <c r="K26" s="43">
        <v>1536.2814769101201</v>
      </c>
      <c r="L26" s="44">
        <v>0.19765395894428156</v>
      </c>
      <c r="M26" s="77">
        <v>4.890691444710351E-3</v>
      </c>
      <c r="N26" s="44">
        <v>0.82784500000000005</v>
      </c>
      <c r="O26" s="43">
        <f t="shared" si="17"/>
        <v>20281.428670348647</v>
      </c>
      <c r="R26" s="157">
        <v>9.9291020408163264E-3</v>
      </c>
      <c r="U26" s="44">
        <v>3.0000000000000001E-3</v>
      </c>
      <c r="W26" s="44">
        <v>1.1000000000000001E-2</v>
      </c>
      <c r="X26" s="44">
        <f t="shared" si="14"/>
        <v>-4.0708979591836747E-3</v>
      </c>
      <c r="Y26" s="44">
        <f t="shared" si="15"/>
        <v>0.10783830357104898</v>
      </c>
      <c r="Z26" s="44">
        <f t="shared" si="16"/>
        <v>0.19358306098509789</v>
      </c>
      <c r="AA26" s="40">
        <f t="shared" si="13"/>
        <v>-1.0708979591836747E-3</v>
      </c>
      <c r="AB26" s="43">
        <v>2019.4230000000002</v>
      </c>
      <c r="AC26" s="43">
        <v>603.92237007481265</v>
      </c>
      <c r="AD26" s="43">
        <f t="shared" si="0"/>
        <v>1219574.7243435886</v>
      </c>
      <c r="AE26" s="43">
        <v>2037.03813773351</v>
      </c>
      <c r="AF26" s="43">
        <v>6316.666666666667</v>
      </c>
      <c r="AG26" s="43">
        <v>611.13671422354685</v>
      </c>
      <c r="AH26" s="43">
        <f t="shared" si="4"/>
        <v>1244908.7942425101</v>
      </c>
      <c r="AJ26" s="43">
        <v>26175.200000000001</v>
      </c>
      <c r="AK26" s="43">
        <v>23736.5</v>
      </c>
      <c r="AL26" s="44">
        <f t="shared" si="18"/>
        <v>9.3168342553256567E-2</v>
      </c>
      <c r="AM26" s="35">
        <v>5.5301006057148598E-2</v>
      </c>
      <c r="AO26" s="57" t="s">
        <v>72</v>
      </c>
      <c r="AP26" s="45">
        <f t="shared" si="5"/>
        <v>0.72789362752350906</v>
      </c>
      <c r="AQ26" s="45">
        <v>0.58386989769785402</v>
      </c>
      <c r="AR26" s="53">
        <f t="shared" si="10"/>
        <v>-8.7356602195714839E-2</v>
      </c>
      <c r="AS26" s="40"/>
      <c r="AT26" s="57" t="s">
        <v>72</v>
      </c>
      <c r="AU26" s="42">
        <f t="shared" si="6"/>
        <v>602368.81293877563</v>
      </c>
      <c r="AV26" s="43">
        <f t="shared" si="7"/>
        <v>578859.63303150493</v>
      </c>
      <c r="AW26" s="44">
        <f t="shared" si="8"/>
        <v>4.0612919895886404E-2</v>
      </c>
      <c r="AX26" s="44">
        <f t="shared" si="9"/>
        <v>-6.4449227488383776E-2</v>
      </c>
      <c r="AZ26" s="90">
        <v>0.40870000000000001</v>
      </c>
      <c r="BA26" s="67">
        <f t="shared" si="11"/>
        <v>174760.59455523378</v>
      </c>
      <c r="BB26" s="67">
        <f t="shared" si="12"/>
        <v>1608016.3964584169</v>
      </c>
      <c r="BC26" s="38"/>
    </row>
    <row r="27" spans="1:55">
      <c r="A27" s="57" t="s">
        <v>73</v>
      </c>
      <c r="B27" s="43">
        <v>578148.02609135176</v>
      </c>
      <c r="D27" s="43">
        <v>21946.799999999999</v>
      </c>
      <c r="E27" s="43">
        <v>1525.8</v>
      </c>
      <c r="F27" s="44">
        <v>0.77445351621134295</v>
      </c>
      <c r="G27" s="43">
        <f t="shared" si="2"/>
        <v>18522.576429587101</v>
      </c>
      <c r="H27" s="43">
        <v>22192.873485754499</v>
      </c>
      <c r="I27" s="44">
        <v>0.10971531157161858</v>
      </c>
      <c r="J27" s="77">
        <v>2.9374830032398234E-2</v>
      </c>
      <c r="K27" s="43">
        <v>1527.64881658897</v>
      </c>
      <c r="L27" s="44">
        <v>0.2023856337658933</v>
      </c>
      <c r="M27" s="77">
        <v>5.0039088078506801E-3</v>
      </c>
      <c r="N27" s="44">
        <v>0.82784500000000005</v>
      </c>
      <c r="O27" s="43">
        <f t="shared" si="17"/>
        <v>19899.908167403406</v>
      </c>
      <c r="R27" s="157">
        <v>1.5047926829268294E-2</v>
      </c>
      <c r="U27" s="44">
        <v>1.2999999999999999E-2</v>
      </c>
      <c r="W27" s="44">
        <v>1.1000000000000001E-2</v>
      </c>
      <c r="X27" s="44">
        <f t="shared" si="14"/>
        <v>-8.9520731707317062E-3</v>
      </c>
      <c r="Y27" s="44">
        <f t="shared" si="15"/>
        <v>0.10076323840088687</v>
      </c>
      <c r="Z27" s="44">
        <f t="shared" si="16"/>
        <v>0.19343356059516159</v>
      </c>
      <c r="AA27" s="40">
        <f t="shared" si="13"/>
        <v>4.0479268292682932E-3</v>
      </c>
      <c r="AB27" s="43">
        <v>2042.6407333333334</v>
      </c>
      <c r="AC27" s="43">
        <v>584.622960441141</v>
      </c>
      <c r="AD27" s="43">
        <f t="shared" si="0"/>
        <v>1194174.6726389967</v>
      </c>
      <c r="AE27" s="43">
        <v>2042.3853235701399</v>
      </c>
      <c r="AF27" s="43">
        <v>6329.166666666667</v>
      </c>
      <c r="AG27" s="43">
        <v>597.81337322575416</v>
      </c>
      <c r="AH27" s="43">
        <f t="shared" si="4"/>
        <v>1220965.2597102388</v>
      </c>
      <c r="AJ27" s="43">
        <v>25399.4</v>
      </c>
      <c r="AK27" s="43">
        <v>23539.200000000001</v>
      </c>
      <c r="AL27" s="44">
        <f t="shared" si="18"/>
        <v>7.3237950502767823E-2</v>
      </c>
      <c r="AM27" s="35">
        <v>4.5355432217852203E-2</v>
      </c>
      <c r="AO27" s="57" t="s">
        <v>73</v>
      </c>
      <c r="AP27" s="45">
        <f t="shared" si="5"/>
        <v>0.65687915815530362</v>
      </c>
      <c r="AQ27" s="45">
        <v>0.53980079586837304</v>
      </c>
      <c r="AR27" s="53">
        <f t="shared" si="10"/>
        <v>-7.5477605547471183E-2</v>
      </c>
      <c r="AS27" s="40"/>
      <c r="AT27" s="57" t="s">
        <v>73</v>
      </c>
      <c r="AU27" s="42">
        <f t="shared" si="6"/>
        <v>578148.02609135176</v>
      </c>
      <c r="AV27" s="43">
        <f t="shared" si="7"/>
        <v>546824.5657778125</v>
      </c>
      <c r="AW27" s="44">
        <f t="shared" si="8"/>
        <v>5.7282467310122091E-2</v>
      </c>
      <c r="AX27" s="44">
        <f t="shared" si="9"/>
        <v>-5.5341684625552223E-2</v>
      </c>
      <c r="AZ27" s="90">
        <v>0.39539999999999997</v>
      </c>
      <c r="BA27" s="67">
        <f t="shared" si="11"/>
        <v>136574.67387361921</v>
      </c>
      <c r="BB27" s="67">
        <f t="shared" si="12"/>
        <v>1195359.0922825474</v>
      </c>
      <c r="BC27" s="38"/>
    </row>
    <row r="28" spans="1:55">
      <c r="A28" s="57" t="s">
        <v>74</v>
      </c>
      <c r="B28" s="43">
        <v>562554.77681610198</v>
      </c>
      <c r="D28" s="43">
        <v>21237.200000000001</v>
      </c>
      <c r="E28" s="43">
        <v>1506.3</v>
      </c>
      <c r="F28" s="44">
        <v>0.77081095721737591</v>
      </c>
      <c r="G28" s="43">
        <f t="shared" si="2"/>
        <v>17876.166460616856</v>
      </c>
      <c r="H28" s="43">
        <v>21724.574659764799</v>
      </c>
      <c r="I28" s="44">
        <v>0.10874314881434458</v>
      </c>
      <c r="J28" s="77">
        <v>3.0642349350515012E-2</v>
      </c>
      <c r="K28" s="43">
        <v>1514.5595312939199</v>
      </c>
      <c r="L28" s="44">
        <v>0.20620062404567485</v>
      </c>
      <c r="M28" s="77">
        <v>5.3399244372286277E-3</v>
      </c>
      <c r="N28" s="44">
        <v>0.82784500000000005</v>
      </c>
      <c r="O28" s="43">
        <f t="shared" si="17"/>
        <v>19499.140040506911</v>
      </c>
      <c r="R28" s="157">
        <v>1.3845183673469395E-2</v>
      </c>
      <c r="U28" s="44">
        <v>1.4999999999999999E-2</v>
      </c>
      <c r="W28" s="44">
        <v>0.01</v>
      </c>
      <c r="X28" s="44">
        <f t="shared" si="14"/>
        <v>-1.1154816326530604E-2</v>
      </c>
      <c r="Y28" s="44">
        <f t="shared" si="15"/>
        <v>9.758833248781397E-2</v>
      </c>
      <c r="Z28" s="44">
        <f t="shared" si="16"/>
        <v>0.19504580771914426</v>
      </c>
      <c r="AA28" s="40">
        <f t="shared" si="13"/>
        <v>3.8451836734693951E-3</v>
      </c>
      <c r="AB28" s="43">
        <v>2047.6654666666668</v>
      </c>
      <c r="AC28" s="43">
        <v>568.38236275364181</v>
      </c>
      <c r="AD28" s="43">
        <f t="shared" si="0"/>
        <v>1163856.9360730387</v>
      </c>
      <c r="AE28" s="43">
        <v>2048.945793034</v>
      </c>
      <c r="AF28" s="43">
        <v>6356.583333333333</v>
      </c>
      <c r="AG28" s="43">
        <v>584.23467431787435</v>
      </c>
      <c r="AH28" s="43">
        <f t="shared" si="4"/>
        <v>1197065.1780881977</v>
      </c>
      <c r="AJ28" s="43">
        <v>24575.8</v>
      </c>
      <c r="AK28" s="43">
        <v>23198.9</v>
      </c>
      <c r="AL28" s="44">
        <f t="shared" si="18"/>
        <v>5.6026660373212578E-2</v>
      </c>
      <c r="AM28" s="35">
        <v>3.6294032643504802E-2</v>
      </c>
      <c r="AO28" s="57" t="s">
        <v>74</v>
      </c>
      <c r="AP28" s="45">
        <f t="shared" si="5"/>
        <v>0.61076843074587139</v>
      </c>
      <c r="AQ28" s="45">
        <v>0.506341881164452</v>
      </c>
      <c r="AR28" s="53">
        <f t="shared" si="10"/>
        <v>-6.1983818771693344E-2</v>
      </c>
      <c r="AS28" s="40"/>
      <c r="AT28" s="57" t="s">
        <v>74</v>
      </c>
      <c r="AU28" s="42">
        <f t="shared" si="6"/>
        <v>562554.77681610198</v>
      </c>
      <c r="AV28" s="43">
        <f t="shared" si="7"/>
        <v>521992.42862703791</v>
      </c>
      <c r="AW28" s="44">
        <f t="shared" si="8"/>
        <v>7.7706774973254927E-2</v>
      </c>
      <c r="AX28" s="44">
        <f t="shared" si="9"/>
        <v>-4.541152447211827E-2</v>
      </c>
      <c r="AZ28" s="90">
        <v>0.39539999999999997</v>
      </c>
      <c r="BA28" s="67">
        <f t="shared" si="11"/>
        <v>102358.8564467699</v>
      </c>
      <c r="BB28" s="67">
        <f t="shared" si="12"/>
        <v>850763.20704402903</v>
      </c>
      <c r="BC28" s="38"/>
    </row>
    <row r="29" spans="1:55">
      <c r="A29" s="57" t="s">
        <v>75</v>
      </c>
      <c r="B29" s="43">
        <v>522523.59306057193</v>
      </c>
      <c r="D29" s="43">
        <v>20651.600000000002</v>
      </c>
      <c r="E29" s="43">
        <v>1496.1</v>
      </c>
      <c r="F29" s="44">
        <v>0.78114730346777916</v>
      </c>
      <c r="G29" s="43">
        <f t="shared" si="2"/>
        <v>17628.041652295189</v>
      </c>
      <c r="H29" s="43">
        <v>21264.125539779001</v>
      </c>
      <c r="I29" s="44">
        <v>0.10686823296984259</v>
      </c>
      <c r="J29" s="77">
        <v>3.2010037866483647E-2</v>
      </c>
      <c r="K29" s="43">
        <v>1498.0640107802201</v>
      </c>
      <c r="L29" s="44">
        <v>0.21034690194505712</v>
      </c>
      <c r="M29" s="77">
        <v>5.6858676612054843E-3</v>
      </c>
      <c r="N29" s="44">
        <v>0.82784500000000005</v>
      </c>
      <c r="O29" s="43">
        <f t="shared" si="17"/>
        <v>19101.464018258568</v>
      </c>
      <c r="R29" s="157">
        <v>1.7417016129032258E-2</v>
      </c>
      <c r="U29" s="44">
        <v>1.4999999999999999E-2</v>
      </c>
      <c r="W29" s="44">
        <v>6.0000000000000001E-3</v>
      </c>
      <c r="X29" s="44">
        <f t="shared" si="14"/>
        <v>-3.582983870967742E-3</v>
      </c>
      <c r="Y29" s="44">
        <f t="shared" si="15"/>
        <v>0.10328524909887485</v>
      </c>
      <c r="Z29" s="44">
        <f t="shared" si="16"/>
        <v>0.20676391807408936</v>
      </c>
      <c r="AA29" s="40">
        <f t="shared" si="13"/>
        <v>1.1417016129032257E-2</v>
      </c>
      <c r="AB29" s="43">
        <v>2085.6108666666669</v>
      </c>
      <c r="AC29" s="43">
        <v>560.34188345800658</v>
      </c>
      <c r="AD29" s="43">
        <f t="shared" si="0"/>
        <v>1168655.1211884855</v>
      </c>
      <c r="AE29" s="43">
        <v>2055.9188024556502</v>
      </c>
      <c r="AF29" s="43">
        <v>6389.5</v>
      </c>
      <c r="AG29" s="43">
        <v>570.89819564757352</v>
      </c>
      <c r="AH29" s="43">
        <f t="shared" si="4"/>
        <v>1173720.3347198509</v>
      </c>
      <c r="AJ29" s="43">
        <v>24573.3</v>
      </c>
      <c r="AK29" s="43">
        <v>23219</v>
      </c>
      <c r="AL29" s="44">
        <f t="shared" si="18"/>
        <v>5.5112662930904666E-2</v>
      </c>
      <c r="AM29" s="35">
        <v>2.8722951592213601E-2</v>
      </c>
      <c r="AO29" s="57" t="s">
        <v>75</v>
      </c>
      <c r="AP29" s="45">
        <f t="shared" si="5"/>
        <v>0.56338629485197611</v>
      </c>
      <c r="AQ29" s="45">
        <v>0.48345623842098401</v>
      </c>
      <c r="AR29" s="53">
        <f t="shared" si="10"/>
        <v>-4.5198004737109776E-2</v>
      </c>
      <c r="AS29" s="40"/>
      <c r="AT29" s="57" t="s">
        <v>75</v>
      </c>
      <c r="AU29" s="42">
        <f t="shared" si="6"/>
        <v>522523.59306057193</v>
      </c>
      <c r="AV29" s="43">
        <f t="shared" si="7"/>
        <v>504139.65137549583</v>
      </c>
      <c r="AW29" s="44">
        <f t="shared" si="8"/>
        <v>3.646597055977905E-2</v>
      </c>
      <c r="AX29" s="44">
        <f t="shared" si="9"/>
        <v>-3.4201218777251352E-2</v>
      </c>
      <c r="AZ29" s="90">
        <v>0.39539999999999997</v>
      </c>
      <c r="BA29" s="67">
        <f t="shared" si="11"/>
        <v>77932.03897400244</v>
      </c>
      <c r="BB29" s="67">
        <f t="shared" si="12"/>
        <v>612650.48537982511</v>
      </c>
      <c r="BC29" s="38"/>
    </row>
    <row r="30" spans="1:55">
      <c r="A30" s="57" t="s">
        <v>76</v>
      </c>
      <c r="B30" s="43">
        <v>501684.99681737344</v>
      </c>
      <c r="D30" s="43">
        <v>20117.2</v>
      </c>
      <c r="E30" s="43">
        <v>1478.5</v>
      </c>
      <c r="F30" s="44">
        <v>0.80269948234469124</v>
      </c>
      <c r="G30" s="43">
        <f t="shared" si="2"/>
        <v>17626.566026224624</v>
      </c>
      <c r="H30" s="43">
        <v>20832.368955181399</v>
      </c>
      <c r="I30" s="44">
        <v>0.10404032370309986</v>
      </c>
      <c r="J30" s="77">
        <v>4.9369624679081653E-2</v>
      </c>
      <c r="K30" s="43">
        <v>1479.13004949019</v>
      </c>
      <c r="L30" s="44">
        <v>0.21345958741968213</v>
      </c>
      <c r="M30" s="77">
        <v>5.9280226015660867E-3</v>
      </c>
      <c r="N30" s="44">
        <v>0.82784500000000005</v>
      </c>
      <c r="O30" s="43">
        <f t="shared" si="17"/>
        <v>18725.102527192339</v>
      </c>
      <c r="R30" s="157">
        <v>1.6812734693877545E-2</v>
      </c>
      <c r="U30" s="44">
        <v>1.2999999999999999E-2</v>
      </c>
      <c r="W30" s="44">
        <v>2E-3</v>
      </c>
      <c r="X30" s="44">
        <f t="shared" si="14"/>
        <v>1.8127346938775456E-3</v>
      </c>
      <c r="Y30" s="44">
        <f t="shared" si="15"/>
        <v>0.10585305839697741</v>
      </c>
      <c r="Z30" s="44">
        <f t="shared" si="16"/>
        <v>0.21527232211355968</v>
      </c>
      <c r="AA30" s="40">
        <f t="shared" si="13"/>
        <v>1.4812734693877545E-2</v>
      </c>
      <c r="AB30" s="43">
        <v>2090.9821333333334</v>
      </c>
      <c r="AC30" s="43">
        <v>554.40823842778673</v>
      </c>
      <c r="AD30" s="43">
        <f t="shared" si="0"/>
        <v>1159257.7211253089</v>
      </c>
      <c r="AE30" s="43">
        <v>2062.49080490195</v>
      </c>
      <c r="AF30" s="43">
        <v>6428.166666666667</v>
      </c>
      <c r="AG30" s="43">
        <v>558.16699999607943</v>
      </c>
      <c r="AH30" s="43">
        <f t="shared" si="4"/>
        <v>1151214.3050916207</v>
      </c>
      <c r="AJ30" s="43">
        <v>23078.7</v>
      </c>
      <c r="AK30" s="43">
        <v>23429.8</v>
      </c>
      <c r="AL30" s="44">
        <f t="shared" si="18"/>
        <v>-1.5213161919865437E-2</v>
      </c>
      <c r="AM30" s="35">
        <v>2.3445659599380601E-2</v>
      </c>
      <c r="AO30" s="57" t="s">
        <v>76</v>
      </c>
      <c r="AP30" s="45">
        <f t="shared" si="5"/>
        <v>0.40606298326444473</v>
      </c>
      <c r="AQ30" s="45">
        <v>0.47215121796821502</v>
      </c>
      <c r="AR30" s="53">
        <f t="shared" si="10"/>
        <v>-2.3383751318821089E-2</v>
      </c>
      <c r="AS30" s="40"/>
      <c r="AT30" s="57" t="s">
        <v>76</v>
      </c>
      <c r="AU30" s="42">
        <f t="shared" si="6"/>
        <v>501684.99681737344</v>
      </c>
      <c r="AV30" s="43">
        <f t="shared" si="7"/>
        <v>493513.78827308404</v>
      </c>
      <c r="AW30" s="44">
        <f t="shared" si="8"/>
        <v>1.6557204152050749E-2</v>
      </c>
      <c r="AX30" s="44">
        <f t="shared" si="9"/>
        <v>-2.1077221506818899E-2</v>
      </c>
      <c r="AZ30" s="90">
        <v>0.39539999999999997</v>
      </c>
      <c r="BA30" s="67">
        <f t="shared" si="11"/>
        <v>63059.490531758456</v>
      </c>
      <c r="BB30" s="67">
        <f t="shared" si="12"/>
        <v>470710.87853657693</v>
      </c>
      <c r="BC30" s="38"/>
    </row>
    <row r="31" spans="1:55">
      <c r="A31" s="57" t="s">
        <v>77</v>
      </c>
      <c r="B31" s="43">
        <v>468658.16167911794</v>
      </c>
      <c r="D31" s="43">
        <v>20501</v>
      </c>
      <c r="E31" s="43">
        <v>1460.3</v>
      </c>
      <c r="F31" s="44">
        <v>0.82947020449778019</v>
      </c>
      <c r="G31" s="43">
        <f t="shared" si="2"/>
        <v>18465.268662408991</v>
      </c>
      <c r="H31" s="43">
        <v>20444.0224799588</v>
      </c>
      <c r="I31" s="44">
        <v>0.10844349056143607</v>
      </c>
      <c r="J31" s="77">
        <v>3.9303700449821358E-2</v>
      </c>
      <c r="K31" s="43">
        <v>1458.7058017583399</v>
      </c>
      <c r="L31" s="44">
        <v>0.21570910086968423</v>
      </c>
      <c r="M31" s="77">
        <v>6.3607128686708741E-3</v>
      </c>
      <c r="N31" s="44">
        <v>0.82784500000000005</v>
      </c>
      <c r="O31" s="43">
        <f t="shared" si="17"/>
        <v>18383.187591679834</v>
      </c>
      <c r="R31" s="157">
        <v>1.4929469387755117E-2</v>
      </c>
      <c r="U31" s="44">
        <v>1.2999999999999999E-2</v>
      </c>
      <c r="W31" s="44">
        <v>-1E-3</v>
      </c>
      <c r="X31" s="44">
        <f t="shared" si="14"/>
        <v>2.9294693877551176E-3</v>
      </c>
      <c r="Y31" s="44">
        <f t="shared" si="15"/>
        <v>0.11137295994919119</v>
      </c>
      <c r="Z31" s="44">
        <f t="shared" si="16"/>
        <v>0.21863857025743935</v>
      </c>
      <c r="AA31" s="40">
        <f t="shared" si="13"/>
        <v>1.5929469387755118E-2</v>
      </c>
      <c r="AB31" s="43">
        <v>2093.7543999999998</v>
      </c>
      <c r="AC31" s="43">
        <v>540.66009748481758</v>
      </c>
      <c r="AD31" s="43">
        <f t="shared" si="0"/>
        <v>1132009.4580132656</v>
      </c>
      <c r="AE31" s="43">
        <v>2068.1451740819102</v>
      </c>
      <c r="AF31" s="43">
        <v>6409.833333333333</v>
      </c>
      <c r="AG31" s="43">
        <v>546.31359463342756</v>
      </c>
      <c r="AH31" s="43">
        <f t="shared" si="4"/>
        <v>1129855.8242764641</v>
      </c>
      <c r="AJ31" s="43">
        <v>21902</v>
      </c>
      <c r="AK31" s="43">
        <v>22724.6</v>
      </c>
      <c r="AL31" s="44">
        <f t="shared" si="18"/>
        <v>-3.7558213861747625E-2</v>
      </c>
      <c r="AM31" s="35">
        <v>2.1529524313795501E-2</v>
      </c>
      <c r="AO31" s="57" t="s">
        <v>77</v>
      </c>
      <c r="AP31" s="45">
        <f t="shared" si="5"/>
        <v>0.35470803904504344</v>
      </c>
      <c r="AQ31" s="45">
        <v>0.47423347070118299</v>
      </c>
      <c r="AR31" s="53">
        <f t="shared" si="10"/>
        <v>4.4101394928692805E-3</v>
      </c>
      <c r="AS31" s="40"/>
      <c r="AT31" s="57" t="s">
        <v>77</v>
      </c>
      <c r="AU31" s="42">
        <f t="shared" si="6"/>
        <v>468658.16167911794</v>
      </c>
      <c r="AV31" s="43">
        <f t="shared" si="7"/>
        <v>490351.46427722264</v>
      </c>
      <c r="AW31" s="44">
        <f t="shared" si="8"/>
        <v>-4.4240313690264176E-2</v>
      </c>
      <c r="AX31" s="44">
        <f t="shared" si="9"/>
        <v>-6.4077723277541354E-3</v>
      </c>
      <c r="AZ31" s="90">
        <v>0.39539999999999997</v>
      </c>
      <c r="BA31" s="67">
        <f t="shared" si="11"/>
        <v>55131.235860829103</v>
      </c>
      <c r="BB31" s="67">
        <f t="shared" si="12"/>
        <v>414638.44466427754</v>
      </c>
      <c r="BC31" s="38"/>
    </row>
    <row r="32" spans="1:55">
      <c r="A32" s="57" t="s">
        <v>78</v>
      </c>
      <c r="B32" s="43">
        <v>445129.41915783682</v>
      </c>
      <c r="D32" s="43">
        <v>20119.8</v>
      </c>
      <c r="E32" s="43">
        <v>1443.4</v>
      </c>
      <c r="F32" s="44">
        <v>0.81524850440541596</v>
      </c>
      <c r="G32" s="43">
        <f t="shared" si="2"/>
        <v>17846.036858936088</v>
      </c>
      <c r="H32" s="43">
        <v>20106.651998546098</v>
      </c>
      <c r="I32" s="44">
        <v>0.11123371007664097</v>
      </c>
      <c r="J32" s="77">
        <v>3.5356009561838278E-2</v>
      </c>
      <c r="K32" s="43">
        <v>1437.7331214242699</v>
      </c>
      <c r="L32" s="44">
        <v>0.21809616184009975</v>
      </c>
      <c r="M32" s="77">
        <v>6.240881596313811E-3</v>
      </c>
      <c r="N32" s="44">
        <v>0.82784500000000005</v>
      </c>
      <c r="O32" s="43">
        <f t="shared" si="17"/>
        <v>18082.924445160665</v>
      </c>
      <c r="R32" s="157">
        <v>1.3538395061728397E-2</v>
      </c>
      <c r="U32" s="44">
        <v>1.0999999999999999E-2</v>
      </c>
      <c r="W32" s="44">
        <v>-1E-3</v>
      </c>
      <c r="X32" s="44">
        <f t="shared" si="14"/>
        <v>3.5383950617283973E-3</v>
      </c>
      <c r="Y32" s="44">
        <f t="shared" si="15"/>
        <v>0.11477210513836937</v>
      </c>
      <c r="Z32" s="44">
        <f t="shared" si="16"/>
        <v>0.22163455690182815</v>
      </c>
      <c r="AA32" s="40">
        <f t="shared" si="13"/>
        <v>1.4538395061728396E-2</v>
      </c>
      <c r="AB32" s="43">
        <v>2055.635733333334</v>
      </c>
      <c r="AC32" s="43">
        <v>521.4729421695323</v>
      </c>
      <c r="AD32" s="43">
        <f t="shared" si="0"/>
        <v>1071958.4138901578</v>
      </c>
      <c r="AE32" s="43">
        <v>2072.65019698881</v>
      </c>
      <c r="AF32" s="43">
        <v>6315.25</v>
      </c>
      <c r="AG32" s="43">
        <v>535.57759675627949</v>
      </c>
      <c r="AH32" s="43">
        <f t="shared" si="4"/>
        <v>1110065.011419696</v>
      </c>
      <c r="AJ32" s="43">
        <v>21062.1</v>
      </c>
      <c r="AK32" s="43">
        <v>21646</v>
      </c>
      <c r="AL32" s="44">
        <f t="shared" si="18"/>
        <v>-2.7722781678940045E-2</v>
      </c>
      <c r="AM32" s="35">
        <v>2.36553251690544E-2</v>
      </c>
      <c r="AO32" s="57" t="s">
        <v>78</v>
      </c>
      <c r="AP32" s="45">
        <f t="shared" si="5"/>
        <v>0.37068039670380953</v>
      </c>
      <c r="AQ32" s="45">
        <v>0.490848765168243</v>
      </c>
      <c r="AR32" s="53">
        <f t="shared" si="10"/>
        <v>3.5036106672296397E-2</v>
      </c>
      <c r="AS32" s="40"/>
      <c r="AT32" s="57" t="s">
        <v>78</v>
      </c>
      <c r="AU32" s="42">
        <f t="shared" si="6"/>
        <v>445129.41915783682</v>
      </c>
      <c r="AV32" s="43">
        <f t="shared" si="7"/>
        <v>494308.99007273588</v>
      </c>
      <c r="AW32" s="44">
        <f t="shared" si="8"/>
        <v>-9.9491556703555917E-2</v>
      </c>
      <c r="AX32" s="44">
        <f t="shared" si="9"/>
        <v>8.070794284965821E-3</v>
      </c>
      <c r="AZ32" s="90">
        <v>0.39539999999999997</v>
      </c>
      <c r="BA32" s="67">
        <f t="shared" si="11"/>
        <v>59940.722511806242</v>
      </c>
      <c r="BB32" s="67">
        <f t="shared" si="12"/>
        <v>467196.99266010319</v>
      </c>
      <c r="BC32" s="38"/>
    </row>
    <row r="33" spans="1:55">
      <c r="A33" s="57" t="s">
        <v>79</v>
      </c>
      <c r="B33" s="43">
        <v>441477.07590113312</v>
      </c>
      <c r="D33" s="43">
        <v>19455.599999999999</v>
      </c>
      <c r="E33" s="43">
        <v>1406.4</v>
      </c>
      <c r="F33" s="44">
        <v>0.82184488674126488</v>
      </c>
      <c r="G33" s="43">
        <f t="shared" si="2"/>
        <v>17395.885378483352</v>
      </c>
      <c r="H33" s="43">
        <v>19828.393170578602</v>
      </c>
      <c r="I33" s="44">
        <v>0.11020477394683277</v>
      </c>
      <c r="J33" s="77">
        <v>4.472032881820881E-2</v>
      </c>
      <c r="K33" s="43">
        <v>1417.16980431002</v>
      </c>
      <c r="L33" s="44">
        <v>0.21871444823663255</v>
      </c>
      <c r="M33" s="77">
        <v>6.321959060508575E-3</v>
      </c>
      <c r="N33" s="44">
        <v>0.82784500000000005</v>
      </c>
      <c r="O33" s="43">
        <f t="shared" si="17"/>
        <v>17832.005948607661</v>
      </c>
      <c r="R33" s="157">
        <v>1.1816040816326539E-2</v>
      </c>
      <c r="U33" s="44">
        <v>1.2E-2</v>
      </c>
      <c r="W33" s="44">
        <v>2E-3</v>
      </c>
      <c r="X33" s="44">
        <f t="shared" si="14"/>
        <v>-2.1839591836734611E-3</v>
      </c>
      <c r="Y33" s="44">
        <f t="shared" si="15"/>
        <v>0.10802081476315931</v>
      </c>
      <c r="Z33" s="44">
        <f t="shared" si="16"/>
        <v>0.2165304890529591</v>
      </c>
      <c r="AA33" s="40">
        <f t="shared" si="13"/>
        <v>9.8160408163265392E-3</v>
      </c>
      <c r="AB33" s="43">
        <v>2088.5563999999999</v>
      </c>
      <c r="AC33" s="43">
        <v>504.21138608240295</v>
      </c>
      <c r="AD33" s="43">
        <f t="shared" si="0"/>
        <v>1053073.9173552736</v>
      </c>
      <c r="AE33" s="43">
        <v>2076.0302528751399</v>
      </c>
      <c r="AF33" s="43">
        <v>6298.416666666667</v>
      </c>
      <c r="AG33" s="43">
        <v>526.1529486621663</v>
      </c>
      <c r="AH33" s="43">
        <f t="shared" si="4"/>
        <v>1092309.4390621176</v>
      </c>
      <c r="AJ33" s="43">
        <v>19803.2</v>
      </c>
      <c r="AK33" s="43">
        <v>20116.3</v>
      </c>
      <c r="AL33" s="44">
        <f t="shared" si="18"/>
        <v>-1.5810576068514104E-2</v>
      </c>
      <c r="AM33" s="35">
        <v>2.99129642169953E-2</v>
      </c>
      <c r="AO33" s="57" t="s">
        <v>79</v>
      </c>
      <c r="AP33" s="45">
        <f t="shared" si="5"/>
        <v>0.39289333340927424</v>
      </c>
      <c r="AQ33" s="45">
        <v>0.52194761560073699</v>
      </c>
      <c r="AR33" s="53">
        <f t="shared" si="10"/>
        <v>6.3357295850249518E-2</v>
      </c>
      <c r="AS33" s="40"/>
      <c r="AT33" s="57" t="s">
        <v>79</v>
      </c>
      <c r="AU33" s="42">
        <f t="shared" si="6"/>
        <v>441477.07590113312</v>
      </c>
      <c r="AV33" s="43">
        <f t="shared" si="7"/>
        <v>504096.62007949949</v>
      </c>
      <c r="AW33" s="44">
        <f t="shared" si="8"/>
        <v>-0.12422131330396709</v>
      </c>
      <c r="AX33" s="44">
        <f t="shared" si="9"/>
        <v>1.9800631190874052E-2</v>
      </c>
      <c r="AZ33" s="90">
        <v>0.39539999999999997</v>
      </c>
      <c r="BA33" s="67">
        <f t="shared" si="11"/>
        <v>79237.433882658894</v>
      </c>
      <c r="BB33" s="67">
        <f t="shared" si="12"/>
        <v>617209.65261516802</v>
      </c>
      <c r="BC33" s="38"/>
    </row>
    <row r="34" spans="1:55">
      <c r="A34" s="57" t="s">
        <v>80</v>
      </c>
      <c r="B34" s="43">
        <v>449019.97389370791</v>
      </c>
      <c r="D34" s="43">
        <v>19285.8</v>
      </c>
      <c r="E34" s="43">
        <v>1377.9</v>
      </c>
      <c r="F34" s="44">
        <v>0.81732443470112026</v>
      </c>
      <c r="G34" s="43">
        <f t="shared" si="2"/>
        <v>17140.655582758864</v>
      </c>
      <c r="H34" s="43">
        <v>19617.513135706198</v>
      </c>
      <c r="I34" s="44">
        <v>0.1172261456615748</v>
      </c>
      <c r="J34" s="77">
        <v>4.2993633072924017E-2</v>
      </c>
      <c r="K34" s="43">
        <v>1398.0303150233599</v>
      </c>
      <c r="L34" s="44">
        <v>0.22040786704405257</v>
      </c>
      <c r="M34" s="77">
        <v>6.2023966903959277E-3</v>
      </c>
      <c r="N34" s="44">
        <v>0.82784500000000005</v>
      </c>
      <c r="O34" s="43">
        <f t="shared" si="17"/>
        <v>17638.29047685206</v>
      </c>
      <c r="R34" s="157">
        <v>1.1244775510204095E-2</v>
      </c>
      <c r="U34" s="44">
        <v>1.2999999999999999E-2</v>
      </c>
      <c r="W34" s="44">
        <v>5.0000000000000001E-3</v>
      </c>
      <c r="X34" s="44">
        <f t="shared" si="14"/>
        <v>-6.755224489795905E-3</v>
      </c>
      <c r="Y34" s="44">
        <f t="shared" si="15"/>
        <v>0.1104709211717789</v>
      </c>
      <c r="Z34" s="44">
        <f t="shared" si="16"/>
        <v>0.21365264255425667</v>
      </c>
      <c r="AA34" s="40">
        <f t="shared" si="13"/>
        <v>6.2447755102040944E-3</v>
      </c>
      <c r="AB34" s="43">
        <v>2090.4623333333334</v>
      </c>
      <c r="AC34" s="43">
        <v>501.52420233814854</v>
      </c>
      <c r="AD34" s="43">
        <f t="shared" si="0"/>
        <v>1048417.4542429448</v>
      </c>
      <c r="AE34" s="43">
        <v>2078.1395763568298</v>
      </c>
      <c r="AF34" s="43">
        <v>6302.833333333333</v>
      </c>
      <c r="AG34" s="43">
        <v>518.14616247855122</v>
      </c>
      <c r="AH34" s="43">
        <f t="shared" si="4"/>
        <v>1076780.0465840935</v>
      </c>
      <c r="AJ34" s="43">
        <v>19963.8</v>
      </c>
      <c r="AK34" s="43">
        <v>19690.3</v>
      </c>
      <c r="AL34" s="44">
        <f t="shared" si="18"/>
        <v>1.3699796631903793E-2</v>
      </c>
      <c r="AM34" s="35">
        <v>3.9878562440975797E-2</v>
      </c>
      <c r="AO34" s="57" t="s">
        <v>80</v>
      </c>
      <c r="AP34" s="45">
        <f t="shared" si="5"/>
        <v>0.45311266125971622</v>
      </c>
      <c r="AQ34" s="45">
        <v>0.56627885254532795</v>
      </c>
      <c r="AR34" s="53">
        <f t="shared" si="10"/>
        <v>8.4934264703111717E-2</v>
      </c>
      <c r="AS34" s="40"/>
      <c r="AT34" s="57" t="s">
        <v>80</v>
      </c>
      <c r="AU34" s="42">
        <f t="shared" si="6"/>
        <v>449019.97389370791</v>
      </c>
      <c r="AV34" s="43">
        <f t="shared" si="7"/>
        <v>517544.10918316536</v>
      </c>
      <c r="AW34" s="44">
        <f t="shared" si="8"/>
        <v>-0.13240250265355819</v>
      </c>
      <c r="AX34" s="44">
        <f t="shared" si="9"/>
        <v>2.6676411957582857E-2</v>
      </c>
      <c r="AZ34" s="90">
        <v>0.39539999999999997</v>
      </c>
      <c r="BA34" s="67">
        <f t="shared" si="11"/>
        <v>105236.94649180956</v>
      </c>
      <c r="BB34" s="67">
        <f t="shared" si="12"/>
        <v>895131.31163220294</v>
      </c>
      <c r="BC34" s="38"/>
    </row>
    <row r="35" spans="1:55">
      <c r="A35" s="57" t="s">
        <v>81</v>
      </c>
      <c r="B35" s="43">
        <v>486748.93760943471</v>
      </c>
      <c r="D35" s="43">
        <v>18955.5</v>
      </c>
      <c r="E35" s="43">
        <v>1352.7</v>
      </c>
      <c r="F35" s="44">
        <v>0.82828787227443701</v>
      </c>
      <c r="G35" s="43">
        <f t="shared" si="2"/>
        <v>17053.310762898091</v>
      </c>
      <c r="H35" s="43">
        <v>19478.551101872999</v>
      </c>
      <c r="I35" s="44">
        <v>0.11249505420590317</v>
      </c>
      <c r="J35" s="77">
        <v>4.0805430613876731E-2</v>
      </c>
      <c r="K35" s="43">
        <v>1381.2214201289901</v>
      </c>
      <c r="L35" s="44">
        <v>0.22155688622754502</v>
      </c>
      <c r="M35" s="77">
        <v>5.8983179585359027E-3</v>
      </c>
      <c r="N35" s="44">
        <v>0.82784500000000005</v>
      </c>
      <c r="O35" s="43">
        <f t="shared" si="17"/>
        <v>17506.442557059047</v>
      </c>
      <c r="R35" s="157">
        <v>8.5788709677419289E-3</v>
      </c>
      <c r="U35" s="44">
        <f>(0.009+0.01)/2</f>
        <v>9.4999999999999998E-3</v>
      </c>
      <c r="W35" s="44">
        <v>6.9999999999999993E-3</v>
      </c>
      <c r="X35" s="44">
        <f t="shared" si="14"/>
        <v>-7.9211290322580702E-3</v>
      </c>
      <c r="Y35" s="44">
        <f t="shared" si="15"/>
        <v>0.1045739251736451</v>
      </c>
      <c r="Z35" s="44">
        <f t="shared" si="16"/>
        <v>0.21363575719528693</v>
      </c>
      <c r="AA35" s="40">
        <f t="shared" si="13"/>
        <v>1.5788709677419296E-3</v>
      </c>
      <c r="AB35" s="43">
        <v>2092.7148000000002</v>
      </c>
      <c r="AC35" s="43">
        <v>503.53490434140031</v>
      </c>
      <c r="AD35" s="43">
        <f t="shared" si="0"/>
        <v>1053754.9466318327</v>
      </c>
      <c r="AE35" s="43">
        <v>2078.9576635210501</v>
      </c>
      <c r="AF35" s="43">
        <v>6279.333333333333</v>
      </c>
      <c r="AG35" s="43">
        <v>511.51863517977591</v>
      </c>
      <c r="AH35" s="43">
        <f t="shared" si="4"/>
        <v>1063425.5866408234</v>
      </c>
      <c r="AJ35" s="43">
        <v>19822.8</v>
      </c>
      <c r="AK35" s="43">
        <v>19499.8</v>
      </c>
      <c r="AL35" s="44">
        <f t="shared" si="18"/>
        <v>1.6294368101378187E-2</v>
      </c>
      <c r="AM35" s="35">
        <v>5.2671005421493403E-2</v>
      </c>
      <c r="AO35" s="57" t="s">
        <v>81</v>
      </c>
      <c r="AP35" s="45">
        <f t="shared" si="5"/>
        <v>0.49402334690471178</v>
      </c>
      <c r="AQ35" s="45">
        <v>0.62130076372666798</v>
      </c>
      <c r="AR35" s="53">
        <f t="shared" si="10"/>
        <v>9.716398720175734E-2</v>
      </c>
      <c r="AS35" s="40"/>
      <c r="AT35" s="57" t="s">
        <v>81</v>
      </c>
      <c r="AU35" s="42">
        <f t="shared" si="6"/>
        <v>486748.93760943471</v>
      </c>
      <c r="AV35" s="43">
        <f t="shared" si="7"/>
        <v>532193.75014726561</v>
      </c>
      <c r="AW35" s="44">
        <f t="shared" si="8"/>
        <v>-8.5391481063533115E-2</v>
      </c>
      <c r="AX35" s="44">
        <f t="shared" si="9"/>
        <v>2.8306072282846761E-2</v>
      </c>
      <c r="AZ35" s="90">
        <v>0.37</v>
      </c>
      <c r="BA35" s="67">
        <f t="shared" si="11"/>
        <v>161955.62126784262</v>
      </c>
      <c r="BB35" s="67">
        <f t="shared" si="12"/>
        <v>1389765.7190467375</v>
      </c>
      <c r="BC35" s="38"/>
    </row>
    <row r="36" spans="1:55">
      <c r="A36" s="57" t="s">
        <v>82</v>
      </c>
      <c r="B36" s="43">
        <v>483928.61031785968</v>
      </c>
      <c r="D36" s="43">
        <v>18809.300000000003</v>
      </c>
      <c r="E36" s="43">
        <v>1340.1</v>
      </c>
      <c r="F36" s="44">
        <v>0.82018173665614291</v>
      </c>
      <c r="G36" s="43">
        <f t="shared" si="2"/>
        <v>16767.144339286391</v>
      </c>
      <c r="H36" s="43">
        <v>19412.729145665999</v>
      </c>
      <c r="I36" s="44">
        <v>0.11375755610256649</v>
      </c>
      <c r="J36" s="77">
        <v>5.1639848248661663E-2</v>
      </c>
      <c r="K36" s="43">
        <v>1367.4485830413601</v>
      </c>
      <c r="L36" s="44">
        <v>0.22326692037907611</v>
      </c>
      <c r="M36" s="77">
        <v>5.9678223986448543E-3</v>
      </c>
      <c r="N36" s="44">
        <v>0.82784500000000005</v>
      </c>
      <c r="O36" s="43">
        <f t="shared" si="17"/>
        <v>17438.179342635231</v>
      </c>
      <c r="R36" s="157">
        <v>7.1467755102040823E-3</v>
      </c>
      <c r="U36" s="44">
        <f>(0.014+0.014)/2</f>
        <v>1.4E-2</v>
      </c>
      <c r="W36" s="44">
        <v>8.0000000000000002E-3</v>
      </c>
      <c r="X36" s="44">
        <f t="shared" si="14"/>
        <v>-1.4853224489795917E-2</v>
      </c>
      <c r="Y36" s="44">
        <f t="shared" si="15"/>
        <v>9.8904331612770569E-2</v>
      </c>
      <c r="Z36" s="44">
        <f t="shared" si="16"/>
        <v>0.20841369588928019</v>
      </c>
      <c r="AA36" s="40">
        <f t="shared" si="13"/>
        <v>-8.5322448979591788E-4</v>
      </c>
      <c r="AB36" s="43">
        <v>2068.4574666666672</v>
      </c>
      <c r="AC36" s="43">
        <v>500.09838364605929</v>
      </c>
      <c r="AD36" s="43">
        <f t="shared" si="0"/>
        <v>1034432.2357206228</v>
      </c>
      <c r="AE36" s="43">
        <v>2078.5872380247301</v>
      </c>
      <c r="AF36" s="43">
        <v>6326.333333333333</v>
      </c>
      <c r="AG36" s="43">
        <v>506.10828273030887</v>
      </c>
      <c r="AH36" s="43">
        <f t="shared" si="4"/>
        <v>1051990.217541832</v>
      </c>
      <c r="AJ36" s="43">
        <v>21651.599999999999</v>
      </c>
      <c r="AK36" s="43">
        <v>19274.8</v>
      </c>
      <c r="AL36" s="44">
        <f t="shared" si="18"/>
        <v>0.10977479724362171</v>
      </c>
      <c r="AM36" s="35">
        <v>6.7147391080955895E-2</v>
      </c>
      <c r="AO36" s="57" t="s">
        <v>82</v>
      </c>
      <c r="AP36" s="45">
        <f t="shared" si="5"/>
        <v>0.73553409519875002</v>
      </c>
      <c r="AQ36" s="45">
        <v>0.68333997495695897</v>
      </c>
      <c r="AR36" s="53">
        <f t="shared" si="10"/>
        <v>9.9853750151809306E-2</v>
      </c>
      <c r="AS36" s="40"/>
      <c r="AT36" s="57" t="s">
        <v>82</v>
      </c>
      <c r="AU36" s="42">
        <f t="shared" si="6"/>
        <v>483928.61031785968</v>
      </c>
      <c r="AV36" s="43">
        <f t="shared" ref="AV36:AV63" si="19">AQ36*(O36^AM36)*(AH36^(1-AM36))</f>
        <v>545873.34692796541</v>
      </c>
      <c r="AW36" s="44">
        <f t="shared" si="8"/>
        <v>-0.1134782215668062</v>
      </c>
      <c r="AX36" s="44">
        <f t="shared" si="9"/>
        <v>2.5704166531295147E-2</v>
      </c>
      <c r="AZ36" s="90">
        <v>0.37</v>
      </c>
      <c r="BA36" s="67">
        <f t="shared" si="11"/>
        <v>221108.86662002123</v>
      </c>
      <c r="BB36" s="67">
        <f t="shared" si="12"/>
        <v>1974197.4023243198</v>
      </c>
      <c r="BC36" s="38"/>
    </row>
    <row r="37" spans="1:55">
      <c r="A37" s="57" t="s">
        <v>83</v>
      </c>
      <c r="B37" s="43">
        <v>545260.32700008084</v>
      </c>
      <c r="D37" s="43">
        <v>19168.599999999999</v>
      </c>
      <c r="E37" s="43">
        <v>1329.7</v>
      </c>
      <c r="F37" s="44">
        <v>0.8309276485655982</v>
      </c>
      <c r="G37" s="43">
        <f t="shared" si="2"/>
        <v>17257.419724294523</v>
      </c>
      <c r="H37" s="43">
        <v>19416.038832653499</v>
      </c>
      <c r="I37" s="44">
        <v>0.11732207881639745</v>
      </c>
      <c r="J37" s="77">
        <v>4.7199472849225259E-2</v>
      </c>
      <c r="K37" s="43">
        <v>1357.1320529736099</v>
      </c>
      <c r="L37" s="44">
        <v>0.22508836579679636</v>
      </c>
      <c r="M37" s="77">
        <v>5.0563003825502802E-3</v>
      </c>
      <c r="N37" s="44">
        <v>0.82784500000000005</v>
      </c>
      <c r="O37" s="43">
        <f t="shared" si="17"/>
        <v>17430.602720391649</v>
      </c>
      <c r="R37" s="157">
        <v>5.5259426229508192E-3</v>
      </c>
      <c r="U37" s="44">
        <f>(0.015+0.015)/2</f>
        <v>1.4999999999999999E-2</v>
      </c>
      <c r="W37" s="44">
        <v>9.0000000000000011E-3</v>
      </c>
      <c r="X37" s="44">
        <f t="shared" si="14"/>
        <v>-1.8474057377049182E-2</v>
      </c>
      <c r="Y37" s="44">
        <f t="shared" si="15"/>
        <v>9.884802143934826E-2</v>
      </c>
      <c r="Z37" s="44">
        <f t="shared" si="16"/>
        <v>0.20661430841974718</v>
      </c>
      <c r="AA37" s="40">
        <f t="shared" si="13"/>
        <v>-3.4740573770491818E-3</v>
      </c>
      <c r="AB37" s="43">
        <v>2046.7991333333337</v>
      </c>
      <c r="AC37" s="43">
        <v>506.82191189504192</v>
      </c>
      <c r="AD37" s="43">
        <f t="shared" si="0"/>
        <v>1037362.650021115</v>
      </c>
      <c r="AE37" s="43">
        <v>2077.2685948896201</v>
      </c>
      <c r="AF37" s="43">
        <v>6371.166666666667</v>
      </c>
      <c r="AG37" s="43">
        <v>501.70783432242024</v>
      </c>
      <c r="AH37" s="43">
        <f t="shared" si="4"/>
        <v>1042181.9280480482</v>
      </c>
      <c r="AJ37" s="43">
        <v>22199.3</v>
      </c>
      <c r="AK37" s="43">
        <v>19945.599999999999</v>
      </c>
      <c r="AL37" s="44">
        <f t="shared" si="18"/>
        <v>0.10152121913754042</v>
      </c>
      <c r="AM37" s="35">
        <v>8.18010509685662E-2</v>
      </c>
      <c r="AO37" s="57" t="s">
        <v>83</v>
      </c>
      <c r="AP37" s="45">
        <f t="shared" si="5"/>
        <v>0.7966635495283545</v>
      </c>
      <c r="AQ37" s="45">
        <v>0.74745033788013504</v>
      </c>
      <c r="AR37" s="53">
        <f t="shared" si="10"/>
        <v>9.3819131431926106E-2</v>
      </c>
      <c r="AS37" s="40"/>
      <c r="AT37" s="57" t="s">
        <v>83</v>
      </c>
      <c r="AU37" s="42">
        <f t="shared" si="6"/>
        <v>545260.32700008084</v>
      </c>
      <c r="AV37" s="43">
        <f t="shared" si="19"/>
        <v>557436.7367901362</v>
      </c>
      <c r="AW37" s="44">
        <f t="shared" si="8"/>
        <v>-2.1843572528373809E-2</v>
      </c>
      <c r="AX37" s="44">
        <f t="shared" si="9"/>
        <v>2.1183283498354744E-2</v>
      </c>
      <c r="AZ37" s="90">
        <v>0.34620000000000001</v>
      </c>
      <c r="BA37" s="67">
        <f t="shared" si="11"/>
        <v>294868.80672382843</v>
      </c>
      <c r="BB37" s="67">
        <f t="shared" si="12"/>
        <v>2996597.6909345919</v>
      </c>
      <c r="BC37" s="38"/>
    </row>
    <row r="38" spans="1:55">
      <c r="A38" s="57" t="s">
        <v>84</v>
      </c>
      <c r="B38" s="43">
        <v>576265.23792121804</v>
      </c>
      <c r="D38" s="43">
        <v>19493.300000000003</v>
      </c>
      <c r="E38" s="43">
        <v>1306.0999999999999</v>
      </c>
      <c r="F38" s="44">
        <v>0.86021596084353424</v>
      </c>
      <c r="G38" s="43">
        <f t="shared" si="2"/>
        <v>18074.547789511267</v>
      </c>
      <c r="H38" s="43">
        <v>19478.437436947199</v>
      </c>
      <c r="I38" s="44">
        <v>0.12007202474696448</v>
      </c>
      <c r="J38" s="77">
        <v>4.3978012783524305E-2</v>
      </c>
      <c r="K38" s="43">
        <v>1350.41859330851</v>
      </c>
      <c r="L38" s="44">
        <v>0.22670545900007652</v>
      </c>
      <c r="M38" s="77">
        <v>5.3968204141877675E-3</v>
      </c>
      <c r="N38" s="44">
        <v>0.82784500000000005</v>
      </c>
      <c r="O38" s="43">
        <f t="shared" si="17"/>
        <v>17475.545633298065</v>
      </c>
      <c r="R38" s="157">
        <v>3.637786885245897E-3</v>
      </c>
      <c r="U38" s="44">
        <f>(0.015+0.014)/2</f>
        <v>1.4499999999999999E-2</v>
      </c>
      <c r="W38" s="44">
        <v>9.0000000000000011E-3</v>
      </c>
      <c r="X38" s="44">
        <f t="shared" si="14"/>
        <v>-1.9862213114754102E-2</v>
      </c>
      <c r="Y38" s="44">
        <f t="shared" si="15"/>
        <v>0.10020981163221038</v>
      </c>
      <c r="Z38" s="44">
        <f t="shared" si="16"/>
        <v>0.20684324588532241</v>
      </c>
      <c r="AA38" s="40">
        <f t="shared" si="13"/>
        <v>-5.362213114754104E-3</v>
      </c>
      <c r="AB38" s="43">
        <v>2078.8534666666669</v>
      </c>
      <c r="AC38" s="43">
        <v>502.45036586146904</v>
      </c>
      <c r="AD38" s="43">
        <f t="shared" si="0"/>
        <v>1044520.68489905</v>
      </c>
      <c r="AE38" s="43">
        <v>2075.14073142385</v>
      </c>
      <c r="AF38" s="43">
        <v>6401.916666666667</v>
      </c>
      <c r="AG38" s="43">
        <v>498.06839522401111</v>
      </c>
      <c r="AH38" s="43">
        <f t="shared" si="4"/>
        <v>1033562.0139642576</v>
      </c>
      <c r="AJ38" s="43">
        <v>23189.5</v>
      </c>
      <c r="AK38" s="43">
        <v>19825.599999999999</v>
      </c>
      <c r="AL38" s="44">
        <f t="shared" si="18"/>
        <v>0.14506134241790469</v>
      </c>
      <c r="AM38" s="35">
        <v>9.5551590695157604E-2</v>
      </c>
      <c r="AO38" s="57" t="s">
        <v>84</v>
      </c>
      <c r="AP38" s="45">
        <f t="shared" si="5"/>
        <v>0.99376030757497147</v>
      </c>
      <c r="AQ38" s="45">
        <v>0.80920764534255896</v>
      </c>
      <c r="AR38" s="53">
        <f t="shared" si="10"/>
        <v>8.2623960860831902E-2</v>
      </c>
      <c r="AS38" s="40"/>
      <c r="AT38" s="57" t="s">
        <v>84</v>
      </c>
      <c r="AU38" s="42">
        <f t="shared" si="6"/>
        <v>576265.23792121804</v>
      </c>
      <c r="AV38" s="43">
        <f t="shared" si="19"/>
        <v>566354.16611887002</v>
      </c>
      <c r="AW38" s="44">
        <f t="shared" si="8"/>
        <v>1.7499777339446312E-2</v>
      </c>
      <c r="AX38" s="44">
        <f t="shared" si="9"/>
        <v>1.5997204238964668E-2</v>
      </c>
      <c r="AZ38" s="90">
        <v>0.3211</v>
      </c>
      <c r="BA38" s="67">
        <f t="shared" si="11"/>
        <v>378660.93439195136</v>
      </c>
      <c r="BB38" s="67">
        <f t="shared" si="12"/>
        <v>3982393.7057933733</v>
      </c>
      <c r="BC38" s="38"/>
    </row>
    <row r="39" spans="1:55">
      <c r="A39" s="57" t="s">
        <v>85</v>
      </c>
      <c r="B39" s="43">
        <v>597005.03327586385</v>
      </c>
      <c r="D39" s="43">
        <v>19687</v>
      </c>
      <c r="E39" s="43">
        <v>1321</v>
      </c>
      <c r="F39" s="44">
        <v>0.8636903548096978</v>
      </c>
      <c r="G39" s="43">
        <f t="shared" si="2"/>
        <v>18324.472015138519</v>
      </c>
      <c r="H39" s="43">
        <v>19587.407844332</v>
      </c>
      <c r="I39" s="44">
        <v>0.12267486158378625</v>
      </c>
      <c r="J39" s="77">
        <v>4.1081730693997412E-2</v>
      </c>
      <c r="K39" s="43">
        <v>1347.1806468990701</v>
      </c>
      <c r="L39" s="44">
        <v>0.22937168811506434</v>
      </c>
      <c r="M39" s="77">
        <v>5.4689656167292485E-3</v>
      </c>
      <c r="N39" s="44">
        <v>0.82784500000000005</v>
      </c>
      <c r="O39" s="43">
        <f t="shared" si="17"/>
        <v>17562.518293790094</v>
      </c>
      <c r="R39" s="157">
        <v>-4.9832653061224468E-4</v>
      </c>
      <c r="U39" s="44">
        <f>(0.01+0.013)/2</f>
        <v>1.15E-2</v>
      </c>
      <c r="W39" s="44">
        <v>9.0000000000000011E-3</v>
      </c>
      <c r="X39" s="44">
        <f t="shared" si="14"/>
        <v>-2.0998326530612246E-2</v>
      </c>
      <c r="Y39" s="44">
        <f t="shared" si="15"/>
        <v>0.10167653505317401</v>
      </c>
      <c r="Z39" s="44">
        <f t="shared" si="16"/>
        <v>0.20837336158445208</v>
      </c>
      <c r="AA39" s="40">
        <f t="shared" si="13"/>
        <v>-9.4983265306122465E-3</v>
      </c>
      <c r="AB39" s="43">
        <v>2101.2048666666669</v>
      </c>
      <c r="AC39" s="43">
        <v>494.74849043027524</v>
      </c>
      <c r="AD39" s="43">
        <f t="shared" si="0"/>
        <v>1039567.9358680812</v>
      </c>
      <c r="AE39" s="43">
        <v>2072.0379503200202</v>
      </c>
      <c r="AF39" s="43">
        <v>6465.25</v>
      </c>
      <c r="AG39" s="43">
        <v>494.993451469165</v>
      </c>
      <c r="AH39" s="43">
        <f t="shared" si="4"/>
        <v>1025645.216604001</v>
      </c>
      <c r="AJ39" s="43">
        <v>24385.4</v>
      </c>
      <c r="AK39" s="43">
        <v>19954.7</v>
      </c>
      <c r="AL39" s="44">
        <f t="shared" si="18"/>
        <v>0.18169478458421839</v>
      </c>
      <c r="AM39" s="35">
        <v>0.107515817553257</v>
      </c>
      <c r="AO39" s="57" t="s">
        <v>85</v>
      </c>
      <c r="AP39" s="45">
        <f t="shared" si="5"/>
        <v>1.1961491041505761</v>
      </c>
      <c r="AQ39" s="45">
        <v>0.86467982230679696</v>
      </c>
      <c r="AR39" s="53">
        <f t="shared" si="10"/>
        <v>6.8551226973090573E-2</v>
      </c>
      <c r="AS39" s="40"/>
      <c r="AT39" s="57" t="s">
        <v>85</v>
      </c>
      <c r="AU39" s="42">
        <f t="shared" si="6"/>
        <v>597005.03327586385</v>
      </c>
      <c r="AV39" s="43">
        <f t="shared" si="19"/>
        <v>572710.87328988232</v>
      </c>
      <c r="AW39" s="44">
        <f t="shared" si="8"/>
        <v>4.2419589218598341E-2</v>
      </c>
      <c r="AX39" s="44">
        <f t="shared" si="9"/>
        <v>1.1223908203189747E-2</v>
      </c>
      <c r="AZ39" s="90">
        <v>0.29970000000000002</v>
      </c>
      <c r="BA39" s="67">
        <f t="shared" si="11"/>
        <v>461534.3907061537</v>
      </c>
      <c r="BB39" s="67">
        <f t="shared" si="12"/>
        <v>5095311.0843545776</v>
      </c>
      <c r="BC39" s="38"/>
    </row>
    <row r="40" spans="1:55">
      <c r="A40" s="57" t="s">
        <v>86</v>
      </c>
      <c r="B40" s="43">
        <v>591954.65616563207</v>
      </c>
      <c r="D40" s="43">
        <v>19724.5</v>
      </c>
      <c r="E40" s="43">
        <v>1344.5</v>
      </c>
      <c r="F40" s="44">
        <v>0.8539268500491014</v>
      </c>
      <c r="G40" s="43">
        <f t="shared" si="2"/>
        <v>18187.780153793501</v>
      </c>
      <c r="H40" s="43">
        <v>19730.581566223798</v>
      </c>
      <c r="I40" s="44">
        <v>0.12411467971304722</v>
      </c>
      <c r="J40" s="77">
        <v>5.0571441052443968E-2</v>
      </c>
      <c r="K40" s="43">
        <v>1346.8474706652</v>
      </c>
      <c r="L40" s="44">
        <v>0.23004834510970626</v>
      </c>
      <c r="M40" s="77">
        <v>5.4835281151868363E-3</v>
      </c>
      <c r="N40" s="44">
        <v>0.82784500000000005</v>
      </c>
      <c r="O40" s="43">
        <f t="shared" si="17"/>
        <v>17680.71076735574</v>
      </c>
      <c r="R40" s="157">
        <v>5.3663967611336061E-4</v>
      </c>
      <c r="U40" s="44">
        <f>(0.0122+0.0188)/2</f>
        <v>1.55E-2</v>
      </c>
      <c r="W40" s="44">
        <v>8.0000000000000002E-3</v>
      </c>
      <c r="X40" s="44">
        <f t="shared" si="14"/>
        <v>-2.2963360323886642E-2</v>
      </c>
      <c r="Y40" s="44">
        <f t="shared" si="15"/>
        <v>0.10115131938916058</v>
      </c>
      <c r="Z40" s="44">
        <f t="shared" si="16"/>
        <v>0.2070849847858196</v>
      </c>
      <c r="AA40" s="40">
        <f t="shared" si="13"/>
        <v>-7.4633603238866393E-3</v>
      </c>
      <c r="AB40" s="43">
        <v>2078.6802000000002</v>
      </c>
      <c r="AC40" s="43">
        <v>498.42111480473017</v>
      </c>
      <c r="AD40" s="43">
        <f t="shared" si="0"/>
        <v>1036058.1026065196</v>
      </c>
      <c r="AE40" s="43">
        <v>2067.83168162313</v>
      </c>
      <c r="AF40" s="43">
        <v>6530.416666666667</v>
      </c>
      <c r="AG40" s="43">
        <v>492.32077320968466</v>
      </c>
      <c r="AH40" s="43">
        <f t="shared" si="4"/>
        <v>1018036.4923641818</v>
      </c>
      <c r="AJ40" s="43">
        <v>25147.1</v>
      </c>
      <c r="AK40" s="43">
        <v>20513.099999999999</v>
      </c>
      <c r="AL40" s="44">
        <f t="shared" si="18"/>
        <v>0.18427572165378914</v>
      </c>
      <c r="AM40" s="35">
        <v>0.11730563635262201</v>
      </c>
      <c r="AO40" s="57" t="s">
        <v>86</v>
      </c>
      <c r="AP40" s="45">
        <f t="shared" si="5"/>
        <v>1.2034265815338534</v>
      </c>
      <c r="AQ40" s="45">
        <v>0.91178032035798395</v>
      </c>
      <c r="AR40" s="53">
        <f t="shared" si="10"/>
        <v>5.4471605368946907E-2</v>
      </c>
      <c r="AS40" s="40"/>
      <c r="AT40" s="57" t="s">
        <v>86</v>
      </c>
      <c r="AU40" s="42">
        <f t="shared" si="6"/>
        <v>591954.65616563207</v>
      </c>
      <c r="AV40" s="43">
        <f t="shared" si="19"/>
        <v>576985.25576283748</v>
      </c>
      <c r="AW40" s="44">
        <f t="shared" si="8"/>
        <v>2.5944164522893068E-2</v>
      </c>
      <c r="AX40" s="44">
        <f t="shared" si="9"/>
        <v>7.463421199603415E-3</v>
      </c>
      <c r="AZ40" s="90">
        <v>0.29970000000000002</v>
      </c>
      <c r="BA40" s="67">
        <f t="shared" si="11"/>
        <v>525762.54743819521</v>
      </c>
      <c r="BB40" s="67">
        <f t="shared" si="12"/>
        <v>6027959.4148696307</v>
      </c>
      <c r="BC40" s="38"/>
    </row>
    <row r="41" spans="1:55">
      <c r="A41" s="57" t="s">
        <v>87</v>
      </c>
      <c r="B41" s="43">
        <v>578817.48974194156</v>
      </c>
      <c r="D41" s="43">
        <v>20270</v>
      </c>
      <c r="E41" s="43">
        <v>1359.8</v>
      </c>
      <c r="F41" s="44">
        <v>0.85804502460534893</v>
      </c>
      <c r="G41" s="43">
        <f t="shared" si="2"/>
        <v>18752.372648750421</v>
      </c>
      <c r="H41" s="43">
        <v>19896.586035594701</v>
      </c>
      <c r="I41" s="44">
        <v>0.12743463246176623</v>
      </c>
      <c r="J41" s="77">
        <v>4.8153347979216006E-2</v>
      </c>
      <c r="K41" s="43">
        <v>1348.58651505785</v>
      </c>
      <c r="L41" s="44">
        <v>0.23003382850419171</v>
      </c>
      <c r="M41" s="77">
        <v>5.7306492267171164E-3</v>
      </c>
      <c r="N41" s="44">
        <v>0.82784500000000005</v>
      </c>
      <c r="O41" s="43">
        <f t="shared" si="17"/>
        <v>17819.875781694747</v>
      </c>
      <c r="R41" s="157">
        <v>7.6175510204081647E-4</v>
      </c>
      <c r="U41" s="44">
        <f>(0.0117+0.0106)/2</f>
        <v>1.115E-2</v>
      </c>
      <c r="W41" s="44">
        <v>6.9999999999999993E-3</v>
      </c>
      <c r="X41" s="44">
        <f t="shared" si="14"/>
        <v>-1.7388244897959183E-2</v>
      </c>
      <c r="Y41" s="44">
        <f t="shared" si="15"/>
        <v>0.11004638756380705</v>
      </c>
      <c r="Z41" s="44">
        <f t="shared" si="16"/>
        <v>0.21264558360623254</v>
      </c>
      <c r="AA41" s="40">
        <f t="shared" si="13"/>
        <v>-6.2382448979591831E-3</v>
      </c>
      <c r="AB41" s="43">
        <v>2074.3485333333338</v>
      </c>
      <c r="AC41" s="43">
        <v>503.61086818734481</v>
      </c>
      <c r="AD41" s="43">
        <f t="shared" si="0"/>
        <v>1044664.4657951456</v>
      </c>
      <c r="AE41" s="43">
        <v>2062.6850245416799</v>
      </c>
      <c r="AF41" s="43">
        <v>6663.333333333333</v>
      </c>
      <c r="AG41" s="43">
        <v>489.86417456731556</v>
      </c>
      <c r="AH41" s="43">
        <f t="shared" si="4"/>
        <v>1010435.4969394731</v>
      </c>
      <c r="AJ41" s="43">
        <v>24761.599999999999</v>
      </c>
      <c r="AK41" s="43">
        <v>22219.4</v>
      </c>
      <c r="AL41" s="44">
        <f t="shared" si="18"/>
        <v>0.10266703282501932</v>
      </c>
      <c r="AM41" s="35">
        <v>0.125274741573316</v>
      </c>
      <c r="AO41" s="57" t="s">
        <v>87</v>
      </c>
      <c r="AP41" s="45">
        <f t="shared" si="5"/>
        <v>0.83716933167341079</v>
      </c>
      <c r="AQ41" s="45">
        <v>0.95173728390019197</v>
      </c>
      <c r="AR41" s="53">
        <f t="shared" si="10"/>
        <v>4.3823015972224599E-2</v>
      </c>
      <c r="AS41" s="40"/>
      <c r="AT41" s="57" t="s">
        <v>87</v>
      </c>
      <c r="AU41" s="42">
        <f t="shared" si="6"/>
        <v>578817.48974194156</v>
      </c>
      <c r="AV41" s="43">
        <f t="shared" si="19"/>
        <v>579887.03564993816</v>
      </c>
      <c r="AW41" s="44">
        <f t="shared" si="8"/>
        <v>-1.8444038963517204E-3</v>
      </c>
      <c r="AX41" s="44">
        <f t="shared" si="9"/>
        <v>5.0292097728983354E-3</v>
      </c>
      <c r="AZ41" s="90">
        <v>0.2974</v>
      </c>
      <c r="BA41" s="67">
        <f t="shared" si="11"/>
        <v>573249.7229420112</v>
      </c>
      <c r="BB41" s="67">
        <f t="shared" si="12"/>
        <v>6787294.2213342329</v>
      </c>
      <c r="BC41" s="38"/>
    </row>
    <row r="42" spans="1:55">
      <c r="A42" s="57" t="s">
        <v>88</v>
      </c>
      <c r="B42" s="43">
        <v>570532.1832492376</v>
      </c>
      <c r="D42" s="43">
        <v>20474.099999999999</v>
      </c>
      <c r="E42" s="43">
        <v>1378.7</v>
      </c>
      <c r="F42" s="44">
        <v>0.88227157290845415</v>
      </c>
      <c r="G42" s="43">
        <f t="shared" si="2"/>
        <v>19442.41641088498</v>
      </c>
      <c r="H42" s="43">
        <v>20073.987869754899</v>
      </c>
      <c r="I42" s="44">
        <v>0.13011072525776474</v>
      </c>
      <c r="J42" s="77">
        <v>4.9334640229583594E-2</v>
      </c>
      <c r="K42" s="43">
        <v>1351.5417558213001</v>
      </c>
      <c r="L42" s="44">
        <v>0.22905635743816638</v>
      </c>
      <c r="M42" s="77">
        <v>5.9470790598990008E-3</v>
      </c>
      <c r="N42" s="44">
        <v>0.82784500000000005</v>
      </c>
      <c r="O42" s="43">
        <f t="shared" si="17"/>
        <v>17969.692243858546</v>
      </c>
      <c r="R42" s="157">
        <v>-9.4958506224066344E-4</v>
      </c>
      <c r="U42" s="44">
        <f>(0.0098+0.0093)/2</f>
        <v>9.5499999999999995E-3</v>
      </c>
      <c r="W42" s="44">
        <v>6.9999999999999993E-3</v>
      </c>
      <c r="X42" s="44">
        <f t="shared" si="14"/>
        <v>-1.7499585062240662E-2</v>
      </c>
      <c r="Y42" s="44">
        <f t="shared" si="15"/>
        <v>0.11261114019552407</v>
      </c>
      <c r="Z42" s="44">
        <f t="shared" si="16"/>
        <v>0.21155677237592571</v>
      </c>
      <c r="AA42" s="40">
        <f t="shared" si="13"/>
        <v>-7.9495850622406626E-3</v>
      </c>
      <c r="AB42" s="43">
        <v>2046.1060666666669</v>
      </c>
      <c r="AC42" s="43">
        <v>498.80678007050886</v>
      </c>
      <c r="AD42" s="43">
        <f t="shared" si="0"/>
        <v>1020611.5787967341</v>
      </c>
      <c r="AE42" s="43">
        <v>2056.8695634679102</v>
      </c>
      <c r="AF42" s="43">
        <v>6724</v>
      </c>
      <c r="AG42" s="43">
        <v>487.46262083239253</v>
      </c>
      <c r="AH42" s="43">
        <f t="shared" si="4"/>
        <v>1002647.0281184467</v>
      </c>
      <c r="AJ42" s="43">
        <v>24693.3</v>
      </c>
      <c r="AK42" s="43">
        <v>23391.599999999999</v>
      </c>
      <c r="AL42" s="44">
        <f t="shared" si="18"/>
        <v>5.2714703988531286E-2</v>
      </c>
      <c r="AM42" s="35">
        <v>0.13244652854841499</v>
      </c>
      <c r="AO42" s="57" t="s">
        <v>88</v>
      </c>
      <c r="AP42" s="45">
        <f t="shared" si="5"/>
        <v>0.6888025706336024</v>
      </c>
      <c r="AQ42" s="45">
        <v>0.98869531994891002</v>
      </c>
      <c r="AR42" s="53">
        <f t="shared" si="10"/>
        <v>3.8832182655769376E-2</v>
      </c>
      <c r="AS42" s="40"/>
      <c r="AT42" s="57" t="s">
        <v>88</v>
      </c>
      <c r="AU42" s="42">
        <f t="shared" si="6"/>
        <v>570532.1832492376</v>
      </c>
      <c r="AV42" s="43">
        <f t="shared" si="19"/>
        <v>581940.33300661133</v>
      </c>
      <c r="AW42" s="44">
        <f t="shared" si="8"/>
        <v>-1.9603641662768411E-2</v>
      </c>
      <c r="AX42" s="44">
        <f>AV42/AV41-1</f>
        <v>3.5408574954116645E-3</v>
      </c>
      <c r="AZ42" s="90">
        <v>0.2974</v>
      </c>
      <c r="BA42" s="67">
        <f t="shared" si="11"/>
        <v>616937.26074165851</v>
      </c>
      <c r="BB42" s="67">
        <f t="shared" si="12"/>
        <v>7504409.4702610681</v>
      </c>
      <c r="BC42" s="38"/>
    </row>
    <row r="43" spans="1:55">
      <c r="A43" s="57" t="s">
        <v>89</v>
      </c>
      <c r="B43" s="43">
        <v>576350.4384254975</v>
      </c>
      <c r="D43" s="43">
        <v>20624.899999999998</v>
      </c>
      <c r="E43" s="43">
        <v>1402.2</v>
      </c>
      <c r="F43" s="44">
        <v>0.85909212732457485</v>
      </c>
      <c r="G43" s="43">
        <f t="shared" si="2"/>
        <v>19120.889216856624</v>
      </c>
      <c r="H43" s="43">
        <v>20255.087825658498</v>
      </c>
      <c r="I43" s="76">
        <v>0.131035927043918</v>
      </c>
      <c r="J43" s="85">
        <f>AVERAGE(J3:J42)</f>
        <v>3.6188024831084561E-2</v>
      </c>
      <c r="K43" s="43">
        <v>1354.9693035492601</v>
      </c>
      <c r="L43" s="76">
        <v>0.228365893021061</v>
      </c>
      <c r="M43" s="85">
        <f>AVERAGE(M3:M42)</f>
        <v>4.1333517018701258E-3</v>
      </c>
      <c r="N43" s="44">
        <v>0.82784500000000005</v>
      </c>
      <c r="O43" s="43">
        <f>H43*N43+K43</f>
        <v>18123.042484581521</v>
      </c>
      <c r="Q43" s="44">
        <v>0</v>
      </c>
      <c r="R43" s="44">
        <v>1.0518518518518507E-4</v>
      </c>
      <c r="U43" s="44">
        <f>(0.0089+0.0079)/2</f>
        <v>8.4000000000000012E-3</v>
      </c>
      <c r="V43" s="44">
        <v>6.0000000000000001E-3</v>
      </c>
      <c r="W43" s="44">
        <v>6.0000000000000001E-3</v>
      </c>
      <c r="X43" s="44">
        <f t="shared" si="14"/>
        <v>-1.4294814814814816E-2</v>
      </c>
      <c r="Y43" s="44">
        <f t="shared" si="15"/>
        <v>0.11674111222910319</v>
      </c>
      <c r="Z43" s="44">
        <f t="shared" si="16"/>
        <v>0.21407107820624618</v>
      </c>
      <c r="AA43" s="40">
        <f t="shared" si="13"/>
        <v>-5.8948148148148154E-3</v>
      </c>
      <c r="AB43" s="43">
        <v>2022.7150666666671</v>
      </c>
      <c r="AC43" s="43">
        <v>491.90102752179155</v>
      </c>
      <c r="AD43" s="43">
        <f t="shared" si="0"/>
        <v>994975.61967714259</v>
      </c>
      <c r="AE43" s="43">
        <v>2050.7735178819798</v>
      </c>
      <c r="AF43" s="43">
        <v>6676.333333333333</v>
      </c>
      <c r="AG43" s="43">
        <v>485.03628546980445</v>
      </c>
      <c r="AH43" s="43">
        <f t="shared" si="4"/>
        <v>994699.56945331907</v>
      </c>
      <c r="AJ43" s="46"/>
      <c r="AK43" s="46"/>
      <c r="AL43" s="44" t="e">
        <f>1-AK43/AJ43</f>
        <v>#DIV/0!</v>
      </c>
      <c r="AM43" s="63">
        <f>AVERAGE(AM3:AM42)</f>
        <v>0.16348037336425186</v>
      </c>
      <c r="AO43" s="57" t="s">
        <v>89</v>
      </c>
      <c r="AP43" s="45" t="e">
        <f t="shared" si="5"/>
        <v>#DIV/0!</v>
      </c>
      <c r="AQ43" s="45">
        <f>AQ42*(1+AR43)</f>
        <v>1.034400230063854</v>
      </c>
      <c r="AR43" s="64">
        <f>AVERAGE(AR5:AR10)</f>
        <v>4.6227497180128009E-2</v>
      </c>
      <c r="AT43" s="57" t="s">
        <v>89</v>
      </c>
      <c r="AU43" s="42">
        <f t="shared" si="6"/>
        <v>576350.4384254975</v>
      </c>
      <c r="AV43" s="43">
        <f t="shared" si="19"/>
        <v>534580.15660465346</v>
      </c>
      <c r="AW43" s="44">
        <f t="shared" si="8"/>
        <v>7.8136611141993967E-2</v>
      </c>
      <c r="AX43" s="44">
        <f>AV43/AV42-1</f>
        <v>-8.138321699970541E-2</v>
      </c>
      <c r="AZ43" s="90">
        <v>0.2974</v>
      </c>
      <c r="BA43" s="67">
        <f>((0.99^(-1)+I43-1)/((1-AZ43)*AM43*AQ43))^(1/(AM43-1))*AH43</f>
        <v>809654.52846093383</v>
      </c>
      <c r="BB43" s="67">
        <f t="shared" si="12"/>
        <v>12569242.02758519</v>
      </c>
    </row>
    <row r="44" spans="1:55">
      <c r="A44" s="57" t="s">
        <v>90</v>
      </c>
      <c r="H44" s="75">
        <f t="shared" ref="H44:H63" si="20">H43*(1-I43)+AV43/10*J43</f>
        <v>19535.483613208788</v>
      </c>
      <c r="I44" s="76">
        <v>0.13196770782917799</v>
      </c>
      <c r="J44" s="86">
        <f>J43</f>
        <v>3.6188024831084561E-2</v>
      </c>
      <c r="K44" s="75">
        <f t="shared" ref="K44:K63" si="21">K43*(1-L43)+AV43/10*M43</f>
        <v>1266.5013085368923</v>
      </c>
      <c r="L44" s="76">
        <v>0.227923770604398</v>
      </c>
      <c r="M44" s="86">
        <f>M43</f>
        <v>4.1333517018701258E-3</v>
      </c>
      <c r="N44" s="62">
        <f>N43</f>
        <v>0.82784500000000005</v>
      </c>
      <c r="O44" s="43">
        <f>H44*N44+K44</f>
        <v>17438.853740313723</v>
      </c>
      <c r="Q44" s="44">
        <v>0</v>
      </c>
      <c r="R44" s="62">
        <f>Q43/4+Q44*3/4</f>
        <v>0</v>
      </c>
      <c r="S44" s="44">
        <v>1E-3</v>
      </c>
      <c r="U44" s="93">
        <f>(0.008+0.008)/2</f>
        <v>8.0000000000000002E-3</v>
      </c>
      <c r="V44" s="62">
        <v>0.01</v>
      </c>
      <c r="W44" s="62">
        <f t="shared" ref="W44:W63" si="22">V43/4+V44*3/4</f>
        <v>8.9999999999999993E-3</v>
      </c>
      <c r="X44" s="44">
        <f t="shared" si="14"/>
        <v>-1.7000000000000001E-2</v>
      </c>
      <c r="Y44" s="44">
        <f t="shared" si="15"/>
        <v>0.11496770782917799</v>
      </c>
      <c r="Z44" s="44">
        <f t="shared" si="16"/>
        <v>0.21092377060439799</v>
      </c>
      <c r="AA44" s="40">
        <f t="shared" si="13"/>
        <v>-8.9999999999999993E-3</v>
      </c>
      <c r="AC44" s="51"/>
      <c r="AE44" s="75">
        <v>1929.9619148851</v>
      </c>
      <c r="AF44" s="43">
        <f>(AF$48-AF$43)/5+AF43</f>
        <v>6639.0666666666666</v>
      </c>
      <c r="AG44" s="43">
        <f>AF44*0.0734908144536897+4</f>
        <v>491.91041654567613</v>
      </c>
      <c r="AH44" s="43">
        <f>AE44*AG44</f>
        <v>949368.36946842028</v>
      </c>
      <c r="AM44" s="62">
        <f>AM43</f>
        <v>0.16348037336425186</v>
      </c>
      <c r="AQ44" s="45">
        <f>AQ43*(1+AR44)</f>
        <v>1.0822179637822544</v>
      </c>
      <c r="AR44" s="62">
        <f>AR43</f>
        <v>4.6227497180128009E-2</v>
      </c>
      <c r="AT44" s="57" t="s">
        <v>90</v>
      </c>
      <c r="AV44" s="43">
        <f t="shared" si="19"/>
        <v>534516.56185280846</v>
      </c>
      <c r="AW44" s="44">
        <f t="shared" si="8"/>
        <v>-1</v>
      </c>
      <c r="AX44" s="44">
        <f>AV44/AV43-1</f>
        <v>-1.1896205098393953E-4</v>
      </c>
      <c r="AZ44" s="90">
        <v>0.2974</v>
      </c>
      <c r="BA44" s="67">
        <f>((0.99^(-1)+I44-1)/((1-AZ44)*AM44*AQ44))^(1/(AM44-1))*AH44</f>
        <v>809259.78902904293</v>
      </c>
      <c r="BB44" s="67">
        <f t="shared" si="12"/>
        <v>12662328.206551589</v>
      </c>
    </row>
    <row r="45" spans="1:55">
      <c r="A45" s="57" t="s">
        <v>91</v>
      </c>
      <c r="H45" s="75">
        <f t="shared" si="20"/>
        <v>18891.740480734694</v>
      </c>
      <c r="I45" s="76">
        <v>0.13290611439601799</v>
      </c>
      <c r="J45" s="86">
        <f t="shared" ref="J45:J63" si="23">J44</f>
        <v>3.6188024831084561E-2</v>
      </c>
      <c r="K45" s="75">
        <f t="shared" si="21"/>
        <v>1198.7700488809674</v>
      </c>
      <c r="L45" s="76">
        <v>0.227696534321608</v>
      </c>
      <c r="M45" s="86">
        <f t="shared" ref="M45:M63" si="24">M44</f>
        <v>4.1333517018701258E-3</v>
      </c>
      <c r="N45" s="62">
        <f t="shared" ref="N45:N63" si="25">N44</f>
        <v>0.82784500000000005</v>
      </c>
      <c r="O45" s="43">
        <f t="shared" si="17"/>
        <v>16838.202947154779</v>
      </c>
      <c r="Q45" s="44">
        <v>0</v>
      </c>
      <c r="R45" s="62">
        <f>Q44/4+Q45*3/4</f>
        <v>0</v>
      </c>
      <c r="S45" s="44">
        <v>7.0000000000000001E-3</v>
      </c>
      <c r="T45" s="44">
        <f>S44/4+S45*3/4</f>
        <v>5.5000000000000005E-3</v>
      </c>
      <c r="U45" s="44">
        <f>AVERAGE(S46:S55)</f>
        <v>1.8999999999999996E-2</v>
      </c>
      <c r="V45" s="62">
        <v>1.2E-2</v>
      </c>
      <c r="W45" s="62">
        <f t="shared" si="22"/>
        <v>1.1500000000000002E-2</v>
      </c>
      <c r="X45" s="44">
        <f t="shared" ref="X45:X63" si="26">R45-U45-W45</f>
        <v>-3.0499999999999999E-2</v>
      </c>
      <c r="Y45" s="44">
        <f t="shared" ref="Y45:Y63" si="27">X45+I45</f>
        <v>0.10240611439601799</v>
      </c>
      <c r="Z45" s="44">
        <f t="shared" ref="Z45:Z63" si="28">X45+L45</f>
        <v>0.197196534321608</v>
      </c>
      <c r="AA45" s="40">
        <f t="shared" si="13"/>
        <v>-1.1500000000000002E-2</v>
      </c>
      <c r="AC45" s="51"/>
      <c r="AE45" s="75">
        <f>AE44</f>
        <v>1929.9619148851</v>
      </c>
      <c r="AF45" s="43">
        <f>(AF$48-AF$43)/5+AF44</f>
        <v>6601.8</v>
      </c>
      <c r="AG45" s="43">
        <f t="shared" ref="AG45:AG63" si="29">AF45*0.0734908144536897+4</f>
        <v>489.17165886036867</v>
      </c>
      <c r="AH45" s="43">
        <f t="shared" si="4"/>
        <v>944082.67144167796</v>
      </c>
      <c r="AM45" s="62">
        <f t="shared" ref="AM45:AM63" si="30">AM44</f>
        <v>0.16348037336425186</v>
      </c>
      <c r="AQ45" s="45">
        <f t="shared" ref="AQ45:AQ63" si="31">AQ44*(1+AR45)</f>
        <v>1.1322461916512825</v>
      </c>
      <c r="AR45" s="62">
        <f t="shared" ref="AR45:AR63" si="32">AR44</f>
        <v>4.6227497180128009E-2</v>
      </c>
      <c r="AT45" s="57" t="s">
        <v>91</v>
      </c>
      <c r="AV45" s="43">
        <f t="shared" si="19"/>
        <v>553439.85435524082</v>
      </c>
      <c r="AW45" s="44">
        <f t="shared" si="8"/>
        <v>-1</v>
      </c>
      <c r="AX45" s="44">
        <f>AV45/AV44-1</f>
        <v>3.5402630812482405E-2</v>
      </c>
      <c r="AZ45" s="90">
        <v>0.2974</v>
      </c>
      <c r="BA45" s="67">
        <f>((0.99^(-1)+I45-1)/((1-AZ45)*AM45*AQ45))^(1/(AM45-1))*AH45</f>
        <v>842765.77852834587</v>
      </c>
      <c r="BB45" s="67">
        <f t="shared" si="12"/>
        <v>13290780.441248361</v>
      </c>
    </row>
    <row r="46" spans="1:55">
      <c r="A46" s="57" t="s">
        <v>92</v>
      </c>
      <c r="H46" s="75">
        <f t="shared" si="20"/>
        <v>18383.702178454212</v>
      </c>
      <c r="I46" s="76">
        <v>0.133851193859578</v>
      </c>
      <c r="J46" s="86">
        <f t="shared" si="23"/>
        <v>3.6188024831084561E-2</v>
      </c>
      <c r="K46" s="75">
        <f t="shared" si="21"/>
        <v>1154.5704196904255</v>
      </c>
      <c r="L46" s="76">
        <v>0.22765523537704199</v>
      </c>
      <c r="M46" s="86">
        <f t="shared" si="24"/>
        <v>4.1333517018701258E-3</v>
      </c>
      <c r="N46" s="62">
        <f t="shared" si="25"/>
        <v>0.82784500000000005</v>
      </c>
      <c r="O46" s="43">
        <f t="shared" si="17"/>
        <v>16373.426349612855</v>
      </c>
      <c r="Q46" s="44">
        <v>0</v>
      </c>
      <c r="R46" s="62">
        <f t="shared" ref="R46:R63" si="33">Q45/4+Q46*3/4</f>
        <v>0</v>
      </c>
      <c r="S46" s="44">
        <v>1.2999999999999999E-2</v>
      </c>
      <c r="T46" s="44">
        <f t="shared" ref="T46:T63" si="34">S45/4+S46*3/4</f>
        <v>1.15E-2</v>
      </c>
      <c r="U46" s="44">
        <f>AVERAGE(S47:S56)</f>
        <v>1.9699999999999999E-2</v>
      </c>
      <c r="V46" s="62">
        <v>1.4E-2</v>
      </c>
      <c r="W46" s="62">
        <f t="shared" si="22"/>
        <v>1.3500000000000002E-2</v>
      </c>
      <c r="X46" s="44">
        <f t="shared" si="26"/>
        <v>-3.32E-2</v>
      </c>
      <c r="Y46" s="44">
        <f t="shared" si="27"/>
        <v>0.10065119385957799</v>
      </c>
      <c r="Z46" s="44">
        <f t="shared" si="28"/>
        <v>0.19445523537704199</v>
      </c>
      <c r="AA46" s="40">
        <f t="shared" si="13"/>
        <v>-1.3500000000000002E-2</v>
      </c>
      <c r="AC46" s="51"/>
      <c r="AE46" s="75">
        <f t="shared" ref="AE46:AE63" si="35">AE45</f>
        <v>1929.9619148851</v>
      </c>
      <c r="AF46" s="43">
        <f>(AF$48-AF$43)/5+AF45</f>
        <v>6564.5333333333338</v>
      </c>
      <c r="AG46" s="43">
        <f t="shared" si="29"/>
        <v>486.4329011750612</v>
      </c>
      <c r="AH46" s="43">
        <f t="shared" si="4"/>
        <v>938796.97341493575</v>
      </c>
      <c r="AM46" s="62">
        <f t="shared" si="30"/>
        <v>0.16348037336425186</v>
      </c>
      <c r="AQ46" s="45">
        <f t="shared" si="31"/>
        <v>1.1845870992830527</v>
      </c>
      <c r="AR46" s="62">
        <f t="shared" si="32"/>
        <v>4.6227497180128009E-2</v>
      </c>
      <c r="AT46" s="57" t="s">
        <v>92</v>
      </c>
      <c r="AV46" s="43">
        <f t="shared" si="19"/>
        <v>573679.77816254925</v>
      </c>
      <c r="AW46" s="44">
        <f t="shared" si="8"/>
        <v>-1</v>
      </c>
      <c r="AX46" s="44">
        <f>AV46/AV45-1</f>
        <v>3.6571135323978377E-2</v>
      </c>
      <c r="AZ46" s="90">
        <v>0.2974</v>
      </c>
      <c r="BA46" s="67">
        <f t="shared" si="11"/>
        <v>877628.05601166945</v>
      </c>
      <c r="BB46" s="67">
        <f t="shared" si="12"/>
        <v>13949986.504433928</v>
      </c>
    </row>
    <row r="47" spans="1:55">
      <c r="A47" s="57" t="s">
        <v>93</v>
      </c>
      <c r="H47" s="75">
        <f t="shared" si="20"/>
        <v>17999.055500032933</v>
      </c>
      <c r="I47" s="76">
        <v>0.13480299367002699</v>
      </c>
      <c r="J47" s="86">
        <f t="shared" si="23"/>
        <v>3.6188024831084561E-2</v>
      </c>
      <c r="K47" s="75">
        <f t="shared" si="21"/>
        <v>1128.8484477760965</v>
      </c>
      <c r="L47" s="76">
        <v>0.22777482486730799</v>
      </c>
      <c r="M47" s="86">
        <f t="shared" si="24"/>
        <v>4.1333517018701258E-3</v>
      </c>
      <c r="N47" s="62">
        <f t="shared" si="25"/>
        <v>0.82784500000000005</v>
      </c>
      <c r="O47" s="43">
        <f t="shared" si="17"/>
        <v>16029.27654820086</v>
      </c>
      <c r="Q47" s="44">
        <v>0</v>
      </c>
      <c r="R47" s="62">
        <f t="shared" si="33"/>
        <v>0</v>
      </c>
      <c r="S47" s="44">
        <v>1.7000000000000001E-2</v>
      </c>
      <c r="T47" s="44">
        <f t="shared" si="34"/>
        <v>1.6E-2</v>
      </c>
      <c r="U47" s="44">
        <f>AVERAGE(S48:S57)</f>
        <v>1.9999999999999997E-2</v>
      </c>
      <c r="V47" s="62">
        <v>1.7000000000000001E-2</v>
      </c>
      <c r="W47" s="62">
        <f t="shared" si="22"/>
        <v>1.6250000000000001E-2</v>
      </c>
      <c r="X47" s="44">
        <f t="shared" si="26"/>
        <v>-3.6249999999999998E-2</v>
      </c>
      <c r="Y47" s="44">
        <f t="shared" si="27"/>
        <v>9.8552993670026984E-2</v>
      </c>
      <c r="Z47" s="44">
        <f t="shared" si="28"/>
        <v>0.19152482486730799</v>
      </c>
      <c r="AA47" s="40">
        <f t="shared" si="13"/>
        <v>-1.6250000000000001E-2</v>
      </c>
      <c r="AC47" s="51"/>
      <c r="AE47" s="75">
        <f t="shared" si="35"/>
        <v>1929.9619148851</v>
      </c>
      <c r="AF47" s="43">
        <f>(AF$48-AF$43)/5+AF46</f>
        <v>6527.2666666666673</v>
      </c>
      <c r="AG47" s="43">
        <f t="shared" si="29"/>
        <v>483.69414348975369</v>
      </c>
      <c r="AH47" s="43">
        <f t="shared" si="4"/>
        <v>933511.27538819332</v>
      </c>
      <c r="AM47" s="62">
        <f t="shared" si="30"/>
        <v>0.16348037336425186</v>
      </c>
      <c r="AQ47" s="45">
        <f t="shared" si="31"/>
        <v>1.239347596074776</v>
      </c>
      <c r="AR47" s="62">
        <f t="shared" si="32"/>
        <v>4.6227497180128009E-2</v>
      </c>
      <c r="AT47" s="57" t="s">
        <v>93</v>
      </c>
      <c r="AV47" s="43">
        <f t="shared" si="19"/>
        <v>595300.46055375075</v>
      </c>
      <c r="AW47" s="44">
        <f t="shared" si="8"/>
        <v>-1</v>
      </c>
      <c r="AX47" s="44">
        <f t="shared" ref="AX47:AX63" si="36">AV47/AV46-1</f>
        <v>3.768771920190539E-2</v>
      </c>
      <c r="AZ47" s="90">
        <v>0.2974</v>
      </c>
      <c r="BA47" s="67">
        <f t="shared" si="11"/>
        <v>913899.91354302026</v>
      </c>
      <c r="BB47" s="67">
        <f t="shared" si="12"/>
        <v>14641424.212621972</v>
      </c>
    </row>
    <row r="48" spans="1:55">
      <c r="A48" s="57" t="s">
        <v>94</v>
      </c>
      <c r="H48" s="75">
        <f t="shared" si="20"/>
        <v>17727.00372024305</v>
      </c>
      <c r="I48" s="76">
        <v>0.13576156161494701</v>
      </c>
      <c r="J48" s="86">
        <f t="shared" si="23"/>
        <v>3.6188024831084561E-2</v>
      </c>
      <c r="K48" s="75">
        <f t="shared" si="21"/>
        <v>1117.7838074575552</v>
      </c>
      <c r="L48" s="76">
        <v>0.22803362839984001</v>
      </c>
      <c r="M48" s="86">
        <f t="shared" si="24"/>
        <v>4.1333517018701258E-3</v>
      </c>
      <c r="N48" s="62">
        <f t="shared" si="25"/>
        <v>0.82784500000000005</v>
      </c>
      <c r="O48" s="43">
        <f t="shared" si="17"/>
        <v>15792.995202242164</v>
      </c>
      <c r="Q48" s="44">
        <v>2E-3</v>
      </c>
      <c r="R48" s="62">
        <f t="shared" si="33"/>
        <v>1.5E-3</v>
      </c>
      <c r="S48" s="44">
        <v>0.02</v>
      </c>
      <c r="T48" s="44">
        <f t="shared" si="34"/>
        <v>1.925E-2</v>
      </c>
      <c r="U48" s="44">
        <f>U47</f>
        <v>1.9999999999999997E-2</v>
      </c>
      <c r="V48" s="62">
        <v>0.02</v>
      </c>
      <c r="W48" s="62">
        <f t="shared" si="22"/>
        <v>1.925E-2</v>
      </c>
      <c r="X48" s="44">
        <f t="shared" si="26"/>
        <v>-3.7749999999999992E-2</v>
      </c>
      <c r="Y48" s="44">
        <f t="shared" si="27"/>
        <v>9.8011561614947021E-2</v>
      </c>
      <c r="Z48" s="44">
        <f t="shared" si="28"/>
        <v>0.19028362839984003</v>
      </c>
      <c r="AA48" s="40">
        <f t="shared" si="13"/>
        <v>-1.7749999999999998E-2</v>
      </c>
      <c r="AC48" s="51"/>
      <c r="AE48" s="75">
        <f t="shared" si="35"/>
        <v>1929.9619148851</v>
      </c>
      <c r="AF48" s="61">
        <v>6490</v>
      </c>
      <c r="AG48" s="43">
        <f>AF48*0.0734908144536897+4</f>
        <v>480.95538580444617</v>
      </c>
      <c r="AH48" s="43">
        <f t="shared" si="4"/>
        <v>928225.577361451</v>
      </c>
      <c r="AM48" s="62">
        <f t="shared" si="30"/>
        <v>0.16348037336425186</v>
      </c>
      <c r="AQ48" s="45">
        <f t="shared" si="31"/>
        <v>1.2966395335775212</v>
      </c>
      <c r="AR48" s="62">
        <f t="shared" si="32"/>
        <v>4.6227497180128009E-2</v>
      </c>
      <c r="AT48" s="57" t="s">
        <v>94</v>
      </c>
      <c r="AV48" s="43">
        <f t="shared" si="19"/>
        <v>618365.29485546111</v>
      </c>
      <c r="AW48" s="44">
        <f t="shared" si="8"/>
        <v>-1</v>
      </c>
      <c r="AX48" s="44">
        <f t="shared" si="36"/>
        <v>3.8744862183132556E-2</v>
      </c>
      <c r="AZ48" s="90">
        <v>0.2974</v>
      </c>
      <c r="BA48" s="67">
        <f t="shared" si="11"/>
        <v>951636.65117961029</v>
      </c>
      <c r="BB48" s="67">
        <f t="shared" si="12"/>
        <v>15366640.686679034</v>
      </c>
    </row>
    <row r="49" spans="1:54">
      <c r="A49" s="57" t="s">
        <v>95</v>
      </c>
      <c r="H49" s="75">
        <f t="shared" si="20"/>
        <v>17558.099876919914</v>
      </c>
      <c r="I49" s="76">
        <v>0.136726945821732</v>
      </c>
      <c r="J49" s="86">
        <f t="shared" si="23"/>
        <v>3.6188024831084561E-2</v>
      </c>
      <c r="K49" s="75">
        <f t="shared" si="21"/>
        <v>1118.4836344632449</v>
      </c>
      <c r="L49" s="76">
        <v>0.22841289148923399</v>
      </c>
      <c r="M49" s="86">
        <f t="shared" si="24"/>
        <v>4.1333517018701258E-3</v>
      </c>
      <c r="N49" s="62">
        <f t="shared" si="25"/>
        <v>0.82784500000000005</v>
      </c>
      <c r="O49" s="43">
        <f t="shared" si="17"/>
        <v>15653.868827072012</v>
      </c>
      <c r="Q49" s="44">
        <v>5.0000000000000001E-3</v>
      </c>
      <c r="R49" s="62">
        <f t="shared" si="33"/>
        <v>4.2500000000000003E-3</v>
      </c>
      <c r="S49" s="44">
        <v>0.02</v>
      </c>
      <c r="T49" s="44">
        <f t="shared" si="34"/>
        <v>0.02</v>
      </c>
      <c r="U49" s="44">
        <f>U48</f>
        <v>1.9999999999999997E-2</v>
      </c>
      <c r="V49" s="62">
        <v>0.02</v>
      </c>
      <c r="W49" s="62">
        <f t="shared" si="22"/>
        <v>0.02</v>
      </c>
      <c r="X49" s="44">
        <f t="shared" si="26"/>
        <v>-3.5749999999999997E-2</v>
      </c>
      <c r="Y49" s="44">
        <f t="shared" si="27"/>
        <v>0.100976945821732</v>
      </c>
      <c r="Z49" s="44">
        <f t="shared" si="28"/>
        <v>0.19266289148923399</v>
      </c>
      <c r="AA49" s="40">
        <f t="shared" si="13"/>
        <v>-1.575E-2</v>
      </c>
      <c r="AC49" s="51"/>
      <c r="AE49" s="75">
        <f t="shared" si="35"/>
        <v>1929.9619148851</v>
      </c>
      <c r="AF49" s="43">
        <f>(AF$53-AF$48)/5+AF48</f>
        <v>6465.2</v>
      </c>
      <c r="AG49" s="43">
        <f t="shared" si="29"/>
        <v>479.13281360599461</v>
      </c>
      <c r="AH49" s="43">
        <f t="shared" si="4"/>
        <v>924708.08243131102</v>
      </c>
      <c r="AM49" s="62">
        <f t="shared" si="30"/>
        <v>0.16348037336425186</v>
      </c>
      <c r="AQ49" s="45">
        <f t="shared" si="31"/>
        <v>1.3565799339596185</v>
      </c>
      <c r="AR49" s="62">
        <f t="shared" si="32"/>
        <v>4.6227497180128009E-2</v>
      </c>
      <c r="AT49" s="57" t="s">
        <v>95</v>
      </c>
      <c r="AV49" s="43">
        <f t="shared" si="19"/>
        <v>643967.12110273505</v>
      </c>
      <c r="AW49" s="44">
        <f t="shared" si="8"/>
        <v>-1</v>
      </c>
      <c r="AX49" s="44">
        <f t="shared" si="36"/>
        <v>4.1402430667229151E-2</v>
      </c>
      <c r="AZ49" s="90">
        <v>0.2974</v>
      </c>
      <c r="BA49" s="67">
        <f t="shared" si="11"/>
        <v>992794.04320109112</v>
      </c>
      <c r="BB49" s="67">
        <f t="shared" si="12"/>
        <v>16158152.697836528</v>
      </c>
    </row>
    <row r="50" spans="1:54">
      <c r="A50" s="57" t="s">
        <v>96</v>
      </c>
      <c r="H50" s="75">
        <f t="shared" si="20"/>
        <v>17487.824323202509</v>
      </c>
      <c r="I50" s="76">
        <v>0.137699194760004</v>
      </c>
      <c r="J50" s="86">
        <f t="shared" si="23"/>
        <v>3.6188024831084561E-2</v>
      </c>
      <c r="K50" s="75">
        <f t="shared" si="21"/>
        <v>1129.1818130279471</v>
      </c>
      <c r="L50" s="76">
        <v>0.228896386196384</v>
      </c>
      <c r="M50" s="86">
        <f t="shared" si="24"/>
        <v>4.1333517018701258E-3</v>
      </c>
      <c r="N50" s="62">
        <f t="shared" si="25"/>
        <v>0.82784500000000005</v>
      </c>
      <c r="O50" s="43">
        <f t="shared" si="17"/>
        <v>15606.38973986953</v>
      </c>
      <c r="Q50" s="44">
        <v>1.1000000000000001E-2</v>
      </c>
      <c r="R50" s="62">
        <f t="shared" si="33"/>
        <v>9.4999999999999998E-3</v>
      </c>
      <c r="S50" s="44">
        <v>0.02</v>
      </c>
      <c r="T50" s="44">
        <f t="shared" si="34"/>
        <v>0.02</v>
      </c>
      <c r="U50" s="44">
        <f>U49</f>
        <v>1.9999999999999997E-2</v>
      </c>
      <c r="V50" s="62">
        <v>0.02</v>
      </c>
      <c r="W50" s="62">
        <f t="shared" si="22"/>
        <v>0.02</v>
      </c>
      <c r="X50" s="44">
        <f t="shared" si="26"/>
        <v>-3.0499999999999999E-2</v>
      </c>
      <c r="Y50" s="44">
        <f t="shared" si="27"/>
        <v>0.107199194760004</v>
      </c>
      <c r="Z50" s="44">
        <f t="shared" si="28"/>
        <v>0.198396386196384</v>
      </c>
      <c r="AA50" s="40">
        <f t="shared" si="13"/>
        <v>-1.0500000000000001E-2</v>
      </c>
      <c r="AC50" s="51"/>
      <c r="AE50" s="75">
        <f t="shared" si="35"/>
        <v>1929.9619148851</v>
      </c>
      <c r="AF50" s="43">
        <f>(AF$53-AF$48)/5+AF49</f>
        <v>6440.4</v>
      </c>
      <c r="AG50" s="43">
        <f t="shared" si="29"/>
        <v>477.31024140754312</v>
      </c>
      <c r="AH50" s="43">
        <f t="shared" si="4"/>
        <v>921190.58750117128</v>
      </c>
      <c r="AM50" s="62">
        <f t="shared" si="30"/>
        <v>0.16348037336425186</v>
      </c>
      <c r="AQ50" s="45">
        <f t="shared" si="31"/>
        <v>1.4192912290313551</v>
      </c>
      <c r="AR50" s="62">
        <f t="shared" si="32"/>
        <v>4.6227497180128009E-2</v>
      </c>
      <c r="AT50" s="57" t="s">
        <v>96</v>
      </c>
      <c r="AV50" s="43">
        <f t="shared" si="19"/>
        <v>671258.16103329626</v>
      </c>
      <c r="AW50" s="44">
        <f t="shared" si="8"/>
        <v>-1</v>
      </c>
      <c r="AX50" s="44">
        <f t="shared" si="36"/>
        <v>4.2379554850296985E-2</v>
      </c>
      <c r="AZ50" s="90">
        <v>0.2974</v>
      </c>
      <c r="BA50" s="67">
        <f t="shared" si="11"/>
        <v>1035712.4848403344</v>
      </c>
      <c r="BB50" s="67">
        <f t="shared" si="12"/>
        <v>16990188.429056019</v>
      </c>
    </row>
    <row r="51" spans="1:54">
      <c r="A51" s="57" t="s">
        <v>97</v>
      </c>
      <c r="H51" s="75">
        <f t="shared" si="20"/>
        <v>17508.915695747219</v>
      </c>
      <c r="I51" s="76">
        <v>0.13867835724404601</v>
      </c>
      <c r="J51" s="86">
        <f t="shared" si="23"/>
        <v>3.6188024831084561E-2</v>
      </c>
      <c r="K51" s="75">
        <f t="shared" si="21"/>
        <v>1148.1707828972876</v>
      </c>
      <c r="L51" s="76">
        <v>0.229470070759969</v>
      </c>
      <c r="M51" s="86">
        <f t="shared" si="24"/>
        <v>4.1333517018701258E-3</v>
      </c>
      <c r="N51" s="62">
        <f t="shared" si="25"/>
        <v>0.82784500000000005</v>
      </c>
      <c r="O51" s="43">
        <f t="shared" si="17"/>
        <v>15642.839097043146</v>
      </c>
      <c r="Q51" s="44">
        <v>1.8000000000000002E-2</v>
      </c>
      <c r="R51" s="62">
        <f t="shared" si="33"/>
        <v>1.6250000000000001E-2</v>
      </c>
      <c r="S51" s="44">
        <v>0.02</v>
      </c>
      <c r="T51" s="44">
        <f t="shared" si="34"/>
        <v>0.02</v>
      </c>
      <c r="U51" s="44">
        <f t="shared" ref="U51:U63" si="37">U50</f>
        <v>1.9999999999999997E-2</v>
      </c>
      <c r="V51" s="62">
        <v>1.9E-2</v>
      </c>
      <c r="W51" s="62">
        <f t="shared" si="22"/>
        <v>1.925E-2</v>
      </c>
      <c r="X51" s="44">
        <f t="shared" si="26"/>
        <v>-2.2999999999999996E-2</v>
      </c>
      <c r="Y51" s="44">
        <f t="shared" si="27"/>
        <v>0.11567835724404602</v>
      </c>
      <c r="Z51" s="44">
        <f t="shared" si="28"/>
        <v>0.20647007075996901</v>
      </c>
      <c r="AA51" s="40">
        <f t="shared" si="13"/>
        <v>-2.9999999999999992E-3</v>
      </c>
      <c r="AC51" s="51"/>
      <c r="AE51" s="75">
        <f t="shared" si="35"/>
        <v>1929.9619148851</v>
      </c>
      <c r="AF51" s="43">
        <f>(AF$53-AF$48)/5+AF50</f>
        <v>6415.5999999999995</v>
      </c>
      <c r="AG51" s="43">
        <f t="shared" si="29"/>
        <v>475.48766920909156</v>
      </c>
      <c r="AH51" s="43">
        <f t="shared" si="4"/>
        <v>917673.0925710313</v>
      </c>
      <c r="AM51" s="62">
        <f t="shared" si="30"/>
        <v>0.16348037336425186</v>
      </c>
      <c r="AQ51" s="45">
        <f t="shared" si="31"/>
        <v>1.4849015103191825</v>
      </c>
      <c r="AR51" s="62">
        <f t="shared" si="32"/>
        <v>4.6227497180128009E-2</v>
      </c>
      <c r="AT51" s="57" t="s">
        <v>97</v>
      </c>
      <c r="AV51" s="43">
        <f t="shared" si="19"/>
        <v>700311.83102270542</v>
      </c>
      <c r="AW51" s="44">
        <f t="shared" si="8"/>
        <v>-1</v>
      </c>
      <c r="AX51" s="44">
        <f t="shared" si="36"/>
        <v>4.3282408581350573E-2</v>
      </c>
      <c r="AZ51" s="90">
        <v>0.2974</v>
      </c>
      <c r="BA51" s="67">
        <f t="shared" si="11"/>
        <v>1080466.4058469164</v>
      </c>
      <c r="BB51" s="67">
        <f t="shared" si="12"/>
        <v>17864807.90186917</v>
      </c>
    </row>
    <row r="52" spans="1:54">
      <c r="A52" s="57" t="s">
        <v>98</v>
      </c>
      <c r="H52" s="75">
        <f t="shared" si="20"/>
        <v>17615.098222991699</v>
      </c>
      <c r="I52" s="76">
        <v>0.13966448243525401</v>
      </c>
      <c r="J52" s="86">
        <f t="shared" si="23"/>
        <v>3.6188024831084561E-2</v>
      </c>
      <c r="K52" s="75">
        <f t="shared" si="21"/>
        <v>1174.1634619610663</v>
      </c>
      <c r="L52" s="76">
        <v>0.230121795081348</v>
      </c>
      <c r="M52" s="86">
        <f t="shared" si="24"/>
        <v>4.1333517018701258E-3</v>
      </c>
      <c r="N52" s="62">
        <f t="shared" si="25"/>
        <v>0.82784500000000005</v>
      </c>
      <c r="O52" s="43">
        <f t="shared" si="17"/>
        <v>15756.734450373631</v>
      </c>
      <c r="Q52" s="44">
        <v>2.3E-2</v>
      </c>
      <c r="R52" s="62">
        <f t="shared" si="33"/>
        <v>2.1750000000000002E-2</v>
      </c>
      <c r="S52" s="44">
        <v>0.02</v>
      </c>
      <c r="T52" s="44">
        <f t="shared" si="34"/>
        <v>0.02</v>
      </c>
      <c r="U52" s="44">
        <f t="shared" si="37"/>
        <v>1.9999999999999997E-2</v>
      </c>
      <c r="V52" s="62">
        <v>1.7999999999999999E-2</v>
      </c>
      <c r="W52" s="62">
        <f t="shared" si="22"/>
        <v>1.8249999999999999E-2</v>
      </c>
      <c r="X52" s="44">
        <f t="shared" si="26"/>
        <v>-1.6499999999999994E-2</v>
      </c>
      <c r="Y52" s="44">
        <f t="shared" si="27"/>
        <v>0.12316448243525402</v>
      </c>
      <c r="Z52" s="44">
        <f t="shared" si="28"/>
        <v>0.21362179508134801</v>
      </c>
      <c r="AA52" s="40">
        <f t="shared" si="13"/>
        <v>3.5000000000000031E-3</v>
      </c>
      <c r="AC52" s="51"/>
      <c r="AE52" s="75">
        <f t="shared" si="35"/>
        <v>1929.9619148851</v>
      </c>
      <c r="AF52" s="43">
        <f>(AF$53-AF$48)/5+AF51</f>
        <v>6390.7999999999993</v>
      </c>
      <c r="AG52" s="43">
        <f t="shared" si="29"/>
        <v>473.66509701064007</v>
      </c>
      <c r="AH52" s="43">
        <f t="shared" si="4"/>
        <v>914155.59764089156</v>
      </c>
      <c r="AM52" s="62">
        <f t="shared" si="30"/>
        <v>0.16348037336425186</v>
      </c>
      <c r="AQ52" s="45">
        <f t="shared" si="31"/>
        <v>1.5535447907002302</v>
      </c>
      <c r="AR52" s="62">
        <f t="shared" si="32"/>
        <v>4.6227497180128009E-2</v>
      </c>
      <c r="AT52" s="57" t="s">
        <v>98</v>
      </c>
      <c r="AV52" s="43">
        <f t="shared" si="19"/>
        <v>731202.1349751394</v>
      </c>
      <c r="AW52" s="44">
        <f t="shared" si="8"/>
        <v>-1</v>
      </c>
      <c r="AX52" s="44">
        <f t="shared" si="36"/>
        <v>4.410935612400424E-2</v>
      </c>
      <c r="AZ52" s="90">
        <v>0.2974</v>
      </c>
      <c r="BA52" s="67">
        <f t="shared" si="11"/>
        <v>1127133.3360341862</v>
      </c>
      <c r="BB52" s="67">
        <f t="shared" si="12"/>
        <v>18784174.973871227</v>
      </c>
    </row>
    <row r="53" spans="1:54">
      <c r="A53" s="57" t="s">
        <v>99</v>
      </c>
      <c r="H53" s="75">
        <f t="shared" si="20"/>
        <v>17800.970748333639</v>
      </c>
      <c r="I53" s="76">
        <v>0.14065761984460601</v>
      </c>
      <c r="J53" s="86">
        <f t="shared" si="23"/>
        <v>3.6188024831084561E-2</v>
      </c>
      <c r="K53" s="75">
        <f t="shared" si="21"/>
        <v>1206.1944172767119</v>
      </c>
      <c r="L53" s="76">
        <v>0.230841045885603</v>
      </c>
      <c r="M53" s="86">
        <f t="shared" si="24"/>
        <v>4.1333517018701258E-3</v>
      </c>
      <c r="N53" s="62">
        <f t="shared" si="25"/>
        <v>0.82784500000000005</v>
      </c>
      <c r="O53" s="43">
        <f t="shared" si="17"/>
        <v>15942.639046430975</v>
      </c>
      <c r="Q53" s="44">
        <v>2.7000000000000003E-2</v>
      </c>
      <c r="R53" s="62">
        <f t="shared" si="33"/>
        <v>2.6000000000000002E-2</v>
      </c>
      <c r="S53" s="44">
        <v>0.02</v>
      </c>
      <c r="T53" s="44">
        <f t="shared" si="34"/>
        <v>0.02</v>
      </c>
      <c r="U53" s="44">
        <f t="shared" si="37"/>
        <v>1.9999999999999997E-2</v>
      </c>
      <c r="V53" s="62">
        <v>1.7999999999999999E-2</v>
      </c>
      <c r="W53" s="62">
        <f t="shared" si="22"/>
        <v>1.7999999999999999E-2</v>
      </c>
      <c r="X53" s="44">
        <f t="shared" si="26"/>
        <v>-1.1999999999999993E-2</v>
      </c>
      <c r="Y53" s="44">
        <f t="shared" si="27"/>
        <v>0.12865761984460602</v>
      </c>
      <c r="Z53" s="44">
        <f t="shared" si="28"/>
        <v>0.21884104588560302</v>
      </c>
      <c r="AA53" s="40">
        <f t="shared" si="13"/>
        <v>8.0000000000000036E-3</v>
      </c>
      <c r="AC53" s="51"/>
      <c r="AE53" s="75">
        <f t="shared" si="35"/>
        <v>1929.9619148851</v>
      </c>
      <c r="AF53" s="61">
        <v>6366</v>
      </c>
      <c r="AG53" s="43">
        <f t="shared" si="29"/>
        <v>471.84252481218863</v>
      </c>
      <c r="AH53" s="43">
        <f t="shared" si="4"/>
        <v>910638.10271075182</v>
      </c>
      <c r="AM53" s="62">
        <f t="shared" si="30"/>
        <v>0.16348037336425186</v>
      </c>
      <c r="AQ53" s="45">
        <f t="shared" si="31"/>
        <v>1.6253612781315276</v>
      </c>
      <c r="AR53" s="62">
        <f t="shared" si="32"/>
        <v>4.6227497180128009E-2</v>
      </c>
      <c r="AT53" s="57" t="s">
        <v>99</v>
      </c>
      <c r="AV53" s="43">
        <f t="shared" si="19"/>
        <v>764004.22551331716</v>
      </c>
      <c r="AW53" s="44">
        <f t="shared" si="8"/>
        <v>-1</v>
      </c>
      <c r="AX53" s="44">
        <f t="shared" si="36"/>
        <v>4.4860496118891868E-2</v>
      </c>
      <c r="AZ53" s="90">
        <v>0.2974</v>
      </c>
      <c r="BA53" s="67">
        <f t="shared" si="11"/>
        <v>1175794.0320945075</v>
      </c>
      <c r="BB53" s="67">
        <f t="shared" si="12"/>
        <v>19750562.518968575</v>
      </c>
    </row>
    <row r="54" spans="1:54">
      <c r="A54" s="57" t="s">
        <v>100</v>
      </c>
      <c r="H54" s="75">
        <f t="shared" si="20"/>
        <v>18061.90896034252</v>
      </c>
      <c r="I54" s="76">
        <v>0.14165781933514399</v>
      </c>
      <c r="J54" s="86">
        <f t="shared" si="23"/>
        <v>3.6188024831084561E-2</v>
      </c>
      <c r="K54" s="75">
        <f t="shared" si="21"/>
        <v>1243.545053027324</v>
      </c>
      <c r="L54" s="76">
        <v>0.23161872621371701</v>
      </c>
      <c r="M54" s="86">
        <f t="shared" si="24"/>
        <v>4.1333517018701258E-3</v>
      </c>
      <c r="N54" s="62">
        <f t="shared" si="25"/>
        <v>0.82784500000000005</v>
      </c>
      <c r="O54" s="43">
        <f t="shared" si="17"/>
        <v>16196.006076302079</v>
      </c>
      <c r="Q54" s="44">
        <v>2.7000000000000003E-2</v>
      </c>
      <c r="R54" s="62">
        <f t="shared" si="33"/>
        <v>2.7000000000000003E-2</v>
      </c>
      <c r="S54" s="44">
        <v>0.02</v>
      </c>
      <c r="T54" s="44">
        <f t="shared" si="34"/>
        <v>0.02</v>
      </c>
      <c r="U54" s="44">
        <f t="shared" si="37"/>
        <v>1.9999999999999997E-2</v>
      </c>
      <c r="V54" s="62">
        <v>1.7999999999999999E-2</v>
      </c>
      <c r="W54" s="62">
        <f t="shared" si="22"/>
        <v>1.7999999999999999E-2</v>
      </c>
      <c r="X54" s="44">
        <f t="shared" si="26"/>
        <v>-1.0999999999999992E-2</v>
      </c>
      <c r="Y54" s="44">
        <f t="shared" si="27"/>
        <v>0.130657819335144</v>
      </c>
      <c r="Z54" s="44">
        <f t="shared" si="28"/>
        <v>0.22061872621371703</v>
      </c>
      <c r="AA54" s="40">
        <f t="shared" si="13"/>
        <v>9.0000000000000045E-3</v>
      </c>
      <c r="AC54" s="51"/>
      <c r="AE54" s="75">
        <f t="shared" si="35"/>
        <v>1929.9619148851</v>
      </c>
      <c r="AF54" s="43">
        <f>(AF$58-AF$53)/5+AF53</f>
        <v>6334.6</v>
      </c>
      <c r="AG54" s="43">
        <f t="shared" si="29"/>
        <v>469.53491323834277</v>
      </c>
      <c r="AH54" s="43">
        <f t="shared" si="4"/>
        <v>906184.50025888125</v>
      </c>
      <c r="AM54" s="62">
        <f t="shared" si="30"/>
        <v>0.16348037336425186</v>
      </c>
      <c r="AQ54" s="45">
        <f t="shared" si="31"/>
        <v>1.7004976620330421</v>
      </c>
      <c r="AR54" s="62">
        <f t="shared" si="32"/>
        <v>4.6227497180128009E-2</v>
      </c>
      <c r="AT54" s="57" t="s">
        <v>100</v>
      </c>
      <c r="AV54" s="43">
        <f t="shared" si="19"/>
        <v>798105.40158134489</v>
      </c>
      <c r="AW54" s="44">
        <f t="shared" si="8"/>
        <v>-1</v>
      </c>
      <c r="AX54" s="44">
        <f t="shared" si="36"/>
        <v>4.46348003443513E-2</v>
      </c>
      <c r="AZ54" s="90">
        <v>0.2974</v>
      </c>
      <c r="BA54" s="67">
        <f t="shared" si="11"/>
        <v>1225266.8831935215</v>
      </c>
      <c r="BB54" s="67">
        <f t="shared" si="12"/>
        <v>20744927.918817937</v>
      </c>
    </row>
    <row r="55" spans="1:54">
      <c r="A55" s="57" t="s">
        <v>101</v>
      </c>
      <c r="H55" s="75">
        <f t="shared" si="20"/>
        <v>18391.484133015343</v>
      </c>
      <c r="I55" s="76">
        <v>0.14266513112448301</v>
      </c>
      <c r="J55" s="86">
        <f t="shared" si="23"/>
        <v>3.6188024831084561E-2</v>
      </c>
      <c r="K55" s="75">
        <f t="shared" si="21"/>
        <v>1285.4017638455653</v>
      </c>
      <c r="L55" s="76">
        <v>0.232446964620865</v>
      </c>
      <c r="M55" s="86">
        <f t="shared" si="24"/>
        <v>4.1333517018701258E-3</v>
      </c>
      <c r="N55" s="62">
        <f t="shared" si="25"/>
        <v>0.82784500000000005</v>
      </c>
      <c r="O55" s="43">
        <f t="shared" si="17"/>
        <v>16510.699945941655</v>
      </c>
      <c r="Q55" s="44">
        <v>2.7000000000000003E-2</v>
      </c>
      <c r="R55" s="62">
        <f t="shared" si="33"/>
        <v>2.7000000000000003E-2</v>
      </c>
      <c r="S55" s="44">
        <v>0.02</v>
      </c>
      <c r="T55" s="44">
        <f>S54/4+S55*3/4</f>
        <v>0.02</v>
      </c>
      <c r="U55" s="44">
        <f t="shared" si="37"/>
        <v>1.9999999999999997E-2</v>
      </c>
      <c r="V55" s="62">
        <v>1.7999999999999999E-2</v>
      </c>
      <c r="W55" s="62">
        <f t="shared" si="22"/>
        <v>1.7999999999999999E-2</v>
      </c>
      <c r="X55" s="44">
        <f t="shared" si="26"/>
        <v>-1.0999999999999992E-2</v>
      </c>
      <c r="Y55" s="44">
        <f t="shared" si="27"/>
        <v>0.13166513112448303</v>
      </c>
      <c r="Z55" s="44">
        <f t="shared" si="28"/>
        <v>0.22144696462086502</v>
      </c>
      <c r="AA55" s="40">
        <f t="shared" si="13"/>
        <v>9.0000000000000045E-3</v>
      </c>
      <c r="AC55" s="51"/>
      <c r="AE55" s="75">
        <f t="shared" si="35"/>
        <v>1929.9619148851</v>
      </c>
      <c r="AF55" s="43">
        <f>(AF$58-AF$53)/5+AF54</f>
        <v>6303.2000000000007</v>
      </c>
      <c r="AG55" s="43">
        <f t="shared" si="29"/>
        <v>467.22730166449696</v>
      </c>
      <c r="AH55" s="43">
        <f t="shared" si="4"/>
        <v>901730.8978070108</v>
      </c>
      <c r="AM55" s="62">
        <f t="shared" si="30"/>
        <v>0.16348037336425186</v>
      </c>
      <c r="AQ55" s="45">
        <f t="shared" si="31"/>
        <v>1.7791074129094888</v>
      </c>
      <c r="AR55" s="62">
        <f t="shared" si="32"/>
        <v>4.6227497180128009E-2</v>
      </c>
      <c r="AT55" s="57" t="s">
        <v>101</v>
      </c>
      <c r="AV55" s="43">
        <f t="shared" si="19"/>
        <v>834185.8007181352</v>
      </c>
      <c r="AW55" s="44">
        <f t="shared" si="8"/>
        <v>-1</v>
      </c>
      <c r="AX55" s="44">
        <f t="shared" si="36"/>
        <v>4.5207561639479588E-2</v>
      </c>
      <c r="AZ55" s="90">
        <v>0.2974</v>
      </c>
      <c r="BA55" s="67">
        <f t="shared" si="11"/>
        <v>1276785.7584238567</v>
      </c>
      <c r="BB55" s="67">
        <f t="shared" si="12"/>
        <v>21788829.518494967</v>
      </c>
    </row>
    <row r="56" spans="1:54">
      <c r="A56" s="57" t="s">
        <v>102</v>
      </c>
      <c r="H56" s="75">
        <f t="shared" si="20"/>
        <v>18786.414284617465</v>
      </c>
      <c r="I56" s="76">
        <v>0.143679605787327</v>
      </c>
      <c r="J56" s="86">
        <f t="shared" si="23"/>
        <v>3.6188024831084561E-2</v>
      </c>
      <c r="K56" s="75">
        <f t="shared" si="21"/>
        <v>1331.4123554287776</v>
      </c>
      <c r="L56" s="76">
        <v>0.23331895007893599</v>
      </c>
      <c r="M56" s="86">
        <f t="shared" si="24"/>
        <v>4.1333517018701258E-3</v>
      </c>
      <c r="N56" s="62">
        <f t="shared" si="25"/>
        <v>0.82784500000000005</v>
      </c>
      <c r="O56" s="43">
        <f t="shared" si="17"/>
        <v>16883.651488877924</v>
      </c>
      <c r="Q56" s="44">
        <v>2.7000000000000003E-2</v>
      </c>
      <c r="R56" s="62">
        <f t="shared" si="33"/>
        <v>2.7000000000000003E-2</v>
      </c>
      <c r="S56" s="44">
        <v>0.02</v>
      </c>
      <c r="T56" s="44">
        <f t="shared" si="34"/>
        <v>0.02</v>
      </c>
      <c r="U56" s="44">
        <f t="shared" si="37"/>
        <v>1.9999999999999997E-2</v>
      </c>
      <c r="V56" s="62">
        <v>1.7999999999999999E-2</v>
      </c>
      <c r="W56" s="62">
        <f t="shared" si="22"/>
        <v>1.7999999999999999E-2</v>
      </c>
      <c r="X56" s="44">
        <f t="shared" si="26"/>
        <v>-1.0999999999999992E-2</v>
      </c>
      <c r="Y56" s="44">
        <f t="shared" si="27"/>
        <v>0.13267960578732702</v>
      </c>
      <c r="Z56" s="44">
        <f t="shared" si="28"/>
        <v>0.22231895007893601</v>
      </c>
      <c r="AA56" s="40">
        <f t="shared" si="13"/>
        <v>9.0000000000000045E-3</v>
      </c>
      <c r="AC56" s="51"/>
      <c r="AE56" s="75">
        <f t="shared" si="35"/>
        <v>1929.9619148851</v>
      </c>
      <c r="AF56" s="43">
        <f>(AF$58-AF$53)/5+AF55</f>
        <v>6271.8000000000011</v>
      </c>
      <c r="AG56" s="43">
        <f t="shared" si="29"/>
        <v>464.91969009065116</v>
      </c>
      <c r="AH56" s="43">
        <f t="shared" si="4"/>
        <v>897277.29535514035</v>
      </c>
      <c r="AM56" s="62">
        <f t="shared" si="30"/>
        <v>0.16348037336425186</v>
      </c>
      <c r="AQ56" s="45">
        <f t="shared" si="31"/>
        <v>1.8613510958229069</v>
      </c>
      <c r="AR56" s="62">
        <f t="shared" si="32"/>
        <v>4.6227497180128009E-2</v>
      </c>
      <c r="AT56" s="57" t="s">
        <v>102</v>
      </c>
      <c r="AV56" s="43">
        <f t="shared" si="19"/>
        <v>872320.51018564426</v>
      </c>
      <c r="AW56" s="44">
        <f t="shared" si="8"/>
        <v>-1</v>
      </c>
      <c r="AX56" s="44">
        <f t="shared" si="36"/>
        <v>4.5714886820993117E-2</v>
      </c>
      <c r="AZ56" s="90">
        <v>0.2974</v>
      </c>
      <c r="BA56" s="67">
        <f t="shared" si="11"/>
        <v>1330433.4658746824</v>
      </c>
      <c r="BB56" s="67">
        <f t="shared" si="12"/>
        <v>22884702.848377325</v>
      </c>
    </row>
    <row r="57" spans="1:54">
      <c r="A57" s="57" t="s">
        <v>103</v>
      </c>
      <c r="H57" s="75">
        <f t="shared" si="20"/>
        <v>19243.945314372464</v>
      </c>
      <c r="I57" s="76">
        <v>0.14470129425801201</v>
      </c>
      <c r="J57" s="86">
        <f t="shared" si="23"/>
        <v>3.6188024831084561E-2</v>
      </c>
      <c r="K57" s="75">
        <f t="shared" si="21"/>
        <v>1381.3293690732169</v>
      </c>
      <c r="L57" s="76">
        <v>0.23422878912047199</v>
      </c>
      <c r="M57" s="86">
        <f t="shared" si="24"/>
        <v>4.1333517018701258E-3</v>
      </c>
      <c r="N57" s="62">
        <f t="shared" si="25"/>
        <v>0.82784500000000005</v>
      </c>
      <c r="O57" s="43">
        <f t="shared" si="17"/>
        <v>17312.333277849888</v>
      </c>
      <c r="Q57" s="44">
        <v>2.7000000000000003E-2</v>
      </c>
      <c r="R57" s="62">
        <f t="shared" si="33"/>
        <v>2.7000000000000003E-2</v>
      </c>
      <c r="S57" s="44">
        <v>0.02</v>
      </c>
      <c r="T57" s="44">
        <f t="shared" si="34"/>
        <v>0.02</v>
      </c>
      <c r="U57" s="44">
        <f t="shared" si="37"/>
        <v>1.9999999999999997E-2</v>
      </c>
      <c r="V57" s="62">
        <v>1.7999999999999999E-2</v>
      </c>
      <c r="W57" s="62">
        <f t="shared" si="22"/>
        <v>1.7999999999999999E-2</v>
      </c>
      <c r="X57" s="44">
        <f t="shared" si="26"/>
        <v>-1.0999999999999992E-2</v>
      </c>
      <c r="Y57" s="44">
        <f t="shared" si="27"/>
        <v>0.13370129425801203</v>
      </c>
      <c r="Z57" s="44">
        <f t="shared" si="28"/>
        <v>0.223228789120472</v>
      </c>
      <c r="AA57" s="40">
        <f t="shared" si="13"/>
        <v>9.0000000000000045E-3</v>
      </c>
      <c r="AC57" s="51"/>
      <c r="AE57" s="75">
        <f t="shared" si="35"/>
        <v>1929.9619148851</v>
      </c>
      <c r="AF57" s="43">
        <f>(AF$58-AF$53)/5+AF56</f>
        <v>6240.4000000000015</v>
      </c>
      <c r="AG57" s="43">
        <f t="shared" si="29"/>
        <v>462.6120785168053</v>
      </c>
      <c r="AH57" s="43">
        <f t="shared" si="4"/>
        <v>892823.69290326978</v>
      </c>
      <c r="AM57" s="62">
        <f t="shared" si="30"/>
        <v>0.16348037336425186</v>
      </c>
      <c r="AQ57" s="45">
        <f t="shared" si="31"/>
        <v>1.9473966983562885</v>
      </c>
      <c r="AR57" s="62">
        <f t="shared" si="32"/>
        <v>4.6227497180128009E-2</v>
      </c>
      <c r="AT57" s="57" t="s">
        <v>103</v>
      </c>
      <c r="AV57" s="43">
        <f t="shared" si="19"/>
        <v>912587.8725009734</v>
      </c>
      <c r="AW57" s="44">
        <f t="shared" si="8"/>
        <v>-1</v>
      </c>
      <c r="AX57" s="44">
        <f t="shared" si="36"/>
        <v>4.6161200894794474E-2</v>
      </c>
      <c r="AZ57" s="90">
        <v>0.2974</v>
      </c>
      <c r="BA57" s="67">
        <f t="shared" si="11"/>
        <v>1386296.0710736322</v>
      </c>
      <c r="BB57" s="67">
        <f t="shared" si="12"/>
        <v>24035101.193629134</v>
      </c>
    </row>
    <row r="58" spans="1:54">
      <c r="A58" s="57" t="s">
        <v>104</v>
      </c>
      <c r="H58" s="75">
        <f t="shared" si="20"/>
        <v>19761.796779813547</v>
      </c>
      <c r="I58" s="76">
        <v>0.14573024783306199</v>
      </c>
      <c r="J58" s="86">
        <f t="shared" si="23"/>
        <v>3.6188024831084561E-2</v>
      </c>
      <c r="K58" s="75">
        <f t="shared" si="21"/>
        <v>1434.9869271694454</v>
      </c>
      <c r="L58" s="76">
        <v>0.23517138222773001</v>
      </c>
      <c r="M58" s="86">
        <f t="shared" si="24"/>
        <v>4.1333517018701258E-3</v>
      </c>
      <c r="N58" s="62">
        <f t="shared" si="25"/>
        <v>0.82784500000000005</v>
      </c>
      <c r="O58" s="43">
        <f t="shared" si="17"/>
        <v>17794.691582354193</v>
      </c>
      <c r="Q58" s="44">
        <v>2.7000000000000003E-2</v>
      </c>
      <c r="R58" s="62">
        <f t="shared" si="33"/>
        <v>2.7000000000000003E-2</v>
      </c>
      <c r="S58" s="44">
        <v>0.02</v>
      </c>
      <c r="T58" s="44">
        <f t="shared" si="34"/>
        <v>0.02</v>
      </c>
      <c r="U58" s="44">
        <f t="shared" si="37"/>
        <v>1.9999999999999997E-2</v>
      </c>
      <c r="V58" s="62">
        <v>1.7999999999999999E-2</v>
      </c>
      <c r="W58" s="62">
        <f t="shared" si="22"/>
        <v>1.7999999999999999E-2</v>
      </c>
      <c r="X58" s="44">
        <f t="shared" si="26"/>
        <v>-1.0999999999999992E-2</v>
      </c>
      <c r="Y58" s="44">
        <f t="shared" si="27"/>
        <v>0.13473024783306201</v>
      </c>
      <c r="Z58" s="44">
        <f t="shared" si="28"/>
        <v>0.22417138222773003</v>
      </c>
      <c r="AA58" s="40">
        <f t="shared" si="13"/>
        <v>9.0000000000000045E-3</v>
      </c>
      <c r="AC58" s="51"/>
      <c r="AE58" s="75">
        <f t="shared" si="35"/>
        <v>1929.9619148851</v>
      </c>
      <c r="AF58" s="61">
        <v>6209</v>
      </c>
      <c r="AG58" s="43">
        <f t="shared" si="29"/>
        <v>460.30446694295932</v>
      </c>
      <c r="AH58" s="43">
        <f t="shared" si="4"/>
        <v>888370.09045139898</v>
      </c>
      <c r="AM58" s="62">
        <f t="shared" si="30"/>
        <v>0.16348037336425186</v>
      </c>
      <c r="AQ58" s="45">
        <f t="shared" si="31"/>
        <v>2.0374199737381442</v>
      </c>
      <c r="AR58" s="62">
        <f t="shared" si="32"/>
        <v>4.6227497180128009E-2</v>
      </c>
      <c r="AT58" s="57" t="s">
        <v>104</v>
      </c>
      <c r="AV58" s="43">
        <f t="shared" si="19"/>
        <v>955070.00002143951</v>
      </c>
      <c r="AW58" s="44">
        <f t="shared" si="8"/>
        <v>-1</v>
      </c>
      <c r="AX58" s="44">
        <f t="shared" si="36"/>
        <v>4.6551273362906542E-2</v>
      </c>
      <c r="AZ58" s="90">
        <v>0.2974</v>
      </c>
      <c r="BA58" s="67">
        <f t="shared" si="11"/>
        <v>1444463.02010294</v>
      </c>
      <c r="BB58" s="67">
        <f t="shared" si="12"/>
        <v>25242701.162650757</v>
      </c>
    </row>
    <row r="59" spans="1:54">
      <c r="A59" s="57" t="s">
        <v>105</v>
      </c>
      <c r="H59" s="75">
        <f t="shared" si="20"/>
        <v>20338.11492508469</v>
      </c>
      <c r="I59" s="76">
        <v>0.14676651817376299</v>
      </c>
      <c r="J59" s="86">
        <f t="shared" si="23"/>
        <v>3.6188024831084561E-2</v>
      </c>
      <c r="K59" s="75">
        <f t="shared" si="21"/>
        <v>1492.2830890276557</v>
      </c>
      <c r="L59" s="76">
        <v>0.23614231687423301</v>
      </c>
      <c r="M59" s="86">
        <f t="shared" si="24"/>
        <v>4.1333517018701258E-3</v>
      </c>
      <c r="N59" s="62">
        <f t="shared" si="25"/>
        <v>0.82784500000000005</v>
      </c>
      <c r="O59" s="43">
        <f t="shared" si="17"/>
        <v>18329.089839184391</v>
      </c>
      <c r="Q59" s="44">
        <v>2.7000000000000003E-2</v>
      </c>
      <c r="R59" s="62">
        <f t="shared" si="33"/>
        <v>2.7000000000000003E-2</v>
      </c>
      <c r="S59" s="44">
        <v>0.02</v>
      </c>
      <c r="T59" s="44">
        <f t="shared" si="34"/>
        <v>0.02</v>
      </c>
      <c r="U59" s="44">
        <f t="shared" si="37"/>
        <v>1.9999999999999997E-2</v>
      </c>
      <c r="V59" s="62">
        <v>1.7999999999999999E-2</v>
      </c>
      <c r="W59" s="62">
        <f t="shared" si="22"/>
        <v>1.7999999999999999E-2</v>
      </c>
      <c r="X59" s="44">
        <f t="shared" si="26"/>
        <v>-1.0999999999999992E-2</v>
      </c>
      <c r="Y59" s="44">
        <f t="shared" si="27"/>
        <v>0.13576651817376301</v>
      </c>
      <c r="Z59" s="44">
        <f t="shared" si="28"/>
        <v>0.22514231687423303</v>
      </c>
      <c r="AA59" s="40">
        <f t="shared" si="13"/>
        <v>9.0000000000000045E-3</v>
      </c>
      <c r="AC59" s="51"/>
      <c r="AE59" s="75">
        <f t="shared" si="35"/>
        <v>1929.9619148851</v>
      </c>
      <c r="AF59" s="43">
        <f>(AF$63-AF$58)/5+AF58</f>
        <v>6172</v>
      </c>
      <c r="AG59" s="43">
        <f t="shared" si="29"/>
        <v>457.58530680817285</v>
      </c>
      <c r="AH59" s="43">
        <f t="shared" si="4"/>
        <v>883122.21495078725</v>
      </c>
      <c r="AM59" s="62">
        <f t="shared" si="30"/>
        <v>0.16348037336425186</v>
      </c>
      <c r="AQ59" s="45">
        <f t="shared" si="31"/>
        <v>2.1316047998288608</v>
      </c>
      <c r="AR59" s="62">
        <f t="shared" si="32"/>
        <v>4.6227497180128009E-2</v>
      </c>
      <c r="AT59" s="57" t="s">
        <v>105</v>
      </c>
      <c r="AV59" s="43">
        <f t="shared" si="19"/>
        <v>999101.61988905072</v>
      </c>
      <c r="AW59" s="44">
        <f t="shared" si="8"/>
        <v>-1</v>
      </c>
      <c r="AX59" s="44">
        <f t="shared" si="36"/>
        <v>4.6103028957691805E-2</v>
      </c>
      <c r="AZ59" s="90">
        <v>0.2974</v>
      </c>
      <c r="BA59" s="67">
        <f t="shared" si="11"/>
        <v>1503674.8739503196</v>
      </c>
      <c r="BB59" s="67">
        <f t="shared" si="12"/>
        <v>26486486.776773524</v>
      </c>
    </row>
    <row r="60" spans="1:54">
      <c r="A60" s="57" t="s">
        <v>106</v>
      </c>
      <c r="H60" s="75">
        <f t="shared" si="20"/>
        <v>20968.712034244345</v>
      </c>
      <c r="I60" s="76">
        <v>0.14781015730876099</v>
      </c>
      <c r="J60" s="86">
        <f t="shared" si="23"/>
        <v>3.6188024831084561E-2</v>
      </c>
      <c r="K60" s="75">
        <f t="shared" si="21"/>
        <v>1552.8557410433884</v>
      </c>
      <c r="L60" s="76">
        <v>0.23713777497542901</v>
      </c>
      <c r="M60" s="86">
        <f t="shared" si="24"/>
        <v>4.1333517018701258E-3</v>
      </c>
      <c r="N60" s="62">
        <f t="shared" si="25"/>
        <v>0.82784500000000005</v>
      </c>
      <c r="O60" s="43">
        <f t="shared" si="17"/>
        <v>18911.699155032402</v>
      </c>
      <c r="Q60" s="44">
        <v>2.7000000000000003E-2</v>
      </c>
      <c r="R60" s="62">
        <f t="shared" si="33"/>
        <v>2.7000000000000003E-2</v>
      </c>
      <c r="S60" s="44">
        <v>0.02</v>
      </c>
      <c r="T60" s="44">
        <f t="shared" si="34"/>
        <v>0.02</v>
      </c>
      <c r="U60" s="44">
        <f t="shared" si="37"/>
        <v>1.9999999999999997E-2</v>
      </c>
      <c r="V60" s="62">
        <v>1.7999999999999999E-2</v>
      </c>
      <c r="W60" s="62">
        <f t="shared" si="22"/>
        <v>1.7999999999999999E-2</v>
      </c>
      <c r="X60" s="44">
        <f t="shared" si="26"/>
        <v>-1.0999999999999992E-2</v>
      </c>
      <c r="Y60" s="44">
        <f t="shared" si="27"/>
        <v>0.136810157308761</v>
      </c>
      <c r="Z60" s="44">
        <f t="shared" si="28"/>
        <v>0.22613777497542903</v>
      </c>
      <c r="AA60" s="40">
        <f t="shared" si="13"/>
        <v>9.0000000000000045E-3</v>
      </c>
      <c r="AC60" s="51"/>
      <c r="AE60" s="75">
        <f t="shared" si="35"/>
        <v>1929.9619148851</v>
      </c>
      <c r="AF60" s="43">
        <f>(AF$63-AF$58)/5+AF59</f>
        <v>6135</v>
      </c>
      <c r="AG60" s="43">
        <f t="shared" si="29"/>
        <v>454.86614667338631</v>
      </c>
      <c r="AH60" s="43">
        <f t="shared" si="4"/>
        <v>877874.33945017541</v>
      </c>
      <c r="AM60" s="62">
        <f t="shared" si="30"/>
        <v>0.16348037336425186</v>
      </c>
      <c r="AQ60" s="45">
        <f t="shared" si="31"/>
        <v>2.2301435547020967</v>
      </c>
      <c r="AR60" s="62">
        <f t="shared" si="32"/>
        <v>4.6227497180128009E-2</v>
      </c>
      <c r="AT60" s="57" t="s">
        <v>106</v>
      </c>
      <c r="AV60" s="43">
        <f t="shared" si="19"/>
        <v>1045423.2174735578</v>
      </c>
      <c r="AW60" s="44">
        <f t="shared" si="8"/>
        <v>-1</v>
      </c>
      <c r="AX60" s="44">
        <f t="shared" si="36"/>
        <v>4.6363249405652063E-2</v>
      </c>
      <c r="AZ60" s="90">
        <v>0.2974</v>
      </c>
      <c r="BA60" s="67">
        <f t="shared" si="11"/>
        <v>1565253.0229658512</v>
      </c>
      <c r="BB60" s="67">
        <f t="shared" si="12"/>
        <v>27790576.15548256</v>
      </c>
    </row>
    <row r="61" spans="1:54">
      <c r="A61" s="57" t="s">
        <v>107</v>
      </c>
      <c r="H61" s="75">
        <f t="shared" si="20"/>
        <v>21652.503545193122</v>
      </c>
      <c r="I61" s="76">
        <v>0.14886121763666901</v>
      </c>
      <c r="J61" s="86">
        <f t="shared" si="23"/>
        <v>3.6188024831084561E-2</v>
      </c>
      <c r="K61" s="75">
        <f t="shared" si="21"/>
        <v>1616.7251692664256</v>
      </c>
      <c r="L61" s="76">
        <v>0.23815445280731601</v>
      </c>
      <c r="M61" s="86">
        <f t="shared" si="24"/>
        <v>4.1333517018701258E-3</v>
      </c>
      <c r="N61" s="62">
        <f t="shared" si="25"/>
        <v>0.82784500000000005</v>
      </c>
      <c r="O61" s="43">
        <f t="shared" si="17"/>
        <v>19541.641966636827</v>
      </c>
      <c r="Q61" s="44">
        <v>2.7000000000000003E-2</v>
      </c>
      <c r="R61" s="62">
        <f t="shared" si="33"/>
        <v>2.7000000000000003E-2</v>
      </c>
      <c r="S61" s="44">
        <v>0.02</v>
      </c>
      <c r="T61" s="44">
        <f t="shared" si="34"/>
        <v>0.02</v>
      </c>
      <c r="U61" s="44">
        <f t="shared" si="37"/>
        <v>1.9999999999999997E-2</v>
      </c>
      <c r="V61" s="62">
        <v>1.7999999999999999E-2</v>
      </c>
      <c r="W61" s="62">
        <f t="shared" si="22"/>
        <v>1.7999999999999999E-2</v>
      </c>
      <c r="X61" s="44">
        <f t="shared" si="26"/>
        <v>-1.0999999999999992E-2</v>
      </c>
      <c r="Y61" s="44">
        <f t="shared" si="27"/>
        <v>0.13786121763666903</v>
      </c>
      <c r="Z61" s="44">
        <f t="shared" si="28"/>
        <v>0.22715445280731603</v>
      </c>
      <c r="AA61" s="40">
        <f t="shared" si="13"/>
        <v>9.0000000000000045E-3</v>
      </c>
      <c r="AC61" s="51"/>
      <c r="AE61" s="75">
        <f t="shared" si="35"/>
        <v>1929.9619148851</v>
      </c>
      <c r="AF61" s="43">
        <f>(AF$63-AF$58)/5+AF60</f>
        <v>6098</v>
      </c>
      <c r="AG61" s="43">
        <f t="shared" si="29"/>
        <v>452.14698653859978</v>
      </c>
      <c r="AH61" s="43">
        <f t="shared" si="4"/>
        <v>872626.46394956356</v>
      </c>
      <c r="AM61" s="62">
        <f t="shared" si="30"/>
        <v>0.16348037336425186</v>
      </c>
      <c r="AQ61" s="45">
        <f t="shared" si="31"/>
        <v>2.3332375095883684</v>
      </c>
      <c r="AR61" s="62">
        <f t="shared" si="32"/>
        <v>4.6227497180128009E-2</v>
      </c>
      <c r="AT61" s="57" t="s">
        <v>107</v>
      </c>
      <c r="AV61" s="43">
        <f t="shared" si="19"/>
        <v>1094123.6421879043</v>
      </c>
      <c r="AW61" s="44">
        <f t="shared" si="8"/>
        <v>-1</v>
      </c>
      <c r="AX61" s="44">
        <f t="shared" si="36"/>
        <v>4.6584410887716254E-2</v>
      </c>
      <c r="AZ61" s="90">
        <v>0.2974</v>
      </c>
      <c r="BA61" s="67">
        <f t="shared" si="11"/>
        <v>1629288.825054629</v>
      </c>
      <c r="BB61" s="67">
        <f t="shared" si="12"/>
        <v>29157831.701214563</v>
      </c>
    </row>
    <row r="62" spans="1:54">
      <c r="A62" s="57" t="s">
        <v>108</v>
      </c>
      <c r="H62" s="75">
        <f t="shared" si="20"/>
        <v>22388.702855750638</v>
      </c>
      <c r="I62" s="76">
        <v>0.14991975192870099</v>
      </c>
      <c r="J62" s="86">
        <f t="shared" si="23"/>
        <v>3.6188024831084561E-2</v>
      </c>
      <c r="K62" s="75">
        <f t="shared" si="21"/>
        <v>1683.9346530893361</v>
      </c>
      <c r="L62" s="76">
        <v>0.239189491713373</v>
      </c>
      <c r="M62" s="86">
        <f t="shared" si="24"/>
        <v>4.1333517018701258E-3</v>
      </c>
      <c r="N62" s="62">
        <f t="shared" si="25"/>
        <v>0.82784500000000005</v>
      </c>
      <c r="O62" s="43">
        <f t="shared" si="17"/>
        <v>20218.310368708222</v>
      </c>
      <c r="Q62" s="44">
        <v>2.7000000000000003E-2</v>
      </c>
      <c r="R62" s="62">
        <f t="shared" si="33"/>
        <v>2.7000000000000003E-2</v>
      </c>
      <c r="S62" s="44">
        <v>0.02</v>
      </c>
      <c r="T62" s="44">
        <f t="shared" si="34"/>
        <v>0.02</v>
      </c>
      <c r="U62" s="44">
        <f t="shared" si="37"/>
        <v>1.9999999999999997E-2</v>
      </c>
      <c r="V62" s="62">
        <v>1.7999999999999999E-2</v>
      </c>
      <c r="W62" s="62">
        <f t="shared" si="22"/>
        <v>1.7999999999999999E-2</v>
      </c>
      <c r="X62" s="44">
        <f t="shared" si="26"/>
        <v>-1.0999999999999992E-2</v>
      </c>
      <c r="Y62" s="44">
        <f t="shared" si="27"/>
        <v>0.13891975192870101</v>
      </c>
      <c r="Z62" s="44">
        <f t="shared" si="28"/>
        <v>0.22818949171337302</v>
      </c>
      <c r="AA62" s="40">
        <f t="shared" si="13"/>
        <v>9.0000000000000045E-3</v>
      </c>
      <c r="AC62" s="51"/>
      <c r="AE62" s="75">
        <f t="shared" si="35"/>
        <v>1929.9619148851</v>
      </c>
      <c r="AF62" s="43">
        <f>(AF$63-AF$58)/5+AF61</f>
        <v>6061</v>
      </c>
      <c r="AG62" s="43">
        <f t="shared" si="29"/>
        <v>449.42782640381324</v>
      </c>
      <c r="AH62" s="43">
        <f t="shared" si="4"/>
        <v>867378.58844895172</v>
      </c>
      <c r="AM62" s="62">
        <f t="shared" si="30"/>
        <v>0.16348037336425186</v>
      </c>
      <c r="AQ62" s="45">
        <f t="shared" si="31"/>
        <v>2.4410972399834336</v>
      </c>
      <c r="AR62" s="62">
        <f t="shared" si="32"/>
        <v>4.6227497180128009E-2</v>
      </c>
      <c r="AT62" s="57" t="s">
        <v>108</v>
      </c>
      <c r="AV62" s="43">
        <f t="shared" si="19"/>
        <v>1145296.6203005454</v>
      </c>
      <c r="AW62" s="44">
        <f t="shared" si="8"/>
        <v>-1</v>
      </c>
      <c r="AX62" s="44">
        <f t="shared" si="36"/>
        <v>4.6770745224288479E-2</v>
      </c>
      <c r="AZ62" s="90">
        <v>0.2974</v>
      </c>
      <c r="BA62" s="67">
        <f t="shared" si="11"/>
        <v>1695876.9912760952</v>
      </c>
      <c r="BB62" s="67">
        <f t="shared" si="12"/>
        <v>30591247.784367941</v>
      </c>
    </row>
    <row r="63" spans="1:54">
      <c r="A63" s="57" t="s">
        <v>109</v>
      </c>
      <c r="H63" s="75">
        <f t="shared" si="20"/>
        <v>23176.796331050442</v>
      </c>
      <c r="I63" s="76">
        <v>0.15098581333132099</v>
      </c>
      <c r="J63" s="86">
        <f t="shared" si="23"/>
        <v>3.6188024831084561E-2</v>
      </c>
      <c r="K63" s="75">
        <f t="shared" si="21"/>
        <v>1754.5465528048987</v>
      </c>
      <c r="L63" s="76">
        <v>0.24024041814645</v>
      </c>
      <c r="M63" s="86">
        <f t="shared" si="24"/>
        <v>4.1333517018701258E-3</v>
      </c>
      <c r="N63" s="62">
        <f t="shared" si="25"/>
        <v>0.82784500000000005</v>
      </c>
      <c r="O63" s="43">
        <f t="shared" si="17"/>
        <v>20941.341511483351</v>
      </c>
      <c r="Q63" s="44">
        <v>2.7000000000000003E-2</v>
      </c>
      <c r="R63" s="62">
        <f t="shared" si="33"/>
        <v>2.7000000000000003E-2</v>
      </c>
      <c r="S63" s="44">
        <v>0.02</v>
      </c>
      <c r="T63" s="44">
        <f t="shared" si="34"/>
        <v>0.02</v>
      </c>
      <c r="U63" s="44">
        <f t="shared" si="37"/>
        <v>1.9999999999999997E-2</v>
      </c>
      <c r="V63" s="62">
        <v>1.7999999999999999E-2</v>
      </c>
      <c r="W63" s="62">
        <f t="shared" si="22"/>
        <v>1.7999999999999999E-2</v>
      </c>
      <c r="X63" s="44">
        <f t="shared" si="26"/>
        <v>-1.0999999999999992E-2</v>
      </c>
      <c r="Y63" s="44">
        <f t="shared" si="27"/>
        <v>0.13998581333132101</v>
      </c>
      <c r="Z63" s="44">
        <f t="shared" si="28"/>
        <v>0.22924041814645002</v>
      </c>
      <c r="AA63" s="40">
        <f t="shared" si="13"/>
        <v>9.0000000000000045E-3</v>
      </c>
      <c r="AC63" s="51"/>
      <c r="AE63" s="75">
        <f t="shared" si="35"/>
        <v>1929.9619148851</v>
      </c>
      <c r="AF63" s="61">
        <v>6024</v>
      </c>
      <c r="AG63" s="43">
        <f t="shared" si="29"/>
        <v>446.70866626902676</v>
      </c>
      <c r="AH63" s="43">
        <f t="shared" si="4"/>
        <v>862130.71294833999</v>
      </c>
      <c r="AM63" s="62">
        <f t="shared" si="30"/>
        <v>0.16348037336425186</v>
      </c>
      <c r="AQ63" s="45">
        <f t="shared" si="31"/>
        <v>2.5539430557611862</v>
      </c>
      <c r="AR63" s="62">
        <f t="shared" si="32"/>
        <v>4.6227497180128009E-2</v>
      </c>
      <c r="AT63" s="57" t="s">
        <v>109</v>
      </c>
      <c r="AV63" s="43">
        <f t="shared" si="19"/>
        <v>1199041.0347603699</v>
      </c>
      <c r="AW63" s="44">
        <f t="shared" si="8"/>
        <v>-1</v>
      </c>
      <c r="AX63" s="44">
        <f t="shared" si="36"/>
        <v>4.6926196678831689E-2</v>
      </c>
      <c r="AZ63" s="90">
        <v>0.2974</v>
      </c>
      <c r="BA63" s="67">
        <f t="shared" si="11"/>
        <v>1765115.699105832</v>
      </c>
      <c r="BB63" s="67">
        <f t="shared" si="12"/>
        <v>32093956.574385222</v>
      </c>
    </row>
    <row r="64" spans="1:54" ht="73.75">
      <c r="A64" s="57" t="s">
        <v>110</v>
      </c>
      <c r="H64" s="73" t="s">
        <v>111</v>
      </c>
      <c r="I64" s="74" t="s">
        <v>112</v>
      </c>
      <c r="J64" s="44" t="s">
        <v>113</v>
      </c>
      <c r="K64" s="73" t="s">
        <v>111</v>
      </c>
      <c r="L64" s="74" t="s">
        <v>112</v>
      </c>
      <c r="M64" s="44" t="s">
        <v>113</v>
      </c>
      <c r="N64" s="72" t="s">
        <v>114</v>
      </c>
      <c r="Q64" s="32" t="s">
        <v>115</v>
      </c>
      <c r="R64" s="53" t="s">
        <v>116</v>
      </c>
      <c r="S64" s="32" t="s">
        <v>115</v>
      </c>
      <c r="T64" s="53" t="s">
        <v>117</v>
      </c>
      <c r="U64" s="53" t="s">
        <v>118</v>
      </c>
      <c r="V64" s="53" t="s">
        <v>119</v>
      </c>
      <c r="W64" s="53" t="s">
        <v>117</v>
      </c>
      <c r="AA64" s="40" t="e">
        <f t="shared" si="13"/>
        <v>#VALUE!</v>
      </c>
      <c r="AC64" s="51"/>
      <c r="AE64" s="32" t="s">
        <v>120</v>
      </c>
      <c r="AF64" s="32" t="s">
        <v>121</v>
      </c>
      <c r="AG64" s="49" t="s">
        <v>122</v>
      </c>
      <c r="AM64" s="44" t="s">
        <v>113</v>
      </c>
      <c r="AR64" s="44" t="s">
        <v>123</v>
      </c>
      <c r="BA64" s="32" t="s">
        <v>124</v>
      </c>
      <c r="BB64" s="32" t="s">
        <v>124</v>
      </c>
    </row>
    <row r="65" spans="10:29">
      <c r="AC65" s="51"/>
    </row>
    <row r="66" spans="10:29" ht="331.75">
      <c r="J66" s="84" t="s">
        <v>125</v>
      </c>
      <c r="M66" s="84" t="s">
        <v>126</v>
      </c>
      <c r="AC66" s="51"/>
    </row>
    <row r="67" spans="10:29">
      <c r="AC67" s="52"/>
    </row>
  </sheetData>
  <mergeCells count="6">
    <mergeCell ref="D1:O1"/>
    <mergeCell ref="AB1:AH1"/>
    <mergeCell ref="AJ1:AM1"/>
    <mergeCell ref="AP1:AR1"/>
    <mergeCell ref="AU1:AX1"/>
    <mergeCell ref="Q1:Z1"/>
  </mergeCells>
  <phoneticPr fontId="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54E70-A45C-4F76-A5E4-607A93086F61}">
  <dimension ref="A1:K803"/>
  <sheetViews>
    <sheetView workbookViewId="0">
      <selection activeCell="K32" sqref="K32"/>
    </sheetView>
  </sheetViews>
  <sheetFormatPr defaultRowHeight="13.3"/>
  <cols>
    <col min="1" max="1" width="12.69140625" bestFit="1" customWidth="1"/>
    <col min="2" max="2" width="22.23046875" customWidth="1"/>
    <col min="3" max="3" width="14.4609375" bestFit="1" customWidth="1"/>
    <col min="4" max="4" width="18.3046875" style="21" bestFit="1" customWidth="1"/>
    <col min="5" max="5" width="14.4609375" style="21" bestFit="1" customWidth="1"/>
    <col min="6" max="6" width="26.07421875" customWidth="1"/>
    <col min="9" max="9" width="10.4609375" bestFit="1" customWidth="1"/>
    <col min="10" max="11" width="18.3046875" style="18" bestFit="1" customWidth="1"/>
  </cols>
  <sheetData>
    <row r="1" spans="1:11" ht="26.6">
      <c r="A1" s="14" t="s">
        <v>298</v>
      </c>
      <c r="B1" s="16" t="s">
        <v>299</v>
      </c>
      <c r="C1" s="16" t="s">
        <v>300</v>
      </c>
      <c r="D1" s="20" t="s">
        <v>301</v>
      </c>
      <c r="E1" s="20" t="s">
        <v>302</v>
      </c>
      <c r="F1" s="20" t="s">
        <v>303</v>
      </c>
      <c r="I1" s="15" t="s">
        <v>304</v>
      </c>
      <c r="J1" s="17" t="s">
        <v>305</v>
      </c>
      <c r="K1" s="17" t="s">
        <v>306</v>
      </c>
    </row>
    <row r="2" spans="1:11">
      <c r="A2" s="19">
        <v>20090</v>
      </c>
      <c r="B2" s="268">
        <v>113.7</v>
      </c>
      <c r="E2" s="269">
        <f>B2/100*$D$733</f>
        <v>197.00420000000003</v>
      </c>
      <c r="I2" s="15" t="s">
        <v>307</v>
      </c>
      <c r="J2" s="273">
        <v>2364.5702000000006</v>
      </c>
      <c r="K2" s="271">
        <v>2429.3473443432499</v>
      </c>
    </row>
    <row r="3" spans="1:11">
      <c r="A3" s="19">
        <v>20121</v>
      </c>
      <c r="B3" s="268">
        <v>112</v>
      </c>
      <c r="E3" s="269">
        <f t="shared" ref="E3:E66" si="0">B3/100*$D$733</f>
        <v>194.05866666666671</v>
      </c>
      <c r="I3" s="15" t="s">
        <v>308</v>
      </c>
      <c r="J3" s="273">
        <v>2434.7431999999999</v>
      </c>
      <c r="K3" s="271">
        <v>2444.6604999964502</v>
      </c>
    </row>
    <row r="4" spans="1:11">
      <c r="A4" s="19">
        <v>20149</v>
      </c>
      <c r="B4" s="268">
        <v>112.6</v>
      </c>
      <c r="E4" s="269">
        <f t="shared" si="0"/>
        <v>195.09826666666666</v>
      </c>
      <c r="I4" s="15" t="s">
        <v>309</v>
      </c>
      <c r="J4" s="273">
        <v>2448.6045333333336</v>
      </c>
      <c r="K4" s="271">
        <v>2459.3258842062301</v>
      </c>
    </row>
    <row r="5" spans="1:11">
      <c r="A5" s="19">
        <v>20180</v>
      </c>
      <c r="B5" s="268">
        <v>113.9</v>
      </c>
      <c r="E5" s="269">
        <f t="shared" si="0"/>
        <v>197.35073333333335</v>
      </c>
      <c r="I5" s="15" t="s">
        <v>310</v>
      </c>
      <c r="J5" s="273">
        <v>2455.5352000000003</v>
      </c>
      <c r="K5" s="271">
        <v>2472.5965525291899</v>
      </c>
    </row>
    <row r="6" spans="1:11">
      <c r="A6" s="19">
        <v>20210</v>
      </c>
      <c r="B6" s="268">
        <v>113.4</v>
      </c>
      <c r="E6" s="269">
        <f t="shared" si="0"/>
        <v>196.48440000000002</v>
      </c>
      <c r="I6" s="15" t="s">
        <v>311</v>
      </c>
      <c r="J6" s="273">
        <v>2509.5944</v>
      </c>
      <c r="K6" s="271">
        <v>2483.6183470132</v>
      </c>
    </row>
    <row r="7" spans="1:11">
      <c r="A7" s="19">
        <v>20241</v>
      </c>
      <c r="B7" s="268">
        <v>113.4</v>
      </c>
      <c r="E7" s="269">
        <f t="shared" si="0"/>
        <v>196.48440000000002</v>
      </c>
      <c r="I7" s="15" t="s">
        <v>312</v>
      </c>
      <c r="J7" s="273">
        <v>2551.6981999999998</v>
      </c>
      <c r="K7" s="271">
        <v>2491.3664961808499</v>
      </c>
    </row>
    <row r="8" spans="1:11">
      <c r="A8" s="19">
        <v>20271</v>
      </c>
      <c r="B8" s="268">
        <v>111.8</v>
      </c>
      <c r="E8" s="269">
        <f t="shared" si="0"/>
        <v>193.71213333333333</v>
      </c>
      <c r="I8" s="15" t="s">
        <v>313</v>
      </c>
      <c r="J8" s="273">
        <v>2552.5645333333337</v>
      </c>
      <c r="K8" s="271">
        <v>2495.0759890845902</v>
      </c>
    </row>
    <row r="9" spans="1:11">
      <c r="A9" s="19">
        <v>20302</v>
      </c>
      <c r="B9" s="268">
        <v>115.6</v>
      </c>
      <c r="E9" s="269">
        <f t="shared" si="0"/>
        <v>200.29626666666667</v>
      </c>
      <c r="I9" s="15" t="s">
        <v>314</v>
      </c>
      <c r="J9" s="273">
        <v>2520.8567333333335</v>
      </c>
      <c r="K9" s="271">
        <v>2494.5851318150699</v>
      </c>
    </row>
    <row r="10" spans="1:11">
      <c r="A10" s="19">
        <v>20333</v>
      </c>
      <c r="B10" s="268">
        <v>114.2</v>
      </c>
      <c r="E10" s="269">
        <f t="shared" si="0"/>
        <v>197.87053333333338</v>
      </c>
      <c r="I10" s="15" t="s">
        <v>315</v>
      </c>
      <c r="J10" s="273">
        <v>2480.6588666666667</v>
      </c>
      <c r="K10" s="271">
        <v>2490.3071159054298</v>
      </c>
    </row>
    <row r="11" spans="1:11">
      <c r="A11" s="19">
        <v>20363</v>
      </c>
      <c r="B11" s="268">
        <v>112</v>
      </c>
      <c r="E11" s="269">
        <f t="shared" si="0"/>
        <v>194.05866666666671</v>
      </c>
      <c r="I11" s="15" t="s">
        <v>316</v>
      </c>
      <c r="J11" s="273">
        <v>2477.5400666666665</v>
      </c>
      <c r="K11" s="271">
        <v>2482.91784890398</v>
      </c>
    </row>
    <row r="12" spans="1:11">
      <c r="A12" s="19">
        <v>20394</v>
      </c>
      <c r="B12" s="268">
        <v>115.3</v>
      </c>
      <c r="E12" s="269">
        <f t="shared" si="0"/>
        <v>199.77646666666669</v>
      </c>
      <c r="I12" s="15" t="s">
        <v>317</v>
      </c>
      <c r="J12" s="273">
        <v>2468.1836666666668</v>
      </c>
      <c r="K12" s="271">
        <v>2472.9967558666599</v>
      </c>
    </row>
    <row r="13" spans="1:11">
      <c r="A13" s="19">
        <v>20424</v>
      </c>
      <c r="B13" s="268">
        <v>116.8</v>
      </c>
      <c r="E13" s="269">
        <f>B13/100*$D$733</f>
        <v>202.37546666666668</v>
      </c>
      <c r="F13" s="270">
        <f>SUM(E2:E13)</f>
        <v>2364.5702000000006</v>
      </c>
      <c r="I13" s="15" t="s">
        <v>318</v>
      </c>
      <c r="J13" s="273">
        <v>2443.06</v>
      </c>
      <c r="K13" s="271">
        <v>2461.0694840270098</v>
      </c>
    </row>
    <row r="14" spans="1:11">
      <c r="A14" s="19">
        <v>20455</v>
      </c>
      <c r="B14" s="268">
        <v>117</v>
      </c>
      <c r="E14" s="269">
        <f t="shared" si="0"/>
        <v>202.72200000000001</v>
      </c>
      <c r="I14" s="15" t="s">
        <v>319</v>
      </c>
      <c r="J14" s="273">
        <v>2436.1293333333338</v>
      </c>
      <c r="K14" s="271">
        <v>2447.6135497266</v>
      </c>
    </row>
    <row r="15" spans="1:11">
      <c r="A15" s="19">
        <v>20486</v>
      </c>
      <c r="B15" s="268">
        <v>118.2</v>
      </c>
      <c r="E15" s="269">
        <f t="shared" si="0"/>
        <v>204.80119999999999</v>
      </c>
      <c r="I15" s="15" t="s">
        <v>320</v>
      </c>
      <c r="J15" s="273">
        <v>2443.4065333333333</v>
      </c>
      <c r="K15" s="271">
        <v>2432.9263744667001</v>
      </c>
    </row>
    <row r="16" spans="1:11">
      <c r="A16" s="19">
        <v>20515</v>
      </c>
      <c r="B16" s="268">
        <v>117.8</v>
      </c>
      <c r="E16" s="269">
        <f t="shared" si="0"/>
        <v>204.10813333333334</v>
      </c>
      <c r="I16" s="15" t="s">
        <v>321</v>
      </c>
      <c r="J16" s="273">
        <v>2399.9166000000005</v>
      </c>
      <c r="K16" s="271">
        <v>2417.19053758469</v>
      </c>
    </row>
    <row r="17" spans="1:11">
      <c r="A17" s="19">
        <v>20546</v>
      </c>
      <c r="B17" s="268">
        <v>116.2</v>
      </c>
      <c r="E17" s="269">
        <f t="shared" si="0"/>
        <v>201.33586666666667</v>
      </c>
      <c r="I17" s="15" t="s">
        <v>322</v>
      </c>
      <c r="J17" s="273">
        <v>2406.5007333333333</v>
      </c>
      <c r="K17" s="271">
        <v>2400.6934200065698</v>
      </c>
    </row>
    <row r="18" spans="1:11">
      <c r="A18" s="19">
        <v>20576</v>
      </c>
      <c r="B18" s="268">
        <v>115.6</v>
      </c>
      <c r="E18" s="269">
        <f t="shared" si="0"/>
        <v>200.29626666666667</v>
      </c>
      <c r="I18" s="15" t="s">
        <v>323</v>
      </c>
      <c r="J18" s="273">
        <v>2410.3126000000002</v>
      </c>
      <c r="K18" s="271">
        <v>2383.5496632825302</v>
      </c>
    </row>
    <row r="19" spans="1:11">
      <c r="A19" s="19">
        <v>20607</v>
      </c>
      <c r="B19" s="268">
        <v>116.3</v>
      </c>
      <c r="E19" s="269">
        <f t="shared" si="0"/>
        <v>201.50913333333335</v>
      </c>
      <c r="I19" s="15" t="s">
        <v>324</v>
      </c>
      <c r="J19" s="273">
        <v>2398.7037333333337</v>
      </c>
      <c r="K19" s="271">
        <v>2365.931982096</v>
      </c>
    </row>
    <row r="20" spans="1:11">
      <c r="A20" s="19">
        <v>20637</v>
      </c>
      <c r="B20" s="268">
        <v>116.3</v>
      </c>
      <c r="E20" s="269">
        <f t="shared" si="0"/>
        <v>201.50913333333335</v>
      </c>
      <c r="I20" s="15" t="s">
        <v>325</v>
      </c>
      <c r="J20" s="273">
        <v>2374.2731333333331</v>
      </c>
      <c r="K20" s="271">
        <v>2348.2807204975902</v>
      </c>
    </row>
    <row r="21" spans="1:11">
      <c r="A21" s="19">
        <v>20668</v>
      </c>
      <c r="B21" s="268">
        <v>116.8</v>
      </c>
      <c r="E21" s="269">
        <f t="shared" si="0"/>
        <v>202.37546666666668</v>
      </c>
      <c r="I21" s="15" t="s">
        <v>326</v>
      </c>
      <c r="J21" s="273">
        <v>2314.6694000000002</v>
      </c>
      <c r="K21" s="271">
        <v>2331.3639400502998</v>
      </c>
    </row>
    <row r="22" spans="1:11">
      <c r="A22" s="19">
        <v>20699</v>
      </c>
      <c r="B22" s="268">
        <v>118</v>
      </c>
      <c r="E22" s="269">
        <f t="shared" si="0"/>
        <v>204.45466666666667</v>
      </c>
      <c r="I22" s="15" t="s">
        <v>327</v>
      </c>
      <c r="J22" s="273">
        <v>2254.719133333334</v>
      </c>
      <c r="K22" s="271">
        <v>2316.2096264454599</v>
      </c>
    </row>
    <row r="23" spans="1:11">
      <c r="A23" s="19">
        <v>20729</v>
      </c>
      <c r="B23" s="268">
        <v>117.8</v>
      </c>
      <c r="E23" s="269">
        <f t="shared" si="0"/>
        <v>204.10813333333334</v>
      </c>
      <c r="I23" s="15" t="s">
        <v>328</v>
      </c>
      <c r="J23" s="273">
        <v>2251.9468666666671</v>
      </c>
      <c r="K23" s="271">
        <v>2303.6788199739199</v>
      </c>
    </row>
    <row r="24" spans="1:11">
      <c r="A24" s="19">
        <v>20760</v>
      </c>
      <c r="B24" s="268">
        <v>117.1</v>
      </c>
      <c r="E24" s="269">
        <f t="shared" si="0"/>
        <v>202.89526666666669</v>
      </c>
      <c r="I24" s="15" t="s">
        <v>329</v>
      </c>
      <c r="J24" s="273">
        <v>2257.8379333333332</v>
      </c>
      <c r="K24" s="271">
        <v>2294.0176559954002</v>
      </c>
    </row>
    <row r="25" spans="1:11">
      <c r="A25" s="19">
        <v>20790</v>
      </c>
      <c r="B25" s="268">
        <v>118.1</v>
      </c>
      <c r="E25" s="269">
        <f t="shared" si="0"/>
        <v>204.62793333333335</v>
      </c>
      <c r="F25" s="270">
        <f t="shared" ref="F25" si="1">SUM(E14:E25)</f>
        <v>2434.7431999999999</v>
      </c>
      <c r="I25" s="15" t="s">
        <v>330</v>
      </c>
      <c r="J25" s="273">
        <v>2285.2140666666669</v>
      </c>
      <c r="K25" s="271">
        <v>2286.9549503365402</v>
      </c>
    </row>
    <row r="26" spans="1:11">
      <c r="A26" s="19">
        <v>20821</v>
      </c>
      <c r="B26" s="268">
        <v>117.2</v>
      </c>
      <c r="E26" s="269">
        <f t="shared" si="0"/>
        <v>203.06853333333333</v>
      </c>
      <c r="I26" s="15" t="s">
        <v>331</v>
      </c>
      <c r="J26" s="273">
        <v>2280.5358666666666</v>
      </c>
      <c r="K26" s="271">
        <v>2281.8577215973601</v>
      </c>
    </row>
    <row r="27" spans="1:11">
      <c r="A27" s="19">
        <v>20852</v>
      </c>
      <c r="B27" s="268">
        <v>117.4</v>
      </c>
      <c r="E27" s="269">
        <f t="shared" si="0"/>
        <v>203.41506666666672</v>
      </c>
      <c r="I27" s="15" t="s">
        <v>49</v>
      </c>
      <c r="J27" s="273">
        <v>2280.8823999999995</v>
      </c>
      <c r="K27" s="271">
        <v>2278.0755795411901</v>
      </c>
    </row>
    <row r="28" spans="1:11">
      <c r="A28" s="19">
        <v>20880</v>
      </c>
      <c r="B28" s="268">
        <v>117.5</v>
      </c>
      <c r="E28" s="269">
        <f t="shared" si="0"/>
        <v>203.58833333333337</v>
      </c>
      <c r="I28" s="15" t="s">
        <v>50</v>
      </c>
      <c r="J28" s="273">
        <v>2292.1447333333331</v>
      </c>
      <c r="K28" s="271">
        <v>2274.9449153820601</v>
      </c>
    </row>
    <row r="29" spans="1:11">
      <c r="A29" s="19">
        <v>20911</v>
      </c>
      <c r="B29" s="268">
        <v>118.3</v>
      </c>
      <c r="E29" s="269">
        <f t="shared" si="0"/>
        <v>204.9744666666667</v>
      </c>
      <c r="I29" s="15" t="s">
        <v>51</v>
      </c>
      <c r="J29" s="273">
        <v>2275.8576666666668</v>
      </c>
      <c r="K29" s="271">
        <v>2271.8301885385499</v>
      </c>
    </row>
    <row r="30" spans="1:11">
      <c r="A30" s="19">
        <v>20941</v>
      </c>
      <c r="B30" s="268">
        <v>120.3</v>
      </c>
      <c r="E30" s="269">
        <f t="shared" si="0"/>
        <v>208.43980000000002</v>
      </c>
      <c r="I30" s="15" t="s">
        <v>52</v>
      </c>
      <c r="J30" s="273">
        <v>2252.8132000000005</v>
      </c>
      <c r="K30" s="271">
        <v>2268.2678566087998</v>
      </c>
    </row>
    <row r="31" spans="1:11">
      <c r="A31" s="19">
        <v>20972</v>
      </c>
      <c r="B31" s="268">
        <v>116.1</v>
      </c>
      <c r="E31" s="269">
        <f t="shared" si="0"/>
        <v>201.16260000000003</v>
      </c>
      <c r="I31" s="15" t="s">
        <v>53</v>
      </c>
      <c r="J31" s="273">
        <v>2271.1794666666669</v>
      </c>
      <c r="K31" s="271">
        <v>2263.8346519721999</v>
      </c>
    </row>
    <row r="32" spans="1:11">
      <c r="A32" s="19">
        <v>21002</v>
      </c>
      <c r="B32" s="268">
        <v>117.6</v>
      </c>
      <c r="E32" s="269">
        <f t="shared" si="0"/>
        <v>203.76160000000002</v>
      </c>
      <c r="I32" s="15" t="s">
        <v>54</v>
      </c>
      <c r="J32" s="273">
        <v>2252.2934000000005</v>
      </c>
      <c r="K32" s="271">
        <v>2257.95276044208</v>
      </c>
    </row>
    <row r="33" spans="1:11">
      <c r="A33" s="19">
        <v>21033</v>
      </c>
      <c r="B33" s="268">
        <v>118.4</v>
      </c>
      <c r="E33" s="269">
        <f t="shared" si="0"/>
        <v>205.14773333333338</v>
      </c>
      <c r="I33" s="15" t="s">
        <v>55</v>
      </c>
      <c r="J33" s="273">
        <v>2260.9567333333334</v>
      </c>
      <c r="K33" s="271">
        <v>2250.11781597867</v>
      </c>
    </row>
    <row r="34" spans="1:11">
      <c r="A34" s="19">
        <v>21064</v>
      </c>
      <c r="B34" s="268">
        <v>117</v>
      </c>
      <c r="E34" s="269">
        <f t="shared" si="0"/>
        <v>202.72200000000001</v>
      </c>
      <c r="I34" s="15" t="s">
        <v>56</v>
      </c>
      <c r="J34" s="273">
        <v>2270.3131333333331</v>
      </c>
      <c r="K34" s="271">
        <v>2239.7688589378299</v>
      </c>
    </row>
    <row r="35" spans="1:11">
      <c r="A35" s="19">
        <v>21094</v>
      </c>
      <c r="B35" s="268">
        <v>118.5</v>
      </c>
      <c r="E35" s="269">
        <f t="shared" si="0"/>
        <v>205.32100000000003</v>
      </c>
      <c r="I35" s="15" t="s">
        <v>57</v>
      </c>
      <c r="J35" s="273">
        <v>2288.6794</v>
      </c>
      <c r="K35" s="271">
        <v>2226.4533188489399</v>
      </c>
    </row>
    <row r="36" spans="1:11">
      <c r="A36" s="19">
        <v>21125</v>
      </c>
      <c r="B36" s="268">
        <v>118.2</v>
      </c>
      <c r="E36" s="269">
        <f t="shared" si="0"/>
        <v>204.80119999999999</v>
      </c>
      <c r="I36" s="15" t="s">
        <v>58</v>
      </c>
      <c r="J36" s="273">
        <v>2246.0558000000005</v>
      </c>
      <c r="K36" s="271">
        <v>2210.02406798533</v>
      </c>
    </row>
    <row r="37" spans="1:11">
      <c r="A37" s="19">
        <v>21155</v>
      </c>
      <c r="B37" s="268">
        <v>116.7</v>
      </c>
      <c r="E37" s="269">
        <f t="shared" si="0"/>
        <v>202.20220000000003</v>
      </c>
      <c r="F37" s="270">
        <f t="shared" ref="F37" si="2">SUM(E26:E37)</f>
        <v>2448.6045333333336</v>
      </c>
      <c r="I37" s="15" t="s">
        <v>59</v>
      </c>
      <c r="J37" s="273">
        <v>2210.0163333333335</v>
      </c>
      <c r="K37" s="271">
        <v>2190.95623943186</v>
      </c>
    </row>
    <row r="38" spans="1:11">
      <c r="A38" s="19">
        <v>21186</v>
      </c>
      <c r="B38" s="268">
        <v>117.4</v>
      </c>
      <c r="E38" s="269">
        <f t="shared" si="0"/>
        <v>203.41506666666672</v>
      </c>
      <c r="I38" s="15" t="s">
        <v>60</v>
      </c>
      <c r="J38" s="273">
        <v>2178.4818</v>
      </c>
      <c r="K38" s="271">
        <v>2170.0852835935302</v>
      </c>
    </row>
    <row r="39" spans="1:11">
      <c r="A39" s="19">
        <v>21217</v>
      </c>
      <c r="B39" s="268">
        <v>117.1</v>
      </c>
      <c r="E39" s="269">
        <f t="shared" si="0"/>
        <v>202.89526666666669</v>
      </c>
      <c r="I39" s="15" t="s">
        <v>61</v>
      </c>
      <c r="J39" s="273">
        <v>2139.8433333333332</v>
      </c>
      <c r="K39" s="271">
        <v>2148.43725181434</v>
      </c>
    </row>
    <row r="40" spans="1:11">
      <c r="A40" s="19">
        <v>21245</v>
      </c>
      <c r="B40" s="268">
        <v>117.6</v>
      </c>
      <c r="E40" s="269">
        <f t="shared" si="0"/>
        <v>203.76160000000002</v>
      </c>
      <c r="I40" s="15" t="s">
        <v>62</v>
      </c>
      <c r="J40" s="273">
        <v>2091.8484666666668</v>
      </c>
      <c r="K40" s="271">
        <v>2127.1221606023701</v>
      </c>
    </row>
    <row r="41" spans="1:11">
      <c r="A41" s="19">
        <v>21276</v>
      </c>
      <c r="B41" s="268">
        <v>117.1</v>
      </c>
      <c r="E41" s="269">
        <f t="shared" si="0"/>
        <v>202.89526666666669</v>
      </c>
      <c r="I41" s="15" t="s">
        <v>63</v>
      </c>
      <c r="J41" s="273">
        <v>2063.0862000000006</v>
      </c>
      <c r="K41" s="271">
        <v>2107.1640872808898</v>
      </c>
    </row>
    <row r="42" spans="1:11">
      <c r="A42" s="19">
        <v>21306</v>
      </c>
      <c r="B42" s="268">
        <v>118.1</v>
      </c>
      <c r="E42" s="269">
        <f t="shared" si="0"/>
        <v>204.62793333333335</v>
      </c>
      <c r="I42" s="15" t="s">
        <v>64</v>
      </c>
      <c r="J42" s="273">
        <v>2065.6851999999999</v>
      </c>
      <c r="K42" s="271">
        <v>2089.2343722338201</v>
      </c>
    </row>
    <row r="43" spans="1:11">
      <c r="A43" s="19">
        <v>21337</v>
      </c>
      <c r="B43" s="268">
        <v>118.2</v>
      </c>
      <c r="E43" s="269">
        <f t="shared" si="0"/>
        <v>204.80119999999999</v>
      </c>
      <c r="I43" s="15" t="s">
        <v>65</v>
      </c>
      <c r="J43" s="273">
        <v>2088.7296666666671</v>
      </c>
      <c r="K43" s="271">
        <v>2073.5635769722398</v>
      </c>
    </row>
    <row r="44" spans="1:11">
      <c r="A44" s="19">
        <v>21367</v>
      </c>
      <c r="B44" s="268">
        <v>119</v>
      </c>
      <c r="E44" s="269">
        <f t="shared" si="0"/>
        <v>206.18733333333333</v>
      </c>
      <c r="I44" s="15" t="s">
        <v>66</v>
      </c>
      <c r="J44" s="273">
        <v>2071.5762666666665</v>
      </c>
      <c r="K44" s="271">
        <v>2060.1467712849299</v>
      </c>
    </row>
    <row r="45" spans="1:11">
      <c r="A45" s="19">
        <v>21398</v>
      </c>
      <c r="B45" s="268">
        <v>118.1</v>
      </c>
      <c r="E45" s="269">
        <f t="shared" si="0"/>
        <v>204.62793333333335</v>
      </c>
      <c r="I45" s="15" t="s">
        <v>67</v>
      </c>
      <c r="J45" s="273">
        <v>2050.7842666666666</v>
      </c>
      <c r="K45" s="271">
        <v>2049.1306858575799</v>
      </c>
    </row>
    <row r="46" spans="1:11">
      <c r="A46" s="19">
        <v>21429</v>
      </c>
      <c r="B46" s="268">
        <v>118.4</v>
      </c>
      <c r="E46" s="269">
        <f t="shared" si="0"/>
        <v>205.14773333333338</v>
      </c>
      <c r="I46" s="15" t="s">
        <v>68</v>
      </c>
      <c r="J46" s="273">
        <v>2026.5269333333335</v>
      </c>
      <c r="K46" s="271">
        <v>2040.7763463297299</v>
      </c>
    </row>
    <row r="47" spans="1:11">
      <c r="A47" s="19">
        <v>21459</v>
      </c>
      <c r="B47" s="268">
        <v>118.2</v>
      </c>
      <c r="E47" s="269">
        <f t="shared" si="0"/>
        <v>204.80119999999999</v>
      </c>
      <c r="I47" s="15" t="s">
        <v>69</v>
      </c>
      <c r="J47" s="273">
        <v>2017.1705333333337</v>
      </c>
      <c r="K47" s="271">
        <v>2035.36131414897</v>
      </c>
    </row>
    <row r="48" spans="1:11">
      <c r="A48" s="19">
        <v>21490</v>
      </c>
      <c r="B48" s="268">
        <v>118.7</v>
      </c>
      <c r="E48" s="269">
        <f t="shared" si="0"/>
        <v>205.66753333333335</v>
      </c>
      <c r="I48" s="15" t="s">
        <v>70</v>
      </c>
      <c r="J48" s="273">
        <v>1999.3240666666668</v>
      </c>
      <c r="K48" s="271">
        <v>2033.02065663297</v>
      </c>
    </row>
    <row r="49" spans="1:11">
      <c r="A49" s="19">
        <v>21520</v>
      </c>
      <c r="B49" s="268">
        <v>119.3</v>
      </c>
      <c r="E49" s="269">
        <f t="shared" si="0"/>
        <v>206.70713333333336</v>
      </c>
      <c r="F49" s="270">
        <f t="shared" ref="F49" si="3">SUM(E38:E49)</f>
        <v>2455.5352000000003</v>
      </c>
      <c r="I49" s="15" t="s">
        <v>71</v>
      </c>
      <c r="J49" s="273">
        <v>2009.3735333333339</v>
      </c>
      <c r="K49" s="271">
        <v>2033.7075332912</v>
      </c>
    </row>
    <row r="50" spans="1:11">
      <c r="A50" s="19">
        <v>21551</v>
      </c>
      <c r="B50" s="268">
        <v>119.1</v>
      </c>
      <c r="E50" s="269">
        <f t="shared" si="0"/>
        <v>206.36059999999998</v>
      </c>
      <c r="I50" s="15" t="s">
        <v>72</v>
      </c>
      <c r="J50" s="273">
        <v>2019.4230000000002</v>
      </c>
      <c r="K50" s="271">
        <v>2037.03813773351</v>
      </c>
    </row>
    <row r="51" spans="1:11">
      <c r="A51" s="19">
        <v>21582</v>
      </c>
      <c r="B51" s="268">
        <v>119.3</v>
      </c>
      <c r="E51" s="269">
        <f t="shared" si="0"/>
        <v>206.70713333333336</v>
      </c>
      <c r="I51" s="15" t="s">
        <v>73</v>
      </c>
      <c r="J51" s="273">
        <v>2042.6407333333334</v>
      </c>
      <c r="K51" s="271">
        <v>2042.3853235701399</v>
      </c>
    </row>
    <row r="52" spans="1:11">
      <c r="A52" s="19">
        <v>21610</v>
      </c>
      <c r="B52" s="268">
        <v>119.8</v>
      </c>
      <c r="E52" s="269">
        <f t="shared" si="0"/>
        <v>207.57346666666666</v>
      </c>
      <c r="I52" s="15" t="s">
        <v>74</v>
      </c>
      <c r="J52" s="273">
        <v>2047.6654666666668</v>
      </c>
      <c r="K52" s="271">
        <v>2048.945793034</v>
      </c>
    </row>
    <row r="53" spans="1:11">
      <c r="A53" s="19">
        <v>21641</v>
      </c>
      <c r="B53" s="268">
        <v>119.6</v>
      </c>
      <c r="E53" s="269">
        <f t="shared" si="0"/>
        <v>207.22693333333333</v>
      </c>
      <c r="I53" s="15" t="s">
        <v>75</v>
      </c>
      <c r="J53" s="273">
        <v>2085.6108666666669</v>
      </c>
      <c r="K53" s="271">
        <v>2055.9188024556502</v>
      </c>
    </row>
    <row r="54" spans="1:11">
      <c r="A54" s="19">
        <v>21671</v>
      </c>
      <c r="B54" s="268">
        <v>119.8</v>
      </c>
      <c r="E54" s="269">
        <f t="shared" si="0"/>
        <v>207.57346666666666</v>
      </c>
      <c r="I54" s="15" t="s">
        <v>76</v>
      </c>
      <c r="J54" s="273">
        <v>2090.9821333333334</v>
      </c>
      <c r="K54" s="271">
        <v>2062.49080490195</v>
      </c>
    </row>
    <row r="55" spans="1:11">
      <c r="A55" s="19">
        <v>21702</v>
      </c>
      <c r="B55" s="268">
        <v>122.2</v>
      </c>
      <c r="E55" s="269">
        <f t="shared" si="0"/>
        <v>211.73186666666669</v>
      </c>
      <c r="I55" s="15" t="s">
        <v>77</v>
      </c>
      <c r="J55" s="273">
        <v>2093.7543999999998</v>
      </c>
      <c r="K55" s="271">
        <v>2068.1451740819102</v>
      </c>
    </row>
    <row r="56" spans="1:11">
      <c r="A56" s="19">
        <v>21732</v>
      </c>
      <c r="B56" s="268">
        <v>121.5</v>
      </c>
      <c r="E56" s="269">
        <f t="shared" si="0"/>
        <v>210.51900000000003</v>
      </c>
      <c r="I56" s="15" t="s">
        <v>78</v>
      </c>
      <c r="J56" s="273">
        <v>2055.635733333334</v>
      </c>
      <c r="K56" s="271">
        <v>2072.65019698881</v>
      </c>
    </row>
    <row r="57" spans="1:11">
      <c r="A57" s="19">
        <v>21763</v>
      </c>
      <c r="B57" s="268">
        <v>120.5</v>
      </c>
      <c r="E57" s="269">
        <f t="shared" si="0"/>
        <v>208.78633333333337</v>
      </c>
      <c r="I57" s="15" t="s">
        <v>79</v>
      </c>
      <c r="J57" s="273">
        <v>2088.5563999999999</v>
      </c>
      <c r="K57" s="271">
        <v>2076.0302528751399</v>
      </c>
    </row>
    <row r="58" spans="1:11">
      <c r="A58" s="19">
        <v>21794</v>
      </c>
      <c r="B58" s="268">
        <v>121.5</v>
      </c>
      <c r="E58" s="269">
        <f t="shared" si="0"/>
        <v>210.51900000000003</v>
      </c>
      <c r="I58" s="15" t="s">
        <v>80</v>
      </c>
      <c r="J58" s="273">
        <v>2090.4623333333334</v>
      </c>
      <c r="K58" s="271">
        <v>2078.1395763568298</v>
      </c>
    </row>
    <row r="59" spans="1:11">
      <c r="A59" s="19">
        <v>21824</v>
      </c>
      <c r="B59" s="268">
        <v>121.3</v>
      </c>
      <c r="E59" s="269">
        <f t="shared" si="0"/>
        <v>210.17246666666671</v>
      </c>
      <c r="I59" s="15" t="s">
        <v>81</v>
      </c>
      <c r="J59" s="273">
        <v>2092.7148000000002</v>
      </c>
      <c r="K59" s="271">
        <v>2078.9576635210501</v>
      </c>
    </row>
    <row r="60" spans="1:11">
      <c r="A60" s="19">
        <v>21855</v>
      </c>
      <c r="B60" s="268">
        <v>121.8</v>
      </c>
      <c r="E60" s="269">
        <f t="shared" si="0"/>
        <v>211.03880000000001</v>
      </c>
      <c r="I60" s="15" t="s">
        <v>82</v>
      </c>
      <c r="J60" s="273">
        <v>2068.4574666666672</v>
      </c>
      <c r="K60" s="271">
        <v>2078.5872380247301</v>
      </c>
    </row>
    <row r="61" spans="1:11">
      <c r="A61" s="19">
        <v>21885</v>
      </c>
      <c r="B61" s="268">
        <v>122</v>
      </c>
      <c r="E61" s="269">
        <f t="shared" si="0"/>
        <v>211.38533333333334</v>
      </c>
      <c r="F61" s="270">
        <f t="shared" ref="F61" si="4">SUM(E50:E61)</f>
        <v>2509.5944</v>
      </c>
      <c r="I61" s="15" t="s">
        <v>83</v>
      </c>
      <c r="J61" s="273">
        <v>2046.7991333333337</v>
      </c>
      <c r="K61" s="271">
        <v>2077.2685948896201</v>
      </c>
    </row>
    <row r="62" spans="1:11">
      <c r="A62" s="19">
        <v>21916</v>
      </c>
      <c r="B62" s="268">
        <v>122.1</v>
      </c>
      <c r="C62" s="143">
        <v>192.1</v>
      </c>
      <c r="E62" s="269">
        <f t="shared" si="0"/>
        <v>211.55859999999998</v>
      </c>
      <c r="I62" s="15" t="s">
        <v>84</v>
      </c>
      <c r="J62" s="273">
        <v>2078.8534666666669</v>
      </c>
      <c r="K62" s="271">
        <v>2075.14073142385</v>
      </c>
    </row>
    <row r="63" spans="1:11">
      <c r="A63" s="19">
        <v>21947</v>
      </c>
      <c r="B63" s="268">
        <v>125.5</v>
      </c>
      <c r="C63" s="143">
        <v>212.2</v>
      </c>
      <c r="E63" s="269">
        <f t="shared" si="0"/>
        <v>217.44966666666667</v>
      </c>
      <c r="I63" s="15" t="s">
        <v>85</v>
      </c>
      <c r="J63" s="273">
        <v>2101.2048666666669</v>
      </c>
      <c r="K63" s="271">
        <v>2072.0379503200202</v>
      </c>
    </row>
    <row r="64" spans="1:11">
      <c r="A64" s="19">
        <v>21976</v>
      </c>
      <c r="B64" s="268">
        <v>125</v>
      </c>
      <c r="C64" s="143">
        <v>214.2</v>
      </c>
      <c r="E64" s="269">
        <f t="shared" si="0"/>
        <v>216.58333333333334</v>
      </c>
      <c r="I64" s="15" t="s">
        <v>86</v>
      </c>
      <c r="J64" s="273">
        <v>2078.6802000000002</v>
      </c>
      <c r="K64" s="271">
        <v>2067.83168162313</v>
      </c>
    </row>
    <row r="65" spans="1:11">
      <c r="A65" s="19">
        <v>22007</v>
      </c>
      <c r="B65" s="268">
        <v>122.8</v>
      </c>
      <c r="C65" s="143">
        <v>208.6</v>
      </c>
      <c r="E65" s="269">
        <f t="shared" si="0"/>
        <v>212.77146666666667</v>
      </c>
      <c r="I65" s="15" t="s">
        <v>87</v>
      </c>
      <c r="J65" s="273">
        <v>2074.3485333333338</v>
      </c>
      <c r="K65" s="271">
        <v>2062.6850245416799</v>
      </c>
    </row>
    <row r="66" spans="1:11">
      <c r="A66" s="19">
        <v>22037</v>
      </c>
      <c r="B66" s="268">
        <v>120.3</v>
      </c>
      <c r="C66" s="143">
        <v>205.3</v>
      </c>
      <c r="E66" s="269">
        <f t="shared" si="0"/>
        <v>208.43980000000002</v>
      </c>
      <c r="I66" s="15" t="s">
        <v>88</v>
      </c>
      <c r="J66" s="273">
        <v>2046.1060666666669</v>
      </c>
      <c r="K66" s="271">
        <v>2056.8695634679102</v>
      </c>
    </row>
    <row r="67" spans="1:11">
      <c r="A67" s="19">
        <v>22068</v>
      </c>
      <c r="B67" s="268">
        <v>123.1</v>
      </c>
      <c r="C67" s="143">
        <v>215.4</v>
      </c>
      <c r="E67" s="269">
        <f t="shared" ref="E67:E130" si="5">B67/100*$D$733</f>
        <v>213.29126666666667</v>
      </c>
      <c r="I67" s="15" t="s">
        <v>89</v>
      </c>
      <c r="J67" s="273">
        <v>2022.7150666666671</v>
      </c>
      <c r="K67" s="272">
        <f>K66</f>
        <v>2056.8695634679102</v>
      </c>
    </row>
    <row r="68" spans="1:11">
      <c r="A68" s="19">
        <v>22098</v>
      </c>
      <c r="B68" s="268">
        <v>122.4</v>
      </c>
      <c r="C68" s="143">
        <v>217.9</v>
      </c>
      <c r="E68" s="269">
        <f t="shared" si="5"/>
        <v>212.07840000000002</v>
      </c>
    </row>
    <row r="69" spans="1:11">
      <c r="A69" s="19">
        <v>22129</v>
      </c>
      <c r="B69" s="268">
        <v>123</v>
      </c>
      <c r="C69" s="143">
        <v>216</v>
      </c>
      <c r="E69" s="269">
        <f t="shared" si="5"/>
        <v>213.11800000000002</v>
      </c>
    </row>
    <row r="70" spans="1:11">
      <c r="A70" s="19">
        <v>22160</v>
      </c>
      <c r="B70" s="268">
        <v>122.6</v>
      </c>
      <c r="C70" s="143">
        <v>214</v>
      </c>
      <c r="E70" s="269">
        <f t="shared" si="5"/>
        <v>212.42493333333334</v>
      </c>
    </row>
    <row r="71" spans="1:11">
      <c r="A71" s="19">
        <v>22190</v>
      </c>
      <c r="B71" s="268">
        <v>122.4</v>
      </c>
      <c r="C71" s="143">
        <v>212.5</v>
      </c>
      <c r="E71" s="269">
        <f t="shared" si="5"/>
        <v>212.07840000000002</v>
      </c>
    </row>
    <row r="72" spans="1:11">
      <c r="A72" s="19">
        <v>22221</v>
      </c>
      <c r="B72" s="268">
        <v>121.3</v>
      </c>
      <c r="C72" s="143">
        <v>208.7</v>
      </c>
      <c r="E72" s="269">
        <f t="shared" si="5"/>
        <v>210.17246666666671</v>
      </c>
    </row>
    <row r="73" spans="1:11">
      <c r="A73" s="19">
        <v>22251</v>
      </c>
      <c r="B73" s="268">
        <v>122.2</v>
      </c>
      <c r="C73" s="143">
        <v>214.1</v>
      </c>
      <c r="E73" s="269">
        <f t="shared" si="5"/>
        <v>211.73186666666669</v>
      </c>
      <c r="F73" s="270">
        <f t="shared" ref="F73" si="6">SUM(E62:E73)</f>
        <v>2551.6981999999998</v>
      </c>
    </row>
    <row r="74" spans="1:11">
      <c r="A74" s="19">
        <v>22282</v>
      </c>
      <c r="B74" s="268">
        <v>123.6</v>
      </c>
      <c r="C74" s="143">
        <v>193.7</v>
      </c>
      <c r="E74" s="269">
        <f t="shared" si="5"/>
        <v>214.1576</v>
      </c>
    </row>
    <row r="75" spans="1:11">
      <c r="A75" s="19">
        <v>22313</v>
      </c>
      <c r="B75" s="268">
        <v>122.6</v>
      </c>
      <c r="C75" s="143">
        <v>207.4</v>
      </c>
      <c r="E75" s="269">
        <f t="shared" si="5"/>
        <v>212.42493333333334</v>
      </c>
    </row>
    <row r="76" spans="1:11">
      <c r="A76" s="19">
        <v>22341</v>
      </c>
      <c r="B76" s="268">
        <v>122.5</v>
      </c>
      <c r="C76" s="143">
        <v>209</v>
      </c>
      <c r="E76" s="269">
        <f t="shared" si="5"/>
        <v>212.25166666666669</v>
      </c>
    </row>
    <row r="77" spans="1:11">
      <c r="A77" s="19">
        <v>22372</v>
      </c>
      <c r="B77" s="268">
        <v>122.4</v>
      </c>
      <c r="C77" s="143">
        <v>208.7</v>
      </c>
      <c r="E77" s="269">
        <f t="shared" si="5"/>
        <v>212.07840000000002</v>
      </c>
    </row>
    <row r="78" spans="1:11">
      <c r="A78" s="19">
        <v>22402</v>
      </c>
      <c r="B78" s="268">
        <v>123</v>
      </c>
      <c r="C78" s="143">
        <v>210.5</v>
      </c>
      <c r="E78" s="269">
        <f t="shared" si="5"/>
        <v>213.11800000000002</v>
      </c>
    </row>
    <row r="79" spans="1:11">
      <c r="A79" s="19">
        <v>22433</v>
      </c>
      <c r="B79" s="268">
        <v>122.4</v>
      </c>
      <c r="C79" s="143">
        <v>214.6</v>
      </c>
      <c r="E79" s="269">
        <f t="shared" si="5"/>
        <v>212.07840000000002</v>
      </c>
    </row>
    <row r="80" spans="1:11">
      <c r="A80" s="19">
        <v>22463</v>
      </c>
      <c r="B80" s="268">
        <v>121.9</v>
      </c>
      <c r="C80" s="143">
        <v>216.8</v>
      </c>
      <c r="E80" s="269">
        <f t="shared" si="5"/>
        <v>211.21206666666669</v>
      </c>
    </row>
    <row r="81" spans="1:6">
      <c r="A81" s="19">
        <v>22494</v>
      </c>
      <c r="B81" s="268">
        <v>122.9</v>
      </c>
      <c r="C81" s="143">
        <v>215.8</v>
      </c>
      <c r="E81" s="269">
        <f t="shared" si="5"/>
        <v>212.94473333333337</v>
      </c>
    </row>
    <row r="82" spans="1:6">
      <c r="A82" s="19">
        <v>22525</v>
      </c>
      <c r="B82" s="268">
        <v>122.5</v>
      </c>
      <c r="C82" s="143">
        <v>214.6</v>
      </c>
      <c r="E82" s="269">
        <f t="shared" si="5"/>
        <v>212.25166666666669</v>
      </c>
    </row>
    <row r="83" spans="1:6">
      <c r="A83" s="19">
        <v>22555</v>
      </c>
      <c r="B83" s="268">
        <v>121.6</v>
      </c>
      <c r="C83" s="143">
        <v>211.8</v>
      </c>
      <c r="E83" s="269">
        <f t="shared" si="5"/>
        <v>210.69226666666668</v>
      </c>
    </row>
    <row r="84" spans="1:6">
      <c r="A84" s="19">
        <v>22586</v>
      </c>
      <c r="B84" s="268">
        <v>122.7</v>
      </c>
      <c r="C84" s="143">
        <v>212.5</v>
      </c>
      <c r="E84" s="269">
        <f t="shared" si="5"/>
        <v>212.59820000000002</v>
      </c>
    </row>
    <row r="85" spans="1:6">
      <c r="A85" s="19">
        <v>22616</v>
      </c>
      <c r="B85" s="268">
        <v>125.1</v>
      </c>
      <c r="C85" s="143">
        <v>219.6</v>
      </c>
      <c r="E85" s="269">
        <f t="shared" si="5"/>
        <v>216.75659999999999</v>
      </c>
      <c r="F85" s="270">
        <f t="shared" ref="F85" si="7">SUM(E74:E85)</f>
        <v>2552.5645333333337</v>
      </c>
    </row>
    <row r="86" spans="1:6">
      <c r="A86" s="19">
        <v>22647</v>
      </c>
      <c r="B86" s="268">
        <v>122.5</v>
      </c>
      <c r="C86" s="143">
        <v>192.4</v>
      </c>
      <c r="E86" s="269">
        <f t="shared" si="5"/>
        <v>212.25166666666669</v>
      </c>
    </row>
    <row r="87" spans="1:6">
      <c r="A87" s="19">
        <v>22678</v>
      </c>
      <c r="B87" s="268">
        <v>120.4</v>
      </c>
      <c r="C87" s="143">
        <v>205.5</v>
      </c>
      <c r="E87" s="269">
        <f t="shared" si="5"/>
        <v>208.61306666666667</v>
      </c>
    </row>
    <row r="88" spans="1:6">
      <c r="A88" s="19">
        <v>22706</v>
      </c>
      <c r="B88" s="268">
        <v>120.5</v>
      </c>
      <c r="C88" s="143">
        <v>206.8</v>
      </c>
      <c r="E88" s="269">
        <f t="shared" si="5"/>
        <v>208.78633333333337</v>
      </c>
    </row>
    <row r="89" spans="1:6">
      <c r="A89" s="19">
        <v>22737</v>
      </c>
      <c r="B89" s="268">
        <v>122</v>
      </c>
      <c r="C89" s="143">
        <v>209.9</v>
      </c>
      <c r="E89" s="269">
        <f t="shared" si="5"/>
        <v>211.38533333333334</v>
      </c>
    </row>
    <row r="90" spans="1:6">
      <c r="A90" s="19">
        <v>22767</v>
      </c>
      <c r="B90" s="268">
        <v>121.7</v>
      </c>
      <c r="C90" s="143">
        <v>209.5</v>
      </c>
      <c r="E90" s="269">
        <f t="shared" si="5"/>
        <v>210.86553333333336</v>
      </c>
    </row>
    <row r="91" spans="1:6">
      <c r="A91" s="19">
        <v>22798</v>
      </c>
      <c r="B91" s="268">
        <v>120.8</v>
      </c>
      <c r="C91" s="143">
        <v>213.5</v>
      </c>
      <c r="E91" s="269">
        <f t="shared" si="5"/>
        <v>209.30613333333335</v>
      </c>
    </row>
    <row r="92" spans="1:6">
      <c r="A92" s="19">
        <v>22828</v>
      </c>
      <c r="B92" s="268">
        <v>121.4</v>
      </c>
      <c r="C92" s="143">
        <v>217</v>
      </c>
      <c r="E92" s="269">
        <f t="shared" si="5"/>
        <v>210.34573333333336</v>
      </c>
    </row>
    <row r="93" spans="1:6">
      <c r="A93" s="19">
        <v>22859</v>
      </c>
      <c r="B93" s="268">
        <v>121.1</v>
      </c>
      <c r="C93" s="143">
        <v>213.7</v>
      </c>
      <c r="E93" s="269">
        <f t="shared" si="5"/>
        <v>209.82593333333332</v>
      </c>
    </row>
    <row r="94" spans="1:6">
      <c r="A94" s="19">
        <v>22890</v>
      </c>
      <c r="B94" s="268">
        <v>121.3</v>
      </c>
      <c r="C94" s="143">
        <v>213.9</v>
      </c>
      <c r="E94" s="269">
        <f t="shared" si="5"/>
        <v>210.17246666666671</v>
      </c>
    </row>
    <row r="95" spans="1:6">
      <c r="A95" s="19">
        <v>22920</v>
      </c>
      <c r="B95" s="268">
        <v>121.3</v>
      </c>
      <c r="C95" s="143">
        <v>212.5</v>
      </c>
      <c r="E95" s="269">
        <f t="shared" si="5"/>
        <v>210.17246666666671</v>
      </c>
    </row>
    <row r="96" spans="1:6">
      <c r="A96" s="19">
        <v>22951</v>
      </c>
      <c r="B96" s="268">
        <v>121.2</v>
      </c>
      <c r="C96" s="143">
        <v>210.8</v>
      </c>
      <c r="E96" s="269">
        <f t="shared" si="5"/>
        <v>209.9992</v>
      </c>
    </row>
    <row r="97" spans="1:6">
      <c r="A97" s="19">
        <v>22981</v>
      </c>
      <c r="B97" s="268">
        <v>120.7</v>
      </c>
      <c r="C97" s="143">
        <v>213.2</v>
      </c>
      <c r="E97" s="269">
        <f t="shared" si="5"/>
        <v>209.1328666666667</v>
      </c>
      <c r="F97" s="270">
        <f t="shared" ref="F97" si="8">SUM(E86:E97)</f>
        <v>2520.8567333333335</v>
      </c>
    </row>
    <row r="98" spans="1:6">
      <c r="A98" s="19">
        <v>23012</v>
      </c>
      <c r="B98" s="268">
        <v>117.8</v>
      </c>
      <c r="C98" s="143">
        <v>185.8</v>
      </c>
      <c r="E98" s="269">
        <f t="shared" si="5"/>
        <v>204.10813333333334</v>
      </c>
    </row>
    <row r="99" spans="1:6">
      <c r="A99" s="19">
        <v>23043</v>
      </c>
      <c r="B99" s="268">
        <v>119.8</v>
      </c>
      <c r="C99" s="143">
        <v>206</v>
      </c>
      <c r="E99" s="269">
        <f t="shared" si="5"/>
        <v>207.57346666666666</v>
      </c>
    </row>
    <row r="100" spans="1:6">
      <c r="A100" s="19">
        <v>23071</v>
      </c>
      <c r="B100" s="268">
        <v>118.9</v>
      </c>
      <c r="C100" s="143">
        <v>205.4</v>
      </c>
      <c r="E100" s="269">
        <f t="shared" si="5"/>
        <v>206.01406666666668</v>
      </c>
    </row>
    <row r="101" spans="1:6">
      <c r="A101" s="19">
        <v>23102</v>
      </c>
      <c r="B101" s="268">
        <v>120</v>
      </c>
      <c r="C101" s="143">
        <v>208.6</v>
      </c>
      <c r="E101" s="269">
        <f t="shared" si="5"/>
        <v>207.92000000000002</v>
      </c>
    </row>
    <row r="102" spans="1:6">
      <c r="A102" s="19">
        <v>23132</v>
      </c>
      <c r="B102" s="268">
        <v>119.1</v>
      </c>
      <c r="C102" s="143">
        <v>206.7</v>
      </c>
      <c r="E102" s="269">
        <f t="shared" si="5"/>
        <v>206.36059999999998</v>
      </c>
    </row>
    <row r="103" spans="1:6">
      <c r="A103" s="19">
        <v>23163</v>
      </c>
      <c r="B103" s="268">
        <v>119.1</v>
      </c>
      <c r="C103" s="143">
        <v>211.3</v>
      </c>
      <c r="E103" s="269">
        <f t="shared" si="5"/>
        <v>206.36059999999998</v>
      </c>
    </row>
    <row r="104" spans="1:6">
      <c r="A104" s="19">
        <v>23193</v>
      </c>
      <c r="B104" s="268">
        <v>119.6</v>
      </c>
      <c r="C104" s="143">
        <v>215</v>
      </c>
      <c r="E104" s="269">
        <f t="shared" si="5"/>
        <v>207.22693333333333</v>
      </c>
    </row>
    <row r="105" spans="1:6">
      <c r="A105" s="19">
        <v>23224</v>
      </c>
      <c r="B105" s="268">
        <v>119.3</v>
      </c>
      <c r="C105" s="143">
        <v>211</v>
      </c>
      <c r="E105" s="269">
        <f t="shared" si="5"/>
        <v>206.70713333333336</v>
      </c>
    </row>
    <row r="106" spans="1:6">
      <c r="A106" s="19">
        <v>23255</v>
      </c>
      <c r="B106" s="268">
        <v>119.7</v>
      </c>
      <c r="C106" s="143">
        <v>211.4</v>
      </c>
      <c r="E106" s="269">
        <f t="shared" si="5"/>
        <v>207.40020000000004</v>
      </c>
    </row>
    <row r="107" spans="1:6">
      <c r="A107" s="19">
        <v>23285</v>
      </c>
      <c r="B107" s="268">
        <v>119.4</v>
      </c>
      <c r="C107" s="143">
        <v>210.3</v>
      </c>
      <c r="E107" s="269">
        <f t="shared" si="5"/>
        <v>206.88040000000001</v>
      </c>
    </row>
    <row r="108" spans="1:6">
      <c r="A108" s="19">
        <v>23316</v>
      </c>
      <c r="B108" s="268">
        <v>119.7</v>
      </c>
      <c r="C108" s="143">
        <v>210</v>
      </c>
      <c r="E108" s="269">
        <f t="shared" si="5"/>
        <v>207.40020000000004</v>
      </c>
    </row>
    <row r="109" spans="1:6">
      <c r="A109" s="19">
        <v>23346</v>
      </c>
      <c r="B109" s="268">
        <v>119.3</v>
      </c>
      <c r="C109" s="143">
        <v>211.6</v>
      </c>
      <c r="E109" s="269">
        <f t="shared" si="5"/>
        <v>206.70713333333336</v>
      </c>
      <c r="F109" s="270">
        <f t="shared" ref="F109" si="9">SUM(E98:E109)</f>
        <v>2480.6588666666667</v>
      </c>
    </row>
    <row r="110" spans="1:6">
      <c r="A110" s="19">
        <v>23377</v>
      </c>
      <c r="B110" s="268">
        <v>119</v>
      </c>
      <c r="C110" s="143">
        <v>185</v>
      </c>
      <c r="E110" s="269">
        <f t="shared" si="5"/>
        <v>206.18733333333333</v>
      </c>
    </row>
    <row r="111" spans="1:6">
      <c r="A111" s="19">
        <v>23408</v>
      </c>
      <c r="B111" s="268">
        <v>120.6</v>
      </c>
      <c r="C111" s="143">
        <v>204.7</v>
      </c>
      <c r="E111" s="269">
        <f t="shared" si="5"/>
        <v>208.95960000000002</v>
      </c>
    </row>
    <row r="112" spans="1:6">
      <c r="A112" s="19">
        <v>23437</v>
      </c>
      <c r="B112" s="268">
        <v>119.6</v>
      </c>
      <c r="C112" s="143">
        <v>204.4</v>
      </c>
      <c r="E112" s="269">
        <f t="shared" si="5"/>
        <v>207.22693333333333</v>
      </c>
    </row>
    <row r="113" spans="1:6">
      <c r="A113" s="19">
        <v>23468</v>
      </c>
      <c r="B113" s="268">
        <v>117.3</v>
      </c>
      <c r="C113" s="143">
        <v>202.1</v>
      </c>
      <c r="E113" s="269">
        <f t="shared" si="5"/>
        <v>203.24180000000001</v>
      </c>
    </row>
    <row r="114" spans="1:6">
      <c r="A114" s="19">
        <v>23498</v>
      </c>
      <c r="B114" s="268">
        <v>119.6</v>
      </c>
      <c r="C114" s="143">
        <v>205</v>
      </c>
      <c r="E114" s="269">
        <f t="shared" si="5"/>
        <v>207.22693333333333</v>
      </c>
    </row>
    <row r="115" spans="1:6">
      <c r="A115" s="19">
        <v>23529</v>
      </c>
      <c r="B115" s="268">
        <v>119.4</v>
      </c>
      <c r="C115" s="143">
        <v>209.8</v>
      </c>
      <c r="E115" s="269">
        <f t="shared" si="5"/>
        <v>206.88040000000001</v>
      </c>
    </row>
    <row r="116" spans="1:6">
      <c r="A116" s="19">
        <v>23559</v>
      </c>
      <c r="B116" s="268">
        <v>118.9</v>
      </c>
      <c r="C116" s="143">
        <v>210.9</v>
      </c>
      <c r="E116" s="269">
        <f t="shared" si="5"/>
        <v>206.01406666666668</v>
      </c>
    </row>
    <row r="117" spans="1:6">
      <c r="A117" s="19">
        <v>23590</v>
      </c>
      <c r="B117" s="268">
        <v>118.7</v>
      </c>
      <c r="C117" s="143">
        <v>206.6</v>
      </c>
      <c r="E117" s="269">
        <f t="shared" si="5"/>
        <v>205.66753333333335</v>
      </c>
    </row>
    <row r="118" spans="1:6">
      <c r="A118" s="19">
        <v>23621</v>
      </c>
      <c r="B118" s="268">
        <v>119.6</v>
      </c>
      <c r="C118" s="143">
        <v>207.9</v>
      </c>
      <c r="E118" s="269">
        <f t="shared" si="5"/>
        <v>207.22693333333333</v>
      </c>
    </row>
    <row r="119" spans="1:6">
      <c r="A119" s="19">
        <v>23651</v>
      </c>
      <c r="B119" s="268">
        <v>119.4</v>
      </c>
      <c r="C119" s="143">
        <v>206.9</v>
      </c>
      <c r="E119" s="269">
        <f t="shared" si="5"/>
        <v>206.88040000000001</v>
      </c>
    </row>
    <row r="120" spans="1:6">
      <c r="A120" s="19">
        <v>23682</v>
      </c>
      <c r="B120" s="268">
        <v>118.7</v>
      </c>
      <c r="C120" s="143">
        <v>205.3</v>
      </c>
      <c r="E120" s="269">
        <f t="shared" si="5"/>
        <v>205.66753333333335</v>
      </c>
    </row>
    <row r="121" spans="1:6">
      <c r="A121" s="19">
        <v>23712</v>
      </c>
      <c r="B121" s="268">
        <v>119.1</v>
      </c>
      <c r="C121" s="143">
        <v>208</v>
      </c>
      <c r="E121" s="269">
        <f t="shared" si="5"/>
        <v>206.36059999999998</v>
      </c>
      <c r="F121" s="270">
        <f t="shared" ref="F121" si="10">SUM(E110:E121)</f>
        <v>2477.5400666666665</v>
      </c>
    </row>
    <row r="122" spans="1:6">
      <c r="A122" s="19">
        <v>23743</v>
      </c>
      <c r="B122" s="268">
        <v>118.5</v>
      </c>
      <c r="C122" s="143">
        <v>184.7</v>
      </c>
      <c r="E122" s="269">
        <f t="shared" si="5"/>
        <v>205.32100000000003</v>
      </c>
    </row>
    <row r="123" spans="1:6">
      <c r="A123" s="19">
        <v>23774</v>
      </c>
      <c r="B123" s="268">
        <v>119.2</v>
      </c>
      <c r="C123" s="143">
        <v>203.1</v>
      </c>
      <c r="E123" s="269">
        <f t="shared" si="5"/>
        <v>206.53386666666668</v>
      </c>
    </row>
    <row r="124" spans="1:6">
      <c r="A124" s="19">
        <v>23802</v>
      </c>
      <c r="B124" s="268">
        <v>119.1</v>
      </c>
      <c r="C124" s="143">
        <v>204.4</v>
      </c>
      <c r="E124" s="269">
        <f t="shared" si="5"/>
        <v>206.36059999999998</v>
      </c>
    </row>
    <row r="125" spans="1:6">
      <c r="A125" s="19">
        <v>23833</v>
      </c>
      <c r="B125" s="268">
        <v>118.7</v>
      </c>
      <c r="C125" s="143">
        <v>205.3</v>
      </c>
      <c r="E125" s="269">
        <f t="shared" si="5"/>
        <v>205.66753333333335</v>
      </c>
    </row>
    <row r="126" spans="1:6">
      <c r="A126" s="19">
        <v>23863</v>
      </c>
      <c r="B126" s="268">
        <v>116.8</v>
      </c>
      <c r="C126" s="143">
        <v>201</v>
      </c>
      <c r="E126" s="269">
        <f t="shared" si="5"/>
        <v>202.37546666666668</v>
      </c>
    </row>
    <row r="127" spans="1:6">
      <c r="A127" s="19">
        <v>23894</v>
      </c>
      <c r="B127" s="268">
        <v>119.2</v>
      </c>
      <c r="C127" s="143">
        <v>211.3</v>
      </c>
      <c r="E127" s="269">
        <f t="shared" si="5"/>
        <v>206.53386666666668</v>
      </c>
    </row>
    <row r="128" spans="1:6">
      <c r="A128" s="19">
        <v>23924</v>
      </c>
      <c r="B128" s="268">
        <v>119</v>
      </c>
      <c r="C128" s="143">
        <v>211.7</v>
      </c>
      <c r="E128" s="269">
        <f t="shared" si="5"/>
        <v>206.18733333333333</v>
      </c>
    </row>
    <row r="129" spans="1:6">
      <c r="A129" s="19">
        <v>23955</v>
      </c>
      <c r="B129" s="268">
        <v>119.4</v>
      </c>
      <c r="C129" s="143">
        <v>207.7</v>
      </c>
      <c r="E129" s="269">
        <f t="shared" si="5"/>
        <v>206.88040000000001</v>
      </c>
    </row>
    <row r="130" spans="1:6">
      <c r="A130" s="19">
        <v>23986</v>
      </c>
      <c r="B130" s="268">
        <v>118.3</v>
      </c>
      <c r="C130" s="143">
        <v>205.6</v>
      </c>
      <c r="E130" s="269">
        <f t="shared" si="5"/>
        <v>204.9744666666667</v>
      </c>
    </row>
    <row r="131" spans="1:6">
      <c r="A131" s="19">
        <v>24016</v>
      </c>
      <c r="B131" s="268">
        <v>119.3</v>
      </c>
      <c r="C131" s="143">
        <v>207.4</v>
      </c>
      <c r="E131" s="269">
        <f t="shared" ref="E131:E194" si="11">B131/100*$D$733</f>
        <v>206.70713333333336</v>
      </c>
    </row>
    <row r="132" spans="1:6">
      <c r="A132" s="19">
        <v>24047</v>
      </c>
      <c r="B132" s="268">
        <v>119.1</v>
      </c>
      <c r="C132" s="143">
        <v>206</v>
      </c>
      <c r="E132" s="269">
        <f t="shared" si="11"/>
        <v>206.36059999999998</v>
      </c>
    </row>
    <row r="133" spans="1:6">
      <c r="A133" s="19">
        <v>24077</v>
      </c>
      <c r="B133" s="268">
        <v>117.9</v>
      </c>
      <c r="C133" s="143">
        <v>206.4</v>
      </c>
      <c r="E133" s="269">
        <f t="shared" si="11"/>
        <v>204.28140000000002</v>
      </c>
      <c r="F133" s="270">
        <f t="shared" ref="F133" si="12">SUM(E122:E133)</f>
        <v>2468.1836666666668</v>
      </c>
    </row>
    <row r="134" spans="1:6">
      <c r="A134" s="19">
        <v>24108</v>
      </c>
      <c r="B134" s="268">
        <v>119</v>
      </c>
      <c r="C134" s="143">
        <v>185.9</v>
      </c>
      <c r="E134" s="269">
        <f t="shared" si="11"/>
        <v>206.18733333333333</v>
      </c>
    </row>
    <row r="135" spans="1:6">
      <c r="A135" s="19">
        <v>24139</v>
      </c>
      <c r="B135" s="268">
        <v>117.8</v>
      </c>
      <c r="C135" s="143">
        <v>201.4</v>
      </c>
      <c r="E135" s="269">
        <f t="shared" si="11"/>
        <v>204.10813333333334</v>
      </c>
    </row>
    <row r="136" spans="1:6">
      <c r="A136" s="19">
        <v>24167</v>
      </c>
      <c r="B136" s="268">
        <v>118.1</v>
      </c>
      <c r="C136" s="143">
        <v>203.8</v>
      </c>
      <c r="E136" s="269">
        <f t="shared" si="11"/>
        <v>204.62793333333335</v>
      </c>
    </row>
    <row r="137" spans="1:6">
      <c r="A137" s="19">
        <v>24198</v>
      </c>
      <c r="B137" s="268">
        <v>117.4</v>
      </c>
      <c r="C137" s="143">
        <v>204.3</v>
      </c>
      <c r="E137" s="269">
        <f t="shared" si="11"/>
        <v>203.41506666666672</v>
      </c>
    </row>
    <row r="138" spans="1:6">
      <c r="A138" s="19">
        <v>24228</v>
      </c>
      <c r="B138" s="268">
        <v>114.8</v>
      </c>
      <c r="C138" s="143">
        <v>198.2</v>
      </c>
      <c r="E138" s="269">
        <f t="shared" si="11"/>
        <v>198.91013333333333</v>
      </c>
    </row>
    <row r="139" spans="1:6">
      <c r="A139" s="19">
        <v>24259</v>
      </c>
      <c r="B139" s="268">
        <v>117.4</v>
      </c>
      <c r="C139" s="143">
        <v>209</v>
      </c>
      <c r="E139" s="269">
        <f t="shared" si="11"/>
        <v>203.41506666666672</v>
      </c>
    </row>
    <row r="140" spans="1:6">
      <c r="A140" s="19">
        <v>24289</v>
      </c>
      <c r="B140" s="268">
        <v>117.3</v>
      </c>
      <c r="C140" s="143">
        <v>209</v>
      </c>
      <c r="E140" s="269">
        <f t="shared" si="11"/>
        <v>203.24180000000001</v>
      </c>
    </row>
    <row r="141" spans="1:6">
      <c r="A141" s="19">
        <v>24320</v>
      </c>
      <c r="B141" s="268">
        <v>118.9</v>
      </c>
      <c r="C141" s="143">
        <v>207</v>
      </c>
      <c r="E141" s="269">
        <f t="shared" si="11"/>
        <v>206.01406666666668</v>
      </c>
    </row>
    <row r="142" spans="1:6">
      <c r="A142" s="19">
        <v>24351</v>
      </c>
      <c r="B142" s="268">
        <v>116.8</v>
      </c>
      <c r="C142" s="143">
        <v>203</v>
      </c>
      <c r="E142" s="269">
        <f t="shared" si="11"/>
        <v>202.37546666666668</v>
      </c>
    </row>
    <row r="143" spans="1:6">
      <c r="A143" s="19">
        <v>24381</v>
      </c>
      <c r="B143" s="268">
        <v>117</v>
      </c>
      <c r="C143" s="143">
        <v>203.4</v>
      </c>
      <c r="E143" s="269">
        <f t="shared" si="11"/>
        <v>202.72200000000001</v>
      </c>
    </row>
    <row r="144" spans="1:6">
      <c r="A144" s="19">
        <v>24412</v>
      </c>
      <c r="B144" s="268">
        <v>117.2</v>
      </c>
      <c r="C144" s="143">
        <v>203.7</v>
      </c>
      <c r="E144" s="269">
        <f t="shared" si="11"/>
        <v>203.06853333333333</v>
      </c>
    </row>
    <row r="145" spans="1:6">
      <c r="A145" s="19">
        <v>24442</v>
      </c>
      <c r="B145" s="268">
        <v>118.3</v>
      </c>
      <c r="C145" s="143">
        <v>207.8</v>
      </c>
      <c r="E145" s="269">
        <f t="shared" si="11"/>
        <v>204.9744666666667</v>
      </c>
      <c r="F145" s="270">
        <f t="shared" ref="F145" si="13">SUM(E134:E145)</f>
        <v>2443.06</v>
      </c>
    </row>
    <row r="146" spans="1:6">
      <c r="A146" s="19">
        <v>24473</v>
      </c>
      <c r="B146" s="268">
        <v>119.5</v>
      </c>
      <c r="C146" s="143">
        <v>185.5</v>
      </c>
      <c r="E146" s="269">
        <f t="shared" si="11"/>
        <v>207.05366666666669</v>
      </c>
    </row>
    <row r="147" spans="1:6">
      <c r="A147" s="19">
        <v>24504</v>
      </c>
      <c r="B147" s="268">
        <v>116.8</v>
      </c>
      <c r="C147" s="143">
        <v>198.7</v>
      </c>
      <c r="E147" s="269">
        <f t="shared" si="11"/>
        <v>202.37546666666668</v>
      </c>
    </row>
    <row r="148" spans="1:6">
      <c r="A148" s="19">
        <v>24532</v>
      </c>
      <c r="B148" s="268">
        <v>117.6</v>
      </c>
      <c r="C148" s="143">
        <v>202.2</v>
      </c>
      <c r="E148" s="269">
        <f t="shared" si="11"/>
        <v>203.76160000000002</v>
      </c>
    </row>
    <row r="149" spans="1:6">
      <c r="A149" s="19">
        <v>24563</v>
      </c>
      <c r="B149" s="268">
        <v>115.4</v>
      </c>
      <c r="C149" s="143">
        <v>200.2</v>
      </c>
      <c r="E149" s="269">
        <f t="shared" si="11"/>
        <v>199.94973333333337</v>
      </c>
    </row>
    <row r="150" spans="1:6">
      <c r="A150" s="19">
        <v>24593</v>
      </c>
      <c r="B150" s="268">
        <v>117.7</v>
      </c>
      <c r="C150" s="143">
        <v>201.9</v>
      </c>
      <c r="E150" s="269">
        <f t="shared" si="11"/>
        <v>203.93486666666669</v>
      </c>
    </row>
    <row r="151" spans="1:6">
      <c r="A151" s="19">
        <v>24624</v>
      </c>
      <c r="B151" s="268">
        <v>118.4</v>
      </c>
      <c r="C151" s="143">
        <v>209.4</v>
      </c>
      <c r="E151" s="269">
        <f t="shared" si="11"/>
        <v>205.14773333333338</v>
      </c>
    </row>
    <row r="152" spans="1:6">
      <c r="A152" s="19">
        <v>24654</v>
      </c>
      <c r="B152" s="268">
        <v>116.8</v>
      </c>
      <c r="C152" s="143">
        <v>207.2</v>
      </c>
      <c r="E152" s="269">
        <f t="shared" si="11"/>
        <v>202.37546666666668</v>
      </c>
    </row>
    <row r="153" spans="1:6">
      <c r="A153" s="19">
        <v>24685</v>
      </c>
      <c r="B153" s="268">
        <v>116.9</v>
      </c>
      <c r="C153" s="143">
        <v>202.4</v>
      </c>
      <c r="E153" s="269">
        <f t="shared" si="11"/>
        <v>202.54873333333336</v>
      </c>
    </row>
    <row r="154" spans="1:6">
      <c r="A154" s="19">
        <v>24716</v>
      </c>
      <c r="B154" s="268">
        <v>117.2</v>
      </c>
      <c r="C154" s="143">
        <v>202.5</v>
      </c>
      <c r="E154" s="269">
        <f t="shared" si="11"/>
        <v>203.06853333333333</v>
      </c>
    </row>
    <row r="155" spans="1:6">
      <c r="A155" s="19">
        <v>24746</v>
      </c>
      <c r="B155" s="268">
        <v>116.7</v>
      </c>
      <c r="C155" s="143">
        <v>201.4</v>
      </c>
      <c r="E155" s="269">
        <f t="shared" si="11"/>
        <v>202.20220000000003</v>
      </c>
    </row>
    <row r="156" spans="1:6">
      <c r="A156" s="19">
        <v>24777</v>
      </c>
      <c r="B156" s="268">
        <v>116.3</v>
      </c>
      <c r="C156" s="143">
        <v>201</v>
      </c>
      <c r="E156" s="269">
        <f t="shared" si="11"/>
        <v>201.50913333333335</v>
      </c>
    </row>
    <row r="157" spans="1:6">
      <c r="A157" s="19">
        <v>24807</v>
      </c>
      <c r="B157" s="268">
        <v>116.7</v>
      </c>
      <c r="C157" s="143">
        <v>204.1</v>
      </c>
      <c r="E157" s="269">
        <f t="shared" si="11"/>
        <v>202.20220000000003</v>
      </c>
      <c r="F157" s="270">
        <f t="shared" ref="F157" si="14">SUM(E146:E157)</f>
        <v>2436.1293333333338</v>
      </c>
    </row>
    <row r="158" spans="1:6">
      <c r="A158" s="19">
        <v>24838</v>
      </c>
      <c r="B158" s="268">
        <v>118</v>
      </c>
      <c r="C158" s="143">
        <v>183.7</v>
      </c>
      <c r="E158" s="269">
        <f t="shared" si="11"/>
        <v>204.45466666666667</v>
      </c>
    </row>
    <row r="159" spans="1:6">
      <c r="A159" s="19">
        <v>24869</v>
      </c>
      <c r="B159" s="268">
        <v>119.4</v>
      </c>
      <c r="C159" s="143">
        <v>204</v>
      </c>
      <c r="E159" s="269">
        <f t="shared" si="11"/>
        <v>206.88040000000001</v>
      </c>
    </row>
    <row r="160" spans="1:6">
      <c r="A160" s="19">
        <v>24898</v>
      </c>
      <c r="B160" s="268">
        <v>118</v>
      </c>
      <c r="C160" s="143">
        <v>203.8</v>
      </c>
      <c r="E160" s="269">
        <f t="shared" si="11"/>
        <v>204.45466666666667</v>
      </c>
    </row>
    <row r="161" spans="1:6">
      <c r="A161" s="19">
        <v>24929</v>
      </c>
      <c r="B161" s="268">
        <v>118.4</v>
      </c>
      <c r="C161" s="143">
        <v>206.2</v>
      </c>
      <c r="E161" s="269">
        <f t="shared" si="11"/>
        <v>205.14773333333338</v>
      </c>
    </row>
    <row r="162" spans="1:6">
      <c r="A162" s="19">
        <v>24959</v>
      </c>
      <c r="B162" s="268">
        <v>118.1</v>
      </c>
      <c r="C162" s="143">
        <v>203.2</v>
      </c>
      <c r="E162" s="269">
        <f t="shared" si="11"/>
        <v>204.62793333333335</v>
      </c>
    </row>
    <row r="163" spans="1:6">
      <c r="A163" s="19">
        <v>24990</v>
      </c>
      <c r="B163" s="268">
        <v>117.8</v>
      </c>
      <c r="C163" s="143">
        <v>208.8</v>
      </c>
      <c r="E163" s="269">
        <f t="shared" si="11"/>
        <v>204.10813333333334</v>
      </c>
    </row>
    <row r="164" spans="1:6">
      <c r="A164" s="19">
        <v>25020</v>
      </c>
      <c r="B164" s="268">
        <v>116.7</v>
      </c>
      <c r="C164" s="143">
        <v>208.2</v>
      </c>
      <c r="E164" s="269">
        <f t="shared" si="11"/>
        <v>202.20220000000003</v>
      </c>
    </row>
    <row r="165" spans="1:6">
      <c r="A165" s="19">
        <v>25051</v>
      </c>
      <c r="B165" s="268">
        <v>116.4</v>
      </c>
      <c r="C165" s="143">
        <v>201.7</v>
      </c>
      <c r="E165" s="269">
        <f t="shared" si="11"/>
        <v>201.68240000000003</v>
      </c>
    </row>
    <row r="166" spans="1:6">
      <c r="A166" s="19">
        <v>25082</v>
      </c>
      <c r="B166" s="268">
        <v>116.5</v>
      </c>
      <c r="C166" s="143">
        <v>202</v>
      </c>
      <c r="E166" s="269">
        <f t="shared" si="11"/>
        <v>201.85566666666668</v>
      </c>
    </row>
    <row r="167" spans="1:6">
      <c r="A167" s="19">
        <v>25112</v>
      </c>
      <c r="B167" s="268">
        <v>116.4</v>
      </c>
      <c r="C167" s="143">
        <v>201.2</v>
      </c>
      <c r="E167" s="269">
        <f t="shared" si="11"/>
        <v>201.68240000000003</v>
      </c>
    </row>
    <row r="168" spans="1:6">
      <c r="A168" s="19">
        <v>25143</v>
      </c>
      <c r="B168" s="268">
        <v>118.7</v>
      </c>
      <c r="C168" s="143">
        <v>205.9</v>
      </c>
      <c r="E168" s="269">
        <f t="shared" si="11"/>
        <v>205.66753333333335</v>
      </c>
    </row>
    <row r="169" spans="1:6">
      <c r="A169" s="19">
        <v>25173</v>
      </c>
      <c r="B169" s="268">
        <v>115.8</v>
      </c>
      <c r="C169" s="143">
        <v>203.4</v>
      </c>
      <c r="E169" s="269">
        <f t="shared" si="11"/>
        <v>200.64279999999999</v>
      </c>
      <c r="F169" s="270">
        <f t="shared" ref="F169" si="15">SUM(E158:E169)</f>
        <v>2443.4065333333333</v>
      </c>
    </row>
    <row r="170" spans="1:6">
      <c r="A170" s="19">
        <v>25204</v>
      </c>
      <c r="B170" s="268">
        <v>115</v>
      </c>
      <c r="C170" s="143">
        <v>179.8</v>
      </c>
      <c r="E170" s="269">
        <f t="shared" si="11"/>
        <v>199.25666666666666</v>
      </c>
    </row>
    <row r="171" spans="1:6">
      <c r="A171" s="19">
        <v>25235</v>
      </c>
      <c r="B171" s="268">
        <v>115.3</v>
      </c>
      <c r="C171" s="143">
        <v>197.8</v>
      </c>
      <c r="E171" s="269">
        <f t="shared" si="11"/>
        <v>199.77646666666669</v>
      </c>
    </row>
    <row r="172" spans="1:6">
      <c r="A172" s="19">
        <v>25263</v>
      </c>
      <c r="B172" s="268">
        <v>115</v>
      </c>
      <c r="C172" s="143">
        <v>199.6</v>
      </c>
      <c r="E172" s="269">
        <f t="shared" si="11"/>
        <v>199.25666666666666</v>
      </c>
    </row>
    <row r="173" spans="1:6">
      <c r="A173" s="19">
        <v>25294</v>
      </c>
      <c r="B173" s="268">
        <v>115.8</v>
      </c>
      <c r="C173" s="143">
        <v>202.7</v>
      </c>
      <c r="E173" s="269">
        <f t="shared" si="11"/>
        <v>200.64279999999999</v>
      </c>
    </row>
    <row r="174" spans="1:6">
      <c r="A174" s="19">
        <v>25324</v>
      </c>
      <c r="B174" s="268">
        <v>115.5</v>
      </c>
      <c r="C174" s="143">
        <v>198.7</v>
      </c>
      <c r="E174" s="269">
        <f t="shared" si="11"/>
        <v>200.12300000000002</v>
      </c>
    </row>
    <row r="175" spans="1:6">
      <c r="A175" s="19">
        <v>25355</v>
      </c>
      <c r="B175" s="268">
        <v>114.8</v>
      </c>
      <c r="C175" s="143">
        <v>204.2</v>
      </c>
      <c r="E175" s="269">
        <f t="shared" si="11"/>
        <v>198.91013333333333</v>
      </c>
    </row>
    <row r="176" spans="1:6">
      <c r="A176" s="19">
        <v>25385</v>
      </c>
      <c r="B176" s="268">
        <v>115.8</v>
      </c>
      <c r="C176" s="143">
        <v>207.7</v>
      </c>
      <c r="E176" s="269">
        <f t="shared" si="11"/>
        <v>200.64279999999999</v>
      </c>
    </row>
    <row r="177" spans="1:6">
      <c r="A177" s="19">
        <v>25416</v>
      </c>
      <c r="B177" s="268">
        <v>115.4</v>
      </c>
      <c r="C177" s="143">
        <v>200.2</v>
      </c>
      <c r="E177" s="269">
        <f t="shared" si="11"/>
        <v>199.94973333333337</v>
      </c>
    </row>
    <row r="178" spans="1:6">
      <c r="A178" s="19">
        <v>25447</v>
      </c>
      <c r="B178" s="268">
        <v>115.2</v>
      </c>
      <c r="C178" s="143">
        <v>200.9</v>
      </c>
      <c r="E178" s="269">
        <f t="shared" si="11"/>
        <v>199.60320000000004</v>
      </c>
    </row>
    <row r="179" spans="1:6">
      <c r="A179" s="19">
        <v>25477</v>
      </c>
      <c r="B179" s="268">
        <v>115.3</v>
      </c>
      <c r="C179" s="143">
        <v>199.8</v>
      </c>
      <c r="E179" s="269">
        <f t="shared" si="11"/>
        <v>199.77646666666669</v>
      </c>
    </row>
    <row r="180" spans="1:6">
      <c r="A180" s="19">
        <v>25508</v>
      </c>
      <c r="B180" s="268">
        <v>116</v>
      </c>
      <c r="C180" s="143">
        <v>202.3</v>
      </c>
      <c r="E180" s="269">
        <f t="shared" si="11"/>
        <v>200.98933333333335</v>
      </c>
    </row>
    <row r="181" spans="1:6">
      <c r="A181" s="19">
        <v>25538</v>
      </c>
      <c r="B181" s="268">
        <v>116</v>
      </c>
      <c r="C181" s="143">
        <v>204.7</v>
      </c>
      <c r="E181" s="269">
        <f t="shared" si="11"/>
        <v>200.98933333333335</v>
      </c>
      <c r="F181" s="270">
        <f t="shared" ref="F181" si="16">SUM(E170:E181)</f>
        <v>2399.9166000000005</v>
      </c>
    </row>
    <row r="182" spans="1:6">
      <c r="A182" s="19">
        <v>25569</v>
      </c>
      <c r="B182" s="268">
        <v>114</v>
      </c>
      <c r="C182" s="143">
        <v>177.4</v>
      </c>
      <c r="E182" s="269">
        <f t="shared" si="11"/>
        <v>197.524</v>
      </c>
    </row>
    <row r="183" spans="1:6">
      <c r="A183" s="19">
        <v>25600</v>
      </c>
      <c r="B183" s="268">
        <v>115.1</v>
      </c>
      <c r="C183" s="143">
        <v>196.5</v>
      </c>
      <c r="E183" s="269">
        <f t="shared" si="11"/>
        <v>199.42993333333337</v>
      </c>
    </row>
    <row r="184" spans="1:6">
      <c r="A184" s="19">
        <v>25628</v>
      </c>
      <c r="B184" s="268">
        <v>114.6</v>
      </c>
      <c r="C184" s="143">
        <v>197.6</v>
      </c>
      <c r="E184" s="269">
        <f t="shared" si="11"/>
        <v>198.56360000000001</v>
      </c>
    </row>
    <row r="185" spans="1:6">
      <c r="A185" s="19">
        <v>25659</v>
      </c>
      <c r="B185" s="268">
        <v>114.7</v>
      </c>
      <c r="C185" s="143">
        <v>199.4</v>
      </c>
      <c r="E185" s="269">
        <f t="shared" si="11"/>
        <v>198.73686666666669</v>
      </c>
    </row>
    <row r="186" spans="1:6">
      <c r="A186" s="19">
        <v>25689</v>
      </c>
      <c r="B186" s="268">
        <v>115.7</v>
      </c>
      <c r="C186" s="143">
        <v>196.7</v>
      </c>
      <c r="E186" s="269">
        <f t="shared" si="11"/>
        <v>200.46953333333335</v>
      </c>
    </row>
    <row r="187" spans="1:6">
      <c r="A187" s="19">
        <v>25720</v>
      </c>
      <c r="B187" s="268">
        <v>115</v>
      </c>
      <c r="C187" s="143">
        <v>202.8</v>
      </c>
      <c r="E187" s="269">
        <f t="shared" si="11"/>
        <v>199.25666666666666</v>
      </c>
    </row>
    <row r="188" spans="1:6">
      <c r="A188" s="19">
        <v>25750</v>
      </c>
      <c r="B188" s="268">
        <v>117.3</v>
      </c>
      <c r="C188" s="143">
        <v>208.7</v>
      </c>
      <c r="E188" s="269">
        <f t="shared" si="11"/>
        <v>203.24180000000001</v>
      </c>
    </row>
    <row r="189" spans="1:6">
      <c r="A189" s="19">
        <v>25781</v>
      </c>
      <c r="B189" s="268">
        <v>117</v>
      </c>
      <c r="C189" s="143">
        <v>200.8</v>
      </c>
      <c r="E189" s="269">
        <f t="shared" si="11"/>
        <v>202.72200000000001</v>
      </c>
    </row>
    <row r="190" spans="1:6">
      <c r="A190" s="19">
        <v>25812</v>
      </c>
      <c r="B190" s="268">
        <v>116.6</v>
      </c>
      <c r="C190" s="143">
        <v>201.5</v>
      </c>
      <c r="E190" s="269">
        <f t="shared" si="11"/>
        <v>202.02893333333333</v>
      </c>
    </row>
    <row r="191" spans="1:6">
      <c r="A191" s="19">
        <v>25842</v>
      </c>
      <c r="B191" s="268">
        <v>116.7</v>
      </c>
      <c r="C191" s="143">
        <v>200.6</v>
      </c>
      <c r="E191" s="269">
        <f t="shared" si="11"/>
        <v>202.20220000000003</v>
      </c>
    </row>
    <row r="192" spans="1:6">
      <c r="A192" s="19">
        <v>25873</v>
      </c>
      <c r="B192" s="268">
        <v>115.9</v>
      </c>
      <c r="C192" s="143">
        <v>201</v>
      </c>
      <c r="E192" s="269">
        <f t="shared" si="11"/>
        <v>200.8160666666667</v>
      </c>
    </row>
    <row r="193" spans="1:6">
      <c r="A193" s="19">
        <v>25903</v>
      </c>
      <c r="B193" s="268">
        <v>116.3</v>
      </c>
      <c r="C193" s="143">
        <v>203.6</v>
      </c>
      <c r="E193" s="269">
        <f t="shared" si="11"/>
        <v>201.50913333333335</v>
      </c>
      <c r="F193" s="270">
        <f t="shared" ref="F193" si="17">SUM(E182:E193)</f>
        <v>2406.5007333333333</v>
      </c>
    </row>
    <row r="194" spans="1:6">
      <c r="A194" s="19">
        <v>25934</v>
      </c>
      <c r="B194" s="268">
        <v>117.9</v>
      </c>
      <c r="C194" s="143">
        <v>183.2</v>
      </c>
      <c r="E194" s="269">
        <f t="shared" si="11"/>
        <v>204.28140000000002</v>
      </c>
    </row>
    <row r="195" spans="1:6">
      <c r="A195" s="19">
        <v>25965</v>
      </c>
      <c r="B195" s="268">
        <v>116.3</v>
      </c>
      <c r="C195" s="143">
        <v>199.1</v>
      </c>
      <c r="E195" s="269">
        <f t="shared" ref="E195:E258" si="18">B195/100*$D$733</f>
        <v>201.50913333333335</v>
      </c>
    </row>
    <row r="196" spans="1:6">
      <c r="A196" s="19">
        <v>25993</v>
      </c>
      <c r="B196" s="268">
        <v>116.9</v>
      </c>
      <c r="C196" s="143">
        <v>201.9</v>
      </c>
      <c r="E196" s="269">
        <f t="shared" si="18"/>
        <v>202.54873333333336</v>
      </c>
    </row>
    <row r="197" spans="1:6">
      <c r="A197" s="19">
        <v>26024</v>
      </c>
      <c r="B197" s="268">
        <v>116.6</v>
      </c>
      <c r="C197" s="143">
        <v>203</v>
      </c>
      <c r="E197" s="269">
        <f t="shared" si="18"/>
        <v>202.02893333333333</v>
      </c>
    </row>
    <row r="198" spans="1:6">
      <c r="A198" s="19">
        <v>26054</v>
      </c>
      <c r="B198" s="268">
        <v>113.9</v>
      </c>
      <c r="C198" s="143">
        <v>193.4</v>
      </c>
      <c r="E198" s="269">
        <f t="shared" si="18"/>
        <v>197.35073333333335</v>
      </c>
    </row>
    <row r="199" spans="1:6">
      <c r="A199" s="19">
        <v>26085</v>
      </c>
      <c r="B199" s="268">
        <v>116.1</v>
      </c>
      <c r="C199" s="143">
        <v>205</v>
      </c>
      <c r="E199" s="269">
        <f t="shared" si="18"/>
        <v>201.16260000000003</v>
      </c>
    </row>
    <row r="200" spans="1:6">
      <c r="A200" s="19">
        <v>26115</v>
      </c>
      <c r="B200" s="268">
        <v>115.9</v>
      </c>
      <c r="C200" s="143">
        <v>206.9</v>
      </c>
      <c r="E200" s="269">
        <f t="shared" si="18"/>
        <v>200.8160666666667</v>
      </c>
    </row>
    <row r="201" spans="1:6">
      <c r="A201" s="19">
        <v>26146</v>
      </c>
      <c r="B201" s="268">
        <v>115.6</v>
      </c>
      <c r="C201" s="143">
        <v>198.2</v>
      </c>
      <c r="E201" s="269">
        <f t="shared" si="18"/>
        <v>200.29626666666667</v>
      </c>
    </row>
    <row r="202" spans="1:6">
      <c r="A202" s="19">
        <v>26177</v>
      </c>
      <c r="B202" s="268">
        <v>116.6</v>
      </c>
      <c r="C202" s="143">
        <v>201.7</v>
      </c>
      <c r="E202" s="269">
        <f t="shared" si="18"/>
        <v>202.02893333333333</v>
      </c>
    </row>
    <row r="203" spans="1:6">
      <c r="A203" s="19">
        <v>26207</v>
      </c>
      <c r="B203" s="268">
        <v>115.2</v>
      </c>
      <c r="C203" s="143">
        <v>198.6</v>
      </c>
      <c r="E203" s="269">
        <f t="shared" si="18"/>
        <v>199.60320000000004</v>
      </c>
    </row>
    <row r="204" spans="1:6">
      <c r="A204" s="19">
        <v>26238</v>
      </c>
      <c r="B204" s="268">
        <v>115.6</v>
      </c>
      <c r="C204" s="143">
        <v>201.4</v>
      </c>
      <c r="E204" s="269">
        <f t="shared" si="18"/>
        <v>200.29626666666667</v>
      </c>
    </row>
    <row r="205" spans="1:6">
      <c r="A205" s="19">
        <v>26268</v>
      </c>
      <c r="B205" s="268">
        <v>114.5</v>
      </c>
      <c r="C205" s="143">
        <v>201</v>
      </c>
      <c r="E205" s="269">
        <f t="shared" si="18"/>
        <v>198.39033333333336</v>
      </c>
      <c r="F205" s="270">
        <f t="shared" ref="F205" si="19">SUM(E194:E205)</f>
        <v>2410.3126000000002</v>
      </c>
    </row>
    <row r="206" spans="1:6">
      <c r="A206" s="19">
        <v>26299</v>
      </c>
      <c r="B206" s="268">
        <v>116.8</v>
      </c>
      <c r="C206" s="143">
        <v>181.8</v>
      </c>
      <c r="E206" s="269">
        <f t="shared" si="18"/>
        <v>202.37546666666668</v>
      </c>
    </row>
    <row r="207" spans="1:6">
      <c r="A207" s="19">
        <v>26330</v>
      </c>
      <c r="B207" s="268">
        <v>115.8</v>
      </c>
      <c r="C207" s="143">
        <v>199.7</v>
      </c>
      <c r="E207" s="269">
        <f t="shared" si="18"/>
        <v>200.64279999999999</v>
      </c>
    </row>
    <row r="208" spans="1:6">
      <c r="A208" s="19">
        <v>26359</v>
      </c>
      <c r="B208" s="268">
        <v>116.4</v>
      </c>
      <c r="C208" s="143">
        <v>202.1</v>
      </c>
      <c r="E208" s="269">
        <f t="shared" si="18"/>
        <v>201.68240000000003</v>
      </c>
    </row>
    <row r="209" spans="1:6">
      <c r="A209" s="19">
        <v>26390</v>
      </c>
      <c r="B209" s="268">
        <v>115.7</v>
      </c>
      <c r="C209" s="143">
        <v>202.1</v>
      </c>
      <c r="E209" s="269">
        <f t="shared" si="18"/>
        <v>200.46953333333335</v>
      </c>
    </row>
    <row r="210" spans="1:6">
      <c r="A210" s="19">
        <v>26420</v>
      </c>
      <c r="B210" s="268">
        <v>114.3</v>
      </c>
      <c r="C210" s="143">
        <v>194.4</v>
      </c>
      <c r="E210" s="269">
        <f t="shared" si="18"/>
        <v>198.0438</v>
      </c>
    </row>
    <row r="211" spans="1:6">
      <c r="A211" s="19">
        <v>26451</v>
      </c>
      <c r="B211" s="268">
        <v>114.7</v>
      </c>
      <c r="C211" s="143">
        <v>204.3</v>
      </c>
      <c r="E211" s="269">
        <f t="shared" si="18"/>
        <v>198.73686666666669</v>
      </c>
    </row>
    <row r="212" spans="1:6">
      <c r="A212" s="19">
        <v>26481</v>
      </c>
      <c r="B212" s="268">
        <v>113.6</v>
      </c>
      <c r="C212" s="143">
        <v>204.6</v>
      </c>
      <c r="E212" s="269">
        <f t="shared" si="18"/>
        <v>196.83093333333332</v>
      </c>
    </row>
    <row r="213" spans="1:6">
      <c r="A213" s="19">
        <v>26512</v>
      </c>
      <c r="B213" s="268">
        <v>115.4</v>
      </c>
      <c r="C213" s="143">
        <v>198.4</v>
      </c>
      <c r="E213" s="269">
        <f t="shared" si="18"/>
        <v>199.94973333333337</v>
      </c>
    </row>
    <row r="214" spans="1:6">
      <c r="A214" s="19">
        <v>26543</v>
      </c>
      <c r="B214" s="268">
        <v>115.1</v>
      </c>
      <c r="C214" s="143">
        <v>200.2</v>
      </c>
      <c r="E214" s="269">
        <f t="shared" si="18"/>
        <v>199.42993333333337</v>
      </c>
    </row>
    <row r="215" spans="1:6">
      <c r="A215" s="19">
        <v>26573</v>
      </c>
      <c r="B215" s="268">
        <v>114.9</v>
      </c>
      <c r="C215" s="143">
        <v>199</v>
      </c>
      <c r="E215" s="269">
        <f t="shared" si="18"/>
        <v>199.08340000000001</v>
      </c>
    </row>
    <row r="216" spans="1:6">
      <c r="A216" s="19">
        <v>26604</v>
      </c>
      <c r="B216" s="268">
        <v>115.2</v>
      </c>
      <c r="C216" s="143">
        <v>202.3</v>
      </c>
      <c r="E216" s="269">
        <f t="shared" si="18"/>
        <v>199.60320000000004</v>
      </c>
    </row>
    <row r="217" spans="1:6">
      <c r="A217" s="19">
        <v>26634</v>
      </c>
      <c r="B217" s="268">
        <v>116.5</v>
      </c>
      <c r="C217" s="143">
        <v>205.4</v>
      </c>
      <c r="E217" s="269">
        <f t="shared" si="18"/>
        <v>201.85566666666668</v>
      </c>
      <c r="F217" s="270">
        <f t="shared" ref="F217" si="20">SUM(E206:E217)</f>
        <v>2398.7037333333337</v>
      </c>
    </row>
    <row r="218" spans="1:6">
      <c r="A218" s="19">
        <v>26665</v>
      </c>
      <c r="B218" s="268">
        <v>115.6</v>
      </c>
      <c r="C218" s="143">
        <v>179.6</v>
      </c>
      <c r="E218" s="269">
        <f t="shared" si="18"/>
        <v>200.29626666666667</v>
      </c>
    </row>
    <row r="219" spans="1:6">
      <c r="A219" s="19">
        <v>26696</v>
      </c>
      <c r="B219" s="268">
        <v>115.7</v>
      </c>
      <c r="C219" s="143">
        <v>199.7</v>
      </c>
      <c r="E219" s="269">
        <f t="shared" si="18"/>
        <v>200.46953333333335</v>
      </c>
    </row>
    <row r="220" spans="1:6">
      <c r="A220" s="19">
        <v>26724</v>
      </c>
      <c r="B220" s="268">
        <v>114.7</v>
      </c>
      <c r="C220" s="143">
        <v>199.5</v>
      </c>
      <c r="E220" s="269">
        <f t="shared" si="18"/>
        <v>198.73686666666669</v>
      </c>
    </row>
    <row r="221" spans="1:6">
      <c r="A221" s="19">
        <v>26755</v>
      </c>
      <c r="B221" s="268">
        <v>113.7</v>
      </c>
      <c r="C221" s="143">
        <v>198.6</v>
      </c>
      <c r="E221" s="269">
        <f t="shared" si="18"/>
        <v>197.00420000000003</v>
      </c>
    </row>
    <row r="222" spans="1:6">
      <c r="A222" s="19">
        <v>26785</v>
      </c>
      <c r="B222" s="268">
        <v>114.8</v>
      </c>
      <c r="C222" s="143">
        <v>194.2</v>
      </c>
      <c r="E222" s="269">
        <f t="shared" si="18"/>
        <v>198.91013333333333</v>
      </c>
    </row>
    <row r="223" spans="1:6">
      <c r="A223" s="19">
        <v>26816</v>
      </c>
      <c r="B223" s="268">
        <v>115.6</v>
      </c>
      <c r="C223" s="143">
        <v>205.6</v>
      </c>
      <c r="E223" s="269">
        <f t="shared" si="18"/>
        <v>200.29626666666667</v>
      </c>
    </row>
    <row r="224" spans="1:6">
      <c r="A224" s="19">
        <v>26846</v>
      </c>
      <c r="B224" s="268">
        <v>113.7</v>
      </c>
      <c r="C224" s="143">
        <v>204.4</v>
      </c>
      <c r="E224" s="269">
        <f t="shared" si="18"/>
        <v>197.00420000000003</v>
      </c>
    </row>
    <row r="225" spans="1:6">
      <c r="A225" s="19">
        <v>26877</v>
      </c>
      <c r="B225" s="268">
        <v>113.1</v>
      </c>
      <c r="C225" s="143">
        <v>193.6</v>
      </c>
      <c r="E225" s="269">
        <f t="shared" si="18"/>
        <v>195.96460000000002</v>
      </c>
    </row>
    <row r="226" spans="1:6">
      <c r="A226" s="19">
        <v>26908</v>
      </c>
      <c r="B226" s="268">
        <v>111.8</v>
      </c>
      <c r="C226" s="143">
        <v>193.7</v>
      </c>
      <c r="E226" s="269">
        <f t="shared" si="18"/>
        <v>193.71213333333333</v>
      </c>
    </row>
    <row r="227" spans="1:6">
      <c r="A227" s="19">
        <v>26938</v>
      </c>
      <c r="B227" s="268">
        <v>114.1</v>
      </c>
      <c r="C227" s="143">
        <v>197.4</v>
      </c>
      <c r="E227" s="269">
        <f t="shared" si="18"/>
        <v>197.69726666666668</v>
      </c>
    </row>
    <row r="228" spans="1:6">
      <c r="A228" s="19">
        <v>26969</v>
      </c>
      <c r="B228" s="268">
        <v>113.4</v>
      </c>
      <c r="C228" s="143">
        <v>199.1</v>
      </c>
      <c r="E228" s="269">
        <f t="shared" si="18"/>
        <v>196.48440000000002</v>
      </c>
    </row>
    <row r="229" spans="1:6">
      <c r="A229" s="19">
        <v>26999</v>
      </c>
      <c r="B229" s="268">
        <v>114.1</v>
      </c>
      <c r="C229" s="143">
        <v>200.3</v>
      </c>
      <c r="E229" s="269">
        <f t="shared" si="18"/>
        <v>197.69726666666668</v>
      </c>
      <c r="F229" s="270">
        <f t="shared" ref="F229" si="21">SUM(E218:E229)</f>
        <v>2374.2731333333331</v>
      </c>
    </row>
    <row r="230" spans="1:6">
      <c r="A230" s="19">
        <v>27030</v>
      </c>
      <c r="B230" s="268">
        <v>111.7</v>
      </c>
      <c r="C230" s="143">
        <v>172.5</v>
      </c>
      <c r="E230" s="269">
        <f t="shared" si="18"/>
        <v>193.53886666666668</v>
      </c>
    </row>
    <row r="231" spans="1:6">
      <c r="A231" s="19">
        <v>27061</v>
      </c>
      <c r="B231" s="268">
        <v>112.1</v>
      </c>
      <c r="C231" s="143">
        <v>192.3</v>
      </c>
      <c r="E231" s="269">
        <f t="shared" si="18"/>
        <v>194.23193333333336</v>
      </c>
    </row>
    <row r="232" spans="1:6">
      <c r="A232" s="19">
        <v>27089</v>
      </c>
      <c r="B232" s="268">
        <v>111.3</v>
      </c>
      <c r="C232" s="143">
        <v>193</v>
      </c>
      <c r="E232" s="269">
        <f t="shared" si="18"/>
        <v>192.84580000000003</v>
      </c>
    </row>
    <row r="233" spans="1:6">
      <c r="A233" s="19">
        <v>27120</v>
      </c>
      <c r="B233" s="268">
        <v>112.5</v>
      </c>
      <c r="C233" s="143">
        <v>196.4</v>
      </c>
      <c r="E233" s="269">
        <f t="shared" si="18"/>
        <v>194.92500000000001</v>
      </c>
    </row>
    <row r="234" spans="1:6">
      <c r="A234" s="19">
        <v>27150</v>
      </c>
      <c r="B234" s="268">
        <v>114.7</v>
      </c>
      <c r="C234" s="143">
        <v>193.1</v>
      </c>
      <c r="E234" s="269">
        <f t="shared" si="18"/>
        <v>198.73686666666669</v>
      </c>
    </row>
    <row r="235" spans="1:6">
      <c r="A235" s="19">
        <v>27181</v>
      </c>
      <c r="B235" s="268">
        <v>112.4</v>
      </c>
      <c r="C235" s="143">
        <v>199.9</v>
      </c>
      <c r="E235" s="269">
        <f t="shared" si="18"/>
        <v>194.75173333333336</v>
      </c>
    </row>
    <row r="236" spans="1:6">
      <c r="A236" s="19">
        <v>27211</v>
      </c>
      <c r="B236" s="268">
        <v>111.4</v>
      </c>
      <c r="C236" s="143">
        <v>200.6</v>
      </c>
      <c r="E236" s="269">
        <f t="shared" si="18"/>
        <v>193.0190666666667</v>
      </c>
    </row>
    <row r="237" spans="1:6">
      <c r="A237" s="19">
        <v>27242</v>
      </c>
      <c r="B237" s="268">
        <v>110.6</v>
      </c>
      <c r="C237" s="143">
        <v>189</v>
      </c>
      <c r="E237" s="269">
        <f t="shared" si="18"/>
        <v>191.63293333333331</v>
      </c>
    </row>
    <row r="238" spans="1:6">
      <c r="A238" s="19">
        <v>27273</v>
      </c>
      <c r="B238" s="268">
        <v>110.1</v>
      </c>
      <c r="C238" s="143">
        <v>190</v>
      </c>
      <c r="E238" s="269">
        <f t="shared" si="18"/>
        <v>190.76660000000001</v>
      </c>
    </row>
    <row r="239" spans="1:6">
      <c r="A239" s="19">
        <v>27303</v>
      </c>
      <c r="B239" s="268">
        <v>110</v>
      </c>
      <c r="C239" s="143">
        <v>189.9</v>
      </c>
      <c r="E239" s="269">
        <f t="shared" si="18"/>
        <v>190.59333333333336</v>
      </c>
    </row>
    <row r="240" spans="1:6">
      <c r="A240" s="19">
        <v>27334</v>
      </c>
      <c r="B240" s="268">
        <v>110.6</v>
      </c>
      <c r="C240" s="143">
        <v>193.8</v>
      </c>
      <c r="E240" s="269">
        <f t="shared" si="18"/>
        <v>191.63293333333331</v>
      </c>
    </row>
    <row r="241" spans="1:6">
      <c r="A241" s="19">
        <v>27364</v>
      </c>
      <c r="B241" s="268">
        <v>108.5</v>
      </c>
      <c r="C241" s="143">
        <v>189.9</v>
      </c>
      <c r="E241" s="269">
        <f t="shared" si="18"/>
        <v>187.99433333333334</v>
      </c>
      <c r="F241" s="270">
        <f t="shared" ref="F241" si="22">SUM(E230:E241)</f>
        <v>2314.6694000000002</v>
      </c>
    </row>
    <row r="242" spans="1:6">
      <c r="A242" s="19">
        <v>27395</v>
      </c>
      <c r="B242" s="268">
        <v>107.9</v>
      </c>
      <c r="C242" s="143">
        <v>165.9</v>
      </c>
      <c r="E242" s="269">
        <f t="shared" si="18"/>
        <v>186.95473333333334</v>
      </c>
    </row>
    <row r="243" spans="1:6">
      <c r="A243" s="19">
        <v>27426</v>
      </c>
      <c r="B243" s="268">
        <v>109</v>
      </c>
      <c r="C243" s="143">
        <v>186.2</v>
      </c>
      <c r="E243" s="269">
        <f t="shared" si="18"/>
        <v>188.8606666666667</v>
      </c>
    </row>
    <row r="244" spans="1:6">
      <c r="A244" s="19">
        <v>27454</v>
      </c>
      <c r="B244" s="268">
        <v>108.1</v>
      </c>
      <c r="C244" s="143">
        <v>187.5</v>
      </c>
      <c r="E244" s="269">
        <f t="shared" si="18"/>
        <v>187.30126666666666</v>
      </c>
    </row>
    <row r="245" spans="1:6">
      <c r="A245" s="19">
        <v>27485</v>
      </c>
      <c r="B245" s="268">
        <v>107.9</v>
      </c>
      <c r="C245" s="143">
        <v>188.2</v>
      </c>
      <c r="E245" s="269">
        <f t="shared" si="18"/>
        <v>186.95473333333334</v>
      </c>
    </row>
    <row r="246" spans="1:6">
      <c r="A246" s="19">
        <v>27515</v>
      </c>
      <c r="B246" s="268">
        <v>108.7</v>
      </c>
      <c r="C246" s="143">
        <v>181.7</v>
      </c>
      <c r="E246" s="269">
        <f t="shared" si="18"/>
        <v>188.34086666666667</v>
      </c>
    </row>
    <row r="247" spans="1:6">
      <c r="A247" s="19">
        <v>27546</v>
      </c>
      <c r="B247" s="268">
        <v>108.1</v>
      </c>
      <c r="C247" s="143">
        <v>192</v>
      </c>
      <c r="E247" s="269">
        <f t="shared" si="18"/>
        <v>187.30126666666666</v>
      </c>
    </row>
    <row r="248" spans="1:6">
      <c r="A248" s="19">
        <v>27576</v>
      </c>
      <c r="B248" s="268">
        <v>109</v>
      </c>
      <c r="C248" s="143">
        <v>196.6</v>
      </c>
      <c r="E248" s="269">
        <f t="shared" si="18"/>
        <v>188.8606666666667</v>
      </c>
    </row>
    <row r="249" spans="1:6">
      <c r="A249" s="19">
        <v>27607</v>
      </c>
      <c r="B249" s="268">
        <v>108.2</v>
      </c>
      <c r="C249" s="143">
        <v>184.2</v>
      </c>
      <c r="E249" s="269">
        <f t="shared" si="18"/>
        <v>187.47453333333337</v>
      </c>
    </row>
    <row r="250" spans="1:6">
      <c r="A250" s="19">
        <v>27638</v>
      </c>
      <c r="B250" s="268">
        <v>109.2</v>
      </c>
      <c r="C250" s="143">
        <v>188.3</v>
      </c>
      <c r="E250" s="269">
        <f t="shared" si="18"/>
        <v>189.20720000000003</v>
      </c>
    </row>
    <row r="251" spans="1:6">
      <c r="A251" s="19">
        <v>27668</v>
      </c>
      <c r="B251" s="268">
        <v>108.9</v>
      </c>
      <c r="C251" s="143">
        <v>187.7</v>
      </c>
      <c r="E251" s="269">
        <f t="shared" si="18"/>
        <v>188.6874</v>
      </c>
    </row>
    <row r="252" spans="1:6">
      <c r="A252" s="19">
        <v>27699</v>
      </c>
      <c r="B252" s="268">
        <v>108.2</v>
      </c>
      <c r="C252" s="143">
        <v>189.2</v>
      </c>
      <c r="E252" s="269">
        <f t="shared" si="18"/>
        <v>187.47453333333337</v>
      </c>
    </row>
    <row r="253" spans="1:6">
      <c r="A253" s="19">
        <v>27729</v>
      </c>
      <c r="B253" s="268">
        <v>108.1</v>
      </c>
      <c r="C253" s="143">
        <v>188.7</v>
      </c>
      <c r="E253" s="269">
        <f t="shared" si="18"/>
        <v>187.30126666666666</v>
      </c>
      <c r="F253" s="270">
        <f t="shared" ref="F253" si="23">SUM(E242:E253)</f>
        <v>2254.719133333334</v>
      </c>
    </row>
    <row r="254" spans="1:6">
      <c r="A254" s="19">
        <v>27760</v>
      </c>
      <c r="B254" s="268">
        <v>108.1</v>
      </c>
      <c r="C254" s="143">
        <v>166.3</v>
      </c>
      <c r="E254" s="269">
        <f t="shared" si="18"/>
        <v>187.30126666666666</v>
      </c>
    </row>
    <row r="255" spans="1:6">
      <c r="A255" s="19">
        <v>27791</v>
      </c>
      <c r="B255" s="268">
        <v>109.8</v>
      </c>
      <c r="C255" s="143">
        <v>186.6</v>
      </c>
      <c r="E255" s="269">
        <f t="shared" si="18"/>
        <v>190.24679999999998</v>
      </c>
    </row>
    <row r="256" spans="1:6">
      <c r="A256" s="19">
        <v>27820</v>
      </c>
      <c r="B256" s="268">
        <v>111</v>
      </c>
      <c r="C256" s="143">
        <v>192.6</v>
      </c>
      <c r="E256" s="269">
        <f t="shared" si="18"/>
        <v>192.32600000000002</v>
      </c>
    </row>
    <row r="257" spans="1:6">
      <c r="A257" s="19">
        <v>27851</v>
      </c>
      <c r="B257" s="268">
        <v>109.6</v>
      </c>
      <c r="C257" s="143">
        <v>191.9</v>
      </c>
      <c r="E257" s="269">
        <f t="shared" si="18"/>
        <v>189.90026666666665</v>
      </c>
    </row>
    <row r="258" spans="1:6">
      <c r="A258" s="19">
        <v>27881</v>
      </c>
      <c r="B258" s="268">
        <v>105.9</v>
      </c>
      <c r="C258" s="143">
        <v>177.9</v>
      </c>
      <c r="E258" s="269">
        <f t="shared" si="18"/>
        <v>183.48940000000005</v>
      </c>
    </row>
    <row r="259" spans="1:6">
      <c r="A259" s="19">
        <v>27912</v>
      </c>
      <c r="B259" s="268">
        <v>108.1</v>
      </c>
      <c r="C259" s="143">
        <v>192.6</v>
      </c>
      <c r="E259" s="269">
        <f t="shared" ref="E259:E322" si="24">B259/100*$D$733</f>
        <v>187.30126666666666</v>
      </c>
    </row>
    <row r="260" spans="1:6">
      <c r="A260" s="19">
        <v>27942</v>
      </c>
      <c r="B260" s="268">
        <v>109</v>
      </c>
      <c r="C260" s="143">
        <v>197.2</v>
      </c>
      <c r="E260" s="269">
        <f t="shared" si="24"/>
        <v>188.8606666666667</v>
      </c>
    </row>
    <row r="261" spans="1:6">
      <c r="A261" s="19">
        <v>27973</v>
      </c>
      <c r="B261" s="268">
        <v>108.1</v>
      </c>
      <c r="C261" s="143">
        <v>184.7</v>
      </c>
      <c r="E261" s="269">
        <f t="shared" si="24"/>
        <v>187.30126666666666</v>
      </c>
    </row>
    <row r="262" spans="1:6">
      <c r="A262" s="19">
        <v>28004</v>
      </c>
      <c r="B262" s="268">
        <v>107.5</v>
      </c>
      <c r="C262" s="143">
        <v>185.4</v>
      </c>
      <c r="E262" s="269">
        <f t="shared" si="24"/>
        <v>186.26166666666668</v>
      </c>
    </row>
    <row r="263" spans="1:6">
      <c r="A263" s="19">
        <v>28034</v>
      </c>
      <c r="B263" s="268">
        <v>107.3</v>
      </c>
      <c r="C263" s="143">
        <v>185.4</v>
      </c>
      <c r="E263" s="269">
        <f t="shared" si="24"/>
        <v>185.91513333333333</v>
      </c>
    </row>
    <row r="264" spans="1:6">
      <c r="A264" s="19">
        <v>28065</v>
      </c>
      <c r="B264" s="268">
        <v>107.7</v>
      </c>
      <c r="C264" s="143">
        <v>189.1</v>
      </c>
      <c r="E264" s="269">
        <f t="shared" si="24"/>
        <v>186.60820000000001</v>
      </c>
    </row>
    <row r="265" spans="1:6">
      <c r="A265" s="19">
        <v>28095</v>
      </c>
      <c r="B265" s="268">
        <v>107.6</v>
      </c>
      <c r="C265" s="143">
        <v>188.7</v>
      </c>
      <c r="E265" s="269">
        <f t="shared" si="24"/>
        <v>186.43493333333333</v>
      </c>
      <c r="F265" s="270">
        <f t="shared" ref="F265" si="25">SUM(E254:E265)</f>
        <v>2251.9468666666671</v>
      </c>
    </row>
    <row r="266" spans="1:6">
      <c r="A266" s="19">
        <v>28126</v>
      </c>
      <c r="B266" s="268">
        <v>109.5</v>
      </c>
      <c r="C266" s="143">
        <v>169.6</v>
      </c>
      <c r="E266" s="269">
        <f t="shared" si="24"/>
        <v>189.727</v>
      </c>
    </row>
    <row r="267" spans="1:6">
      <c r="A267" s="19">
        <v>28157</v>
      </c>
      <c r="B267" s="268">
        <v>107</v>
      </c>
      <c r="C267" s="143">
        <v>181.8</v>
      </c>
      <c r="E267" s="269">
        <f t="shared" si="24"/>
        <v>185.39533333333335</v>
      </c>
    </row>
    <row r="268" spans="1:6">
      <c r="A268" s="19">
        <v>28185</v>
      </c>
      <c r="B268" s="268">
        <v>108.4</v>
      </c>
      <c r="C268" s="143">
        <v>189.2</v>
      </c>
      <c r="E268" s="269">
        <f t="shared" si="24"/>
        <v>187.8210666666667</v>
      </c>
    </row>
    <row r="269" spans="1:6">
      <c r="A269" s="19">
        <v>28216</v>
      </c>
      <c r="B269" s="268">
        <v>108.2</v>
      </c>
      <c r="C269" s="143">
        <v>189.4</v>
      </c>
      <c r="E269" s="269">
        <f t="shared" si="24"/>
        <v>187.47453333333337</v>
      </c>
    </row>
    <row r="270" spans="1:6">
      <c r="A270" s="19">
        <v>28246</v>
      </c>
      <c r="B270" s="268">
        <v>107</v>
      </c>
      <c r="C270" s="143">
        <v>179.1</v>
      </c>
      <c r="E270" s="269">
        <f t="shared" si="24"/>
        <v>185.39533333333335</v>
      </c>
    </row>
    <row r="271" spans="1:6">
      <c r="A271" s="19">
        <v>28277</v>
      </c>
      <c r="B271" s="268">
        <v>108.3</v>
      </c>
      <c r="C271" s="143">
        <v>192.2</v>
      </c>
      <c r="E271" s="269">
        <f t="shared" si="24"/>
        <v>187.64780000000002</v>
      </c>
    </row>
    <row r="272" spans="1:6">
      <c r="A272" s="19">
        <v>28307</v>
      </c>
      <c r="B272" s="268">
        <v>108.7</v>
      </c>
      <c r="C272" s="143">
        <v>196.1</v>
      </c>
      <c r="E272" s="269">
        <f t="shared" si="24"/>
        <v>188.34086666666667</v>
      </c>
    </row>
    <row r="273" spans="1:6">
      <c r="A273" s="19">
        <v>28338</v>
      </c>
      <c r="B273" s="268">
        <v>109.7</v>
      </c>
      <c r="C273" s="143">
        <v>187.3</v>
      </c>
      <c r="E273" s="269">
        <f t="shared" si="24"/>
        <v>190.07353333333333</v>
      </c>
    </row>
    <row r="274" spans="1:6">
      <c r="A274" s="19">
        <v>28369</v>
      </c>
      <c r="B274" s="268">
        <v>109</v>
      </c>
      <c r="C274" s="143">
        <v>187.6</v>
      </c>
      <c r="E274" s="269">
        <f t="shared" si="24"/>
        <v>188.8606666666667</v>
      </c>
    </row>
    <row r="275" spans="1:6">
      <c r="A275" s="19">
        <v>28399</v>
      </c>
      <c r="B275" s="268">
        <v>108.6</v>
      </c>
      <c r="C275" s="143">
        <v>187.6</v>
      </c>
      <c r="E275" s="269">
        <f t="shared" si="24"/>
        <v>188.16759999999999</v>
      </c>
    </row>
    <row r="276" spans="1:6">
      <c r="A276" s="19">
        <v>28430</v>
      </c>
      <c r="B276" s="268">
        <v>108.9</v>
      </c>
      <c r="C276" s="143">
        <v>190.4</v>
      </c>
      <c r="E276" s="269">
        <f t="shared" si="24"/>
        <v>188.6874</v>
      </c>
    </row>
    <row r="277" spans="1:6">
      <c r="A277" s="19">
        <v>28460</v>
      </c>
      <c r="B277" s="268">
        <v>109.8</v>
      </c>
      <c r="C277" s="143">
        <v>191.9</v>
      </c>
      <c r="E277" s="269">
        <f t="shared" si="24"/>
        <v>190.24679999999998</v>
      </c>
      <c r="F277" s="270">
        <f t="shared" ref="F277" si="26">SUM(E266:E277)</f>
        <v>2257.8379333333332</v>
      </c>
    </row>
    <row r="278" spans="1:6">
      <c r="A278" s="19">
        <v>28491</v>
      </c>
      <c r="B278" s="268">
        <v>110.5</v>
      </c>
      <c r="C278" s="143">
        <v>171.3</v>
      </c>
      <c r="E278" s="269">
        <f t="shared" si="24"/>
        <v>191.45966666666669</v>
      </c>
    </row>
    <row r="279" spans="1:6">
      <c r="A279" s="19">
        <v>28522</v>
      </c>
      <c r="B279" s="268">
        <v>108.7</v>
      </c>
      <c r="C279" s="143">
        <v>183.9</v>
      </c>
      <c r="E279" s="269">
        <f t="shared" si="24"/>
        <v>188.34086666666667</v>
      </c>
    </row>
    <row r="280" spans="1:6">
      <c r="A280" s="19">
        <v>28550</v>
      </c>
      <c r="B280" s="268">
        <v>110.1</v>
      </c>
      <c r="C280" s="143">
        <v>191.8</v>
      </c>
      <c r="E280" s="269">
        <f t="shared" si="24"/>
        <v>190.76660000000001</v>
      </c>
    </row>
    <row r="281" spans="1:6">
      <c r="A281" s="19">
        <v>28581</v>
      </c>
      <c r="B281" s="268">
        <v>109.2</v>
      </c>
      <c r="C281" s="143">
        <v>190.7</v>
      </c>
      <c r="E281" s="269">
        <f t="shared" si="24"/>
        <v>189.20720000000003</v>
      </c>
    </row>
    <row r="282" spans="1:6">
      <c r="A282" s="19">
        <v>28611</v>
      </c>
      <c r="B282" s="268">
        <v>109.5</v>
      </c>
      <c r="C282" s="143">
        <v>182.7</v>
      </c>
      <c r="E282" s="269">
        <f t="shared" si="24"/>
        <v>189.727</v>
      </c>
    </row>
    <row r="283" spans="1:6">
      <c r="A283" s="19">
        <v>28642</v>
      </c>
      <c r="B283" s="268">
        <v>110</v>
      </c>
      <c r="C283" s="143">
        <v>194.8</v>
      </c>
      <c r="E283" s="269">
        <f t="shared" si="24"/>
        <v>190.59333333333336</v>
      </c>
    </row>
    <row r="284" spans="1:6">
      <c r="A284" s="19">
        <v>28672</v>
      </c>
      <c r="B284" s="268">
        <v>109.1</v>
      </c>
      <c r="C284" s="143">
        <v>196.2</v>
      </c>
      <c r="E284" s="269">
        <f t="shared" si="24"/>
        <v>189.03393333333335</v>
      </c>
    </row>
    <row r="285" spans="1:6">
      <c r="A285" s="19">
        <v>28703</v>
      </c>
      <c r="B285" s="268">
        <v>110.4</v>
      </c>
      <c r="C285" s="143">
        <v>188.2</v>
      </c>
      <c r="E285" s="269">
        <f t="shared" si="24"/>
        <v>191.28640000000004</v>
      </c>
    </row>
    <row r="286" spans="1:6">
      <c r="A286" s="19">
        <v>28734</v>
      </c>
      <c r="B286" s="268">
        <v>110.9</v>
      </c>
      <c r="C286" s="143">
        <v>190.4</v>
      </c>
      <c r="E286" s="269">
        <f t="shared" si="24"/>
        <v>192.15273333333334</v>
      </c>
    </row>
    <row r="287" spans="1:6">
      <c r="A287" s="19">
        <v>28764</v>
      </c>
      <c r="B287" s="268">
        <v>109.9</v>
      </c>
      <c r="C287" s="143">
        <v>190.2</v>
      </c>
      <c r="E287" s="269">
        <f t="shared" si="24"/>
        <v>190.42006666666668</v>
      </c>
    </row>
    <row r="288" spans="1:6">
      <c r="A288" s="19">
        <v>28795</v>
      </c>
      <c r="B288" s="268">
        <v>110.2</v>
      </c>
      <c r="C288" s="143">
        <v>192.3</v>
      </c>
      <c r="E288" s="269">
        <f t="shared" si="24"/>
        <v>190.93986666666669</v>
      </c>
    </row>
    <row r="289" spans="1:6">
      <c r="A289" s="19">
        <v>28825</v>
      </c>
      <c r="B289" s="268">
        <v>110.4</v>
      </c>
      <c r="C289" s="143">
        <v>192.8</v>
      </c>
      <c r="E289" s="269">
        <f t="shared" si="24"/>
        <v>191.28640000000004</v>
      </c>
      <c r="F289" s="270">
        <f t="shared" ref="F289" si="27">SUM(E278:E289)</f>
        <v>2285.2140666666669</v>
      </c>
    </row>
    <row r="290" spans="1:6">
      <c r="A290" s="19">
        <v>28856</v>
      </c>
      <c r="B290" s="268">
        <v>110.2</v>
      </c>
      <c r="C290" s="143">
        <v>171.1</v>
      </c>
      <c r="E290" s="269">
        <f t="shared" si="24"/>
        <v>190.93986666666669</v>
      </c>
    </row>
    <row r="291" spans="1:6">
      <c r="A291" s="19">
        <v>28887</v>
      </c>
      <c r="B291" s="268">
        <v>109.5</v>
      </c>
      <c r="C291" s="143">
        <v>184.6</v>
      </c>
      <c r="E291" s="269">
        <f t="shared" si="24"/>
        <v>189.727</v>
      </c>
    </row>
    <row r="292" spans="1:6">
      <c r="A292" s="19">
        <v>28915</v>
      </c>
      <c r="B292" s="268">
        <v>109.6</v>
      </c>
      <c r="C292" s="143">
        <v>190.7</v>
      </c>
      <c r="E292" s="269">
        <f t="shared" si="24"/>
        <v>189.90026666666665</v>
      </c>
    </row>
    <row r="293" spans="1:6">
      <c r="A293" s="19">
        <v>28946</v>
      </c>
      <c r="B293" s="268">
        <v>108.7</v>
      </c>
      <c r="C293" s="143">
        <v>190.4</v>
      </c>
      <c r="E293" s="269">
        <f t="shared" si="24"/>
        <v>188.34086666666667</v>
      </c>
    </row>
    <row r="294" spans="1:6">
      <c r="A294" s="19">
        <v>28976</v>
      </c>
      <c r="B294" s="268">
        <v>110.6</v>
      </c>
      <c r="C294" s="143">
        <v>184.6</v>
      </c>
      <c r="E294" s="269">
        <f t="shared" si="24"/>
        <v>191.63293333333331</v>
      </c>
    </row>
    <row r="295" spans="1:6">
      <c r="A295" s="19">
        <v>29007</v>
      </c>
      <c r="B295" s="268">
        <v>109.8</v>
      </c>
      <c r="C295" s="143">
        <v>194.7</v>
      </c>
      <c r="E295" s="269">
        <f t="shared" si="24"/>
        <v>190.24679999999998</v>
      </c>
    </row>
    <row r="296" spans="1:6">
      <c r="A296" s="19">
        <v>29037</v>
      </c>
      <c r="B296" s="268">
        <v>108.8</v>
      </c>
      <c r="C296" s="143">
        <v>196.4</v>
      </c>
      <c r="E296" s="269">
        <f t="shared" si="24"/>
        <v>188.51413333333335</v>
      </c>
    </row>
    <row r="297" spans="1:6">
      <c r="A297" s="19">
        <v>29068</v>
      </c>
      <c r="B297" s="268">
        <v>110</v>
      </c>
      <c r="C297" s="143">
        <v>187.2</v>
      </c>
      <c r="E297" s="269">
        <f t="shared" si="24"/>
        <v>190.59333333333336</v>
      </c>
    </row>
    <row r="298" spans="1:6">
      <c r="A298" s="19">
        <v>29099</v>
      </c>
      <c r="B298" s="268">
        <v>108.6</v>
      </c>
      <c r="C298" s="143">
        <v>187</v>
      </c>
      <c r="E298" s="269">
        <f t="shared" si="24"/>
        <v>188.16759999999999</v>
      </c>
    </row>
    <row r="299" spans="1:6">
      <c r="A299" s="19">
        <v>29129</v>
      </c>
      <c r="B299" s="268">
        <v>109.6</v>
      </c>
      <c r="C299" s="143">
        <v>191</v>
      </c>
      <c r="E299" s="269">
        <f t="shared" si="24"/>
        <v>189.90026666666665</v>
      </c>
    </row>
    <row r="300" spans="1:6">
      <c r="A300" s="19">
        <v>29160</v>
      </c>
      <c r="B300" s="268">
        <v>110.5</v>
      </c>
      <c r="C300" s="143">
        <v>193.7</v>
      </c>
      <c r="E300" s="269">
        <f t="shared" si="24"/>
        <v>191.45966666666669</v>
      </c>
    </row>
    <row r="301" spans="1:6">
      <c r="A301" s="19">
        <v>29190</v>
      </c>
      <c r="B301" s="268">
        <v>110.3</v>
      </c>
      <c r="C301" s="143">
        <v>192.9</v>
      </c>
      <c r="E301" s="269">
        <f t="shared" si="24"/>
        <v>191.11313333333334</v>
      </c>
      <c r="F301" s="270">
        <f t="shared" ref="F301" si="28">SUM(E290:E301)</f>
        <v>2280.5358666666666</v>
      </c>
    </row>
    <row r="302" spans="1:6">
      <c r="A302" s="19">
        <v>29221</v>
      </c>
      <c r="B302" s="268">
        <v>107.8</v>
      </c>
      <c r="C302" s="143">
        <v>168.3</v>
      </c>
      <c r="E302" s="269">
        <f t="shared" si="24"/>
        <v>186.78146666666669</v>
      </c>
    </row>
    <row r="303" spans="1:6">
      <c r="A303" s="19">
        <v>29252</v>
      </c>
      <c r="B303" s="268">
        <v>111.7</v>
      </c>
      <c r="C303" s="143">
        <v>189.1</v>
      </c>
      <c r="E303" s="269">
        <f t="shared" si="24"/>
        <v>193.53886666666668</v>
      </c>
    </row>
    <row r="304" spans="1:6">
      <c r="A304" s="19">
        <v>29281</v>
      </c>
      <c r="B304" s="268">
        <v>109.9</v>
      </c>
      <c r="C304" s="143">
        <v>191.8</v>
      </c>
      <c r="E304" s="269">
        <f t="shared" si="24"/>
        <v>190.42006666666668</v>
      </c>
    </row>
    <row r="305" spans="1:6">
      <c r="A305" s="19">
        <v>29312</v>
      </c>
      <c r="B305" s="268">
        <v>111</v>
      </c>
      <c r="C305" s="143">
        <v>194</v>
      </c>
      <c r="E305" s="269">
        <f t="shared" si="24"/>
        <v>192.32600000000002</v>
      </c>
    </row>
    <row r="306" spans="1:6">
      <c r="A306" s="19">
        <v>29342</v>
      </c>
      <c r="B306" s="268">
        <v>110.7</v>
      </c>
      <c r="C306" s="143">
        <v>184.1</v>
      </c>
      <c r="E306" s="269">
        <f t="shared" si="24"/>
        <v>191.80620000000002</v>
      </c>
    </row>
    <row r="307" spans="1:6">
      <c r="A307" s="19">
        <v>29373</v>
      </c>
      <c r="B307" s="268">
        <v>108.7</v>
      </c>
      <c r="C307" s="143">
        <v>192.7</v>
      </c>
      <c r="E307" s="269">
        <f t="shared" si="24"/>
        <v>188.34086666666667</v>
      </c>
    </row>
    <row r="308" spans="1:6">
      <c r="A308" s="19">
        <v>29403</v>
      </c>
      <c r="B308" s="268">
        <v>109.8</v>
      </c>
      <c r="C308" s="143">
        <v>198.1</v>
      </c>
      <c r="E308" s="269">
        <f t="shared" si="24"/>
        <v>190.24679999999998</v>
      </c>
    </row>
    <row r="309" spans="1:6">
      <c r="A309" s="19">
        <v>29434</v>
      </c>
      <c r="B309" s="268">
        <v>108.8</v>
      </c>
      <c r="C309" s="143">
        <v>184.3</v>
      </c>
      <c r="E309" s="269">
        <f t="shared" si="24"/>
        <v>188.51413333333335</v>
      </c>
    </row>
    <row r="310" spans="1:6">
      <c r="A310" s="19">
        <v>29465</v>
      </c>
      <c r="B310" s="268">
        <v>109.8</v>
      </c>
      <c r="C310" s="143">
        <v>188.9</v>
      </c>
      <c r="E310" s="269">
        <f t="shared" si="24"/>
        <v>190.24679999999998</v>
      </c>
    </row>
    <row r="311" spans="1:6">
      <c r="A311" s="19">
        <v>29495</v>
      </c>
      <c r="B311" s="268">
        <v>110.4</v>
      </c>
      <c r="C311" s="143">
        <v>192.4</v>
      </c>
      <c r="E311" s="269">
        <f t="shared" si="24"/>
        <v>191.28640000000004</v>
      </c>
    </row>
    <row r="312" spans="1:6">
      <c r="A312" s="19">
        <v>29526</v>
      </c>
      <c r="B312" s="268">
        <v>108.7</v>
      </c>
      <c r="C312" s="143">
        <v>190.1</v>
      </c>
      <c r="E312" s="269">
        <f t="shared" si="24"/>
        <v>188.34086666666667</v>
      </c>
    </row>
    <row r="313" spans="1:6">
      <c r="A313" s="19">
        <v>29556</v>
      </c>
      <c r="B313" s="268">
        <v>109.1</v>
      </c>
      <c r="C313" s="143">
        <v>190.2</v>
      </c>
      <c r="E313" s="269">
        <f t="shared" si="24"/>
        <v>189.03393333333335</v>
      </c>
      <c r="F313" s="270">
        <f t="shared" ref="F313" si="29">SUM(E302:E313)</f>
        <v>2280.8823999999995</v>
      </c>
    </row>
    <row r="314" spans="1:6">
      <c r="A314" s="19">
        <v>29587</v>
      </c>
      <c r="B314" s="268">
        <v>109.6</v>
      </c>
      <c r="C314" s="143">
        <v>170.5</v>
      </c>
      <c r="E314" s="269">
        <f t="shared" si="24"/>
        <v>189.90026666666665</v>
      </c>
    </row>
    <row r="315" spans="1:6">
      <c r="A315" s="19">
        <v>29618</v>
      </c>
      <c r="B315" s="268">
        <v>110.7</v>
      </c>
      <c r="C315" s="143">
        <v>186.9</v>
      </c>
      <c r="E315" s="269">
        <f t="shared" si="24"/>
        <v>191.80620000000002</v>
      </c>
    </row>
    <row r="316" spans="1:6">
      <c r="A316" s="19">
        <v>29646</v>
      </c>
      <c r="B316" s="268">
        <v>109.4</v>
      </c>
      <c r="C316" s="143">
        <v>190.2</v>
      </c>
      <c r="E316" s="269">
        <f t="shared" si="24"/>
        <v>189.55373333333335</v>
      </c>
    </row>
    <row r="317" spans="1:6">
      <c r="A317" s="19">
        <v>29677</v>
      </c>
      <c r="B317" s="268">
        <v>110.2</v>
      </c>
      <c r="C317" s="143">
        <v>192.4</v>
      </c>
      <c r="E317" s="269">
        <f t="shared" si="24"/>
        <v>190.93986666666669</v>
      </c>
    </row>
    <row r="318" spans="1:6">
      <c r="A318" s="19">
        <v>29707</v>
      </c>
      <c r="B318" s="268">
        <v>109.5</v>
      </c>
      <c r="C318" s="143">
        <v>181.6</v>
      </c>
      <c r="E318" s="269">
        <f t="shared" si="24"/>
        <v>189.727</v>
      </c>
    </row>
    <row r="319" spans="1:6">
      <c r="A319" s="19">
        <v>29738</v>
      </c>
      <c r="B319" s="268">
        <v>111</v>
      </c>
      <c r="C319" s="143">
        <v>196.2</v>
      </c>
      <c r="E319" s="269">
        <f t="shared" si="24"/>
        <v>192.32600000000002</v>
      </c>
    </row>
    <row r="320" spans="1:6">
      <c r="A320" s="19">
        <v>29768</v>
      </c>
      <c r="B320" s="268">
        <v>111.7</v>
      </c>
      <c r="C320" s="143">
        <v>201.1</v>
      </c>
      <c r="E320" s="269">
        <f t="shared" si="24"/>
        <v>193.53886666666668</v>
      </c>
    </row>
    <row r="321" spans="1:6">
      <c r="A321" s="19">
        <v>29799</v>
      </c>
      <c r="B321" s="268">
        <v>109.7</v>
      </c>
      <c r="C321" s="143">
        <v>185.1</v>
      </c>
      <c r="E321" s="269">
        <f t="shared" si="24"/>
        <v>190.07353333333333</v>
      </c>
    </row>
    <row r="322" spans="1:6">
      <c r="A322" s="19">
        <v>29830</v>
      </c>
      <c r="B322" s="268">
        <v>110.6</v>
      </c>
      <c r="C322" s="143">
        <v>189.8</v>
      </c>
      <c r="E322" s="269">
        <f t="shared" si="24"/>
        <v>191.63293333333331</v>
      </c>
    </row>
    <row r="323" spans="1:6">
      <c r="A323" s="19">
        <v>29860</v>
      </c>
      <c r="B323" s="268">
        <v>111.6</v>
      </c>
      <c r="C323" s="143">
        <v>194.6</v>
      </c>
      <c r="E323" s="269">
        <f t="shared" ref="E323:E386" si="30">B323/100*$D$733</f>
        <v>193.3656</v>
      </c>
    </row>
    <row r="324" spans="1:6">
      <c r="A324" s="19">
        <v>29891</v>
      </c>
      <c r="B324" s="268">
        <v>108.9</v>
      </c>
      <c r="C324" s="143">
        <v>190.6</v>
      </c>
      <c r="E324" s="269">
        <f t="shared" si="30"/>
        <v>188.6874</v>
      </c>
    </row>
    <row r="325" spans="1:6">
      <c r="A325" s="19">
        <v>29921</v>
      </c>
      <c r="B325" s="268">
        <v>110</v>
      </c>
      <c r="C325" s="143">
        <v>190.7</v>
      </c>
      <c r="E325" s="269">
        <f t="shared" si="30"/>
        <v>190.59333333333336</v>
      </c>
      <c r="F325" s="270">
        <f t="shared" ref="F325" si="31">SUM(E314:E325)</f>
        <v>2292.1447333333331</v>
      </c>
    </row>
    <row r="326" spans="1:6">
      <c r="A326" s="19">
        <v>29952</v>
      </c>
      <c r="B326" s="268">
        <v>110.3</v>
      </c>
      <c r="C326" s="143">
        <v>171.3</v>
      </c>
      <c r="E326" s="269">
        <f t="shared" si="30"/>
        <v>191.11313333333334</v>
      </c>
    </row>
    <row r="327" spans="1:6">
      <c r="A327" s="19">
        <v>29983</v>
      </c>
      <c r="B327" s="268">
        <v>109.7</v>
      </c>
      <c r="C327" s="143">
        <v>184.5</v>
      </c>
      <c r="E327" s="269">
        <f t="shared" si="30"/>
        <v>190.07353333333333</v>
      </c>
    </row>
    <row r="328" spans="1:6">
      <c r="A328" s="19">
        <v>30011</v>
      </c>
      <c r="B328" s="268">
        <v>110.5</v>
      </c>
      <c r="C328" s="143">
        <v>191.7</v>
      </c>
      <c r="E328" s="269">
        <f t="shared" si="30"/>
        <v>191.45966666666669</v>
      </c>
    </row>
    <row r="329" spans="1:6">
      <c r="A329" s="19">
        <v>30042</v>
      </c>
      <c r="B329" s="268">
        <v>109.8</v>
      </c>
      <c r="C329" s="143">
        <v>192.6</v>
      </c>
      <c r="E329" s="269">
        <f t="shared" si="30"/>
        <v>190.24679999999998</v>
      </c>
    </row>
    <row r="330" spans="1:6">
      <c r="A330" s="19">
        <v>30072</v>
      </c>
      <c r="B330" s="268">
        <v>109.7</v>
      </c>
      <c r="C330" s="143">
        <v>182.4</v>
      </c>
      <c r="E330" s="269">
        <f t="shared" si="30"/>
        <v>190.07353333333333</v>
      </c>
    </row>
    <row r="331" spans="1:6">
      <c r="A331" s="19">
        <v>30103</v>
      </c>
      <c r="B331" s="268">
        <v>109.5</v>
      </c>
      <c r="C331" s="143">
        <v>194.5</v>
      </c>
      <c r="E331" s="269">
        <f t="shared" si="30"/>
        <v>189.727</v>
      </c>
    </row>
    <row r="332" spans="1:6">
      <c r="A332" s="19">
        <v>30133</v>
      </c>
      <c r="B332" s="268">
        <v>109.8</v>
      </c>
      <c r="C332" s="143">
        <v>199.4</v>
      </c>
      <c r="E332" s="269">
        <f t="shared" si="30"/>
        <v>190.24679999999998</v>
      </c>
    </row>
    <row r="333" spans="1:6">
      <c r="A333" s="19">
        <v>30164</v>
      </c>
      <c r="B333" s="268">
        <v>109.8</v>
      </c>
      <c r="C333" s="143">
        <v>186.2</v>
      </c>
      <c r="E333" s="269">
        <f t="shared" si="30"/>
        <v>190.24679999999998</v>
      </c>
    </row>
    <row r="334" spans="1:6">
      <c r="A334" s="19">
        <v>30195</v>
      </c>
      <c r="B334" s="268">
        <v>108.9</v>
      </c>
      <c r="C334" s="143">
        <v>188.3</v>
      </c>
      <c r="E334" s="269">
        <f t="shared" si="30"/>
        <v>188.6874</v>
      </c>
    </row>
    <row r="335" spans="1:6">
      <c r="A335" s="19">
        <v>30225</v>
      </c>
      <c r="B335" s="268">
        <v>107.6</v>
      </c>
      <c r="C335" s="143">
        <v>189.1</v>
      </c>
      <c r="E335" s="269">
        <f t="shared" si="30"/>
        <v>186.43493333333333</v>
      </c>
    </row>
    <row r="336" spans="1:6">
      <c r="A336" s="19">
        <v>30256</v>
      </c>
      <c r="B336" s="268">
        <v>109.1</v>
      </c>
      <c r="C336" s="143">
        <v>192.7</v>
      </c>
      <c r="E336" s="269">
        <f t="shared" si="30"/>
        <v>189.03393333333335</v>
      </c>
    </row>
    <row r="337" spans="1:6">
      <c r="A337" s="19">
        <v>30286</v>
      </c>
      <c r="B337" s="268">
        <v>108.8</v>
      </c>
      <c r="C337" s="143">
        <v>190</v>
      </c>
      <c r="E337" s="269">
        <f t="shared" si="30"/>
        <v>188.51413333333335</v>
      </c>
      <c r="F337" s="270">
        <f t="shared" ref="F337" si="32">SUM(E326:E337)</f>
        <v>2275.8576666666668</v>
      </c>
    </row>
    <row r="338" spans="1:6">
      <c r="A338" s="19">
        <v>30317</v>
      </c>
      <c r="B338" s="268">
        <v>109.2</v>
      </c>
      <c r="C338" s="143">
        <v>170.3</v>
      </c>
      <c r="E338" s="269">
        <f t="shared" si="30"/>
        <v>189.20720000000003</v>
      </c>
    </row>
    <row r="339" spans="1:6">
      <c r="A339" s="19">
        <v>30348</v>
      </c>
      <c r="B339" s="268">
        <v>107.3</v>
      </c>
      <c r="C339" s="143">
        <v>181.9</v>
      </c>
      <c r="E339" s="269">
        <f t="shared" si="30"/>
        <v>185.91513333333333</v>
      </c>
    </row>
    <row r="340" spans="1:6">
      <c r="A340" s="19">
        <v>30376</v>
      </c>
      <c r="B340" s="268">
        <v>108</v>
      </c>
      <c r="C340" s="143">
        <v>189.1</v>
      </c>
      <c r="E340" s="269">
        <f t="shared" si="30"/>
        <v>187.12800000000001</v>
      </c>
    </row>
    <row r="341" spans="1:6">
      <c r="A341" s="19">
        <v>30407</v>
      </c>
      <c r="B341" s="268">
        <v>108</v>
      </c>
      <c r="C341" s="143">
        <v>189.7</v>
      </c>
      <c r="E341" s="269">
        <f t="shared" si="30"/>
        <v>187.12800000000001</v>
      </c>
    </row>
    <row r="342" spans="1:6">
      <c r="A342" s="19">
        <v>30437</v>
      </c>
      <c r="B342" s="268">
        <v>107.6</v>
      </c>
      <c r="C342" s="143">
        <v>179</v>
      </c>
      <c r="E342" s="269">
        <f t="shared" si="30"/>
        <v>186.43493333333333</v>
      </c>
    </row>
    <row r="343" spans="1:6">
      <c r="A343" s="19">
        <v>30468</v>
      </c>
      <c r="B343" s="268">
        <v>108.5</v>
      </c>
      <c r="C343" s="143">
        <v>192.9</v>
      </c>
      <c r="E343" s="269">
        <f t="shared" si="30"/>
        <v>187.99433333333334</v>
      </c>
    </row>
    <row r="344" spans="1:6">
      <c r="A344" s="19">
        <v>30498</v>
      </c>
      <c r="B344" s="268">
        <v>107.6</v>
      </c>
      <c r="C344" s="143">
        <v>195.5</v>
      </c>
      <c r="E344" s="269">
        <f t="shared" si="30"/>
        <v>186.43493333333333</v>
      </c>
    </row>
    <row r="345" spans="1:6">
      <c r="A345" s="19">
        <v>30529</v>
      </c>
      <c r="B345" s="268">
        <v>110.4</v>
      </c>
      <c r="C345" s="143">
        <v>187.3</v>
      </c>
      <c r="E345" s="269">
        <f t="shared" si="30"/>
        <v>191.28640000000004</v>
      </c>
    </row>
    <row r="346" spans="1:6">
      <c r="A346" s="19">
        <v>30560</v>
      </c>
      <c r="B346" s="268">
        <v>108.9</v>
      </c>
      <c r="C346" s="143">
        <v>188.4</v>
      </c>
      <c r="E346" s="269">
        <f t="shared" si="30"/>
        <v>188.6874</v>
      </c>
    </row>
    <row r="347" spans="1:6">
      <c r="A347" s="19">
        <v>30590</v>
      </c>
      <c r="B347" s="268">
        <v>107.2</v>
      </c>
      <c r="C347" s="143">
        <v>188.7</v>
      </c>
      <c r="E347" s="269">
        <f t="shared" si="30"/>
        <v>185.74186666666668</v>
      </c>
    </row>
    <row r="348" spans="1:6">
      <c r="A348" s="19">
        <v>30621</v>
      </c>
      <c r="B348" s="268">
        <v>108.7</v>
      </c>
      <c r="C348" s="143">
        <v>192.8</v>
      </c>
      <c r="E348" s="269">
        <f t="shared" si="30"/>
        <v>188.34086666666667</v>
      </c>
    </row>
    <row r="349" spans="1:6">
      <c r="A349" s="19">
        <v>30651</v>
      </c>
      <c r="B349" s="268">
        <v>108.8</v>
      </c>
      <c r="C349" s="143">
        <v>190.4</v>
      </c>
      <c r="E349" s="269">
        <f t="shared" si="30"/>
        <v>188.51413333333335</v>
      </c>
      <c r="F349" s="270">
        <f t="shared" ref="F349" si="33">SUM(E338:E349)</f>
        <v>2252.8132000000005</v>
      </c>
    </row>
    <row r="350" spans="1:6">
      <c r="A350" s="19">
        <v>30682</v>
      </c>
      <c r="B350" s="268">
        <v>108.6</v>
      </c>
      <c r="C350" s="143">
        <v>169.4</v>
      </c>
      <c r="E350" s="269">
        <f t="shared" si="30"/>
        <v>188.16759999999999</v>
      </c>
    </row>
    <row r="351" spans="1:6">
      <c r="A351" s="19">
        <v>30713</v>
      </c>
      <c r="B351" s="268">
        <v>109.8</v>
      </c>
      <c r="C351" s="143">
        <v>186.2</v>
      </c>
      <c r="E351" s="269">
        <f t="shared" si="30"/>
        <v>190.24679999999998</v>
      </c>
    </row>
    <row r="352" spans="1:6">
      <c r="A352" s="19">
        <v>30742</v>
      </c>
      <c r="B352" s="268">
        <v>110.6</v>
      </c>
      <c r="C352" s="143">
        <v>193.6</v>
      </c>
      <c r="E352" s="269">
        <f t="shared" si="30"/>
        <v>191.63293333333331</v>
      </c>
    </row>
    <row r="353" spans="1:6">
      <c r="A353" s="19">
        <v>30773</v>
      </c>
      <c r="B353" s="268">
        <v>107.9</v>
      </c>
      <c r="C353" s="143">
        <v>190</v>
      </c>
      <c r="E353" s="269">
        <f t="shared" si="30"/>
        <v>186.95473333333334</v>
      </c>
    </row>
    <row r="354" spans="1:6">
      <c r="A354" s="19">
        <v>30803</v>
      </c>
      <c r="B354" s="268">
        <v>109.5</v>
      </c>
      <c r="C354" s="143">
        <v>182.2</v>
      </c>
      <c r="E354" s="269">
        <f t="shared" si="30"/>
        <v>189.727</v>
      </c>
    </row>
    <row r="355" spans="1:6">
      <c r="A355" s="19">
        <v>30834</v>
      </c>
      <c r="B355" s="268">
        <v>109.7</v>
      </c>
      <c r="C355" s="143">
        <v>195.2</v>
      </c>
      <c r="E355" s="269">
        <f t="shared" si="30"/>
        <v>190.07353333333333</v>
      </c>
    </row>
    <row r="356" spans="1:6">
      <c r="A356" s="19">
        <v>30864</v>
      </c>
      <c r="B356" s="268">
        <v>109.2</v>
      </c>
      <c r="C356" s="143">
        <v>198.4</v>
      </c>
      <c r="E356" s="269">
        <f t="shared" si="30"/>
        <v>189.20720000000003</v>
      </c>
    </row>
    <row r="357" spans="1:6">
      <c r="A357" s="19">
        <v>30895</v>
      </c>
      <c r="B357" s="268">
        <v>109.6</v>
      </c>
      <c r="C357" s="143">
        <v>185.9</v>
      </c>
      <c r="E357" s="269">
        <f t="shared" si="30"/>
        <v>189.90026666666665</v>
      </c>
    </row>
    <row r="358" spans="1:6">
      <c r="A358" s="19">
        <v>30926</v>
      </c>
      <c r="B358" s="268">
        <v>107.4</v>
      </c>
      <c r="C358" s="143">
        <v>185.7</v>
      </c>
      <c r="E358" s="269">
        <f t="shared" si="30"/>
        <v>186.08840000000004</v>
      </c>
    </row>
    <row r="359" spans="1:6">
      <c r="A359" s="19">
        <v>30956</v>
      </c>
      <c r="B359" s="268">
        <v>109.9</v>
      </c>
      <c r="C359" s="143">
        <v>193.6</v>
      </c>
      <c r="E359" s="269">
        <f t="shared" si="30"/>
        <v>190.42006666666668</v>
      </c>
    </row>
    <row r="360" spans="1:6">
      <c r="A360" s="19">
        <v>30987</v>
      </c>
      <c r="B360" s="268">
        <v>110.2</v>
      </c>
      <c r="C360" s="143">
        <v>195.7</v>
      </c>
      <c r="E360" s="269">
        <f t="shared" si="30"/>
        <v>190.93986666666669</v>
      </c>
    </row>
    <row r="361" spans="1:6">
      <c r="A361" s="19">
        <v>31017</v>
      </c>
      <c r="B361" s="268">
        <v>108.4</v>
      </c>
      <c r="C361" s="143">
        <v>189.9</v>
      </c>
      <c r="E361" s="269">
        <f t="shared" si="30"/>
        <v>187.8210666666667</v>
      </c>
      <c r="F361" s="270">
        <f t="shared" ref="F361" si="34">SUM(E350:E361)</f>
        <v>2271.1794666666669</v>
      </c>
    </row>
    <row r="362" spans="1:6">
      <c r="A362" s="19">
        <v>31048</v>
      </c>
      <c r="B362" s="268">
        <v>107.7</v>
      </c>
      <c r="C362" s="143">
        <v>168.1</v>
      </c>
      <c r="E362" s="269">
        <f t="shared" si="30"/>
        <v>186.60820000000001</v>
      </c>
    </row>
    <row r="363" spans="1:6">
      <c r="A363" s="19">
        <v>31079</v>
      </c>
      <c r="B363" s="268">
        <v>107.4</v>
      </c>
      <c r="C363" s="143">
        <v>182.8</v>
      </c>
      <c r="E363" s="269">
        <f t="shared" si="30"/>
        <v>186.08840000000004</v>
      </c>
    </row>
    <row r="364" spans="1:6">
      <c r="A364" s="19">
        <v>31107</v>
      </c>
      <c r="B364" s="268">
        <v>106.7</v>
      </c>
      <c r="C364" s="143">
        <v>187.2</v>
      </c>
      <c r="E364" s="269">
        <f t="shared" si="30"/>
        <v>184.87553333333335</v>
      </c>
    </row>
    <row r="365" spans="1:6">
      <c r="A365" s="19">
        <v>31138</v>
      </c>
      <c r="B365" s="268">
        <v>108.2</v>
      </c>
      <c r="C365" s="143">
        <v>191.9</v>
      </c>
      <c r="E365" s="269">
        <f t="shared" si="30"/>
        <v>187.47453333333337</v>
      </c>
    </row>
    <row r="366" spans="1:6">
      <c r="A366" s="19">
        <v>31168</v>
      </c>
      <c r="B366" s="268">
        <v>109.2</v>
      </c>
      <c r="C366" s="143">
        <v>182.9</v>
      </c>
      <c r="E366" s="269">
        <f t="shared" si="30"/>
        <v>189.20720000000003</v>
      </c>
    </row>
    <row r="367" spans="1:6">
      <c r="A367" s="19">
        <v>31199</v>
      </c>
      <c r="B367" s="268">
        <v>107.6</v>
      </c>
      <c r="C367" s="143">
        <v>193</v>
      </c>
      <c r="E367" s="269">
        <f t="shared" si="30"/>
        <v>186.43493333333333</v>
      </c>
    </row>
    <row r="368" spans="1:6">
      <c r="A368" s="19">
        <v>31229</v>
      </c>
      <c r="B368" s="268">
        <v>109.1</v>
      </c>
      <c r="C368" s="143">
        <v>199.6</v>
      </c>
      <c r="E368" s="269">
        <f t="shared" si="30"/>
        <v>189.03393333333335</v>
      </c>
    </row>
    <row r="369" spans="1:6">
      <c r="A369" s="19">
        <v>31260</v>
      </c>
      <c r="B369" s="268">
        <v>108.9</v>
      </c>
      <c r="C369" s="143">
        <v>185.9</v>
      </c>
      <c r="E369" s="269">
        <f t="shared" si="30"/>
        <v>188.6874</v>
      </c>
    </row>
    <row r="370" spans="1:6">
      <c r="A370" s="19">
        <v>31291</v>
      </c>
      <c r="B370" s="268">
        <v>108.4</v>
      </c>
      <c r="C370" s="143">
        <v>188.9</v>
      </c>
      <c r="E370" s="269">
        <f t="shared" si="30"/>
        <v>187.8210666666667</v>
      </c>
    </row>
    <row r="371" spans="1:6">
      <c r="A371" s="19">
        <v>31321</v>
      </c>
      <c r="B371" s="268">
        <v>108.3</v>
      </c>
      <c r="C371" s="143">
        <v>192.5</v>
      </c>
      <c r="E371" s="269">
        <f t="shared" si="30"/>
        <v>187.64780000000002</v>
      </c>
    </row>
    <row r="372" spans="1:6">
      <c r="A372" s="19">
        <v>31352</v>
      </c>
      <c r="B372" s="268">
        <v>109.8</v>
      </c>
      <c r="C372" s="143">
        <v>196.6</v>
      </c>
      <c r="E372" s="269">
        <f t="shared" si="30"/>
        <v>190.24679999999998</v>
      </c>
    </row>
    <row r="373" spans="1:6">
      <c r="A373" s="19">
        <v>31382</v>
      </c>
      <c r="B373" s="268">
        <v>108.6</v>
      </c>
      <c r="C373" s="143">
        <v>192</v>
      </c>
      <c r="E373" s="269">
        <f t="shared" si="30"/>
        <v>188.16759999999999</v>
      </c>
      <c r="F373" s="270">
        <f t="shared" ref="F373" si="35">SUM(E362:E373)</f>
        <v>2252.2934000000005</v>
      </c>
    </row>
    <row r="374" spans="1:6">
      <c r="A374" s="19">
        <v>31413</v>
      </c>
      <c r="B374" s="268">
        <v>108.3</v>
      </c>
      <c r="C374" s="143">
        <v>170.2</v>
      </c>
      <c r="E374" s="269">
        <f t="shared" si="30"/>
        <v>187.64780000000002</v>
      </c>
    </row>
    <row r="375" spans="1:6">
      <c r="A375" s="19">
        <v>31444</v>
      </c>
      <c r="B375" s="268">
        <v>109.4</v>
      </c>
      <c r="C375" s="143">
        <v>187.8</v>
      </c>
      <c r="E375" s="269">
        <f t="shared" si="30"/>
        <v>189.55373333333335</v>
      </c>
    </row>
    <row r="376" spans="1:6">
      <c r="A376" s="19">
        <v>31472</v>
      </c>
      <c r="B376" s="268">
        <v>107.8</v>
      </c>
      <c r="C376" s="143">
        <v>191</v>
      </c>
      <c r="E376" s="269">
        <f t="shared" si="30"/>
        <v>186.78146666666669</v>
      </c>
    </row>
    <row r="377" spans="1:6">
      <c r="A377" s="19">
        <v>31503</v>
      </c>
      <c r="B377" s="268">
        <v>108.5</v>
      </c>
      <c r="C377" s="143">
        <v>192.8</v>
      </c>
      <c r="E377" s="269">
        <f t="shared" si="30"/>
        <v>187.99433333333334</v>
      </c>
    </row>
    <row r="378" spans="1:6">
      <c r="A378" s="19">
        <v>31533</v>
      </c>
      <c r="B378" s="268">
        <v>111.1</v>
      </c>
      <c r="C378" s="143">
        <v>185.8</v>
      </c>
      <c r="E378" s="269">
        <f t="shared" si="30"/>
        <v>192.49926666666667</v>
      </c>
    </row>
    <row r="379" spans="1:6">
      <c r="A379" s="19">
        <v>31564</v>
      </c>
      <c r="B379" s="268">
        <v>108.4</v>
      </c>
      <c r="C379" s="143">
        <v>194.7</v>
      </c>
      <c r="E379" s="269">
        <f t="shared" si="30"/>
        <v>187.8210666666667</v>
      </c>
    </row>
    <row r="380" spans="1:6">
      <c r="A380" s="19">
        <v>31594</v>
      </c>
      <c r="B380" s="268">
        <v>108.3</v>
      </c>
      <c r="C380" s="143">
        <v>198.4</v>
      </c>
      <c r="E380" s="269">
        <f t="shared" si="30"/>
        <v>187.64780000000002</v>
      </c>
    </row>
    <row r="381" spans="1:6">
      <c r="A381" s="19">
        <v>31625</v>
      </c>
      <c r="B381" s="268">
        <v>107.7</v>
      </c>
      <c r="C381" s="143">
        <v>183.8</v>
      </c>
      <c r="E381" s="269">
        <f t="shared" si="30"/>
        <v>186.60820000000001</v>
      </c>
    </row>
    <row r="382" spans="1:6">
      <c r="A382" s="19">
        <v>31656</v>
      </c>
      <c r="B382" s="268">
        <v>109.2</v>
      </c>
      <c r="C382" s="143">
        <v>190.7</v>
      </c>
      <c r="E382" s="269">
        <f t="shared" si="30"/>
        <v>189.20720000000003</v>
      </c>
    </row>
    <row r="383" spans="1:6">
      <c r="A383" s="19">
        <v>31686</v>
      </c>
      <c r="B383" s="268">
        <v>108.9</v>
      </c>
      <c r="C383" s="143">
        <v>193.9</v>
      </c>
      <c r="E383" s="269">
        <f t="shared" si="30"/>
        <v>188.6874</v>
      </c>
    </row>
    <row r="384" spans="1:6">
      <c r="A384" s="19">
        <v>31717</v>
      </c>
      <c r="B384" s="268">
        <v>108.1</v>
      </c>
      <c r="C384" s="143">
        <v>193.8</v>
      </c>
      <c r="E384" s="269">
        <f t="shared" si="30"/>
        <v>187.30126666666666</v>
      </c>
    </row>
    <row r="385" spans="1:6">
      <c r="A385" s="19">
        <v>31747</v>
      </c>
      <c r="B385" s="268">
        <v>109.2</v>
      </c>
      <c r="C385" s="143">
        <v>193.5</v>
      </c>
      <c r="E385" s="269">
        <f t="shared" si="30"/>
        <v>189.20720000000003</v>
      </c>
      <c r="F385" s="270">
        <f t="shared" ref="F385" si="36">SUM(E374:E385)</f>
        <v>2260.9567333333334</v>
      </c>
    </row>
    <row r="386" spans="1:6">
      <c r="A386" s="19">
        <v>31778</v>
      </c>
      <c r="B386" s="268">
        <v>108.7</v>
      </c>
      <c r="C386" s="143">
        <v>171.4</v>
      </c>
      <c r="E386" s="269">
        <f t="shared" si="30"/>
        <v>188.34086666666667</v>
      </c>
    </row>
    <row r="387" spans="1:6">
      <c r="A387" s="19">
        <v>31809</v>
      </c>
      <c r="B387" s="268">
        <v>108.9</v>
      </c>
      <c r="C387" s="143">
        <v>187.2</v>
      </c>
      <c r="E387" s="269">
        <f t="shared" ref="E387:E450" si="37">B387/100*$D$733</f>
        <v>188.6874</v>
      </c>
    </row>
    <row r="388" spans="1:6">
      <c r="A388" s="19">
        <v>31837</v>
      </c>
      <c r="B388" s="268">
        <v>107.8</v>
      </c>
      <c r="C388" s="143">
        <v>192</v>
      </c>
      <c r="E388" s="269">
        <f t="shared" si="37"/>
        <v>186.78146666666669</v>
      </c>
    </row>
    <row r="389" spans="1:6">
      <c r="A389" s="19">
        <v>31868</v>
      </c>
      <c r="B389" s="268">
        <v>109.3</v>
      </c>
      <c r="C389" s="143">
        <v>194.7</v>
      </c>
      <c r="E389" s="269">
        <f t="shared" si="37"/>
        <v>189.38046666666668</v>
      </c>
    </row>
    <row r="390" spans="1:6">
      <c r="A390" s="19">
        <v>31898</v>
      </c>
      <c r="B390" s="268">
        <v>108.9</v>
      </c>
      <c r="C390" s="143">
        <v>181.5</v>
      </c>
      <c r="E390" s="269">
        <f t="shared" si="37"/>
        <v>188.6874</v>
      </c>
    </row>
    <row r="391" spans="1:6">
      <c r="A391" s="19">
        <v>31929</v>
      </c>
      <c r="B391" s="268">
        <v>109.8</v>
      </c>
      <c r="C391" s="143">
        <v>197.3</v>
      </c>
      <c r="E391" s="269">
        <f t="shared" si="37"/>
        <v>190.24679999999998</v>
      </c>
    </row>
    <row r="392" spans="1:6">
      <c r="A392" s="19">
        <v>31959</v>
      </c>
      <c r="B392" s="268">
        <v>109.4</v>
      </c>
      <c r="C392" s="143">
        <v>200.2</v>
      </c>
      <c r="E392" s="269">
        <f t="shared" si="37"/>
        <v>189.55373333333335</v>
      </c>
    </row>
    <row r="393" spans="1:6">
      <c r="A393" s="19">
        <v>31990</v>
      </c>
      <c r="B393" s="268">
        <v>109.4</v>
      </c>
      <c r="C393" s="143">
        <v>186.8</v>
      </c>
      <c r="E393" s="269">
        <f t="shared" si="37"/>
        <v>189.55373333333335</v>
      </c>
    </row>
    <row r="394" spans="1:6">
      <c r="A394" s="19">
        <v>32021</v>
      </c>
      <c r="B394" s="268">
        <v>109.4</v>
      </c>
      <c r="C394" s="143">
        <v>190.9</v>
      </c>
      <c r="E394" s="269">
        <f t="shared" si="37"/>
        <v>189.55373333333335</v>
      </c>
    </row>
    <row r="395" spans="1:6">
      <c r="A395" s="19">
        <v>32051</v>
      </c>
      <c r="B395" s="268">
        <v>110.5</v>
      </c>
      <c r="C395" s="143">
        <v>196.8</v>
      </c>
      <c r="E395" s="269">
        <f t="shared" si="37"/>
        <v>191.45966666666669</v>
      </c>
    </row>
    <row r="396" spans="1:6">
      <c r="A396" s="19">
        <v>32082</v>
      </c>
      <c r="B396" s="268">
        <v>108.8</v>
      </c>
      <c r="C396" s="143">
        <v>195.2</v>
      </c>
      <c r="E396" s="269">
        <f t="shared" si="37"/>
        <v>188.51413333333335</v>
      </c>
    </row>
    <row r="397" spans="1:6">
      <c r="A397" s="19">
        <v>32112</v>
      </c>
      <c r="B397" s="268">
        <v>109.4</v>
      </c>
      <c r="C397" s="143">
        <v>194.4</v>
      </c>
      <c r="E397" s="269">
        <f t="shared" si="37"/>
        <v>189.55373333333335</v>
      </c>
      <c r="F397" s="270">
        <f t="shared" ref="F397" si="38">SUM(E386:E397)</f>
        <v>2270.3131333333331</v>
      </c>
    </row>
    <row r="398" spans="1:6">
      <c r="A398" s="19">
        <v>32143</v>
      </c>
      <c r="B398" s="268">
        <v>111.7</v>
      </c>
      <c r="C398" s="143">
        <v>173.8</v>
      </c>
      <c r="E398" s="269">
        <f t="shared" si="37"/>
        <v>193.53886666666668</v>
      </c>
    </row>
    <row r="399" spans="1:6">
      <c r="A399" s="19">
        <v>32174</v>
      </c>
      <c r="B399" s="268">
        <v>113.1</v>
      </c>
      <c r="C399" s="143">
        <v>192.3</v>
      </c>
      <c r="E399" s="269">
        <f t="shared" si="37"/>
        <v>195.96460000000002</v>
      </c>
    </row>
    <row r="400" spans="1:6">
      <c r="A400" s="19">
        <v>32203</v>
      </c>
      <c r="B400" s="268">
        <v>111.8</v>
      </c>
      <c r="C400" s="143">
        <v>197.4</v>
      </c>
      <c r="E400" s="269">
        <f t="shared" si="37"/>
        <v>193.71213333333333</v>
      </c>
    </row>
    <row r="401" spans="1:6">
      <c r="A401" s="19">
        <v>32234</v>
      </c>
      <c r="B401" s="268">
        <v>110.2</v>
      </c>
      <c r="C401" s="143">
        <v>194.1</v>
      </c>
      <c r="E401" s="269">
        <f t="shared" si="37"/>
        <v>190.93986666666669</v>
      </c>
    </row>
    <row r="402" spans="1:6">
      <c r="A402" s="19">
        <v>32264</v>
      </c>
      <c r="B402" s="268">
        <v>107.6</v>
      </c>
      <c r="C402" s="143">
        <v>176.8</v>
      </c>
      <c r="E402" s="269">
        <f t="shared" si="37"/>
        <v>186.43493333333333</v>
      </c>
    </row>
    <row r="403" spans="1:6">
      <c r="A403" s="19">
        <v>32295</v>
      </c>
      <c r="B403" s="268">
        <v>108.8</v>
      </c>
      <c r="C403" s="143">
        <v>193.7</v>
      </c>
      <c r="E403" s="269">
        <f t="shared" si="37"/>
        <v>188.51413333333335</v>
      </c>
    </row>
    <row r="404" spans="1:6">
      <c r="A404" s="19">
        <v>32325</v>
      </c>
      <c r="B404" s="268">
        <v>109</v>
      </c>
      <c r="C404" s="143">
        <v>197.5</v>
      </c>
      <c r="E404" s="269">
        <f t="shared" si="37"/>
        <v>188.8606666666667</v>
      </c>
    </row>
    <row r="405" spans="1:6">
      <c r="A405" s="19">
        <v>32356</v>
      </c>
      <c r="B405" s="268">
        <v>111.8</v>
      </c>
      <c r="C405" s="143">
        <v>188.8</v>
      </c>
      <c r="E405" s="269">
        <f t="shared" si="37"/>
        <v>193.71213333333333</v>
      </c>
    </row>
    <row r="406" spans="1:6">
      <c r="A406" s="19">
        <v>32387</v>
      </c>
      <c r="B406" s="268">
        <v>109.4</v>
      </c>
      <c r="C406" s="143">
        <v>188.5</v>
      </c>
      <c r="E406" s="269">
        <f t="shared" si="37"/>
        <v>189.55373333333335</v>
      </c>
    </row>
    <row r="407" spans="1:6">
      <c r="A407" s="19">
        <v>32417</v>
      </c>
      <c r="B407" s="268">
        <v>108.3</v>
      </c>
      <c r="C407" s="143">
        <v>190.9</v>
      </c>
      <c r="E407" s="269">
        <f t="shared" si="37"/>
        <v>187.64780000000002</v>
      </c>
    </row>
    <row r="408" spans="1:6">
      <c r="A408" s="19">
        <v>32448</v>
      </c>
      <c r="B408" s="268">
        <v>108.9</v>
      </c>
      <c r="C408" s="143">
        <v>193.5</v>
      </c>
      <c r="E408" s="269">
        <f t="shared" si="37"/>
        <v>188.6874</v>
      </c>
    </row>
    <row r="409" spans="1:6">
      <c r="A409" s="19">
        <v>32478</v>
      </c>
      <c r="B409" s="268">
        <v>110.3</v>
      </c>
      <c r="C409" s="143">
        <v>193.6</v>
      </c>
      <c r="E409" s="269">
        <f t="shared" si="37"/>
        <v>191.11313333333334</v>
      </c>
      <c r="F409" s="270">
        <f t="shared" ref="F409" si="39">SUM(E398:E409)</f>
        <v>2288.6794</v>
      </c>
    </row>
    <row r="410" spans="1:6">
      <c r="A410" s="19">
        <v>32509</v>
      </c>
      <c r="B410" s="268">
        <v>110.9</v>
      </c>
      <c r="C410" s="143">
        <v>172.7</v>
      </c>
      <c r="E410" s="269">
        <f t="shared" si="37"/>
        <v>192.15273333333334</v>
      </c>
    </row>
    <row r="411" spans="1:6">
      <c r="A411" s="19">
        <v>32540</v>
      </c>
      <c r="B411" s="268">
        <v>107.3</v>
      </c>
      <c r="C411" s="143">
        <v>183.4</v>
      </c>
      <c r="E411" s="269">
        <f t="shared" si="37"/>
        <v>185.91513333333333</v>
      </c>
    </row>
    <row r="412" spans="1:6">
      <c r="A412" s="19">
        <v>32568</v>
      </c>
      <c r="B412" s="268">
        <v>108.7</v>
      </c>
      <c r="C412" s="143">
        <v>193.4</v>
      </c>
      <c r="E412" s="269">
        <f t="shared" si="37"/>
        <v>188.34086666666667</v>
      </c>
    </row>
    <row r="413" spans="1:6">
      <c r="A413" s="19">
        <v>32599</v>
      </c>
      <c r="B413" s="268">
        <v>107</v>
      </c>
      <c r="C413" s="143">
        <v>189.9</v>
      </c>
      <c r="E413" s="269">
        <f t="shared" si="37"/>
        <v>185.39533333333335</v>
      </c>
    </row>
    <row r="414" spans="1:6">
      <c r="A414" s="19">
        <v>32629</v>
      </c>
      <c r="B414" s="268">
        <v>106.7</v>
      </c>
      <c r="C414" s="143">
        <v>175.2</v>
      </c>
      <c r="E414" s="269">
        <f t="shared" si="37"/>
        <v>184.87553333333335</v>
      </c>
    </row>
    <row r="415" spans="1:6">
      <c r="A415" s="19">
        <v>32660</v>
      </c>
      <c r="B415" s="268">
        <v>108.2</v>
      </c>
      <c r="C415" s="143">
        <v>193.2</v>
      </c>
      <c r="E415" s="269">
        <f t="shared" si="37"/>
        <v>187.47453333333337</v>
      </c>
    </row>
    <row r="416" spans="1:6">
      <c r="A416" s="19">
        <v>32690</v>
      </c>
      <c r="B416" s="268">
        <v>107.6</v>
      </c>
      <c r="C416" s="143">
        <v>195.7</v>
      </c>
      <c r="E416" s="269">
        <f t="shared" si="37"/>
        <v>186.43493333333333</v>
      </c>
    </row>
    <row r="417" spans="1:6">
      <c r="A417" s="19">
        <v>32721</v>
      </c>
      <c r="B417" s="268">
        <v>108.5</v>
      </c>
      <c r="C417" s="143">
        <v>183.7</v>
      </c>
      <c r="E417" s="269">
        <f t="shared" si="37"/>
        <v>187.99433333333334</v>
      </c>
    </row>
    <row r="418" spans="1:6">
      <c r="A418" s="19">
        <v>32752</v>
      </c>
      <c r="B418" s="268">
        <v>108.3</v>
      </c>
      <c r="C418" s="143">
        <v>186.6</v>
      </c>
      <c r="E418" s="269">
        <f t="shared" si="37"/>
        <v>187.64780000000002</v>
      </c>
    </row>
    <row r="419" spans="1:6">
      <c r="A419" s="19">
        <v>32782</v>
      </c>
      <c r="B419" s="268">
        <v>107.5</v>
      </c>
      <c r="C419" s="143">
        <v>190.3</v>
      </c>
      <c r="E419" s="269">
        <f t="shared" si="37"/>
        <v>186.26166666666668</v>
      </c>
    </row>
    <row r="420" spans="1:6">
      <c r="A420" s="19">
        <v>32813</v>
      </c>
      <c r="B420" s="268">
        <v>108.2</v>
      </c>
      <c r="C420" s="143">
        <v>193.3</v>
      </c>
      <c r="E420" s="269">
        <f t="shared" si="37"/>
        <v>187.47453333333337</v>
      </c>
    </row>
    <row r="421" spans="1:6">
      <c r="A421" s="19">
        <v>32843</v>
      </c>
      <c r="B421" s="268">
        <v>107.4</v>
      </c>
      <c r="C421" s="143">
        <v>189.1</v>
      </c>
      <c r="E421" s="269">
        <f t="shared" si="37"/>
        <v>186.08840000000004</v>
      </c>
      <c r="F421" s="270">
        <f t="shared" ref="F421" si="40">SUM(E410:E421)</f>
        <v>2246.0558000000005</v>
      </c>
    </row>
    <row r="422" spans="1:6">
      <c r="A422" s="19">
        <v>32874</v>
      </c>
      <c r="B422" s="268">
        <v>107.1</v>
      </c>
      <c r="C422" s="143">
        <v>166.5</v>
      </c>
      <c r="E422" s="269">
        <f t="shared" si="37"/>
        <v>185.5686</v>
      </c>
    </row>
    <row r="423" spans="1:6">
      <c r="A423" s="19">
        <v>32905</v>
      </c>
      <c r="B423" s="268">
        <v>106.1</v>
      </c>
      <c r="C423" s="143">
        <v>181.6</v>
      </c>
      <c r="E423" s="269">
        <f t="shared" si="37"/>
        <v>183.83593333333334</v>
      </c>
    </row>
    <row r="424" spans="1:6">
      <c r="A424" s="19">
        <v>32933</v>
      </c>
      <c r="B424" s="268">
        <v>107.3</v>
      </c>
      <c r="C424" s="143">
        <v>191.7</v>
      </c>
      <c r="E424" s="269">
        <f t="shared" si="37"/>
        <v>185.91513333333333</v>
      </c>
    </row>
    <row r="425" spans="1:6">
      <c r="A425" s="19">
        <v>32964</v>
      </c>
      <c r="B425" s="268">
        <v>106</v>
      </c>
      <c r="C425" s="143">
        <v>189.1</v>
      </c>
      <c r="E425" s="269">
        <f t="shared" si="37"/>
        <v>183.66266666666669</v>
      </c>
    </row>
    <row r="426" spans="1:6">
      <c r="A426" s="19">
        <v>32994</v>
      </c>
      <c r="B426" s="268">
        <v>106.6</v>
      </c>
      <c r="C426" s="143">
        <v>174.8</v>
      </c>
      <c r="E426" s="269">
        <f t="shared" si="37"/>
        <v>184.70226666666665</v>
      </c>
    </row>
    <row r="427" spans="1:6">
      <c r="A427" s="19">
        <v>33025</v>
      </c>
      <c r="B427" s="268">
        <v>107.5</v>
      </c>
      <c r="C427" s="143">
        <v>192.3</v>
      </c>
      <c r="E427" s="269">
        <f t="shared" si="37"/>
        <v>186.26166666666668</v>
      </c>
    </row>
    <row r="428" spans="1:6">
      <c r="A428" s="19">
        <v>33055</v>
      </c>
      <c r="B428" s="268">
        <v>106.2</v>
      </c>
      <c r="C428" s="143">
        <v>193.8</v>
      </c>
      <c r="E428" s="269">
        <f t="shared" si="37"/>
        <v>184.00920000000002</v>
      </c>
    </row>
    <row r="429" spans="1:6">
      <c r="A429" s="19">
        <v>33086</v>
      </c>
      <c r="B429" s="268">
        <v>105.8</v>
      </c>
      <c r="C429" s="143">
        <v>179.1</v>
      </c>
      <c r="E429" s="269">
        <f t="shared" si="37"/>
        <v>183.31613333333337</v>
      </c>
    </row>
    <row r="430" spans="1:6">
      <c r="A430" s="19">
        <v>33117</v>
      </c>
      <c r="B430" s="268">
        <v>105.4</v>
      </c>
      <c r="C430" s="143">
        <v>181.5</v>
      </c>
      <c r="E430" s="269">
        <f t="shared" si="37"/>
        <v>182.62306666666669</v>
      </c>
    </row>
    <row r="431" spans="1:6">
      <c r="A431" s="19">
        <v>33147</v>
      </c>
      <c r="B431" s="268">
        <v>106.5</v>
      </c>
      <c r="C431" s="143">
        <v>188.2</v>
      </c>
      <c r="E431" s="269">
        <f t="shared" si="37"/>
        <v>184.529</v>
      </c>
    </row>
    <row r="432" spans="1:6">
      <c r="A432" s="19">
        <v>33178</v>
      </c>
      <c r="B432" s="268">
        <v>105.2</v>
      </c>
      <c r="C432" s="143">
        <v>188.6</v>
      </c>
      <c r="E432" s="269">
        <f t="shared" si="37"/>
        <v>182.27653333333336</v>
      </c>
    </row>
    <row r="433" spans="1:6">
      <c r="A433" s="19">
        <v>33208</v>
      </c>
      <c r="B433" s="268">
        <v>105.8</v>
      </c>
      <c r="C433" s="143">
        <v>185.7</v>
      </c>
      <c r="E433" s="269">
        <f t="shared" si="37"/>
        <v>183.31613333333337</v>
      </c>
      <c r="F433" s="270">
        <f t="shared" ref="F433" si="41">SUM(E422:E433)</f>
        <v>2210.0163333333335</v>
      </c>
    </row>
    <row r="434" spans="1:6">
      <c r="A434" s="19">
        <v>33239</v>
      </c>
      <c r="B434" s="268">
        <v>105.2</v>
      </c>
      <c r="C434" s="143">
        <v>162.4</v>
      </c>
      <c r="E434" s="269">
        <f t="shared" si="37"/>
        <v>182.27653333333336</v>
      </c>
    </row>
    <row r="435" spans="1:6">
      <c r="A435" s="19">
        <v>33270</v>
      </c>
      <c r="B435" s="268">
        <v>107.3</v>
      </c>
      <c r="C435" s="143">
        <v>183.2</v>
      </c>
      <c r="E435" s="269">
        <f t="shared" si="37"/>
        <v>185.91513333333333</v>
      </c>
    </row>
    <row r="436" spans="1:6">
      <c r="A436" s="19">
        <v>33298</v>
      </c>
      <c r="B436" s="268">
        <v>104.3</v>
      </c>
      <c r="C436" s="143">
        <v>185.5</v>
      </c>
      <c r="E436" s="269">
        <f t="shared" si="37"/>
        <v>180.71713333333332</v>
      </c>
    </row>
    <row r="437" spans="1:6">
      <c r="A437" s="19">
        <v>33329</v>
      </c>
      <c r="B437" s="268">
        <v>105.7</v>
      </c>
      <c r="C437" s="143">
        <v>188</v>
      </c>
      <c r="E437" s="269">
        <f t="shared" si="37"/>
        <v>183.14286666666666</v>
      </c>
    </row>
    <row r="438" spans="1:6">
      <c r="A438" s="19">
        <v>33359</v>
      </c>
      <c r="B438" s="268">
        <v>106.2</v>
      </c>
      <c r="C438" s="143">
        <v>172.4</v>
      </c>
      <c r="E438" s="269">
        <f t="shared" si="37"/>
        <v>184.00920000000002</v>
      </c>
    </row>
    <row r="439" spans="1:6">
      <c r="A439" s="19">
        <v>33390</v>
      </c>
      <c r="B439" s="268">
        <v>103.5</v>
      </c>
      <c r="C439" s="143">
        <v>183.7</v>
      </c>
      <c r="E439" s="269">
        <f t="shared" si="37"/>
        <v>179.33099999999999</v>
      </c>
    </row>
    <row r="440" spans="1:6">
      <c r="A440" s="19">
        <v>33420</v>
      </c>
      <c r="B440" s="268">
        <v>104.5</v>
      </c>
      <c r="C440" s="143">
        <v>189.6</v>
      </c>
      <c r="E440" s="269">
        <f t="shared" si="37"/>
        <v>181.06366666666668</v>
      </c>
    </row>
    <row r="441" spans="1:6">
      <c r="A441" s="19">
        <v>33451</v>
      </c>
      <c r="B441" s="268">
        <v>104.3</v>
      </c>
      <c r="C441" s="143">
        <v>174.2</v>
      </c>
      <c r="E441" s="269">
        <f t="shared" si="37"/>
        <v>180.71713333333332</v>
      </c>
    </row>
    <row r="442" spans="1:6">
      <c r="A442" s="19">
        <v>33482</v>
      </c>
      <c r="B442" s="268">
        <v>103.6</v>
      </c>
      <c r="C442" s="143">
        <v>176.5</v>
      </c>
      <c r="E442" s="269">
        <f t="shared" si="37"/>
        <v>179.50426666666669</v>
      </c>
    </row>
    <row r="443" spans="1:6">
      <c r="A443" s="19">
        <v>33512</v>
      </c>
      <c r="B443" s="268">
        <v>104</v>
      </c>
      <c r="C443" s="143">
        <v>181.6</v>
      </c>
      <c r="E443" s="269">
        <f t="shared" si="37"/>
        <v>180.19733333333335</v>
      </c>
    </row>
    <row r="444" spans="1:6">
      <c r="A444" s="19">
        <v>33543</v>
      </c>
      <c r="B444" s="268">
        <v>105.3</v>
      </c>
      <c r="C444" s="143">
        <v>186.8</v>
      </c>
      <c r="E444" s="269">
        <f t="shared" si="37"/>
        <v>182.44980000000001</v>
      </c>
    </row>
    <row r="445" spans="1:6">
      <c r="A445" s="19">
        <v>33573</v>
      </c>
      <c r="B445" s="268">
        <v>103.4</v>
      </c>
      <c r="C445" s="143">
        <v>178.9</v>
      </c>
      <c r="E445" s="269">
        <f t="shared" si="37"/>
        <v>179.15773333333334</v>
      </c>
      <c r="F445" s="270">
        <f t="shared" ref="F445" si="42">SUM(E434:E445)</f>
        <v>2178.4818</v>
      </c>
    </row>
    <row r="446" spans="1:6">
      <c r="A446" s="19">
        <v>33604</v>
      </c>
      <c r="B446" s="268">
        <v>102.6</v>
      </c>
      <c r="C446" s="143">
        <v>157.9</v>
      </c>
      <c r="E446" s="269">
        <f t="shared" si="37"/>
        <v>177.77160000000001</v>
      </c>
    </row>
    <row r="447" spans="1:6">
      <c r="A447" s="19">
        <v>33635</v>
      </c>
      <c r="B447" s="268">
        <v>105</v>
      </c>
      <c r="C447" s="143">
        <v>178.3</v>
      </c>
      <c r="E447" s="269">
        <f t="shared" si="37"/>
        <v>181.93000000000004</v>
      </c>
    </row>
    <row r="448" spans="1:6">
      <c r="A448" s="19">
        <v>33664</v>
      </c>
      <c r="B448" s="268">
        <v>101.2</v>
      </c>
      <c r="C448" s="143">
        <v>179.4</v>
      </c>
      <c r="E448" s="269">
        <f t="shared" si="37"/>
        <v>175.34586666666669</v>
      </c>
    </row>
    <row r="449" spans="1:6">
      <c r="A449" s="19">
        <v>33695</v>
      </c>
      <c r="B449" s="268">
        <v>104.1</v>
      </c>
      <c r="C449" s="143">
        <v>184.8</v>
      </c>
      <c r="E449" s="269">
        <f t="shared" si="37"/>
        <v>180.3706</v>
      </c>
    </row>
    <row r="450" spans="1:6">
      <c r="A450" s="19">
        <v>33725</v>
      </c>
      <c r="B450" s="268">
        <v>103.2</v>
      </c>
      <c r="C450" s="143">
        <v>166.4</v>
      </c>
      <c r="E450" s="269">
        <f t="shared" si="37"/>
        <v>178.81120000000001</v>
      </c>
    </row>
    <row r="451" spans="1:6">
      <c r="A451" s="19">
        <v>33756</v>
      </c>
      <c r="B451" s="268">
        <v>103.6</v>
      </c>
      <c r="C451" s="143">
        <v>183.1</v>
      </c>
      <c r="E451" s="269">
        <f t="shared" ref="E451:E514" si="43">B451/100*$D$733</f>
        <v>179.50426666666669</v>
      </c>
    </row>
    <row r="452" spans="1:6">
      <c r="A452" s="19">
        <v>33786</v>
      </c>
      <c r="B452" s="268">
        <v>103.8</v>
      </c>
      <c r="C452" s="143">
        <v>187.6</v>
      </c>
      <c r="E452" s="269">
        <f t="shared" si="43"/>
        <v>179.85080000000002</v>
      </c>
    </row>
    <row r="453" spans="1:6">
      <c r="A453" s="19">
        <v>33817</v>
      </c>
      <c r="B453" s="268">
        <v>102</v>
      </c>
      <c r="C453" s="143">
        <v>169.2</v>
      </c>
      <c r="E453" s="269">
        <f t="shared" si="43"/>
        <v>176.73200000000003</v>
      </c>
    </row>
    <row r="454" spans="1:6">
      <c r="A454" s="19">
        <v>33848</v>
      </c>
      <c r="B454" s="268">
        <v>102.2</v>
      </c>
      <c r="C454" s="143">
        <v>173.4</v>
      </c>
      <c r="E454" s="269">
        <f t="shared" si="43"/>
        <v>177.07853333333335</v>
      </c>
    </row>
    <row r="455" spans="1:6">
      <c r="A455" s="19">
        <v>33878</v>
      </c>
      <c r="B455" s="268">
        <v>104.5</v>
      </c>
      <c r="C455" s="143">
        <v>181.6</v>
      </c>
      <c r="E455" s="269">
        <f t="shared" si="43"/>
        <v>181.06366666666668</v>
      </c>
    </row>
    <row r="456" spans="1:6">
      <c r="A456" s="19">
        <v>33909</v>
      </c>
      <c r="B456" s="268">
        <v>101.8</v>
      </c>
      <c r="C456" s="143">
        <v>179.9</v>
      </c>
      <c r="E456" s="269">
        <f t="shared" si="43"/>
        <v>176.38546666666667</v>
      </c>
    </row>
    <row r="457" spans="1:6">
      <c r="A457" s="19">
        <v>33939</v>
      </c>
      <c r="B457" s="268">
        <v>101</v>
      </c>
      <c r="C457" s="143">
        <v>174</v>
      </c>
      <c r="E457" s="269">
        <f t="shared" si="43"/>
        <v>174.99933333333334</v>
      </c>
      <c r="F457" s="270">
        <f t="shared" ref="F457" si="44">SUM(E446:E457)</f>
        <v>2139.8433333333332</v>
      </c>
    </row>
    <row r="458" spans="1:6">
      <c r="A458" s="19">
        <v>33970</v>
      </c>
      <c r="B458" s="268">
        <v>101.6</v>
      </c>
      <c r="C458" s="143">
        <v>157.30000000000001</v>
      </c>
      <c r="E458" s="269">
        <f t="shared" si="43"/>
        <v>176.03893333333335</v>
      </c>
    </row>
    <row r="459" spans="1:6">
      <c r="A459" s="19">
        <v>34001</v>
      </c>
      <c r="B459" s="268">
        <v>100.3</v>
      </c>
      <c r="C459" s="143">
        <v>171.3</v>
      </c>
      <c r="E459" s="269">
        <f t="shared" si="43"/>
        <v>173.78646666666666</v>
      </c>
    </row>
    <row r="460" spans="1:6">
      <c r="A460" s="19">
        <v>34029</v>
      </c>
      <c r="B460" s="268">
        <v>101.5</v>
      </c>
      <c r="C460" s="143">
        <v>181</v>
      </c>
      <c r="E460" s="269">
        <f t="shared" si="43"/>
        <v>175.86566666666667</v>
      </c>
    </row>
    <row r="461" spans="1:6">
      <c r="A461" s="19">
        <v>34060</v>
      </c>
      <c r="B461" s="268">
        <v>101.9</v>
      </c>
      <c r="C461" s="143">
        <v>182.6</v>
      </c>
      <c r="E461" s="269">
        <f t="shared" si="43"/>
        <v>176.55873333333338</v>
      </c>
    </row>
    <row r="462" spans="1:6">
      <c r="A462" s="19">
        <v>34090</v>
      </c>
      <c r="B462" s="268">
        <v>100.2</v>
      </c>
      <c r="C462" s="143">
        <v>162.1</v>
      </c>
      <c r="E462" s="269">
        <f t="shared" si="43"/>
        <v>173.61320000000001</v>
      </c>
    </row>
    <row r="463" spans="1:6">
      <c r="A463" s="19">
        <v>34121</v>
      </c>
      <c r="B463" s="268">
        <v>98.6</v>
      </c>
      <c r="C463" s="143">
        <v>175.9</v>
      </c>
      <c r="E463" s="269">
        <f t="shared" si="43"/>
        <v>170.84093333333334</v>
      </c>
    </row>
    <row r="464" spans="1:6">
      <c r="A464" s="19">
        <v>34151</v>
      </c>
      <c r="B464" s="268">
        <v>101.3</v>
      </c>
      <c r="C464" s="143">
        <v>184.3</v>
      </c>
      <c r="E464" s="269">
        <f t="shared" si="43"/>
        <v>175.51913333333334</v>
      </c>
    </row>
    <row r="465" spans="1:6">
      <c r="A465" s="19">
        <v>34182</v>
      </c>
      <c r="B465" s="268">
        <v>100.4</v>
      </c>
      <c r="C465" s="143">
        <v>168</v>
      </c>
      <c r="E465" s="269">
        <f t="shared" si="43"/>
        <v>173.95973333333336</v>
      </c>
    </row>
    <row r="466" spans="1:6">
      <c r="A466" s="19">
        <v>34213</v>
      </c>
      <c r="B466" s="268">
        <v>100.8</v>
      </c>
      <c r="C466" s="143">
        <v>172.7</v>
      </c>
      <c r="E466" s="269">
        <f t="shared" si="43"/>
        <v>174.65280000000001</v>
      </c>
    </row>
    <row r="467" spans="1:6">
      <c r="A467" s="19">
        <v>34243</v>
      </c>
      <c r="B467" s="268">
        <v>99.8</v>
      </c>
      <c r="C467" s="143">
        <v>174.6</v>
      </c>
      <c r="E467" s="269">
        <f t="shared" si="43"/>
        <v>172.92013333333335</v>
      </c>
    </row>
    <row r="468" spans="1:6">
      <c r="A468" s="19">
        <v>34274</v>
      </c>
      <c r="B468" s="268">
        <v>100.6</v>
      </c>
      <c r="C468" s="143">
        <v>179</v>
      </c>
      <c r="E468" s="269">
        <f t="shared" si="43"/>
        <v>174.30626666666669</v>
      </c>
    </row>
    <row r="469" spans="1:6">
      <c r="A469" s="19">
        <v>34304</v>
      </c>
      <c r="B469" s="268">
        <v>100.3</v>
      </c>
      <c r="C469" s="143">
        <v>174.4</v>
      </c>
      <c r="E469" s="269">
        <f t="shared" si="43"/>
        <v>173.78646666666666</v>
      </c>
      <c r="F469" s="270">
        <f t="shared" ref="F469" si="45">SUM(E458:E469)</f>
        <v>2091.8484666666668</v>
      </c>
    </row>
    <row r="470" spans="1:6">
      <c r="A470" s="19">
        <v>34335</v>
      </c>
      <c r="B470" s="268">
        <v>101.2</v>
      </c>
      <c r="C470" s="143">
        <v>156.80000000000001</v>
      </c>
      <c r="E470" s="269">
        <f t="shared" si="43"/>
        <v>175.34586666666669</v>
      </c>
    </row>
    <row r="471" spans="1:6">
      <c r="A471" s="19">
        <v>34366</v>
      </c>
      <c r="B471" s="268">
        <v>99.1</v>
      </c>
      <c r="C471" s="143">
        <v>170.1</v>
      </c>
      <c r="E471" s="269">
        <f t="shared" si="43"/>
        <v>171.70726666666667</v>
      </c>
    </row>
    <row r="472" spans="1:6">
      <c r="A472" s="19">
        <v>34394</v>
      </c>
      <c r="B472" s="268">
        <v>100.4</v>
      </c>
      <c r="C472" s="143">
        <v>179</v>
      </c>
      <c r="E472" s="269">
        <f t="shared" si="43"/>
        <v>173.95973333333336</v>
      </c>
    </row>
    <row r="473" spans="1:6">
      <c r="A473" s="19">
        <v>34425</v>
      </c>
      <c r="B473" s="268">
        <v>99.4</v>
      </c>
      <c r="C473" s="143">
        <v>178.6</v>
      </c>
      <c r="E473" s="269">
        <f t="shared" si="43"/>
        <v>172.2270666666667</v>
      </c>
    </row>
    <row r="474" spans="1:6">
      <c r="A474" s="19">
        <v>34455</v>
      </c>
      <c r="B474" s="268">
        <v>96.9</v>
      </c>
      <c r="C474" s="143">
        <v>157.19999999999999</v>
      </c>
      <c r="E474" s="269">
        <f t="shared" si="43"/>
        <v>167.89540000000002</v>
      </c>
    </row>
    <row r="475" spans="1:6">
      <c r="A475" s="19">
        <v>34486</v>
      </c>
      <c r="B475" s="268">
        <v>99</v>
      </c>
      <c r="C475" s="143">
        <v>176.9</v>
      </c>
      <c r="E475" s="269">
        <f t="shared" si="43"/>
        <v>171.53400000000002</v>
      </c>
    </row>
    <row r="476" spans="1:6">
      <c r="A476" s="19">
        <v>34516</v>
      </c>
      <c r="B476" s="268">
        <v>98.9</v>
      </c>
      <c r="C476" s="143">
        <v>179.6</v>
      </c>
      <c r="E476" s="269">
        <f t="shared" si="43"/>
        <v>171.36073333333337</v>
      </c>
    </row>
    <row r="477" spans="1:6">
      <c r="A477" s="19">
        <v>34547</v>
      </c>
      <c r="B477" s="268">
        <v>99.8</v>
      </c>
      <c r="C477" s="143">
        <v>167.3</v>
      </c>
      <c r="E477" s="269">
        <f t="shared" si="43"/>
        <v>172.92013333333335</v>
      </c>
    </row>
    <row r="478" spans="1:6">
      <c r="A478" s="19">
        <v>34578</v>
      </c>
      <c r="B478" s="268">
        <v>99.2</v>
      </c>
      <c r="C478" s="143">
        <v>170.2</v>
      </c>
      <c r="E478" s="269">
        <f t="shared" si="43"/>
        <v>171.88053333333335</v>
      </c>
    </row>
    <row r="479" spans="1:6">
      <c r="A479" s="19">
        <v>34608</v>
      </c>
      <c r="B479" s="268">
        <v>98.7</v>
      </c>
      <c r="C479" s="143">
        <v>173.2</v>
      </c>
      <c r="E479" s="269">
        <f t="shared" si="43"/>
        <v>171.01420000000002</v>
      </c>
    </row>
    <row r="480" spans="1:6">
      <c r="A480" s="19">
        <v>34639</v>
      </c>
      <c r="B480" s="268">
        <v>98.9</v>
      </c>
      <c r="C480" s="143">
        <v>176.5</v>
      </c>
      <c r="E480" s="269">
        <f t="shared" si="43"/>
        <v>171.36073333333337</v>
      </c>
    </row>
    <row r="481" spans="1:6">
      <c r="A481" s="19">
        <v>34669</v>
      </c>
      <c r="B481" s="268">
        <v>99.2</v>
      </c>
      <c r="C481" s="143">
        <v>172.7</v>
      </c>
      <c r="E481" s="269">
        <f t="shared" si="43"/>
        <v>171.88053333333335</v>
      </c>
      <c r="F481" s="270">
        <f t="shared" ref="F481" si="46">SUM(E470:E481)</f>
        <v>2063.0862000000006</v>
      </c>
    </row>
    <row r="482" spans="1:6">
      <c r="A482" s="19">
        <v>34700</v>
      </c>
      <c r="B482" s="268">
        <v>98.8</v>
      </c>
      <c r="C482" s="143">
        <v>153.6</v>
      </c>
      <c r="E482" s="269">
        <f t="shared" si="43"/>
        <v>171.18746666666667</v>
      </c>
    </row>
    <row r="483" spans="1:6">
      <c r="A483" s="19">
        <v>34731</v>
      </c>
      <c r="B483" s="268">
        <v>99.4</v>
      </c>
      <c r="C483" s="143">
        <v>171</v>
      </c>
      <c r="E483" s="269">
        <f t="shared" si="43"/>
        <v>172.2270666666667</v>
      </c>
    </row>
    <row r="484" spans="1:6">
      <c r="A484" s="19">
        <v>34759</v>
      </c>
      <c r="B484" s="268">
        <v>99.2</v>
      </c>
      <c r="C484" s="143">
        <v>177.2</v>
      </c>
      <c r="E484" s="269">
        <f t="shared" si="43"/>
        <v>171.88053333333335</v>
      </c>
    </row>
    <row r="485" spans="1:6">
      <c r="A485" s="19">
        <v>34790</v>
      </c>
      <c r="B485" s="268">
        <v>98</v>
      </c>
      <c r="C485" s="143">
        <v>176.2</v>
      </c>
      <c r="E485" s="269">
        <f t="shared" si="43"/>
        <v>169.80133333333333</v>
      </c>
    </row>
    <row r="486" spans="1:6">
      <c r="A486" s="19">
        <v>34820</v>
      </c>
      <c r="B486" s="268">
        <v>98.5</v>
      </c>
      <c r="C486" s="143">
        <v>160.1</v>
      </c>
      <c r="E486" s="269">
        <f t="shared" si="43"/>
        <v>170.66766666666669</v>
      </c>
    </row>
    <row r="487" spans="1:6">
      <c r="A487" s="19">
        <v>34851</v>
      </c>
      <c r="B487" s="268">
        <v>99.7</v>
      </c>
      <c r="C487" s="143">
        <v>178.7</v>
      </c>
      <c r="E487" s="269">
        <f t="shared" si="43"/>
        <v>172.74686666666668</v>
      </c>
    </row>
    <row r="488" spans="1:6">
      <c r="A488" s="19">
        <v>34881</v>
      </c>
      <c r="B488" s="268">
        <v>98.2</v>
      </c>
      <c r="C488" s="143">
        <v>178.7</v>
      </c>
      <c r="E488" s="269">
        <f t="shared" si="43"/>
        <v>170.14786666666669</v>
      </c>
    </row>
    <row r="489" spans="1:6">
      <c r="A489" s="19">
        <v>34912</v>
      </c>
      <c r="B489" s="268">
        <v>99.7</v>
      </c>
      <c r="C489" s="143">
        <v>167.3</v>
      </c>
      <c r="E489" s="269">
        <f t="shared" si="43"/>
        <v>172.74686666666668</v>
      </c>
    </row>
    <row r="490" spans="1:6">
      <c r="A490" s="19">
        <v>34943</v>
      </c>
      <c r="B490" s="268">
        <v>100.5</v>
      </c>
      <c r="C490" s="143">
        <v>172.8</v>
      </c>
      <c r="E490" s="269">
        <f t="shared" si="43"/>
        <v>174.13299999999998</v>
      </c>
    </row>
    <row r="491" spans="1:6">
      <c r="A491" s="19">
        <v>34973</v>
      </c>
      <c r="B491" s="268">
        <v>99.7</v>
      </c>
      <c r="C491" s="143">
        <v>175.8</v>
      </c>
      <c r="E491" s="269">
        <f t="shared" si="43"/>
        <v>172.74686666666668</v>
      </c>
    </row>
    <row r="492" spans="1:6">
      <c r="A492" s="19">
        <v>35004</v>
      </c>
      <c r="B492" s="268">
        <v>99.2</v>
      </c>
      <c r="C492" s="143">
        <v>176.9</v>
      </c>
      <c r="E492" s="269">
        <f t="shared" si="43"/>
        <v>171.88053333333335</v>
      </c>
    </row>
    <row r="493" spans="1:6">
      <c r="A493" s="19">
        <v>35034</v>
      </c>
      <c r="B493" s="268">
        <v>101.3</v>
      </c>
      <c r="C493" s="143">
        <v>176.7</v>
      </c>
      <c r="E493" s="269">
        <f t="shared" si="43"/>
        <v>175.51913333333334</v>
      </c>
      <c r="F493" s="270">
        <f t="shared" ref="F493" si="47">SUM(E482:E493)</f>
        <v>2065.6851999999999</v>
      </c>
    </row>
    <row r="494" spans="1:6">
      <c r="A494" s="19">
        <v>35065</v>
      </c>
      <c r="B494" s="268">
        <v>99.7</v>
      </c>
      <c r="C494" s="143">
        <v>154.5</v>
      </c>
      <c r="E494" s="269">
        <f t="shared" si="43"/>
        <v>172.74686666666668</v>
      </c>
    </row>
    <row r="495" spans="1:6">
      <c r="A495" s="19">
        <v>35096</v>
      </c>
      <c r="B495" s="268">
        <v>100.9</v>
      </c>
      <c r="C495" s="143">
        <v>173.5</v>
      </c>
      <c r="E495" s="269">
        <f t="shared" si="43"/>
        <v>174.82606666666669</v>
      </c>
    </row>
    <row r="496" spans="1:6">
      <c r="A496" s="19">
        <v>35125</v>
      </c>
      <c r="B496" s="268">
        <v>99.6</v>
      </c>
      <c r="C496" s="143">
        <v>177.1</v>
      </c>
      <c r="E496" s="269">
        <f t="shared" si="43"/>
        <v>172.5736</v>
      </c>
    </row>
    <row r="497" spans="1:6">
      <c r="A497" s="19">
        <v>35156</v>
      </c>
      <c r="B497" s="268">
        <v>101.1</v>
      </c>
      <c r="C497" s="143">
        <v>180.9</v>
      </c>
      <c r="E497" s="269">
        <f t="shared" si="43"/>
        <v>175.17259999999999</v>
      </c>
    </row>
    <row r="498" spans="1:6">
      <c r="A498" s="19">
        <v>35186</v>
      </c>
      <c r="B498" s="268">
        <v>102.9</v>
      </c>
      <c r="C498" s="143">
        <v>166.6</v>
      </c>
      <c r="E498" s="269">
        <f t="shared" si="43"/>
        <v>178.29140000000004</v>
      </c>
    </row>
    <row r="499" spans="1:6">
      <c r="A499" s="19">
        <v>35217</v>
      </c>
      <c r="B499" s="268">
        <v>98.4</v>
      </c>
      <c r="C499" s="143">
        <v>175.7</v>
      </c>
      <c r="E499" s="269">
        <f t="shared" si="43"/>
        <v>170.49440000000004</v>
      </c>
    </row>
    <row r="500" spans="1:6">
      <c r="A500" s="19">
        <v>35247</v>
      </c>
      <c r="B500" s="268">
        <v>100.7</v>
      </c>
      <c r="C500" s="143">
        <v>182.2</v>
      </c>
      <c r="E500" s="269">
        <f t="shared" si="43"/>
        <v>174.47953333333336</v>
      </c>
    </row>
    <row r="501" spans="1:6">
      <c r="A501" s="19">
        <v>35278</v>
      </c>
      <c r="B501" s="268">
        <v>100.6</v>
      </c>
      <c r="C501" s="143">
        <v>168.1</v>
      </c>
      <c r="E501" s="269">
        <f t="shared" si="43"/>
        <v>174.30626666666669</v>
      </c>
    </row>
    <row r="502" spans="1:6">
      <c r="A502" s="19">
        <v>35309</v>
      </c>
      <c r="B502" s="268">
        <v>99.1</v>
      </c>
      <c r="C502" s="143">
        <v>169.8</v>
      </c>
      <c r="E502" s="269">
        <f t="shared" si="43"/>
        <v>171.70726666666667</v>
      </c>
    </row>
    <row r="503" spans="1:6">
      <c r="A503" s="19">
        <v>35339</v>
      </c>
      <c r="B503" s="268">
        <v>100.7</v>
      </c>
      <c r="C503" s="143">
        <v>177</v>
      </c>
      <c r="E503" s="269">
        <f t="shared" si="43"/>
        <v>174.47953333333336</v>
      </c>
    </row>
    <row r="504" spans="1:6">
      <c r="A504" s="19">
        <v>35370</v>
      </c>
      <c r="B504" s="268">
        <v>102.2</v>
      </c>
      <c r="C504" s="143">
        <v>181.4</v>
      </c>
      <c r="E504" s="269">
        <f t="shared" si="43"/>
        <v>177.07853333333335</v>
      </c>
    </row>
    <row r="505" spans="1:6">
      <c r="A505" s="19">
        <v>35400</v>
      </c>
      <c r="B505" s="268">
        <v>99.6</v>
      </c>
      <c r="C505" s="143">
        <v>172.6</v>
      </c>
      <c r="E505" s="269">
        <f t="shared" si="43"/>
        <v>172.5736</v>
      </c>
      <c r="F505" s="270">
        <f t="shared" ref="F505" si="48">SUM(E494:E505)</f>
        <v>2088.7296666666671</v>
      </c>
    </row>
    <row r="506" spans="1:6">
      <c r="A506" s="19">
        <v>35431</v>
      </c>
      <c r="B506" s="268">
        <v>100.4</v>
      </c>
      <c r="C506" s="143">
        <v>155.4</v>
      </c>
      <c r="E506" s="269">
        <f t="shared" si="43"/>
        <v>173.95973333333336</v>
      </c>
    </row>
    <row r="507" spans="1:6">
      <c r="A507" s="19">
        <v>35462</v>
      </c>
      <c r="B507" s="268">
        <v>100.5</v>
      </c>
      <c r="C507" s="143">
        <v>173</v>
      </c>
      <c r="E507" s="269">
        <f t="shared" si="43"/>
        <v>174.13299999999998</v>
      </c>
    </row>
    <row r="508" spans="1:6">
      <c r="A508" s="19">
        <v>35490</v>
      </c>
      <c r="B508" s="268">
        <v>98.1</v>
      </c>
      <c r="C508" s="143">
        <v>174</v>
      </c>
      <c r="E508" s="269">
        <f t="shared" si="43"/>
        <v>169.97460000000001</v>
      </c>
    </row>
    <row r="509" spans="1:6">
      <c r="A509" s="19">
        <v>35521</v>
      </c>
      <c r="B509" s="268">
        <v>99.6</v>
      </c>
      <c r="C509" s="143">
        <v>178.1</v>
      </c>
      <c r="E509" s="269">
        <f t="shared" si="43"/>
        <v>172.5736</v>
      </c>
    </row>
    <row r="510" spans="1:6">
      <c r="A510" s="19">
        <v>35551</v>
      </c>
      <c r="B510" s="268">
        <v>103.4</v>
      </c>
      <c r="C510" s="143">
        <v>167.7</v>
      </c>
      <c r="E510" s="269">
        <f t="shared" si="43"/>
        <v>179.15773333333334</v>
      </c>
    </row>
    <row r="511" spans="1:6">
      <c r="A511" s="19">
        <v>35582</v>
      </c>
      <c r="B511" s="268">
        <v>99.8</v>
      </c>
      <c r="C511" s="143">
        <v>178</v>
      </c>
      <c r="E511" s="269">
        <f t="shared" si="43"/>
        <v>172.92013333333335</v>
      </c>
    </row>
    <row r="512" spans="1:6">
      <c r="A512" s="19">
        <v>35612</v>
      </c>
      <c r="B512" s="268">
        <v>99.7</v>
      </c>
      <c r="C512" s="143">
        <v>180.1</v>
      </c>
      <c r="E512" s="269">
        <f t="shared" si="43"/>
        <v>172.74686666666668</v>
      </c>
    </row>
    <row r="513" spans="1:6">
      <c r="A513" s="19">
        <v>35643</v>
      </c>
      <c r="B513" s="268">
        <v>97.7</v>
      </c>
      <c r="C513" s="143">
        <v>163.19999999999999</v>
      </c>
      <c r="E513" s="269">
        <f t="shared" si="43"/>
        <v>169.28153333333336</v>
      </c>
    </row>
    <row r="514" spans="1:6">
      <c r="A514" s="19">
        <v>35674</v>
      </c>
      <c r="B514" s="268">
        <v>99.2</v>
      </c>
      <c r="C514" s="143">
        <v>170.1</v>
      </c>
      <c r="E514" s="269">
        <f t="shared" si="43"/>
        <v>171.88053333333335</v>
      </c>
    </row>
    <row r="515" spans="1:6">
      <c r="A515" s="19">
        <v>35704</v>
      </c>
      <c r="B515" s="268">
        <v>101.1</v>
      </c>
      <c r="C515" s="143">
        <v>178</v>
      </c>
      <c r="E515" s="269">
        <f t="shared" ref="E515:E578" si="49">B515/100*$D$733</f>
        <v>175.17259999999999</v>
      </c>
    </row>
    <row r="516" spans="1:6">
      <c r="A516" s="19">
        <v>35735</v>
      </c>
      <c r="B516" s="268">
        <v>97.9</v>
      </c>
      <c r="C516" s="143">
        <v>173.8</v>
      </c>
      <c r="E516" s="269">
        <f t="shared" si="49"/>
        <v>169.62806666666668</v>
      </c>
    </row>
    <row r="517" spans="1:6">
      <c r="A517" s="19">
        <v>35765</v>
      </c>
      <c r="B517" s="268">
        <v>98.2</v>
      </c>
      <c r="C517" s="143">
        <v>169.7</v>
      </c>
      <c r="E517" s="269">
        <f t="shared" si="49"/>
        <v>170.14786666666669</v>
      </c>
      <c r="F517" s="270">
        <f t="shared" ref="F517" si="50">SUM(E506:E517)</f>
        <v>2071.5762666666665</v>
      </c>
    </row>
    <row r="518" spans="1:6">
      <c r="A518" s="19">
        <v>35796</v>
      </c>
      <c r="B518" s="268">
        <v>98.3</v>
      </c>
      <c r="C518" s="143">
        <v>152.5</v>
      </c>
      <c r="E518" s="269">
        <f t="shared" si="49"/>
        <v>170.32113333333334</v>
      </c>
    </row>
    <row r="519" spans="1:6">
      <c r="A519" s="19">
        <v>35827</v>
      </c>
      <c r="B519" s="268">
        <v>98.3</v>
      </c>
      <c r="C519" s="143">
        <v>169</v>
      </c>
      <c r="E519" s="269">
        <f t="shared" si="49"/>
        <v>170.32113333333334</v>
      </c>
    </row>
    <row r="520" spans="1:6">
      <c r="A520" s="19">
        <v>35855</v>
      </c>
      <c r="B520" s="268">
        <v>98.6</v>
      </c>
      <c r="C520" s="143">
        <v>174.7</v>
      </c>
      <c r="E520" s="269">
        <f t="shared" si="49"/>
        <v>170.84093333333334</v>
      </c>
    </row>
    <row r="521" spans="1:6">
      <c r="A521" s="19">
        <v>35886</v>
      </c>
      <c r="B521" s="268">
        <v>98.9</v>
      </c>
      <c r="C521" s="143">
        <v>176.7</v>
      </c>
      <c r="E521" s="269">
        <f t="shared" si="49"/>
        <v>171.36073333333337</v>
      </c>
    </row>
    <row r="522" spans="1:6">
      <c r="A522" s="19">
        <v>35916</v>
      </c>
      <c r="B522" s="268">
        <v>98.8</v>
      </c>
      <c r="C522" s="143">
        <v>160.19999999999999</v>
      </c>
      <c r="E522" s="269">
        <f t="shared" si="49"/>
        <v>171.18746666666667</v>
      </c>
    </row>
    <row r="523" spans="1:6">
      <c r="A523" s="19">
        <v>35947</v>
      </c>
      <c r="B523" s="268">
        <v>98.8</v>
      </c>
      <c r="C523" s="143">
        <v>176.4</v>
      </c>
      <c r="E523" s="269">
        <f t="shared" si="49"/>
        <v>171.18746666666667</v>
      </c>
    </row>
    <row r="524" spans="1:6">
      <c r="A524" s="19">
        <v>35977</v>
      </c>
      <c r="B524" s="268">
        <v>99.3</v>
      </c>
      <c r="C524" s="143">
        <v>178.9</v>
      </c>
      <c r="E524" s="269">
        <f t="shared" si="49"/>
        <v>172.05380000000002</v>
      </c>
    </row>
    <row r="525" spans="1:6">
      <c r="A525" s="19">
        <v>36008</v>
      </c>
      <c r="B525" s="268">
        <v>97.6</v>
      </c>
      <c r="C525" s="143">
        <v>163.19999999999999</v>
      </c>
      <c r="E525" s="269">
        <f t="shared" si="49"/>
        <v>169.10826666666668</v>
      </c>
    </row>
    <row r="526" spans="1:6">
      <c r="A526" s="19">
        <v>36039</v>
      </c>
      <c r="B526" s="268">
        <v>98.3</v>
      </c>
      <c r="C526" s="143">
        <v>168.8</v>
      </c>
      <c r="E526" s="269">
        <f t="shared" si="49"/>
        <v>170.32113333333334</v>
      </c>
    </row>
    <row r="527" spans="1:6">
      <c r="A527" s="19">
        <v>36069</v>
      </c>
      <c r="B527" s="268">
        <v>101.5</v>
      </c>
      <c r="C527" s="143">
        <v>178.8</v>
      </c>
      <c r="E527" s="269">
        <f t="shared" si="49"/>
        <v>175.86566666666667</v>
      </c>
    </row>
    <row r="528" spans="1:6">
      <c r="A528" s="19">
        <v>36100</v>
      </c>
      <c r="B528" s="268">
        <v>97.9</v>
      </c>
      <c r="C528" s="143">
        <v>174.1</v>
      </c>
      <c r="E528" s="269">
        <f t="shared" si="49"/>
        <v>169.62806666666668</v>
      </c>
    </row>
    <row r="529" spans="1:6">
      <c r="A529" s="19">
        <v>36130</v>
      </c>
      <c r="B529" s="268">
        <v>97.3</v>
      </c>
      <c r="C529" s="143">
        <v>168.4</v>
      </c>
      <c r="E529" s="269">
        <f t="shared" si="49"/>
        <v>168.58846666666668</v>
      </c>
      <c r="F529" s="270">
        <f t="shared" ref="F529" si="51">SUM(E518:E529)</f>
        <v>2050.7842666666666</v>
      </c>
    </row>
    <row r="530" spans="1:6">
      <c r="A530" s="19">
        <v>36161</v>
      </c>
      <c r="B530" s="268">
        <v>97.5</v>
      </c>
      <c r="C530" s="143">
        <v>152.5</v>
      </c>
      <c r="E530" s="269">
        <f t="shared" si="49"/>
        <v>168.935</v>
      </c>
    </row>
    <row r="531" spans="1:6">
      <c r="A531" s="19">
        <v>36192</v>
      </c>
      <c r="B531" s="268">
        <v>97.4</v>
      </c>
      <c r="C531" s="143">
        <v>168.2</v>
      </c>
      <c r="E531" s="269">
        <f t="shared" si="49"/>
        <v>168.76173333333335</v>
      </c>
    </row>
    <row r="532" spans="1:6">
      <c r="A532" s="19">
        <v>36220</v>
      </c>
      <c r="B532" s="268">
        <v>97.9</v>
      </c>
      <c r="C532" s="143">
        <v>174.4</v>
      </c>
      <c r="E532" s="269">
        <f t="shared" si="49"/>
        <v>169.62806666666668</v>
      </c>
    </row>
    <row r="533" spans="1:6">
      <c r="A533" s="19">
        <v>36251</v>
      </c>
      <c r="B533" s="268">
        <v>97.4</v>
      </c>
      <c r="C533" s="143">
        <v>175</v>
      </c>
      <c r="E533" s="269">
        <f t="shared" si="49"/>
        <v>168.76173333333335</v>
      </c>
    </row>
    <row r="534" spans="1:6">
      <c r="A534" s="19">
        <v>36281</v>
      </c>
      <c r="B534" s="268">
        <v>96.4</v>
      </c>
      <c r="C534" s="143">
        <v>158.80000000000001</v>
      </c>
      <c r="E534" s="269">
        <f t="shared" si="49"/>
        <v>167.02906666666669</v>
      </c>
    </row>
    <row r="535" spans="1:6">
      <c r="A535" s="19">
        <v>36312</v>
      </c>
      <c r="B535" s="268">
        <v>96.8</v>
      </c>
      <c r="C535" s="143">
        <v>174</v>
      </c>
      <c r="E535" s="269">
        <f t="shared" si="49"/>
        <v>167.72213333333335</v>
      </c>
    </row>
    <row r="536" spans="1:6">
      <c r="A536" s="19">
        <v>36342</v>
      </c>
      <c r="B536" s="268">
        <v>97.8</v>
      </c>
      <c r="C536" s="143">
        <v>177.8</v>
      </c>
      <c r="E536" s="269">
        <f t="shared" si="49"/>
        <v>169.45480000000001</v>
      </c>
    </row>
    <row r="537" spans="1:6">
      <c r="A537" s="19">
        <v>36373</v>
      </c>
      <c r="B537" s="268">
        <v>98.3</v>
      </c>
      <c r="C537" s="143">
        <v>166.4</v>
      </c>
      <c r="E537" s="269">
        <f t="shared" si="49"/>
        <v>170.32113333333334</v>
      </c>
    </row>
    <row r="538" spans="1:6">
      <c r="A538" s="19">
        <v>36404</v>
      </c>
      <c r="B538" s="268">
        <v>97.9</v>
      </c>
      <c r="C538" s="143">
        <v>169.9</v>
      </c>
      <c r="E538" s="269">
        <f t="shared" si="49"/>
        <v>169.62806666666668</v>
      </c>
    </row>
    <row r="539" spans="1:6">
      <c r="A539" s="19">
        <v>36434</v>
      </c>
      <c r="B539" s="268">
        <v>96.7</v>
      </c>
      <c r="C539" s="143">
        <v>172.4</v>
      </c>
      <c r="E539" s="269">
        <f t="shared" si="49"/>
        <v>167.5488666666667</v>
      </c>
    </row>
    <row r="540" spans="1:6">
      <c r="A540" s="19">
        <v>36465</v>
      </c>
      <c r="B540" s="268">
        <v>97.7</v>
      </c>
      <c r="C540" s="143">
        <v>176.5</v>
      </c>
      <c r="E540" s="269">
        <f t="shared" si="49"/>
        <v>169.28153333333336</v>
      </c>
    </row>
    <row r="541" spans="1:6">
      <c r="A541" s="19">
        <v>36495</v>
      </c>
      <c r="B541" s="268">
        <v>97.8</v>
      </c>
      <c r="C541" s="143">
        <v>171.3</v>
      </c>
      <c r="E541" s="269">
        <f t="shared" si="49"/>
        <v>169.45480000000001</v>
      </c>
      <c r="F541" s="270">
        <f t="shared" ref="F541" si="52">SUM(E530:E541)</f>
        <v>2026.5269333333335</v>
      </c>
    </row>
    <row r="542" spans="1:6">
      <c r="A542" s="19">
        <v>36526</v>
      </c>
      <c r="B542" s="268">
        <v>97.1</v>
      </c>
      <c r="C542" s="143">
        <v>153.19999999999999</v>
      </c>
      <c r="E542" s="269">
        <f t="shared" si="49"/>
        <v>168.24193333333335</v>
      </c>
    </row>
    <row r="543" spans="1:6">
      <c r="A543" s="19">
        <v>36557</v>
      </c>
      <c r="B543" s="268">
        <v>97</v>
      </c>
      <c r="C543" s="143">
        <v>169</v>
      </c>
      <c r="E543" s="269">
        <f t="shared" si="49"/>
        <v>168.06866666666667</v>
      </c>
    </row>
    <row r="544" spans="1:6">
      <c r="A544" s="19">
        <v>36586</v>
      </c>
      <c r="B544" s="268">
        <v>99.4</v>
      </c>
      <c r="C544" s="143">
        <v>178.1</v>
      </c>
      <c r="E544" s="269">
        <f t="shared" si="49"/>
        <v>172.2270666666667</v>
      </c>
    </row>
    <row r="545" spans="1:6">
      <c r="A545" s="19">
        <v>36617</v>
      </c>
      <c r="B545" s="268">
        <v>97.5</v>
      </c>
      <c r="C545" s="143">
        <v>176</v>
      </c>
      <c r="E545" s="269">
        <f t="shared" si="49"/>
        <v>168.935</v>
      </c>
    </row>
    <row r="546" spans="1:6">
      <c r="A546" s="19">
        <v>36647</v>
      </c>
      <c r="B546" s="268">
        <v>96.3</v>
      </c>
      <c r="C546" s="143">
        <v>160.19999999999999</v>
      </c>
      <c r="E546" s="269">
        <f t="shared" si="49"/>
        <v>166.85580000000002</v>
      </c>
    </row>
    <row r="547" spans="1:6">
      <c r="A547" s="19">
        <v>36678</v>
      </c>
      <c r="B547" s="268">
        <v>97.4</v>
      </c>
      <c r="C547" s="143">
        <v>176.2</v>
      </c>
      <c r="E547" s="269">
        <f t="shared" si="49"/>
        <v>168.76173333333335</v>
      </c>
    </row>
    <row r="548" spans="1:6">
      <c r="A548" s="19">
        <v>36708</v>
      </c>
      <c r="B548" s="268">
        <v>95.6</v>
      </c>
      <c r="C548" s="143">
        <v>174.4</v>
      </c>
      <c r="E548" s="269">
        <f t="shared" si="49"/>
        <v>165.64293333333333</v>
      </c>
    </row>
    <row r="549" spans="1:6">
      <c r="A549" s="19">
        <v>36739</v>
      </c>
      <c r="B549" s="268">
        <v>97.4</v>
      </c>
      <c r="C549" s="143">
        <v>166.4</v>
      </c>
      <c r="E549" s="269">
        <f t="shared" si="49"/>
        <v>168.76173333333335</v>
      </c>
    </row>
    <row r="550" spans="1:6">
      <c r="A550" s="19">
        <v>36770</v>
      </c>
      <c r="B550" s="268">
        <v>97.2</v>
      </c>
      <c r="C550" s="143">
        <v>169.9</v>
      </c>
      <c r="E550" s="269">
        <f t="shared" si="49"/>
        <v>168.4152</v>
      </c>
    </row>
    <row r="551" spans="1:6">
      <c r="A551" s="19">
        <v>36800</v>
      </c>
      <c r="B551" s="268">
        <v>96.7</v>
      </c>
      <c r="C551" s="143">
        <v>174.3</v>
      </c>
      <c r="E551" s="269">
        <f t="shared" si="49"/>
        <v>167.5488666666667</v>
      </c>
    </row>
    <row r="552" spans="1:6">
      <c r="A552" s="19">
        <v>36831</v>
      </c>
      <c r="B552" s="268">
        <v>95.7</v>
      </c>
      <c r="C552" s="143">
        <v>174.6</v>
      </c>
      <c r="E552" s="269">
        <f t="shared" si="49"/>
        <v>165.81620000000004</v>
      </c>
    </row>
    <row r="553" spans="1:6">
      <c r="A553" s="19">
        <v>36861</v>
      </c>
      <c r="B553" s="268">
        <v>96.9</v>
      </c>
      <c r="C553" s="143">
        <v>171.2</v>
      </c>
      <c r="E553" s="269">
        <f t="shared" si="49"/>
        <v>167.89540000000002</v>
      </c>
      <c r="F553" s="270">
        <f t="shared" ref="F553" si="53">SUM(E542:E553)</f>
        <v>2017.1705333333337</v>
      </c>
    </row>
    <row r="554" spans="1:6">
      <c r="A554" s="19">
        <v>36892</v>
      </c>
      <c r="B554" s="268">
        <v>97.3</v>
      </c>
      <c r="C554" s="143">
        <v>154.9</v>
      </c>
      <c r="E554" s="269">
        <f t="shared" si="49"/>
        <v>168.58846666666668</v>
      </c>
    </row>
    <row r="555" spans="1:6">
      <c r="A555" s="19">
        <v>36923</v>
      </c>
      <c r="B555" s="268">
        <v>94.8</v>
      </c>
      <c r="C555" s="143">
        <v>166.7</v>
      </c>
      <c r="E555" s="269">
        <f t="shared" si="49"/>
        <v>164.2568</v>
      </c>
    </row>
    <row r="556" spans="1:6">
      <c r="A556" s="19">
        <v>36951</v>
      </c>
      <c r="B556" s="268">
        <v>95.7</v>
      </c>
      <c r="C556" s="143">
        <v>172.5</v>
      </c>
      <c r="E556" s="269">
        <f t="shared" si="49"/>
        <v>165.81620000000004</v>
      </c>
    </row>
    <row r="557" spans="1:6">
      <c r="A557" s="19">
        <v>36982</v>
      </c>
      <c r="B557" s="268">
        <v>95.2</v>
      </c>
      <c r="C557" s="143">
        <v>173</v>
      </c>
      <c r="E557" s="269">
        <f t="shared" si="49"/>
        <v>164.94986666666668</v>
      </c>
    </row>
    <row r="558" spans="1:6">
      <c r="A558" s="19">
        <v>37012</v>
      </c>
      <c r="B558" s="268">
        <v>96.9</v>
      </c>
      <c r="C558" s="143">
        <v>163.30000000000001</v>
      </c>
      <c r="E558" s="269">
        <f t="shared" si="49"/>
        <v>167.89540000000002</v>
      </c>
    </row>
    <row r="559" spans="1:6">
      <c r="A559" s="19">
        <v>37043</v>
      </c>
      <c r="B559" s="268">
        <v>97.1</v>
      </c>
      <c r="C559" s="143">
        <v>176.6</v>
      </c>
      <c r="E559" s="269">
        <f t="shared" si="49"/>
        <v>168.24193333333335</v>
      </c>
    </row>
    <row r="560" spans="1:6">
      <c r="A560" s="19">
        <v>37073</v>
      </c>
      <c r="B560" s="268">
        <v>95</v>
      </c>
      <c r="C560" s="143">
        <v>174.4</v>
      </c>
      <c r="E560" s="269">
        <f t="shared" si="49"/>
        <v>164.60333333333332</v>
      </c>
    </row>
    <row r="561" spans="1:6">
      <c r="A561" s="19">
        <v>37104</v>
      </c>
      <c r="B561" s="268">
        <v>96.5</v>
      </c>
      <c r="C561" s="143">
        <v>165.9</v>
      </c>
      <c r="E561" s="269">
        <f t="shared" si="49"/>
        <v>167.20233333333334</v>
      </c>
    </row>
    <row r="562" spans="1:6">
      <c r="A562" s="19">
        <v>37135</v>
      </c>
      <c r="B562" s="268">
        <v>95.3</v>
      </c>
      <c r="C562" s="143">
        <v>167.7</v>
      </c>
      <c r="E562" s="269">
        <f t="shared" si="49"/>
        <v>165.12313333333333</v>
      </c>
    </row>
    <row r="563" spans="1:6">
      <c r="A563" s="19">
        <v>37165</v>
      </c>
      <c r="B563" s="268">
        <v>96.7</v>
      </c>
      <c r="C563" s="143">
        <v>175.8</v>
      </c>
      <c r="E563" s="269">
        <f t="shared" si="49"/>
        <v>167.5488666666667</v>
      </c>
    </row>
    <row r="564" spans="1:6">
      <c r="A564" s="19">
        <v>37196</v>
      </c>
      <c r="B564" s="268">
        <v>97.3</v>
      </c>
      <c r="C564" s="143">
        <v>179.2</v>
      </c>
      <c r="E564" s="269">
        <f t="shared" si="49"/>
        <v>168.58846666666668</v>
      </c>
    </row>
    <row r="565" spans="1:6">
      <c r="A565" s="19">
        <v>37226</v>
      </c>
      <c r="B565" s="268">
        <v>96.1</v>
      </c>
      <c r="C565" s="143">
        <v>171.4</v>
      </c>
      <c r="E565" s="269">
        <f t="shared" si="49"/>
        <v>166.50926666666666</v>
      </c>
      <c r="F565" s="270">
        <f t="shared" ref="F565" si="54">SUM(E554:E565)</f>
        <v>1999.3240666666668</v>
      </c>
    </row>
    <row r="566" spans="1:6">
      <c r="A566" s="19">
        <v>37257</v>
      </c>
      <c r="B566" s="268">
        <v>96.1</v>
      </c>
      <c r="C566" s="143">
        <v>152.19999999999999</v>
      </c>
      <c r="E566" s="269">
        <f t="shared" si="49"/>
        <v>166.50926666666666</v>
      </c>
    </row>
    <row r="567" spans="1:6">
      <c r="A567" s="19">
        <v>37288</v>
      </c>
      <c r="B567" s="268">
        <v>97.8</v>
      </c>
      <c r="C567" s="143">
        <v>170.9</v>
      </c>
      <c r="E567" s="269">
        <f t="shared" si="49"/>
        <v>169.45480000000001</v>
      </c>
    </row>
    <row r="568" spans="1:6">
      <c r="A568" s="19">
        <v>37316</v>
      </c>
      <c r="B568" s="268">
        <v>95.5</v>
      </c>
      <c r="C568" s="143">
        <v>170.7</v>
      </c>
      <c r="E568" s="269">
        <f t="shared" si="49"/>
        <v>165.46966666666668</v>
      </c>
    </row>
    <row r="569" spans="1:6">
      <c r="A569" s="19">
        <v>37347</v>
      </c>
      <c r="B569" s="268">
        <v>96.7</v>
      </c>
      <c r="C569" s="143">
        <v>174.1</v>
      </c>
      <c r="E569" s="269">
        <f t="shared" si="49"/>
        <v>167.5488666666667</v>
      </c>
    </row>
    <row r="570" spans="1:6">
      <c r="A570" s="19">
        <v>37377</v>
      </c>
      <c r="B570" s="268">
        <v>97</v>
      </c>
      <c r="C570" s="143">
        <v>162.6</v>
      </c>
      <c r="E570" s="269">
        <f t="shared" si="49"/>
        <v>168.06866666666667</v>
      </c>
    </row>
    <row r="571" spans="1:6">
      <c r="A571" s="19">
        <v>37408</v>
      </c>
      <c r="B571" s="268">
        <v>95.1</v>
      </c>
      <c r="C571" s="143">
        <v>171.4</v>
      </c>
      <c r="E571" s="269">
        <f t="shared" si="49"/>
        <v>164.7766</v>
      </c>
    </row>
    <row r="572" spans="1:6">
      <c r="A572" s="19">
        <v>37438</v>
      </c>
      <c r="B572" s="268">
        <v>97</v>
      </c>
      <c r="C572" s="143">
        <v>176.4</v>
      </c>
      <c r="E572" s="269">
        <f t="shared" si="49"/>
        <v>168.06866666666667</v>
      </c>
    </row>
    <row r="573" spans="1:6">
      <c r="A573" s="19">
        <v>37469</v>
      </c>
      <c r="B573" s="268">
        <v>96.5</v>
      </c>
      <c r="C573" s="143">
        <v>164.4</v>
      </c>
      <c r="E573" s="269">
        <f t="shared" si="49"/>
        <v>167.20233333333334</v>
      </c>
    </row>
    <row r="574" spans="1:6">
      <c r="A574" s="19">
        <v>37500</v>
      </c>
      <c r="B574" s="268">
        <v>96.6</v>
      </c>
      <c r="C574" s="143">
        <v>168.5</v>
      </c>
      <c r="E574" s="269">
        <f t="shared" si="49"/>
        <v>167.37560000000002</v>
      </c>
    </row>
    <row r="575" spans="1:6">
      <c r="A575" s="19">
        <v>37530</v>
      </c>
      <c r="B575" s="268">
        <v>96.8</v>
      </c>
      <c r="C575" s="143">
        <v>174</v>
      </c>
      <c r="E575" s="269">
        <f t="shared" si="49"/>
        <v>167.72213333333335</v>
      </c>
    </row>
    <row r="576" spans="1:6">
      <c r="A576" s="19">
        <v>37561</v>
      </c>
      <c r="B576" s="268">
        <v>97.9</v>
      </c>
      <c r="C576" s="143">
        <v>178.4</v>
      </c>
      <c r="E576" s="269">
        <f t="shared" si="49"/>
        <v>169.62806666666668</v>
      </c>
    </row>
    <row r="577" spans="1:6">
      <c r="A577" s="19">
        <v>37591</v>
      </c>
      <c r="B577" s="268">
        <v>96.7</v>
      </c>
      <c r="C577" s="143">
        <v>170.4</v>
      </c>
      <c r="E577" s="269">
        <f t="shared" si="49"/>
        <v>167.5488666666667</v>
      </c>
      <c r="F577" s="270">
        <f t="shared" ref="F577" si="55">SUM(E566:E577)</f>
        <v>2009.3735333333339</v>
      </c>
    </row>
    <row r="578" spans="1:6">
      <c r="A578" s="19">
        <v>37622</v>
      </c>
      <c r="B578" s="268">
        <v>96.1</v>
      </c>
      <c r="C578" s="143">
        <v>152.69999999999999</v>
      </c>
      <c r="E578" s="269">
        <f t="shared" si="49"/>
        <v>166.50926666666666</v>
      </c>
    </row>
    <row r="579" spans="1:6">
      <c r="A579" s="19">
        <v>37653</v>
      </c>
      <c r="B579" s="268">
        <v>96.9</v>
      </c>
      <c r="C579" s="143">
        <v>170.4</v>
      </c>
      <c r="E579" s="269">
        <f t="shared" ref="E579:E642" si="56">B579/100*$D$733</f>
        <v>167.89540000000002</v>
      </c>
    </row>
    <row r="580" spans="1:6">
      <c r="A580" s="19">
        <v>37681</v>
      </c>
      <c r="B580" s="268">
        <v>96.9</v>
      </c>
      <c r="C580" s="143">
        <v>173.7</v>
      </c>
      <c r="E580" s="269">
        <f t="shared" si="56"/>
        <v>167.89540000000002</v>
      </c>
    </row>
    <row r="581" spans="1:6">
      <c r="A581" s="19">
        <v>37712</v>
      </c>
      <c r="B581" s="268">
        <v>96</v>
      </c>
      <c r="C581" s="143">
        <v>173.5</v>
      </c>
      <c r="E581" s="269">
        <f t="shared" si="56"/>
        <v>166.33600000000001</v>
      </c>
    </row>
    <row r="582" spans="1:6">
      <c r="A582" s="19">
        <v>37742</v>
      </c>
      <c r="B582" s="268">
        <v>99.1</v>
      </c>
      <c r="C582" s="143">
        <v>166.6</v>
      </c>
      <c r="E582" s="269">
        <f t="shared" si="56"/>
        <v>171.70726666666667</v>
      </c>
    </row>
    <row r="583" spans="1:6">
      <c r="A583" s="19">
        <v>37773</v>
      </c>
      <c r="B583" s="268">
        <v>96.7</v>
      </c>
      <c r="C583" s="143">
        <v>174.9</v>
      </c>
      <c r="E583" s="269">
        <f t="shared" si="56"/>
        <v>167.5488666666667</v>
      </c>
    </row>
    <row r="584" spans="1:6">
      <c r="A584" s="19">
        <v>37803</v>
      </c>
      <c r="B584" s="268">
        <v>97.7</v>
      </c>
      <c r="C584" s="143">
        <v>178</v>
      </c>
      <c r="E584" s="269">
        <f t="shared" si="56"/>
        <v>169.28153333333336</v>
      </c>
    </row>
    <row r="585" spans="1:6">
      <c r="A585" s="19">
        <v>37834</v>
      </c>
      <c r="B585" s="268">
        <v>96</v>
      </c>
      <c r="C585" s="143">
        <v>164.3</v>
      </c>
      <c r="E585" s="269">
        <f t="shared" si="56"/>
        <v>166.33600000000001</v>
      </c>
    </row>
    <row r="586" spans="1:6">
      <c r="A586" s="19">
        <v>37865</v>
      </c>
      <c r="B586" s="268">
        <v>97.9</v>
      </c>
      <c r="C586" s="143">
        <v>171.2</v>
      </c>
      <c r="E586" s="269">
        <f t="shared" si="56"/>
        <v>169.62806666666668</v>
      </c>
    </row>
    <row r="587" spans="1:6">
      <c r="A587" s="19">
        <v>37895</v>
      </c>
      <c r="B587" s="268">
        <v>99.4</v>
      </c>
      <c r="C587" s="143">
        <v>179.3</v>
      </c>
      <c r="E587" s="269">
        <f t="shared" si="56"/>
        <v>172.2270666666667</v>
      </c>
    </row>
    <row r="588" spans="1:6">
      <c r="A588" s="19">
        <v>37926</v>
      </c>
      <c r="B588" s="268">
        <v>95.9</v>
      </c>
      <c r="C588" s="143">
        <v>174.9</v>
      </c>
      <c r="E588" s="269">
        <f t="shared" si="56"/>
        <v>166.16273333333336</v>
      </c>
    </row>
    <row r="589" spans="1:6">
      <c r="A589" s="19">
        <v>37956</v>
      </c>
      <c r="B589" s="268">
        <v>96.9</v>
      </c>
      <c r="C589" s="143">
        <v>171.4</v>
      </c>
      <c r="E589" s="269">
        <f t="shared" si="56"/>
        <v>167.89540000000002</v>
      </c>
      <c r="F589" s="270">
        <f t="shared" ref="F589" si="57">SUM(E578:E589)</f>
        <v>2019.4230000000002</v>
      </c>
    </row>
    <row r="590" spans="1:6">
      <c r="A590" s="19">
        <v>37987</v>
      </c>
      <c r="B590" s="268">
        <v>98.1</v>
      </c>
      <c r="C590" s="143">
        <v>153.9</v>
      </c>
      <c r="E590" s="269">
        <f t="shared" si="56"/>
        <v>169.97460000000001</v>
      </c>
    </row>
    <row r="591" spans="1:6">
      <c r="A591" s="19">
        <v>38018</v>
      </c>
      <c r="B591" s="268">
        <v>98.4</v>
      </c>
      <c r="C591" s="143">
        <v>170.9</v>
      </c>
      <c r="E591" s="269">
        <f t="shared" si="56"/>
        <v>170.49440000000004</v>
      </c>
    </row>
    <row r="592" spans="1:6">
      <c r="A592" s="19">
        <v>38047</v>
      </c>
      <c r="B592" s="268">
        <v>101.3</v>
      </c>
      <c r="C592" s="143">
        <v>179.4</v>
      </c>
      <c r="E592" s="269">
        <f t="shared" si="56"/>
        <v>175.51913333333334</v>
      </c>
    </row>
    <row r="593" spans="1:6">
      <c r="A593" s="19">
        <v>38078</v>
      </c>
      <c r="B593" s="268">
        <v>101.1</v>
      </c>
      <c r="C593" s="143">
        <v>180.3</v>
      </c>
      <c r="E593" s="269">
        <f t="shared" si="56"/>
        <v>175.17259999999999</v>
      </c>
    </row>
    <row r="594" spans="1:6">
      <c r="A594" s="19">
        <v>38108</v>
      </c>
      <c r="B594" s="268">
        <v>95.5</v>
      </c>
      <c r="C594" s="143">
        <v>158</v>
      </c>
      <c r="E594" s="269">
        <f t="shared" si="56"/>
        <v>165.46966666666668</v>
      </c>
    </row>
    <row r="595" spans="1:6">
      <c r="A595" s="19">
        <v>38139</v>
      </c>
      <c r="B595" s="268">
        <v>97.6</v>
      </c>
      <c r="C595" s="143">
        <v>174.3</v>
      </c>
      <c r="E595" s="269">
        <f t="shared" si="56"/>
        <v>169.10826666666668</v>
      </c>
    </row>
    <row r="596" spans="1:6">
      <c r="A596" s="19">
        <v>38169</v>
      </c>
      <c r="B596" s="268">
        <v>98.5</v>
      </c>
      <c r="C596" s="143">
        <v>177</v>
      </c>
      <c r="E596" s="269">
        <f t="shared" si="56"/>
        <v>170.66766666666669</v>
      </c>
    </row>
    <row r="597" spans="1:6">
      <c r="A597" s="19">
        <v>38200</v>
      </c>
      <c r="B597" s="268">
        <v>97.6</v>
      </c>
      <c r="C597" s="143">
        <v>164.6</v>
      </c>
      <c r="E597" s="269">
        <f t="shared" si="56"/>
        <v>169.10826666666668</v>
      </c>
    </row>
    <row r="598" spans="1:6">
      <c r="A598" s="19">
        <v>38231</v>
      </c>
      <c r="B598" s="268">
        <v>97.2</v>
      </c>
      <c r="C598" s="143">
        <v>167.4</v>
      </c>
      <c r="E598" s="269">
        <f t="shared" si="56"/>
        <v>168.4152</v>
      </c>
    </row>
    <row r="599" spans="1:6">
      <c r="A599" s="19">
        <v>38261</v>
      </c>
      <c r="B599" s="268">
        <v>94.9</v>
      </c>
      <c r="C599" s="143">
        <v>168.2</v>
      </c>
      <c r="E599" s="269">
        <f t="shared" si="56"/>
        <v>164.4300666666667</v>
      </c>
    </row>
    <row r="600" spans="1:6">
      <c r="A600" s="19">
        <v>38292</v>
      </c>
      <c r="B600" s="268">
        <v>98.9</v>
      </c>
      <c r="C600" s="143">
        <v>177.1</v>
      </c>
      <c r="E600" s="269">
        <f t="shared" si="56"/>
        <v>171.36073333333337</v>
      </c>
    </row>
    <row r="601" spans="1:6">
      <c r="A601" s="19">
        <v>38322</v>
      </c>
      <c r="B601" s="268">
        <v>99.8</v>
      </c>
      <c r="C601" s="143">
        <v>173.8</v>
      </c>
      <c r="E601" s="269">
        <f t="shared" si="56"/>
        <v>172.92013333333335</v>
      </c>
      <c r="F601" s="270">
        <f t="shared" ref="F601" si="58">SUM(E590:E601)</f>
        <v>2042.6407333333334</v>
      </c>
    </row>
    <row r="602" spans="1:6">
      <c r="A602" s="19">
        <v>38353</v>
      </c>
      <c r="B602" s="268">
        <v>98.3</v>
      </c>
      <c r="C602" s="143">
        <v>154.6</v>
      </c>
      <c r="E602" s="269">
        <f t="shared" si="56"/>
        <v>170.32113333333334</v>
      </c>
    </row>
    <row r="603" spans="1:6">
      <c r="A603" s="19">
        <v>38384</v>
      </c>
      <c r="B603" s="268">
        <v>96.2</v>
      </c>
      <c r="C603" s="143">
        <v>167.2</v>
      </c>
      <c r="E603" s="269">
        <f t="shared" si="56"/>
        <v>166.68253333333337</v>
      </c>
    </row>
    <row r="604" spans="1:6">
      <c r="A604" s="19">
        <v>38412</v>
      </c>
      <c r="B604" s="268">
        <v>97.9</v>
      </c>
      <c r="C604" s="143">
        <v>173.7</v>
      </c>
      <c r="E604" s="269">
        <f t="shared" si="56"/>
        <v>169.62806666666668</v>
      </c>
    </row>
    <row r="605" spans="1:6">
      <c r="A605" s="19">
        <v>38443</v>
      </c>
      <c r="B605" s="268">
        <v>98.5</v>
      </c>
      <c r="C605" s="143">
        <v>175.8</v>
      </c>
      <c r="E605" s="269">
        <f t="shared" si="56"/>
        <v>170.66766666666669</v>
      </c>
    </row>
    <row r="606" spans="1:6">
      <c r="A606" s="19">
        <v>38473</v>
      </c>
      <c r="B606" s="268">
        <v>97.7</v>
      </c>
      <c r="C606" s="143">
        <v>161.30000000000001</v>
      </c>
      <c r="E606" s="269">
        <f t="shared" si="56"/>
        <v>169.28153333333336</v>
      </c>
    </row>
    <row r="607" spans="1:6">
      <c r="A607" s="19">
        <v>38504</v>
      </c>
      <c r="B607" s="268">
        <v>99.1</v>
      </c>
      <c r="C607" s="143">
        <v>177.3</v>
      </c>
      <c r="E607" s="269">
        <f t="shared" si="56"/>
        <v>171.70726666666667</v>
      </c>
    </row>
    <row r="608" spans="1:6">
      <c r="A608" s="19">
        <v>38534</v>
      </c>
      <c r="B608" s="268">
        <v>98</v>
      </c>
      <c r="C608" s="143">
        <v>175.9</v>
      </c>
      <c r="E608" s="269">
        <f t="shared" si="56"/>
        <v>169.80133333333333</v>
      </c>
    </row>
    <row r="609" spans="1:6">
      <c r="A609" s="19">
        <v>38565</v>
      </c>
      <c r="B609" s="268">
        <v>100.2</v>
      </c>
      <c r="C609" s="143">
        <v>169.1</v>
      </c>
      <c r="E609" s="269">
        <f t="shared" si="56"/>
        <v>173.61320000000001</v>
      </c>
    </row>
    <row r="610" spans="1:6">
      <c r="A610" s="19">
        <v>38596</v>
      </c>
      <c r="B610" s="268">
        <v>99.3</v>
      </c>
      <c r="C610" s="143">
        <v>171.3</v>
      </c>
      <c r="E610" s="269">
        <f t="shared" si="56"/>
        <v>172.05380000000002</v>
      </c>
    </row>
    <row r="611" spans="1:6">
      <c r="A611" s="19">
        <v>38626</v>
      </c>
      <c r="B611" s="268">
        <v>98.5</v>
      </c>
      <c r="C611" s="143">
        <v>174.1</v>
      </c>
      <c r="E611" s="269">
        <f t="shared" si="56"/>
        <v>170.66766666666669</v>
      </c>
    </row>
    <row r="612" spans="1:6">
      <c r="A612" s="19">
        <v>38657</v>
      </c>
      <c r="B612" s="268">
        <v>98.9</v>
      </c>
      <c r="C612" s="143">
        <v>176.5</v>
      </c>
      <c r="E612" s="269">
        <f t="shared" si="56"/>
        <v>171.36073333333337</v>
      </c>
    </row>
    <row r="613" spans="1:6">
      <c r="A613" s="19">
        <v>38687</v>
      </c>
      <c r="B613" s="268">
        <v>99.2</v>
      </c>
      <c r="C613" s="143">
        <v>173</v>
      </c>
      <c r="E613" s="269">
        <f t="shared" si="56"/>
        <v>171.88053333333335</v>
      </c>
      <c r="F613" s="270">
        <f t="shared" ref="F613" si="59">SUM(E602:E613)</f>
        <v>2047.6654666666668</v>
      </c>
    </row>
    <row r="614" spans="1:6">
      <c r="A614" s="19">
        <v>38718</v>
      </c>
      <c r="B614" s="268">
        <v>98.6</v>
      </c>
      <c r="C614" s="143">
        <v>155.69999999999999</v>
      </c>
      <c r="E614" s="269">
        <f t="shared" si="56"/>
        <v>170.84093333333334</v>
      </c>
    </row>
    <row r="615" spans="1:6">
      <c r="A615" s="19">
        <v>38749</v>
      </c>
      <c r="B615" s="268">
        <v>100.7</v>
      </c>
      <c r="C615" s="143">
        <v>174.8</v>
      </c>
      <c r="E615" s="269">
        <f t="shared" si="56"/>
        <v>174.47953333333336</v>
      </c>
    </row>
    <row r="616" spans="1:6">
      <c r="A616" s="19">
        <v>38777</v>
      </c>
      <c r="B616" s="268">
        <v>100.6</v>
      </c>
      <c r="C616" s="143">
        <v>178.4</v>
      </c>
      <c r="E616" s="269">
        <f t="shared" si="56"/>
        <v>174.30626666666669</v>
      </c>
    </row>
    <row r="617" spans="1:6">
      <c r="A617" s="19">
        <v>38808</v>
      </c>
      <c r="B617" s="268">
        <v>100.1</v>
      </c>
      <c r="C617" s="143">
        <v>178.7</v>
      </c>
      <c r="E617" s="269">
        <f t="shared" si="56"/>
        <v>173.43993333333333</v>
      </c>
    </row>
    <row r="618" spans="1:6">
      <c r="A618" s="19">
        <v>38838</v>
      </c>
      <c r="B618" s="268">
        <v>98.7</v>
      </c>
      <c r="C618" s="143">
        <v>162.6</v>
      </c>
      <c r="E618" s="269">
        <f t="shared" si="56"/>
        <v>171.01420000000002</v>
      </c>
    </row>
    <row r="619" spans="1:6">
      <c r="A619" s="19">
        <v>38869</v>
      </c>
      <c r="B619" s="268">
        <v>100.7</v>
      </c>
      <c r="C619" s="143">
        <v>180.5</v>
      </c>
      <c r="E619" s="269">
        <f t="shared" si="56"/>
        <v>174.47953333333336</v>
      </c>
    </row>
    <row r="620" spans="1:6">
      <c r="A620" s="19">
        <v>38899</v>
      </c>
      <c r="B620" s="268">
        <v>100</v>
      </c>
      <c r="C620" s="143">
        <v>179.4</v>
      </c>
      <c r="E620" s="269">
        <f t="shared" si="56"/>
        <v>173.26666666666668</v>
      </c>
    </row>
    <row r="621" spans="1:6">
      <c r="A621" s="19">
        <v>38930</v>
      </c>
      <c r="B621" s="268">
        <v>100.2</v>
      </c>
      <c r="C621" s="143">
        <v>169.6</v>
      </c>
      <c r="E621" s="269">
        <f t="shared" si="56"/>
        <v>173.61320000000001</v>
      </c>
    </row>
    <row r="622" spans="1:6">
      <c r="A622" s="19">
        <v>38961</v>
      </c>
      <c r="B622" s="268">
        <v>101.1</v>
      </c>
      <c r="C622" s="143">
        <v>174.3</v>
      </c>
      <c r="E622" s="269">
        <f t="shared" si="56"/>
        <v>175.17259999999999</v>
      </c>
    </row>
    <row r="623" spans="1:6">
      <c r="A623" s="19">
        <v>38991</v>
      </c>
      <c r="B623" s="268">
        <v>100.6</v>
      </c>
      <c r="C623" s="143">
        <v>177.6</v>
      </c>
      <c r="E623" s="269">
        <f t="shared" si="56"/>
        <v>174.30626666666669</v>
      </c>
    </row>
    <row r="624" spans="1:6">
      <c r="A624" s="19">
        <v>39022</v>
      </c>
      <c r="B624" s="268">
        <v>100.5</v>
      </c>
      <c r="C624" s="143">
        <v>178.9</v>
      </c>
      <c r="E624" s="269">
        <f t="shared" si="56"/>
        <v>174.13299999999998</v>
      </c>
    </row>
    <row r="625" spans="1:6">
      <c r="A625" s="19">
        <v>39052</v>
      </c>
      <c r="B625" s="268">
        <v>101.9</v>
      </c>
      <c r="C625" s="143">
        <v>177.2</v>
      </c>
      <c r="E625" s="269">
        <f t="shared" si="56"/>
        <v>176.55873333333338</v>
      </c>
      <c r="F625" s="270">
        <f t="shared" ref="F625" si="60">SUM(E614:E625)</f>
        <v>2085.6108666666669</v>
      </c>
    </row>
    <row r="626" spans="1:6">
      <c r="A626" s="19">
        <v>39083</v>
      </c>
      <c r="B626" s="268">
        <v>100.9</v>
      </c>
      <c r="C626" s="143">
        <v>159.69999999999999</v>
      </c>
      <c r="E626" s="269">
        <f t="shared" si="56"/>
        <v>174.82606666666669</v>
      </c>
    </row>
    <row r="627" spans="1:6">
      <c r="A627" s="19">
        <v>39114</v>
      </c>
      <c r="B627" s="268">
        <v>100.1</v>
      </c>
      <c r="C627" s="143">
        <v>173.7</v>
      </c>
      <c r="E627" s="269">
        <f t="shared" si="56"/>
        <v>173.43993333333333</v>
      </c>
    </row>
    <row r="628" spans="1:6">
      <c r="A628" s="19">
        <v>39142</v>
      </c>
      <c r="B628" s="268">
        <v>100.7</v>
      </c>
      <c r="C628" s="143">
        <v>178.3</v>
      </c>
      <c r="E628" s="269">
        <f t="shared" si="56"/>
        <v>174.47953333333336</v>
      </c>
    </row>
    <row r="629" spans="1:6">
      <c r="A629" s="19">
        <v>39173</v>
      </c>
      <c r="B629" s="268">
        <v>99.9</v>
      </c>
      <c r="C629" s="143">
        <v>178.3</v>
      </c>
      <c r="E629" s="269">
        <f t="shared" si="56"/>
        <v>173.09340000000003</v>
      </c>
    </row>
    <row r="630" spans="1:6">
      <c r="A630" s="19">
        <v>39203</v>
      </c>
      <c r="B630" s="268">
        <v>101.6</v>
      </c>
      <c r="C630" s="143">
        <v>166.6</v>
      </c>
      <c r="E630" s="269">
        <f t="shared" si="56"/>
        <v>176.03893333333335</v>
      </c>
    </row>
    <row r="631" spans="1:6">
      <c r="A631" s="19">
        <v>39234</v>
      </c>
      <c r="B631" s="268">
        <v>100.8</v>
      </c>
      <c r="C631" s="143">
        <v>180.5</v>
      </c>
      <c r="E631" s="269">
        <f t="shared" si="56"/>
        <v>174.65280000000001</v>
      </c>
    </row>
    <row r="632" spans="1:6">
      <c r="A632" s="19">
        <v>39264</v>
      </c>
      <c r="B632" s="268">
        <v>100</v>
      </c>
      <c r="C632" s="143">
        <v>179</v>
      </c>
      <c r="E632" s="269">
        <f t="shared" si="56"/>
        <v>173.26666666666668</v>
      </c>
    </row>
    <row r="633" spans="1:6">
      <c r="A633" s="19">
        <v>39295</v>
      </c>
      <c r="B633" s="268">
        <v>99.7</v>
      </c>
      <c r="C633" s="143">
        <v>169.2</v>
      </c>
      <c r="E633" s="269">
        <f t="shared" si="56"/>
        <v>172.74686666666668</v>
      </c>
    </row>
    <row r="634" spans="1:6">
      <c r="A634" s="19">
        <v>39326</v>
      </c>
      <c r="B634" s="268">
        <v>99.2</v>
      </c>
      <c r="C634" s="143">
        <v>171</v>
      </c>
      <c r="E634" s="269">
        <f t="shared" si="56"/>
        <v>171.88053333333335</v>
      </c>
    </row>
    <row r="635" spans="1:6">
      <c r="A635" s="19">
        <v>39356</v>
      </c>
      <c r="B635" s="268">
        <v>101.1</v>
      </c>
      <c r="C635" s="143">
        <v>178</v>
      </c>
      <c r="E635" s="269">
        <f t="shared" si="56"/>
        <v>175.17259999999999</v>
      </c>
    </row>
    <row r="636" spans="1:6">
      <c r="A636" s="19">
        <v>39387</v>
      </c>
      <c r="B636" s="268">
        <v>103.2</v>
      </c>
      <c r="C636" s="143">
        <v>183.3</v>
      </c>
      <c r="E636" s="269">
        <f t="shared" si="56"/>
        <v>178.81120000000001</v>
      </c>
    </row>
    <row r="637" spans="1:6">
      <c r="A637" s="19">
        <v>39417</v>
      </c>
      <c r="B637" s="268">
        <v>99.6</v>
      </c>
      <c r="C637" s="143">
        <v>173.2</v>
      </c>
      <c r="E637" s="269">
        <f t="shared" si="56"/>
        <v>172.5736</v>
      </c>
      <c r="F637" s="270">
        <f t="shared" ref="F637" si="61">SUM(E626:E637)</f>
        <v>2090.9821333333334</v>
      </c>
    </row>
    <row r="638" spans="1:6">
      <c r="A638" s="19">
        <v>39448</v>
      </c>
      <c r="B638" s="268">
        <v>98.1</v>
      </c>
      <c r="C638" s="143">
        <v>156</v>
      </c>
      <c r="E638" s="269">
        <f t="shared" si="56"/>
        <v>169.97460000000001</v>
      </c>
    </row>
    <row r="639" spans="1:6">
      <c r="A639" s="19">
        <v>39479</v>
      </c>
      <c r="B639" s="268">
        <v>102.3</v>
      </c>
      <c r="C639" s="143">
        <v>177.1</v>
      </c>
      <c r="E639" s="269">
        <f t="shared" si="56"/>
        <v>177.2518</v>
      </c>
    </row>
    <row r="640" spans="1:6">
      <c r="A640" s="19">
        <v>39508</v>
      </c>
      <c r="B640" s="268">
        <v>100.6</v>
      </c>
      <c r="C640" s="143">
        <v>178.3</v>
      </c>
      <c r="E640" s="269">
        <f t="shared" si="56"/>
        <v>174.30626666666669</v>
      </c>
    </row>
    <row r="641" spans="1:6">
      <c r="A641" s="19">
        <v>39539</v>
      </c>
      <c r="B641" s="268">
        <v>101.5</v>
      </c>
      <c r="C641" s="143">
        <v>181.1</v>
      </c>
      <c r="E641" s="269">
        <f t="shared" si="56"/>
        <v>175.86566666666667</v>
      </c>
    </row>
    <row r="642" spans="1:6">
      <c r="A642" s="19">
        <v>39569</v>
      </c>
      <c r="B642" s="268">
        <v>102.8</v>
      </c>
      <c r="C642" s="143">
        <v>168.3</v>
      </c>
      <c r="E642" s="269">
        <f t="shared" si="56"/>
        <v>178.11813333333336</v>
      </c>
    </row>
    <row r="643" spans="1:6">
      <c r="A643" s="19">
        <v>39600</v>
      </c>
      <c r="B643" s="268">
        <v>100.3</v>
      </c>
      <c r="C643" s="143">
        <v>179.9</v>
      </c>
      <c r="E643" s="269">
        <f t="shared" ref="E643:E706" si="62">B643/100*$D$733</f>
        <v>173.78646666666666</v>
      </c>
    </row>
    <row r="644" spans="1:6">
      <c r="A644" s="19">
        <v>39630</v>
      </c>
      <c r="B644" s="268">
        <v>101.8</v>
      </c>
      <c r="C644" s="143">
        <v>182.3</v>
      </c>
      <c r="E644" s="269">
        <f t="shared" si="62"/>
        <v>176.38546666666667</v>
      </c>
    </row>
    <row r="645" spans="1:6">
      <c r="A645" s="19">
        <v>39661</v>
      </c>
      <c r="B645" s="268">
        <v>97.8</v>
      </c>
      <c r="C645" s="143">
        <v>166.3</v>
      </c>
      <c r="E645" s="269">
        <f t="shared" si="62"/>
        <v>169.45480000000001</v>
      </c>
    </row>
    <row r="646" spans="1:6">
      <c r="A646" s="19">
        <v>39692</v>
      </c>
      <c r="B646" s="268">
        <v>101.3</v>
      </c>
      <c r="C646" s="143">
        <v>174.8</v>
      </c>
      <c r="E646" s="269">
        <f t="shared" si="62"/>
        <v>175.51913333333334</v>
      </c>
    </row>
    <row r="647" spans="1:6">
      <c r="A647" s="19">
        <v>39722</v>
      </c>
      <c r="B647" s="268">
        <v>103.4</v>
      </c>
      <c r="C647" s="143">
        <v>182</v>
      </c>
      <c r="E647" s="269">
        <f t="shared" si="62"/>
        <v>179.15773333333334</v>
      </c>
    </row>
    <row r="648" spans="1:6">
      <c r="A648" s="19">
        <v>39753</v>
      </c>
      <c r="B648" s="268">
        <v>99.5</v>
      </c>
      <c r="C648" s="143">
        <v>176.8</v>
      </c>
      <c r="E648" s="269">
        <f t="shared" si="62"/>
        <v>172.40033333333335</v>
      </c>
    </row>
    <row r="649" spans="1:6">
      <c r="A649" s="19">
        <v>39783</v>
      </c>
      <c r="B649" s="268">
        <v>99</v>
      </c>
      <c r="C649" s="143">
        <v>172</v>
      </c>
      <c r="E649" s="269">
        <f t="shared" si="62"/>
        <v>171.53400000000002</v>
      </c>
      <c r="F649" s="270">
        <f t="shared" ref="F649" si="63">SUM(E638:E649)</f>
        <v>2093.7543999999998</v>
      </c>
    </row>
    <row r="650" spans="1:6">
      <c r="A650" s="19">
        <v>39814</v>
      </c>
      <c r="B650" s="268">
        <v>99.7</v>
      </c>
      <c r="C650" s="143">
        <v>158.9</v>
      </c>
      <c r="E650" s="269">
        <f t="shared" si="62"/>
        <v>172.74686666666668</v>
      </c>
    </row>
    <row r="651" spans="1:6">
      <c r="A651" s="19">
        <v>39845</v>
      </c>
      <c r="B651" s="268">
        <v>98.6</v>
      </c>
      <c r="C651" s="143">
        <v>170.6</v>
      </c>
      <c r="E651" s="269">
        <f t="shared" si="62"/>
        <v>170.84093333333334</v>
      </c>
    </row>
    <row r="652" spans="1:6">
      <c r="A652" s="19">
        <v>39873</v>
      </c>
      <c r="B652" s="268">
        <v>96.6</v>
      </c>
      <c r="C652" s="143">
        <v>171.3</v>
      </c>
      <c r="E652" s="269">
        <f t="shared" si="62"/>
        <v>167.37560000000002</v>
      </c>
    </row>
    <row r="653" spans="1:6">
      <c r="A653" s="19">
        <v>39904</v>
      </c>
      <c r="B653" s="268">
        <v>98.8</v>
      </c>
      <c r="C653" s="143">
        <v>176.2</v>
      </c>
      <c r="E653" s="269">
        <f t="shared" si="62"/>
        <v>171.18746666666667</v>
      </c>
    </row>
    <row r="654" spans="1:6">
      <c r="A654" s="19">
        <v>39934</v>
      </c>
      <c r="B654" s="268">
        <v>96.9</v>
      </c>
      <c r="C654" s="143">
        <v>158.19999999999999</v>
      </c>
      <c r="E654" s="269">
        <f t="shared" si="62"/>
        <v>167.89540000000002</v>
      </c>
    </row>
    <row r="655" spans="1:6">
      <c r="A655" s="19">
        <v>39965</v>
      </c>
      <c r="B655" s="268">
        <v>98.9</v>
      </c>
      <c r="C655" s="143">
        <v>176.7</v>
      </c>
      <c r="E655" s="269">
        <f t="shared" si="62"/>
        <v>171.36073333333337</v>
      </c>
    </row>
    <row r="656" spans="1:6">
      <c r="A656" s="19">
        <v>39995</v>
      </c>
      <c r="B656" s="268">
        <v>101.5</v>
      </c>
      <c r="C656" s="143">
        <v>181.1</v>
      </c>
      <c r="E656" s="269">
        <f t="shared" si="62"/>
        <v>175.86566666666667</v>
      </c>
    </row>
    <row r="657" spans="1:6">
      <c r="A657" s="19">
        <v>40026</v>
      </c>
      <c r="B657" s="268">
        <v>98.5</v>
      </c>
      <c r="C657" s="143">
        <v>167.2</v>
      </c>
      <c r="E657" s="269">
        <f t="shared" si="62"/>
        <v>170.66766666666669</v>
      </c>
    </row>
    <row r="658" spans="1:6">
      <c r="A658" s="19">
        <v>40057</v>
      </c>
      <c r="B658" s="268">
        <v>98.4</v>
      </c>
      <c r="C658" s="143">
        <v>169.5</v>
      </c>
      <c r="E658" s="269">
        <f t="shared" si="62"/>
        <v>170.49440000000004</v>
      </c>
    </row>
    <row r="659" spans="1:6">
      <c r="A659" s="19">
        <v>40087</v>
      </c>
      <c r="B659" s="268">
        <v>99.2</v>
      </c>
      <c r="C659" s="143">
        <v>173.4</v>
      </c>
      <c r="E659" s="269">
        <f t="shared" si="62"/>
        <v>171.88053333333335</v>
      </c>
    </row>
    <row r="660" spans="1:6">
      <c r="A660" s="19">
        <v>40118</v>
      </c>
      <c r="B660" s="268">
        <v>99.3</v>
      </c>
      <c r="C660" s="143">
        <v>175.7</v>
      </c>
      <c r="E660" s="269">
        <f t="shared" si="62"/>
        <v>172.05380000000002</v>
      </c>
    </row>
    <row r="661" spans="1:6">
      <c r="A661" s="19">
        <v>40148</v>
      </c>
      <c r="B661" s="268">
        <v>100</v>
      </c>
      <c r="C661" s="143">
        <v>172.6</v>
      </c>
      <c r="E661" s="269">
        <f t="shared" si="62"/>
        <v>173.26666666666668</v>
      </c>
      <c r="F661" s="270">
        <f t="shared" ref="F661" si="64">SUM(E650:E661)</f>
        <v>2055.635733333334</v>
      </c>
    </row>
    <row r="662" spans="1:6">
      <c r="A662" s="19">
        <v>40179</v>
      </c>
      <c r="B662" s="268">
        <v>101</v>
      </c>
      <c r="C662" s="143">
        <v>160.30000000000001</v>
      </c>
      <c r="E662" s="269">
        <f t="shared" si="62"/>
        <v>174.99933333333334</v>
      </c>
    </row>
    <row r="663" spans="1:6">
      <c r="A663" s="19">
        <v>40210</v>
      </c>
      <c r="B663" s="268">
        <v>99.6</v>
      </c>
      <c r="C663" s="143">
        <v>171.2</v>
      </c>
      <c r="E663" s="269">
        <f t="shared" si="62"/>
        <v>172.5736</v>
      </c>
    </row>
    <row r="664" spans="1:6">
      <c r="A664" s="19">
        <v>40238</v>
      </c>
      <c r="B664" s="268">
        <v>102</v>
      </c>
      <c r="C664" s="143">
        <v>180.1</v>
      </c>
      <c r="E664" s="269">
        <f t="shared" si="62"/>
        <v>176.73200000000003</v>
      </c>
    </row>
    <row r="665" spans="1:6">
      <c r="A665" s="19">
        <v>40269</v>
      </c>
      <c r="B665" s="268">
        <v>100.4</v>
      </c>
      <c r="C665" s="143">
        <v>178.4</v>
      </c>
      <c r="E665" s="269">
        <f t="shared" si="62"/>
        <v>173.95973333333336</v>
      </c>
    </row>
    <row r="666" spans="1:6">
      <c r="A666" s="19">
        <v>40299</v>
      </c>
      <c r="B666" s="268">
        <v>98.1</v>
      </c>
      <c r="C666" s="143">
        <v>159.5</v>
      </c>
      <c r="E666" s="269">
        <f t="shared" si="62"/>
        <v>169.97460000000001</v>
      </c>
    </row>
    <row r="667" spans="1:6">
      <c r="A667" s="19">
        <v>40330</v>
      </c>
      <c r="B667" s="268">
        <v>100.2</v>
      </c>
      <c r="C667" s="143">
        <v>177.9</v>
      </c>
      <c r="E667" s="269">
        <f t="shared" si="62"/>
        <v>173.61320000000001</v>
      </c>
    </row>
    <row r="668" spans="1:6">
      <c r="A668" s="19">
        <v>40360</v>
      </c>
      <c r="B668" s="268">
        <v>101.2</v>
      </c>
      <c r="C668" s="143">
        <v>179.4</v>
      </c>
      <c r="E668" s="269">
        <f t="shared" si="62"/>
        <v>175.34586666666669</v>
      </c>
    </row>
    <row r="669" spans="1:6">
      <c r="A669" s="19">
        <v>40391</v>
      </c>
      <c r="B669" s="268">
        <v>101.5</v>
      </c>
      <c r="C669" s="143">
        <v>171.7</v>
      </c>
      <c r="E669" s="269">
        <f t="shared" si="62"/>
        <v>175.86566666666667</v>
      </c>
    </row>
    <row r="670" spans="1:6">
      <c r="A670" s="19">
        <v>40422</v>
      </c>
      <c r="B670" s="268">
        <v>100.8</v>
      </c>
      <c r="C670" s="143">
        <v>172.8</v>
      </c>
      <c r="E670" s="269">
        <f t="shared" si="62"/>
        <v>174.65280000000001</v>
      </c>
    </row>
    <row r="671" spans="1:6">
      <c r="A671" s="19">
        <v>40452</v>
      </c>
      <c r="B671" s="268">
        <v>99.8</v>
      </c>
      <c r="C671" s="143">
        <v>173.4</v>
      </c>
      <c r="E671" s="269">
        <f t="shared" si="62"/>
        <v>172.92013333333335</v>
      </c>
    </row>
    <row r="672" spans="1:6">
      <c r="A672" s="19">
        <v>40483</v>
      </c>
      <c r="B672" s="268">
        <v>100.2</v>
      </c>
      <c r="C672" s="143">
        <v>177</v>
      </c>
      <c r="E672" s="269">
        <f t="shared" si="62"/>
        <v>173.61320000000001</v>
      </c>
    </row>
    <row r="673" spans="1:6">
      <c r="A673" s="19">
        <v>40513</v>
      </c>
      <c r="B673" s="268">
        <v>100.6</v>
      </c>
      <c r="C673" s="143">
        <v>172.8</v>
      </c>
      <c r="E673" s="269">
        <f t="shared" si="62"/>
        <v>174.30626666666669</v>
      </c>
      <c r="F673" s="270">
        <f t="shared" ref="F673" si="65">SUM(E662:E673)</f>
        <v>2088.5563999999999</v>
      </c>
    </row>
    <row r="674" spans="1:6">
      <c r="A674" s="19">
        <v>40544</v>
      </c>
      <c r="B674" s="268">
        <v>99.9</v>
      </c>
      <c r="C674" s="143">
        <v>157.6</v>
      </c>
      <c r="E674" s="269">
        <f t="shared" si="62"/>
        <v>173.09340000000003</v>
      </c>
    </row>
    <row r="675" spans="1:6">
      <c r="A675" s="19">
        <v>40575</v>
      </c>
      <c r="B675" s="268">
        <v>98.7</v>
      </c>
      <c r="C675" s="143">
        <v>168.8</v>
      </c>
      <c r="E675" s="269">
        <f t="shared" si="62"/>
        <v>171.01420000000002</v>
      </c>
    </row>
    <row r="676" spans="1:6">
      <c r="A676" s="19">
        <v>40603</v>
      </c>
      <c r="B676" s="268">
        <v>100.8</v>
      </c>
      <c r="C676" s="143">
        <v>177.5</v>
      </c>
      <c r="E676" s="269">
        <f t="shared" si="62"/>
        <v>174.65280000000001</v>
      </c>
    </row>
    <row r="677" spans="1:6">
      <c r="A677" s="19">
        <v>40634</v>
      </c>
      <c r="B677" s="268">
        <v>100</v>
      </c>
      <c r="C677" s="143">
        <v>176.6</v>
      </c>
      <c r="E677" s="269">
        <f t="shared" si="62"/>
        <v>173.26666666666668</v>
      </c>
    </row>
    <row r="678" spans="1:6">
      <c r="A678" s="19">
        <v>40664</v>
      </c>
      <c r="B678" s="268">
        <v>99.6</v>
      </c>
      <c r="C678" s="143">
        <v>161.19999999999999</v>
      </c>
      <c r="E678" s="269">
        <f t="shared" si="62"/>
        <v>172.5736</v>
      </c>
    </row>
    <row r="679" spans="1:6">
      <c r="A679" s="19">
        <v>40695</v>
      </c>
      <c r="B679" s="268">
        <v>101.6</v>
      </c>
      <c r="C679" s="143">
        <v>179.1</v>
      </c>
      <c r="E679" s="269">
        <f t="shared" si="62"/>
        <v>176.03893333333335</v>
      </c>
    </row>
    <row r="680" spans="1:6">
      <c r="A680" s="19">
        <v>40725</v>
      </c>
      <c r="B680" s="268">
        <v>99.8</v>
      </c>
      <c r="C680" s="143">
        <v>175.9</v>
      </c>
      <c r="E680" s="269">
        <f t="shared" si="62"/>
        <v>172.92013333333335</v>
      </c>
    </row>
    <row r="681" spans="1:6">
      <c r="A681" s="19">
        <v>40756</v>
      </c>
      <c r="B681" s="268">
        <v>101.9</v>
      </c>
      <c r="C681" s="143">
        <v>171.2</v>
      </c>
      <c r="E681" s="269">
        <f t="shared" si="62"/>
        <v>176.55873333333338</v>
      </c>
    </row>
    <row r="682" spans="1:6">
      <c r="A682" s="19">
        <v>40787</v>
      </c>
      <c r="B682" s="268">
        <v>101.6</v>
      </c>
      <c r="C682" s="143">
        <v>173.2</v>
      </c>
      <c r="E682" s="269">
        <f t="shared" si="62"/>
        <v>176.03893333333335</v>
      </c>
    </row>
    <row r="683" spans="1:6">
      <c r="A683" s="19">
        <v>40817</v>
      </c>
      <c r="B683" s="268">
        <v>100.7</v>
      </c>
      <c r="C683" s="143">
        <v>174.3</v>
      </c>
      <c r="E683" s="269">
        <f t="shared" si="62"/>
        <v>174.47953333333336</v>
      </c>
    </row>
    <row r="684" spans="1:6">
      <c r="A684" s="19">
        <v>40848</v>
      </c>
      <c r="B684" s="268">
        <v>100.6</v>
      </c>
      <c r="C684" s="143">
        <v>177.1</v>
      </c>
      <c r="E684" s="269">
        <f t="shared" si="62"/>
        <v>174.30626666666669</v>
      </c>
    </row>
    <row r="685" spans="1:6">
      <c r="A685" s="19">
        <v>40878</v>
      </c>
      <c r="B685" s="268">
        <v>101.3</v>
      </c>
      <c r="C685" s="143">
        <v>173.2</v>
      </c>
      <c r="E685" s="269">
        <f t="shared" si="62"/>
        <v>175.51913333333334</v>
      </c>
      <c r="F685" s="270">
        <f t="shared" ref="F685" si="66">SUM(E674:E685)</f>
        <v>2090.4623333333334</v>
      </c>
    </row>
    <row r="686" spans="1:6">
      <c r="A686" s="19">
        <v>40909</v>
      </c>
      <c r="B686" s="268">
        <v>101.2</v>
      </c>
      <c r="C686" s="143">
        <v>160.9</v>
      </c>
      <c r="E686" s="269">
        <f t="shared" si="62"/>
        <v>175.34586666666669</v>
      </c>
    </row>
    <row r="687" spans="1:6">
      <c r="A687" s="19">
        <v>40940</v>
      </c>
      <c r="B687" s="268">
        <v>102.3</v>
      </c>
      <c r="C687" s="143">
        <v>176.9</v>
      </c>
      <c r="E687" s="269">
        <f t="shared" si="62"/>
        <v>177.2518</v>
      </c>
    </row>
    <row r="688" spans="1:6">
      <c r="A688" s="19">
        <v>40969</v>
      </c>
      <c r="B688" s="268">
        <v>100.6</v>
      </c>
      <c r="C688" s="143">
        <v>179.5</v>
      </c>
      <c r="E688" s="269">
        <f t="shared" si="62"/>
        <v>174.30626666666669</v>
      </c>
    </row>
    <row r="689" spans="1:6">
      <c r="A689" s="19">
        <v>41000</v>
      </c>
      <c r="B689" s="268">
        <v>100.5</v>
      </c>
      <c r="C689" s="143">
        <v>180.2</v>
      </c>
      <c r="E689" s="269">
        <f t="shared" si="62"/>
        <v>174.13299999999998</v>
      </c>
    </row>
    <row r="690" spans="1:6">
      <c r="A690" s="19">
        <v>41030</v>
      </c>
      <c r="B690" s="268">
        <v>101.4</v>
      </c>
      <c r="C690" s="143">
        <v>166.8</v>
      </c>
      <c r="E690" s="269">
        <f t="shared" si="62"/>
        <v>175.69240000000002</v>
      </c>
    </row>
    <row r="691" spans="1:6">
      <c r="A691" s="19">
        <v>41061</v>
      </c>
      <c r="B691" s="268">
        <v>100.2</v>
      </c>
      <c r="C691" s="143">
        <v>179.2</v>
      </c>
      <c r="E691" s="269">
        <f t="shared" si="62"/>
        <v>173.61320000000001</v>
      </c>
    </row>
    <row r="692" spans="1:6">
      <c r="A692" s="19">
        <v>41091</v>
      </c>
      <c r="B692" s="268">
        <v>99.3</v>
      </c>
      <c r="C692" s="143">
        <v>178.1</v>
      </c>
      <c r="E692" s="269">
        <f t="shared" si="62"/>
        <v>172.05380000000002</v>
      </c>
    </row>
    <row r="693" spans="1:6">
      <c r="A693" s="19">
        <v>41122</v>
      </c>
      <c r="B693" s="268">
        <v>100.1</v>
      </c>
      <c r="C693" s="143">
        <v>170.5</v>
      </c>
      <c r="E693" s="269">
        <f t="shared" si="62"/>
        <v>173.43993333333333</v>
      </c>
    </row>
    <row r="694" spans="1:6">
      <c r="A694" s="19">
        <v>41153</v>
      </c>
      <c r="B694" s="268">
        <v>100.2</v>
      </c>
      <c r="C694" s="143">
        <v>173.6</v>
      </c>
      <c r="E694" s="269">
        <f t="shared" si="62"/>
        <v>173.61320000000001</v>
      </c>
    </row>
    <row r="695" spans="1:6">
      <c r="A695" s="19">
        <v>41183</v>
      </c>
      <c r="B695" s="268">
        <v>100.1</v>
      </c>
      <c r="C695" s="143">
        <v>177.1</v>
      </c>
      <c r="E695" s="269">
        <f t="shared" si="62"/>
        <v>173.43993333333333</v>
      </c>
    </row>
    <row r="696" spans="1:6">
      <c r="A696" s="19">
        <v>41214</v>
      </c>
      <c r="B696" s="268">
        <v>101.8</v>
      </c>
      <c r="C696" s="143">
        <v>183.2</v>
      </c>
      <c r="E696" s="269">
        <f t="shared" si="62"/>
        <v>176.38546666666667</v>
      </c>
    </row>
    <row r="697" spans="1:6">
      <c r="A697" s="19">
        <v>41244</v>
      </c>
      <c r="B697" s="268">
        <v>100.1</v>
      </c>
      <c r="C697" s="143">
        <v>174.5</v>
      </c>
      <c r="E697" s="269">
        <f t="shared" si="62"/>
        <v>173.43993333333333</v>
      </c>
      <c r="F697" s="270">
        <f t="shared" ref="F697" si="67">SUM(E686:E697)</f>
        <v>2092.7148000000002</v>
      </c>
    </row>
    <row r="698" spans="1:6">
      <c r="A698" s="19">
        <v>41275</v>
      </c>
      <c r="B698" s="268">
        <v>98.7</v>
      </c>
      <c r="C698" s="143">
        <v>158.1</v>
      </c>
      <c r="E698" s="269">
        <f t="shared" si="62"/>
        <v>171.01420000000002</v>
      </c>
    </row>
    <row r="699" spans="1:6">
      <c r="A699" s="19">
        <v>41306</v>
      </c>
      <c r="B699" s="268">
        <v>99.8</v>
      </c>
      <c r="C699" s="143">
        <v>174.4</v>
      </c>
      <c r="E699" s="269">
        <f t="shared" si="62"/>
        <v>172.92013333333335</v>
      </c>
    </row>
    <row r="700" spans="1:6">
      <c r="A700" s="19">
        <v>41334</v>
      </c>
      <c r="B700" s="268">
        <v>97.1</v>
      </c>
      <c r="C700" s="143">
        <v>175.2</v>
      </c>
      <c r="E700" s="269">
        <f t="shared" si="62"/>
        <v>168.24193333333335</v>
      </c>
    </row>
    <row r="701" spans="1:6">
      <c r="A701" s="19">
        <v>41365</v>
      </c>
      <c r="B701" s="268">
        <v>99.5</v>
      </c>
      <c r="C701" s="143">
        <v>180</v>
      </c>
      <c r="E701" s="269">
        <f t="shared" si="62"/>
        <v>172.40033333333335</v>
      </c>
    </row>
    <row r="702" spans="1:6">
      <c r="A702" s="19">
        <v>41395</v>
      </c>
      <c r="B702" s="268">
        <v>102.1</v>
      </c>
      <c r="C702" s="143">
        <v>169.8</v>
      </c>
      <c r="E702" s="269">
        <f t="shared" si="62"/>
        <v>176.90526666666668</v>
      </c>
    </row>
    <row r="703" spans="1:6">
      <c r="A703" s="19">
        <v>41426</v>
      </c>
      <c r="B703" s="268">
        <v>98.5</v>
      </c>
      <c r="C703" s="143">
        <v>177.4</v>
      </c>
      <c r="E703" s="269">
        <f t="shared" si="62"/>
        <v>170.66766666666669</v>
      </c>
    </row>
    <row r="704" spans="1:6">
      <c r="A704" s="19">
        <v>41456</v>
      </c>
      <c r="B704" s="268">
        <v>99</v>
      </c>
      <c r="C704" s="143">
        <v>179.6</v>
      </c>
      <c r="E704" s="269">
        <f t="shared" si="62"/>
        <v>171.53400000000002</v>
      </c>
    </row>
    <row r="705" spans="1:6">
      <c r="A705" s="19">
        <v>41487</v>
      </c>
      <c r="B705" s="268">
        <v>99.4</v>
      </c>
      <c r="C705" s="143">
        <v>169.9</v>
      </c>
      <c r="E705" s="269">
        <f t="shared" si="62"/>
        <v>172.2270666666667</v>
      </c>
    </row>
    <row r="706" spans="1:6">
      <c r="A706" s="19">
        <v>41518</v>
      </c>
      <c r="B706" s="268">
        <v>99.3</v>
      </c>
      <c r="C706" s="143">
        <v>173.2</v>
      </c>
      <c r="E706" s="269">
        <f t="shared" si="62"/>
        <v>172.05380000000002</v>
      </c>
    </row>
    <row r="707" spans="1:6">
      <c r="A707" s="19">
        <v>41548</v>
      </c>
      <c r="B707" s="268">
        <v>99.4</v>
      </c>
      <c r="C707" s="143">
        <v>177.6</v>
      </c>
      <c r="E707" s="269">
        <f t="shared" ref="E707:E770" si="68">B707/100*$D$733</f>
        <v>172.2270666666667</v>
      </c>
    </row>
    <row r="708" spans="1:6">
      <c r="A708" s="19">
        <v>41579</v>
      </c>
      <c r="B708" s="268">
        <v>100.8</v>
      </c>
      <c r="C708" s="143">
        <v>183</v>
      </c>
      <c r="E708" s="269">
        <f t="shared" si="68"/>
        <v>174.65280000000001</v>
      </c>
    </row>
    <row r="709" spans="1:6">
      <c r="A709" s="19">
        <v>41609</v>
      </c>
      <c r="B709" s="268">
        <v>100.2</v>
      </c>
      <c r="C709" s="143">
        <v>175.5</v>
      </c>
      <c r="E709" s="269">
        <f t="shared" si="68"/>
        <v>173.61320000000001</v>
      </c>
      <c r="F709" s="270">
        <f t="shared" ref="F709" si="69">SUM(E698:E709)</f>
        <v>2068.4574666666672</v>
      </c>
    </row>
    <row r="710" spans="1:6">
      <c r="A710" s="19">
        <v>41640</v>
      </c>
      <c r="B710" s="268">
        <v>99.3</v>
      </c>
      <c r="C710" s="143">
        <v>160.4</v>
      </c>
      <c r="E710" s="269">
        <f t="shared" si="68"/>
        <v>172.05380000000002</v>
      </c>
    </row>
    <row r="711" spans="1:6">
      <c r="A711" s="19">
        <v>41671</v>
      </c>
      <c r="B711" s="268">
        <v>98.3</v>
      </c>
      <c r="C711" s="143">
        <v>174.1</v>
      </c>
      <c r="E711" s="269">
        <f t="shared" si="68"/>
        <v>170.32113333333334</v>
      </c>
    </row>
    <row r="712" spans="1:6">
      <c r="A712" s="19">
        <v>41699</v>
      </c>
      <c r="B712" s="268">
        <v>96.6</v>
      </c>
      <c r="C712" s="143">
        <v>176</v>
      </c>
      <c r="E712" s="269">
        <f t="shared" si="68"/>
        <v>167.37560000000002</v>
      </c>
    </row>
    <row r="713" spans="1:6">
      <c r="A713" s="19">
        <v>41730</v>
      </c>
      <c r="B713" s="268">
        <v>99</v>
      </c>
      <c r="C713" s="143">
        <v>180.9</v>
      </c>
      <c r="E713" s="269">
        <f t="shared" si="68"/>
        <v>171.53400000000002</v>
      </c>
    </row>
    <row r="714" spans="1:6">
      <c r="A714" s="19">
        <v>41760</v>
      </c>
      <c r="B714" s="268">
        <v>100.5</v>
      </c>
      <c r="C714" s="143">
        <v>168.4</v>
      </c>
      <c r="E714" s="269">
        <f t="shared" si="68"/>
        <v>174.13299999999998</v>
      </c>
    </row>
    <row r="715" spans="1:6">
      <c r="A715" s="19">
        <v>41791</v>
      </c>
      <c r="B715" s="268">
        <v>98.5</v>
      </c>
      <c r="C715" s="143">
        <v>179.4</v>
      </c>
      <c r="E715" s="269">
        <f t="shared" si="68"/>
        <v>170.66766666666669</v>
      </c>
    </row>
    <row r="716" spans="1:6">
      <c r="A716" s="19">
        <v>41821</v>
      </c>
      <c r="B716" s="268">
        <v>100.3</v>
      </c>
      <c r="C716" s="143">
        <v>183.7</v>
      </c>
      <c r="E716" s="269">
        <f t="shared" si="68"/>
        <v>173.78646666666666</v>
      </c>
    </row>
    <row r="717" spans="1:6">
      <c r="A717" s="19">
        <v>41852</v>
      </c>
      <c r="B717" s="268">
        <v>97.7</v>
      </c>
      <c r="C717" s="143">
        <v>167.4</v>
      </c>
      <c r="E717" s="269">
        <f t="shared" si="68"/>
        <v>169.28153333333336</v>
      </c>
    </row>
    <row r="718" spans="1:6">
      <c r="A718" s="19">
        <v>41883</v>
      </c>
      <c r="B718" s="268">
        <v>98.2</v>
      </c>
      <c r="C718" s="143">
        <v>172.5</v>
      </c>
      <c r="E718" s="269">
        <f t="shared" si="68"/>
        <v>170.14786666666669</v>
      </c>
    </row>
    <row r="719" spans="1:6">
      <c r="A719" s="19">
        <v>41913</v>
      </c>
      <c r="B719" s="268">
        <v>99.4</v>
      </c>
      <c r="C719" s="143">
        <v>179.7</v>
      </c>
      <c r="E719" s="269">
        <f t="shared" si="68"/>
        <v>172.2270666666667</v>
      </c>
    </row>
    <row r="720" spans="1:6">
      <c r="A720" s="19">
        <v>41944</v>
      </c>
      <c r="B720" s="268">
        <v>96</v>
      </c>
      <c r="C720" s="143">
        <v>175.8</v>
      </c>
      <c r="E720" s="269">
        <f t="shared" si="68"/>
        <v>166.33600000000001</v>
      </c>
    </row>
    <row r="721" spans="1:6">
      <c r="A721" s="19">
        <v>41974</v>
      </c>
      <c r="B721" s="268">
        <v>97.5</v>
      </c>
      <c r="C721" s="143">
        <v>172.3</v>
      </c>
      <c r="E721" s="269">
        <f>B721/100*$D$733</f>
        <v>168.935</v>
      </c>
      <c r="F721" s="270">
        <f t="shared" ref="F721" si="70">SUM(E710:E721)</f>
        <v>2046.7991333333337</v>
      </c>
    </row>
    <row r="722" spans="1:6">
      <c r="A722" s="19">
        <v>42005</v>
      </c>
      <c r="B722" s="268">
        <v>99.5</v>
      </c>
      <c r="C722" s="143">
        <v>158.1</v>
      </c>
      <c r="E722" s="269">
        <f t="shared" si="68"/>
        <v>172.40033333333335</v>
      </c>
    </row>
    <row r="723" spans="1:6">
      <c r="A723" s="19">
        <v>42036</v>
      </c>
      <c r="B723" s="268">
        <v>99.4</v>
      </c>
      <c r="C723" s="143">
        <v>172.6</v>
      </c>
      <c r="E723" s="269">
        <f t="shared" si="68"/>
        <v>172.2270666666667</v>
      </c>
    </row>
    <row r="724" spans="1:6">
      <c r="A724" s="19">
        <v>42064</v>
      </c>
      <c r="B724" s="268">
        <v>100.6</v>
      </c>
      <c r="C724" s="143">
        <v>180</v>
      </c>
      <c r="E724" s="269">
        <f t="shared" si="68"/>
        <v>174.30626666666669</v>
      </c>
    </row>
    <row r="725" spans="1:6">
      <c r="A725" s="19">
        <v>42095</v>
      </c>
      <c r="B725" s="268">
        <v>100.9</v>
      </c>
      <c r="C725" s="143">
        <v>180.8</v>
      </c>
      <c r="E725" s="269">
        <f t="shared" si="68"/>
        <v>174.82606666666669</v>
      </c>
    </row>
    <row r="726" spans="1:6">
      <c r="A726" s="19">
        <v>42125</v>
      </c>
      <c r="B726" s="268">
        <v>99.6</v>
      </c>
      <c r="C726" s="143">
        <v>163.4</v>
      </c>
      <c r="E726" s="269">
        <f t="shared" si="68"/>
        <v>172.5736</v>
      </c>
    </row>
    <row r="727" spans="1:6">
      <c r="A727" s="19">
        <v>42156</v>
      </c>
      <c r="B727" s="268">
        <v>99.3</v>
      </c>
      <c r="C727" s="143">
        <v>177.8</v>
      </c>
      <c r="E727" s="269">
        <f t="shared" si="68"/>
        <v>172.05380000000002</v>
      </c>
    </row>
    <row r="728" spans="1:6">
      <c r="A728" s="19">
        <v>42186</v>
      </c>
      <c r="B728" s="268">
        <v>102.4</v>
      </c>
      <c r="C728" s="143">
        <v>183.6</v>
      </c>
      <c r="E728" s="269">
        <f t="shared" si="68"/>
        <v>177.42506666666668</v>
      </c>
    </row>
    <row r="729" spans="1:6">
      <c r="A729" s="19">
        <v>42217</v>
      </c>
      <c r="B729" s="268">
        <v>100.3</v>
      </c>
      <c r="C729" s="143">
        <v>167.5</v>
      </c>
      <c r="E729" s="269">
        <f t="shared" si="68"/>
        <v>173.78646666666666</v>
      </c>
    </row>
    <row r="730" spans="1:6">
      <c r="A730" s="19">
        <v>42248</v>
      </c>
      <c r="B730" s="268">
        <v>99.4</v>
      </c>
      <c r="C730" s="143">
        <v>170.4</v>
      </c>
      <c r="E730" s="269">
        <f t="shared" si="68"/>
        <v>172.2270666666667</v>
      </c>
    </row>
    <row r="731" spans="1:6">
      <c r="A731" s="19">
        <v>42278</v>
      </c>
      <c r="B731" s="268">
        <v>99.8</v>
      </c>
      <c r="C731" s="143">
        <v>176.7</v>
      </c>
      <c r="E731" s="269">
        <f t="shared" si="68"/>
        <v>172.92013333333335</v>
      </c>
    </row>
    <row r="732" spans="1:6">
      <c r="A732" s="19">
        <v>42309</v>
      </c>
      <c r="B732" s="268">
        <v>98.8</v>
      </c>
      <c r="C732" s="143">
        <v>176.4</v>
      </c>
      <c r="E732" s="269">
        <f t="shared" si="68"/>
        <v>171.18746666666667</v>
      </c>
    </row>
    <row r="733" spans="1:6">
      <c r="A733" s="19">
        <v>42339</v>
      </c>
      <c r="B733" s="268">
        <v>99.8</v>
      </c>
      <c r="C733" s="143">
        <v>171.9</v>
      </c>
      <c r="D733" s="269">
        <f>AVERAGE(C722:C733)</f>
        <v>173.26666666666668</v>
      </c>
      <c r="E733" s="269">
        <f>B733/100*$D$733</f>
        <v>172.92013333333335</v>
      </c>
      <c r="F733" s="270">
        <f t="shared" ref="F733" si="71">SUM(E722:E733)</f>
        <v>2078.8534666666669</v>
      </c>
    </row>
    <row r="734" spans="1:6">
      <c r="A734" s="19">
        <v>42370</v>
      </c>
      <c r="B734" s="268">
        <v>101.3</v>
      </c>
      <c r="C734" s="143">
        <v>160.80000000000001</v>
      </c>
      <c r="E734" s="269">
        <f t="shared" si="68"/>
        <v>175.51913333333334</v>
      </c>
    </row>
    <row r="735" spans="1:6">
      <c r="A735" s="19">
        <v>42401</v>
      </c>
      <c r="B735" s="268">
        <v>101.7</v>
      </c>
      <c r="C735" s="143">
        <v>176.8</v>
      </c>
      <c r="E735" s="269">
        <f t="shared" si="68"/>
        <v>176.21220000000002</v>
      </c>
    </row>
    <row r="736" spans="1:6">
      <c r="A736" s="19">
        <v>42430</v>
      </c>
      <c r="B736" s="268">
        <v>103.3</v>
      </c>
      <c r="C736" s="143">
        <v>184.6</v>
      </c>
      <c r="E736" s="269">
        <f t="shared" si="68"/>
        <v>178.98446666666666</v>
      </c>
    </row>
    <row r="737" spans="1:6">
      <c r="A737" s="19">
        <v>42461</v>
      </c>
      <c r="B737" s="268">
        <v>100.6</v>
      </c>
      <c r="C737" s="143">
        <v>180.1</v>
      </c>
      <c r="E737" s="269">
        <f t="shared" si="68"/>
        <v>174.30626666666669</v>
      </c>
    </row>
    <row r="738" spans="1:6">
      <c r="A738" s="19">
        <v>42491</v>
      </c>
      <c r="B738" s="268">
        <v>99.2</v>
      </c>
      <c r="C738" s="143">
        <v>162.19999999999999</v>
      </c>
      <c r="E738" s="269">
        <f t="shared" si="68"/>
        <v>171.88053333333335</v>
      </c>
    </row>
    <row r="739" spans="1:6">
      <c r="A739" s="19">
        <v>42522</v>
      </c>
      <c r="B739" s="268">
        <v>101</v>
      </c>
      <c r="C739" s="143">
        <v>181.6</v>
      </c>
      <c r="E739" s="269">
        <f t="shared" si="68"/>
        <v>174.99933333333334</v>
      </c>
    </row>
    <row r="740" spans="1:6">
      <c r="A740" s="19">
        <v>42552</v>
      </c>
      <c r="B740" s="268">
        <v>99.9</v>
      </c>
      <c r="C740" s="143">
        <v>179.4</v>
      </c>
      <c r="E740" s="269">
        <f t="shared" si="68"/>
        <v>173.09340000000003</v>
      </c>
    </row>
    <row r="741" spans="1:6">
      <c r="A741" s="19">
        <v>42583</v>
      </c>
      <c r="B741" s="268">
        <v>100.3</v>
      </c>
      <c r="C741" s="143">
        <v>167.3</v>
      </c>
      <c r="E741" s="269">
        <f t="shared" si="68"/>
        <v>173.78646666666666</v>
      </c>
    </row>
    <row r="742" spans="1:6">
      <c r="A742" s="19">
        <v>42614</v>
      </c>
      <c r="B742" s="268">
        <v>101.9</v>
      </c>
      <c r="C742" s="143">
        <v>174.5</v>
      </c>
      <c r="E742" s="269">
        <f t="shared" si="68"/>
        <v>176.55873333333338</v>
      </c>
    </row>
    <row r="743" spans="1:6">
      <c r="A743" s="19">
        <v>42644</v>
      </c>
      <c r="B743" s="268">
        <v>100.3</v>
      </c>
      <c r="C743" s="143">
        <v>178</v>
      </c>
      <c r="E743" s="269">
        <f t="shared" si="68"/>
        <v>173.78646666666666</v>
      </c>
    </row>
    <row r="744" spans="1:6">
      <c r="A744" s="19">
        <v>42675</v>
      </c>
      <c r="B744" s="268">
        <v>101.9</v>
      </c>
      <c r="C744" s="143">
        <v>181.7</v>
      </c>
      <c r="E744" s="269">
        <f t="shared" si="68"/>
        <v>176.55873333333338</v>
      </c>
    </row>
    <row r="745" spans="1:6">
      <c r="A745" s="19">
        <v>42705</v>
      </c>
      <c r="B745" s="268">
        <v>101.3</v>
      </c>
      <c r="C745" s="143">
        <v>174.7</v>
      </c>
      <c r="E745" s="269">
        <f t="shared" si="68"/>
        <v>175.51913333333334</v>
      </c>
      <c r="F745" s="270">
        <f t="shared" ref="F745" si="72">SUM(E734:E745)</f>
        <v>2101.2048666666669</v>
      </c>
    </row>
    <row r="746" spans="1:6">
      <c r="A746" s="19">
        <v>42736</v>
      </c>
      <c r="B746" s="268">
        <v>100.5</v>
      </c>
      <c r="C746" s="143">
        <v>159.80000000000001</v>
      </c>
      <c r="E746" s="269">
        <f t="shared" si="68"/>
        <v>174.13299999999998</v>
      </c>
    </row>
    <row r="747" spans="1:6">
      <c r="A747" s="19">
        <v>42767</v>
      </c>
      <c r="B747" s="268">
        <v>101.6</v>
      </c>
      <c r="C747" s="143">
        <v>176.6</v>
      </c>
      <c r="E747" s="269">
        <f t="shared" si="68"/>
        <v>176.03893333333335</v>
      </c>
    </row>
    <row r="748" spans="1:6">
      <c r="A748" s="19">
        <v>42795</v>
      </c>
      <c r="B748" s="268">
        <v>101.6</v>
      </c>
      <c r="C748" s="143">
        <v>181</v>
      </c>
      <c r="E748" s="269">
        <f t="shared" si="68"/>
        <v>176.03893333333335</v>
      </c>
    </row>
    <row r="749" spans="1:6">
      <c r="A749" s="19">
        <v>42826</v>
      </c>
      <c r="B749" s="268">
        <v>99.8</v>
      </c>
      <c r="C749" s="143">
        <v>178.5</v>
      </c>
      <c r="E749" s="269">
        <f t="shared" si="68"/>
        <v>172.92013333333335</v>
      </c>
    </row>
    <row r="750" spans="1:6">
      <c r="A750" s="19">
        <v>42856</v>
      </c>
      <c r="B750" s="268">
        <v>101</v>
      </c>
      <c r="C750" s="143">
        <v>164.9</v>
      </c>
      <c r="E750" s="269">
        <f t="shared" si="68"/>
        <v>174.99933333333334</v>
      </c>
    </row>
    <row r="751" spans="1:6">
      <c r="A751" s="19">
        <v>42887</v>
      </c>
      <c r="B751" s="268">
        <v>101.4</v>
      </c>
      <c r="C751" s="143">
        <v>182.6</v>
      </c>
      <c r="E751" s="269">
        <f t="shared" si="68"/>
        <v>175.69240000000002</v>
      </c>
    </row>
    <row r="752" spans="1:6">
      <c r="A752" s="19">
        <v>42917</v>
      </c>
      <c r="B752" s="268">
        <v>98.6</v>
      </c>
      <c r="C752" s="143">
        <v>177.5</v>
      </c>
      <c r="E752" s="269">
        <f t="shared" si="68"/>
        <v>170.84093333333334</v>
      </c>
    </row>
    <row r="753" spans="1:6">
      <c r="A753" s="19">
        <v>42948</v>
      </c>
      <c r="B753" s="268">
        <v>99.3</v>
      </c>
      <c r="C753" s="143">
        <v>165.5</v>
      </c>
      <c r="E753" s="269">
        <f t="shared" si="68"/>
        <v>172.05380000000002</v>
      </c>
    </row>
    <row r="754" spans="1:6">
      <c r="A754" s="19">
        <v>42979</v>
      </c>
      <c r="B754" s="268">
        <v>99.5</v>
      </c>
      <c r="C754" s="143">
        <v>170.6</v>
      </c>
      <c r="E754" s="269">
        <f t="shared" si="68"/>
        <v>172.40033333333335</v>
      </c>
    </row>
    <row r="755" spans="1:6">
      <c r="A755" s="19">
        <v>43009</v>
      </c>
      <c r="B755" s="268">
        <v>99.6</v>
      </c>
      <c r="C755" s="143">
        <v>176.9</v>
      </c>
      <c r="E755" s="269">
        <f t="shared" si="68"/>
        <v>172.5736</v>
      </c>
    </row>
    <row r="756" spans="1:6">
      <c r="A756" s="19">
        <v>43040</v>
      </c>
      <c r="B756" s="268">
        <v>98.5</v>
      </c>
      <c r="C756" s="143">
        <v>175.8</v>
      </c>
      <c r="E756" s="269">
        <f t="shared" si="68"/>
        <v>170.66766666666669</v>
      </c>
    </row>
    <row r="757" spans="1:6">
      <c r="A757" s="19">
        <v>43070</v>
      </c>
      <c r="B757" s="268">
        <v>98.3</v>
      </c>
      <c r="C757" s="143">
        <v>170.4</v>
      </c>
      <c r="E757" s="269">
        <f t="shared" si="68"/>
        <v>170.32113333333334</v>
      </c>
      <c r="F757" s="270">
        <f t="shared" ref="F757" si="73">SUM(E746:E757)</f>
        <v>2078.6802000000002</v>
      </c>
    </row>
    <row r="758" spans="1:6">
      <c r="A758" s="19">
        <v>43101</v>
      </c>
      <c r="B758" s="268">
        <v>98.5</v>
      </c>
      <c r="C758" s="143">
        <v>156.69999999999999</v>
      </c>
      <c r="E758" s="269">
        <f t="shared" si="68"/>
        <v>170.66766666666669</v>
      </c>
    </row>
    <row r="759" spans="1:6">
      <c r="A759" s="19">
        <v>43132</v>
      </c>
      <c r="B759" s="268">
        <v>96.7</v>
      </c>
      <c r="C759" s="143">
        <v>167.9</v>
      </c>
      <c r="E759" s="269">
        <f t="shared" si="68"/>
        <v>167.5488666666667</v>
      </c>
    </row>
    <row r="760" spans="1:6">
      <c r="A760" s="19">
        <v>43160</v>
      </c>
      <c r="B760" s="268">
        <v>98.3</v>
      </c>
      <c r="C760" s="143">
        <v>174.1</v>
      </c>
      <c r="E760" s="269">
        <f t="shared" si="68"/>
        <v>170.32113333333334</v>
      </c>
    </row>
    <row r="761" spans="1:6">
      <c r="A761" s="19">
        <v>43191</v>
      </c>
      <c r="B761" s="268">
        <v>99.1</v>
      </c>
      <c r="C761" s="143">
        <v>176.9</v>
      </c>
      <c r="E761" s="269">
        <f t="shared" si="68"/>
        <v>171.70726666666667</v>
      </c>
    </row>
    <row r="762" spans="1:6">
      <c r="A762" s="19">
        <v>43221</v>
      </c>
      <c r="B762" s="268">
        <v>102.8</v>
      </c>
      <c r="C762" s="143">
        <v>167.6</v>
      </c>
      <c r="E762" s="269">
        <f t="shared" si="68"/>
        <v>178.11813333333336</v>
      </c>
    </row>
    <row r="763" spans="1:6">
      <c r="A763" s="19">
        <v>43252</v>
      </c>
      <c r="B763" s="268">
        <v>100.4</v>
      </c>
      <c r="C763" s="143">
        <v>180.9</v>
      </c>
      <c r="E763" s="269">
        <f t="shared" si="68"/>
        <v>173.95973333333336</v>
      </c>
    </row>
    <row r="764" spans="1:6">
      <c r="A764" s="19">
        <v>43282</v>
      </c>
      <c r="B764" s="268">
        <v>99.5</v>
      </c>
      <c r="C764" s="143">
        <v>179.4</v>
      </c>
      <c r="E764" s="269">
        <f t="shared" si="68"/>
        <v>172.40033333333335</v>
      </c>
    </row>
    <row r="765" spans="1:6">
      <c r="A765" s="19">
        <v>43313</v>
      </c>
      <c r="B765" s="268">
        <v>101.2</v>
      </c>
      <c r="C765" s="143">
        <v>168.7</v>
      </c>
      <c r="E765" s="269">
        <f t="shared" si="68"/>
        <v>175.34586666666669</v>
      </c>
    </row>
    <row r="766" spans="1:6">
      <c r="A766" s="19">
        <v>43344</v>
      </c>
      <c r="B766" s="268">
        <v>97.9</v>
      </c>
      <c r="C766" s="143">
        <v>167.9</v>
      </c>
      <c r="E766" s="269">
        <f t="shared" si="68"/>
        <v>169.62806666666668</v>
      </c>
    </row>
    <row r="767" spans="1:6">
      <c r="A767" s="19">
        <v>43374</v>
      </c>
      <c r="B767" s="268">
        <v>100.3</v>
      </c>
      <c r="C767" s="143">
        <v>178.4</v>
      </c>
      <c r="E767" s="269">
        <f t="shared" si="68"/>
        <v>173.78646666666666</v>
      </c>
    </row>
    <row r="768" spans="1:6">
      <c r="A768" s="19">
        <v>43405</v>
      </c>
      <c r="B768" s="268">
        <v>103.1</v>
      </c>
      <c r="C768" s="143">
        <v>184</v>
      </c>
      <c r="E768" s="269">
        <f t="shared" si="68"/>
        <v>178.63793333333334</v>
      </c>
    </row>
    <row r="769" spans="1:6">
      <c r="A769" s="19">
        <v>43435</v>
      </c>
      <c r="B769" s="268">
        <v>99.4</v>
      </c>
      <c r="C769" s="143">
        <v>173.1</v>
      </c>
      <c r="E769" s="269">
        <f t="shared" si="68"/>
        <v>172.2270666666667</v>
      </c>
      <c r="F769" s="270">
        <f t="shared" ref="F769" si="74">SUM(E758:E769)</f>
        <v>2074.3485333333338</v>
      </c>
    </row>
    <row r="770" spans="1:6">
      <c r="A770" s="19">
        <v>43466</v>
      </c>
      <c r="B770" s="268">
        <v>96.5</v>
      </c>
      <c r="C770" s="143">
        <v>153.80000000000001</v>
      </c>
      <c r="E770" s="269">
        <f t="shared" si="68"/>
        <v>167.20233333333334</v>
      </c>
    </row>
    <row r="771" spans="1:6">
      <c r="A771" s="19">
        <v>43497</v>
      </c>
      <c r="B771" s="268">
        <v>100.1</v>
      </c>
      <c r="C771" s="143">
        <v>173.3</v>
      </c>
      <c r="E771" s="269">
        <f t="shared" ref="E771:E800" si="75">B771/100*$D$733</f>
        <v>173.43993333333333</v>
      </c>
    </row>
    <row r="772" spans="1:6">
      <c r="A772" s="19">
        <v>43525</v>
      </c>
      <c r="B772" s="268">
        <v>97.8</v>
      </c>
      <c r="C772" s="143">
        <v>172.3</v>
      </c>
      <c r="E772" s="269">
        <f t="shared" si="75"/>
        <v>169.45480000000001</v>
      </c>
    </row>
    <row r="773" spans="1:6">
      <c r="A773" s="19">
        <v>43556</v>
      </c>
      <c r="B773" s="268">
        <v>98.6</v>
      </c>
      <c r="C773" s="143">
        <v>175.9</v>
      </c>
      <c r="E773" s="269">
        <f t="shared" si="75"/>
        <v>170.84093333333334</v>
      </c>
    </row>
    <row r="774" spans="1:6">
      <c r="A774" s="19">
        <v>43586</v>
      </c>
      <c r="B774" s="268">
        <v>97.6</v>
      </c>
      <c r="C774" s="143">
        <v>159.19999999999999</v>
      </c>
      <c r="E774" s="269">
        <f t="shared" si="75"/>
        <v>169.10826666666668</v>
      </c>
    </row>
    <row r="775" spans="1:6">
      <c r="A775" s="19">
        <v>43617</v>
      </c>
      <c r="B775" s="268">
        <v>97.7</v>
      </c>
      <c r="C775" s="143">
        <v>175.9</v>
      </c>
      <c r="E775" s="269">
        <f t="shared" si="75"/>
        <v>169.28153333333336</v>
      </c>
    </row>
    <row r="776" spans="1:6">
      <c r="A776" s="19">
        <v>43647</v>
      </c>
      <c r="B776" s="268">
        <v>100.5</v>
      </c>
      <c r="C776" s="143">
        <v>181.8</v>
      </c>
      <c r="E776" s="269">
        <f t="shared" si="75"/>
        <v>174.13299999999998</v>
      </c>
    </row>
    <row r="777" spans="1:6">
      <c r="A777" s="19">
        <v>43678</v>
      </c>
      <c r="B777" s="268">
        <v>98.1</v>
      </c>
      <c r="C777" s="143">
        <v>163.30000000000001</v>
      </c>
      <c r="E777" s="269">
        <f t="shared" si="75"/>
        <v>169.97460000000001</v>
      </c>
    </row>
    <row r="778" spans="1:6">
      <c r="A778" s="19">
        <v>43709</v>
      </c>
      <c r="B778" s="268">
        <v>98.7</v>
      </c>
      <c r="C778" s="143">
        <v>169.3</v>
      </c>
      <c r="E778" s="269">
        <f t="shared" si="75"/>
        <v>171.01420000000002</v>
      </c>
    </row>
    <row r="779" spans="1:6">
      <c r="A779" s="19">
        <v>43739</v>
      </c>
      <c r="B779" s="268">
        <v>97.6</v>
      </c>
      <c r="C779" s="143">
        <v>173.6</v>
      </c>
      <c r="E779" s="269">
        <f t="shared" si="75"/>
        <v>169.10826666666668</v>
      </c>
    </row>
    <row r="780" spans="1:6">
      <c r="A780" s="19">
        <v>43770</v>
      </c>
      <c r="B780" s="268">
        <v>98.7</v>
      </c>
      <c r="C780" s="143">
        <v>176.3</v>
      </c>
      <c r="E780" s="269">
        <f t="shared" si="75"/>
        <v>171.01420000000002</v>
      </c>
    </row>
    <row r="781" spans="1:6">
      <c r="A781" s="19">
        <v>43800</v>
      </c>
      <c r="B781" s="268">
        <v>99</v>
      </c>
      <c r="C781" s="143">
        <v>172.8</v>
      </c>
      <c r="E781" s="269">
        <f t="shared" si="75"/>
        <v>171.53400000000002</v>
      </c>
      <c r="F781" s="270">
        <f t="shared" ref="F781" si="76">SUM(E770:E781)</f>
        <v>2046.1060666666669</v>
      </c>
    </row>
    <row r="782" spans="1:6">
      <c r="A782" s="19">
        <v>43831</v>
      </c>
      <c r="B782" s="268">
        <v>100.1</v>
      </c>
      <c r="C782" s="143">
        <v>159.5</v>
      </c>
      <c r="E782" s="269">
        <f t="shared" si="75"/>
        <v>173.43993333333333</v>
      </c>
    </row>
    <row r="783" spans="1:6">
      <c r="A783" s="19">
        <v>43862</v>
      </c>
      <c r="B783" s="268">
        <v>97.3</v>
      </c>
      <c r="C783" s="143">
        <v>168.1</v>
      </c>
      <c r="E783" s="269">
        <f t="shared" si="75"/>
        <v>168.58846666666668</v>
      </c>
    </row>
    <row r="784" spans="1:6">
      <c r="A784" s="19">
        <v>43891</v>
      </c>
      <c r="B784" s="268">
        <v>97.4</v>
      </c>
      <c r="C784" s="143">
        <v>171</v>
      </c>
      <c r="E784" s="269">
        <f t="shared" si="75"/>
        <v>168.76173333333335</v>
      </c>
    </row>
    <row r="785" spans="1:6">
      <c r="A785" s="19">
        <v>43922</v>
      </c>
      <c r="B785" s="268">
        <v>98.1</v>
      </c>
      <c r="C785" s="143">
        <v>175</v>
      </c>
      <c r="E785" s="269">
        <f t="shared" si="75"/>
        <v>169.97460000000001</v>
      </c>
    </row>
    <row r="786" spans="1:6">
      <c r="A786" s="19">
        <v>43952</v>
      </c>
      <c r="B786" s="268">
        <v>92.2</v>
      </c>
      <c r="C786" s="143">
        <v>150.5</v>
      </c>
      <c r="E786" s="269">
        <f t="shared" si="75"/>
        <v>159.7518666666667</v>
      </c>
    </row>
    <row r="787" spans="1:6">
      <c r="A787" s="19">
        <v>43983</v>
      </c>
      <c r="B787" s="268">
        <v>96.4</v>
      </c>
      <c r="C787" s="143">
        <v>173.5</v>
      </c>
      <c r="E787" s="269">
        <f t="shared" si="75"/>
        <v>167.02906666666669</v>
      </c>
    </row>
    <row r="788" spans="1:6">
      <c r="A788" s="19">
        <v>44013</v>
      </c>
      <c r="B788" s="268">
        <v>99.1</v>
      </c>
      <c r="C788" s="143">
        <v>179.7</v>
      </c>
      <c r="E788" s="269">
        <f t="shared" si="75"/>
        <v>171.70726666666667</v>
      </c>
    </row>
    <row r="789" spans="1:6">
      <c r="A789" s="19">
        <v>44044</v>
      </c>
      <c r="B789" s="268">
        <v>94.4</v>
      </c>
      <c r="C789" s="143">
        <v>157.1</v>
      </c>
      <c r="E789" s="269">
        <f t="shared" si="75"/>
        <v>163.56373333333335</v>
      </c>
    </row>
    <row r="790" spans="1:6">
      <c r="A790" s="19">
        <v>44075</v>
      </c>
      <c r="B790" s="268">
        <v>98</v>
      </c>
      <c r="C790" s="143">
        <v>168</v>
      </c>
      <c r="E790" s="269">
        <f t="shared" si="75"/>
        <v>169.80133333333333</v>
      </c>
    </row>
    <row r="791" spans="1:6">
      <c r="A791" s="19">
        <v>44105</v>
      </c>
      <c r="B791" s="268">
        <v>100.8</v>
      </c>
      <c r="C791" s="143">
        <v>179.4</v>
      </c>
      <c r="E791" s="269">
        <f t="shared" si="75"/>
        <v>174.65280000000001</v>
      </c>
    </row>
    <row r="792" spans="1:6">
      <c r="A792" s="19">
        <v>44136</v>
      </c>
      <c r="B792" s="268">
        <v>96.5</v>
      </c>
      <c r="C792" s="143">
        <v>172.3</v>
      </c>
      <c r="E792" s="269">
        <f t="shared" si="75"/>
        <v>167.20233333333334</v>
      </c>
    </row>
    <row r="793" spans="1:6">
      <c r="A793" s="19">
        <v>44166</v>
      </c>
      <c r="B793" s="268">
        <v>97.1</v>
      </c>
      <c r="C793" s="143">
        <v>169.6</v>
      </c>
      <c r="E793" s="269">
        <f t="shared" si="75"/>
        <v>168.24193333333335</v>
      </c>
      <c r="F793" s="270">
        <f t="shared" ref="F793" si="77">SUM(E782:E793)</f>
        <v>2022.7150666666671</v>
      </c>
    </row>
    <row r="794" spans="1:6">
      <c r="A794" s="19">
        <v>44197</v>
      </c>
      <c r="B794" s="268">
        <v>98</v>
      </c>
      <c r="C794" s="143">
        <v>156</v>
      </c>
      <c r="E794" s="269">
        <f t="shared" si="75"/>
        <v>169.80133333333333</v>
      </c>
    </row>
    <row r="795" spans="1:6">
      <c r="A795" s="19">
        <v>44228</v>
      </c>
      <c r="B795" s="268">
        <v>95.2</v>
      </c>
      <c r="C795" s="143">
        <v>164.3</v>
      </c>
      <c r="E795" s="269">
        <f t="shared" si="75"/>
        <v>164.94986666666668</v>
      </c>
    </row>
    <row r="796" spans="1:6">
      <c r="A796" s="19">
        <v>44256</v>
      </c>
      <c r="B796" s="268">
        <v>100.4</v>
      </c>
      <c r="C796" s="143">
        <v>176.1</v>
      </c>
      <c r="E796" s="269">
        <f t="shared" si="75"/>
        <v>173.95973333333336</v>
      </c>
    </row>
    <row r="797" spans="1:6">
      <c r="A797" s="19">
        <v>44287</v>
      </c>
      <c r="B797" s="268">
        <v>99.9</v>
      </c>
      <c r="C797" s="143">
        <v>178.3</v>
      </c>
      <c r="E797" s="269">
        <f t="shared" si="75"/>
        <v>173.09340000000003</v>
      </c>
    </row>
    <row r="798" spans="1:6">
      <c r="A798" s="19">
        <v>44317</v>
      </c>
      <c r="B798" s="268">
        <v>96.2</v>
      </c>
      <c r="C798" s="143">
        <v>157</v>
      </c>
      <c r="E798" s="269">
        <f t="shared" si="75"/>
        <v>166.68253333333337</v>
      </c>
    </row>
    <row r="799" spans="1:6">
      <c r="A799" s="19">
        <v>44348</v>
      </c>
      <c r="B799" s="268">
        <v>98.2</v>
      </c>
      <c r="C799" s="143">
        <v>176.6</v>
      </c>
      <c r="E799" s="269">
        <f t="shared" si="75"/>
        <v>170.14786666666669</v>
      </c>
    </row>
    <row r="800" spans="1:6">
      <c r="A800" s="19">
        <v>44378</v>
      </c>
      <c r="B800" s="268">
        <v>97.5</v>
      </c>
      <c r="C800" s="143">
        <v>177.1</v>
      </c>
      <c r="E800" s="269">
        <f t="shared" si="75"/>
        <v>168.935</v>
      </c>
    </row>
    <row r="801" spans="1:5">
      <c r="A801" s="19">
        <v>44409</v>
      </c>
      <c r="B801" s="268">
        <v>94.7</v>
      </c>
      <c r="C801" s="143">
        <v>157.69999999999999</v>
      </c>
      <c r="E801" s="269">
        <f>B801/100*$D$733</f>
        <v>164.08353333333335</v>
      </c>
    </row>
    <row r="802" spans="1:5">
      <c r="A802" s="19">
        <v>44440</v>
      </c>
      <c r="B802" s="143">
        <v>97.9</v>
      </c>
      <c r="C802" s="143">
        <v>167.8</v>
      </c>
      <c r="E802" s="269">
        <f t="shared" ref="E802:E803" si="78">B802/100*$D$733</f>
        <v>169.62806666666668</v>
      </c>
    </row>
    <row r="803" spans="1:5">
      <c r="A803" s="19">
        <v>44470</v>
      </c>
      <c r="B803" s="143">
        <v>98.1</v>
      </c>
      <c r="C803" s="143">
        <v>174.6</v>
      </c>
      <c r="E803" s="269">
        <f t="shared" si="78"/>
        <v>169.97460000000001</v>
      </c>
    </row>
  </sheetData>
  <phoneticPr fontId="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35912-C6F2-44D9-BFCC-4F27A9CB3EAB}">
  <dimension ref="A1:AA597"/>
  <sheetViews>
    <sheetView topLeftCell="D1" workbookViewId="0">
      <selection activeCell="K32" sqref="K32"/>
    </sheetView>
  </sheetViews>
  <sheetFormatPr defaultColWidth="8.84375" defaultRowHeight="18.45"/>
  <cols>
    <col min="1" max="1" width="12.69140625" style="24" bestFit="1" customWidth="1"/>
    <col min="2" max="2" width="26.07421875" style="25" bestFit="1" customWidth="1"/>
    <col min="3" max="3" width="10" style="25" bestFit="1" customWidth="1"/>
    <col min="4" max="4" width="19.07421875" style="25" bestFit="1" customWidth="1"/>
    <col min="5" max="5" width="10" style="25" bestFit="1" customWidth="1"/>
    <col min="6" max="6" width="19.07421875" style="25" bestFit="1" customWidth="1"/>
    <col min="7" max="7" width="10" style="25" bestFit="1" customWidth="1"/>
    <col min="8" max="8" width="19.07421875" style="25" bestFit="1" customWidth="1"/>
    <col min="9" max="9" width="10" style="25" bestFit="1" customWidth="1"/>
    <col min="10" max="10" width="10" style="26" bestFit="1" customWidth="1"/>
    <col min="11" max="11" width="12.23046875" style="24" bestFit="1" customWidth="1"/>
    <col min="12" max="13" width="8.84375" style="24"/>
    <col min="14" max="14" width="10.23046875" style="24" bestFit="1" customWidth="1"/>
    <col min="15" max="15" width="14.07421875" style="25" bestFit="1" customWidth="1"/>
    <col min="16" max="16" width="9.4609375" style="26" bestFit="1" customWidth="1"/>
    <col min="17" max="17" width="11.69140625" style="26" bestFit="1" customWidth="1"/>
    <col min="18" max="18" width="18.4609375" style="25" bestFit="1" customWidth="1"/>
    <col min="19" max="19" width="13.84375" style="26" bestFit="1" customWidth="1"/>
    <col min="20" max="20" width="16.07421875" style="26" bestFit="1" customWidth="1"/>
    <col min="21" max="21" width="16.07421875" style="24" bestFit="1" customWidth="1"/>
    <col min="22" max="22" width="11.69140625" style="24" bestFit="1" customWidth="1"/>
    <col min="23" max="25" width="13.84375" style="24" bestFit="1" customWidth="1"/>
    <col min="26" max="16384" width="8.84375" style="24"/>
  </cols>
  <sheetData>
    <row r="1" spans="1:25" ht="36.9">
      <c r="A1" s="24" t="s">
        <v>298</v>
      </c>
      <c r="B1" s="28" t="s">
        <v>332</v>
      </c>
      <c r="C1" s="25" t="s">
        <v>333</v>
      </c>
      <c r="D1" s="28" t="s">
        <v>334</v>
      </c>
      <c r="E1" s="25" t="s">
        <v>333</v>
      </c>
      <c r="F1" s="28" t="s">
        <v>335</v>
      </c>
      <c r="G1" s="25" t="s">
        <v>333</v>
      </c>
      <c r="H1" s="28" t="s">
        <v>336</v>
      </c>
      <c r="I1" s="25" t="s">
        <v>333</v>
      </c>
      <c r="J1" s="26" t="s">
        <v>337</v>
      </c>
      <c r="K1" s="24" t="s">
        <v>338</v>
      </c>
      <c r="N1" s="286" t="s">
        <v>216</v>
      </c>
      <c r="O1" s="67" t="s">
        <v>339</v>
      </c>
      <c r="P1" s="38" t="s">
        <v>337</v>
      </c>
      <c r="Q1" s="38" t="s">
        <v>338</v>
      </c>
      <c r="R1" s="25" t="s">
        <v>340</v>
      </c>
      <c r="S1" s="26" t="s">
        <v>341</v>
      </c>
      <c r="T1" s="26" t="s">
        <v>342</v>
      </c>
      <c r="U1" s="24" t="s">
        <v>343</v>
      </c>
      <c r="V1" s="24" t="s">
        <v>344</v>
      </c>
      <c r="W1" s="24" t="s">
        <v>345</v>
      </c>
      <c r="X1" s="24" t="s">
        <v>346</v>
      </c>
      <c r="Y1" s="24" t="s">
        <v>345</v>
      </c>
    </row>
    <row r="2" spans="1:25" ht="19.3">
      <c r="A2" s="27">
        <v>26481</v>
      </c>
      <c r="B2" s="274">
        <v>426</v>
      </c>
      <c r="C2" s="22"/>
      <c r="D2" s="274">
        <v>5253</v>
      </c>
      <c r="E2" s="22"/>
      <c r="F2" s="277">
        <v>5320</v>
      </c>
      <c r="G2" s="22"/>
      <c r="H2" s="277">
        <v>8136</v>
      </c>
      <c r="I2" s="22"/>
      <c r="K2" s="26"/>
      <c r="N2" s="286" t="s">
        <v>325</v>
      </c>
      <c r="O2" s="46">
        <v>8238.6666666666661</v>
      </c>
      <c r="P2" s="88">
        <v>0.64644359928791073</v>
      </c>
      <c r="Q2" s="88">
        <v>8.8879381377955258E-2</v>
      </c>
      <c r="R2" s="287">
        <v>8231.6893273994192</v>
      </c>
      <c r="S2" s="281">
        <v>0.63799902894548599</v>
      </c>
      <c r="T2" s="281">
        <v>9.0310260542756898E-2</v>
      </c>
      <c r="U2" s="252">
        <f>R2*S2</f>
        <v>5251.8097974617503</v>
      </c>
      <c r="V2" s="47">
        <f>★構造失業率!O2</f>
        <v>4.01658317030298E-2</v>
      </c>
      <c r="W2" s="252">
        <f>U2*(1-V2)</f>
        <v>5040.8664890005784</v>
      </c>
      <c r="X2" s="285">
        <v>467.41666666666669</v>
      </c>
      <c r="Y2" s="252">
        <f>W2*T2</f>
        <v>455.24196598289444</v>
      </c>
    </row>
    <row r="3" spans="1:25" ht="19.3">
      <c r="A3" s="27">
        <v>26512</v>
      </c>
      <c r="B3" s="274">
        <v>427</v>
      </c>
      <c r="C3" s="22"/>
      <c r="D3" s="274">
        <v>5223</v>
      </c>
      <c r="E3" s="22"/>
      <c r="F3" s="277">
        <v>5293</v>
      </c>
      <c r="G3" s="22"/>
      <c r="H3" s="277">
        <v>8148</v>
      </c>
      <c r="I3" s="22"/>
      <c r="K3" s="26"/>
      <c r="N3" s="286" t="s">
        <v>326</v>
      </c>
      <c r="O3" s="46">
        <v>8341.4166666666661</v>
      </c>
      <c r="P3" s="88">
        <v>0.63661248588868802</v>
      </c>
      <c r="Q3" s="88">
        <v>8.8412208395658956E-2</v>
      </c>
      <c r="R3" s="287">
        <v>8330.5327403292995</v>
      </c>
      <c r="S3" s="281">
        <v>0.63679875953042797</v>
      </c>
      <c r="T3" s="281">
        <v>9.1202130638692397E-2</v>
      </c>
      <c r="U3" s="252">
        <f t="shared" ref="U3:U49" si="0">R3*S3</f>
        <v>5304.8729152693149</v>
      </c>
      <c r="V3" s="47">
        <f>★構造失業率!O3</f>
        <v>3.8587730597949899E-2</v>
      </c>
      <c r="W3" s="252">
        <f t="shared" ref="W3:W49" si="1">U3*(1-V3)</f>
        <v>5100.1699083585418</v>
      </c>
      <c r="X3" s="285">
        <v>463</v>
      </c>
      <c r="Y3" s="252">
        <f t="shared" ref="Y3:Y47" si="2">W3*T3</f>
        <v>465.14636226164356</v>
      </c>
    </row>
    <row r="4" spans="1:25" ht="19.3">
      <c r="A4" s="27">
        <v>26543</v>
      </c>
      <c r="B4" s="274">
        <v>428</v>
      </c>
      <c r="C4" s="22"/>
      <c r="D4" s="274">
        <v>5212</v>
      </c>
      <c r="E4" s="22"/>
      <c r="F4" s="277">
        <v>5289</v>
      </c>
      <c r="G4" s="22"/>
      <c r="H4" s="277">
        <v>8154</v>
      </c>
      <c r="I4" s="22"/>
      <c r="K4" s="26"/>
      <c r="N4" s="286" t="s">
        <v>327</v>
      </c>
      <c r="O4" s="46">
        <v>8443.0833333333339</v>
      </c>
      <c r="P4" s="88">
        <v>0.63041740280505743</v>
      </c>
      <c r="Q4" s="88">
        <v>9.1683686494766395E-2</v>
      </c>
      <c r="R4" s="287">
        <v>8429.4459266518697</v>
      </c>
      <c r="S4" s="281">
        <v>0.63568293581879498</v>
      </c>
      <c r="T4" s="281">
        <v>9.2079691942980296E-2</v>
      </c>
      <c r="U4" s="252">
        <f t="shared" si="0"/>
        <v>5358.4549339798432</v>
      </c>
      <c r="V4" s="47">
        <f>★構造失業率!O4</f>
        <v>3.70507140930698E-2</v>
      </c>
      <c r="W4" s="252">
        <f t="shared" si="1"/>
        <v>5159.9203522403568</v>
      </c>
      <c r="X4" s="285">
        <v>478.83333333333331</v>
      </c>
      <c r="Y4" s="252">
        <f t="shared" si="2"/>
        <v>475.12387648460646</v>
      </c>
    </row>
    <row r="5" spans="1:25" ht="19.3">
      <c r="A5" s="27">
        <v>26573</v>
      </c>
      <c r="B5" s="274">
        <v>443</v>
      </c>
      <c r="C5" s="22"/>
      <c r="D5" s="274">
        <v>5259</v>
      </c>
      <c r="E5" s="22"/>
      <c r="F5" s="277">
        <v>5323</v>
      </c>
      <c r="G5" s="22"/>
      <c r="H5" s="277">
        <v>8165</v>
      </c>
      <c r="I5" s="22"/>
      <c r="K5" s="26"/>
      <c r="N5" s="286" t="s">
        <v>328</v>
      </c>
      <c r="O5" s="46">
        <v>8539.6666666666661</v>
      </c>
      <c r="P5" s="88">
        <v>0.62980600335688353</v>
      </c>
      <c r="Q5" s="88">
        <v>9.3254909401385061E-2</v>
      </c>
      <c r="R5" s="287">
        <v>8528.60749902319</v>
      </c>
      <c r="S5" s="281">
        <v>0.63473414077759804</v>
      </c>
      <c r="T5" s="281">
        <v>9.2900736441546297E-2</v>
      </c>
      <c r="U5" s="252">
        <f t="shared" si="0"/>
        <v>5413.398352921864</v>
      </c>
      <c r="V5" s="47">
        <f>★構造失業率!O5</f>
        <v>3.5622143458989598E-2</v>
      </c>
      <c r="W5" s="252">
        <f t="shared" si="1"/>
        <v>5220.5615001934229</v>
      </c>
      <c r="X5" s="285">
        <v>491.5</v>
      </c>
      <c r="Y5" s="252">
        <f t="shared" si="2"/>
        <v>484.99400800635271</v>
      </c>
    </row>
    <row r="6" spans="1:25" ht="19.3">
      <c r="A6" s="27">
        <v>26604</v>
      </c>
      <c r="B6" s="274">
        <v>466</v>
      </c>
      <c r="C6" s="22"/>
      <c r="D6" s="274">
        <v>5185</v>
      </c>
      <c r="E6" s="22"/>
      <c r="F6" s="277">
        <v>5249</v>
      </c>
      <c r="G6" s="22"/>
      <c r="H6" s="277">
        <v>8174</v>
      </c>
      <c r="I6" s="22"/>
      <c r="K6" s="26"/>
      <c r="N6" s="286" t="s">
        <v>329</v>
      </c>
      <c r="O6" s="46">
        <v>8630.8333333333339</v>
      </c>
      <c r="P6" s="88">
        <v>0.6316500917254031</v>
      </c>
      <c r="Q6" s="88">
        <v>9.3416536661466459E-2</v>
      </c>
      <c r="R6" s="287">
        <v>8628.3324441661298</v>
      </c>
      <c r="S6" s="281">
        <v>0.63398230204371098</v>
      </c>
      <c r="T6" s="281">
        <v>9.3619096065836294E-2</v>
      </c>
      <c r="U6" s="252">
        <f t="shared" si="0"/>
        <v>5470.2100657508827</v>
      </c>
      <c r="V6" s="47">
        <f>★構造失業率!O6</f>
        <v>3.4362955557268898E-2</v>
      </c>
      <c r="W6" s="252">
        <f t="shared" si="1"/>
        <v>5282.2374803725606</v>
      </c>
      <c r="X6" s="285">
        <v>499</v>
      </c>
      <c r="Y6" s="252">
        <f t="shared" si="2"/>
        <v>494.51829811755982</v>
      </c>
    </row>
    <row r="7" spans="1:25" ht="19.3">
      <c r="A7" s="27">
        <v>26634</v>
      </c>
      <c r="B7" s="274">
        <v>476</v>
      </c>
      <c r="C7" s="22"/>
      <c r="D7" s="274">
        <v>5128</v>
      </c>
      <c r="E7" s="22"/>
      <c r="F7" s="277">
        <v>5194</v>
      </c>
      <c r="G7" s="22"/>
      <c r="H7" s="277">
        <v>8177</v>
      </c>
      <c r="I7" s="22"/>
      <c r="K7" s="26"/>
      <c r="N7" s="286" t="s">
        <v>330</v>
      </c>
      <c r="O7" s="46">
        <v>8725.9166666666661</v>
      </c>
      <c r="P7" s="88">
        <v>0.63393530765631123</v>
      </c>
      <c r="Q7" s="88">
        <v>9.6158291341130783E-2</v>
      </c>
      <c r="R7" s="287">
        <v>8729.0463404799902</v>
      </c>
      <c r="S7" s="281">
        <v>0.63340806587980003</v>
      </c>
      <c r="T7" s="281">
        <v>9.4192144476890394E-2</v>
      </c>
      <c r="U7" s="252">
        <f t="shared" si="0"/>
        <v>5529.0483594985772</v>
      </c>
      <c r="V7" s="47">
        <f>★構造失業率!O7</f>
        <v>3.3308274282327202E-2</v>
      </c>
      <c r="W7" s="252">
        <f t="shared" si="1"/>
        <v>5344.8853002201477</v>
      </c>
      <c r="X7" s="285">
        <v>520</v>
      </c>
      <c r="Y7" s="252">
        <f t="shared" si="2"/>
        <v>503.44620841074385</v>
      </c>
    </row>
    <row r="8" spans="1:25" ht="19.3">
      <c r="A8" s="27">
        <v>26665</v>
      </c>
      <c r="B8" s="274">
        <v>491</v>
      </c>
      <c r="C8" s="22"/>
      <c r="D8" s="274">
        <v>5083</v>
      </c>
      <c r="E8" s="22"/>
      <c r="F8" s="277">
        <v>5163</v>
      </c>
      <c r="G8" s="22"/>
      <c r="H8" s="277">
        <v>8192</v>
      </c>
      <c r="I8" s="22"/>
      <c r="K8" s="26"/>
      <c r="N8" s="286" t="s">
        <v>331</v>
      </c>
      <c r="O8" s="46">
        <v>8824.1666666666661</v>
      </c>
      <c r="P8" s="88">
        <v>0.63418641986967617</v>
      </c>
      <c r="Q8" s="88">
        <v>9.7761284827837941E-2</v>
      </c>
      <c r="R8" s="287">
        <v>8831.19977525574</v>
      </c>
      <c r="S8" s="281">
        <v>0.632968756445345</v>
      </c>
      <c r="T8" s="281">
        <v>9.4575229741700795E-2</v>
      </c>
      <c r="U8" s="252">
        <f t="shared" si="0"/>
        <v>5589.8735396640359</v>
      </c>
      <c r="V8" s="47">
        <f>★構造失業率!O8</f>
        <v>3.2475794435381601E-2</v>
      </c>
      <c r="W8" s="252">
        <f t="shared" si="1"/>
        <v>5408.3379556701275</v>
      </c>
      <c r="X8" s="285">
        <v>535.66666666666663</v>
      </c>
      <c r="Y8" s="252">
        <f t="shared" si="2"/>
        <v>511.49480467826271</v>
      </c>
    </row>
    <row r="9" spans="1:25" ht="19.3">
      <c r="A9" s="27">
        <v>26696</v>
      </c>
      <c r="B9" s="274">
        <v>487</v>
      </c>
      <c r="C9" s="22"/>
      <c r="D9" s="274">
        <v>5105</v>
      </c>
      <c r="E9" s="22"/>
      <c r="F9" s="277">
        <v>5183</v>
      </c>
      <c r="G9" s="22"/>
      <c r="H9" s="277">
        <v>8201</v>
      </c>
      <c r="I9" s="22"/>
      <c r="K9" s="26"/>
      <c r="N9" s="286" t="s">
        <v>49</v>
      </c>
      <c r="O9" s="46">
        <v>8932.0833333333339</v>
      </c>
      <c r="P9" s="88">
        <v>0.63254186686569946</v>
      </c>
      <c r="Q9" s="88">
        <v>9.9018545279383419E-2</v>
      </c>
      <c r="R9" s="287">
        <v>8935.2120390462605</v>
      </c>
      <c r="S9" s="281">
        <v>0.63262697031758997</v>
      </c>
      <c r="T9" s="281">
        <v>9.4743361395900505E-2</v>
      </c>
      <c r="U9" s="252">
        <f t="shared" si="0"/>
        <v>5652.6561214070907</v>
      </c>
      <c r="V9" s="47">
        <f>★構造失業率!O9</f>
        <v>3.1859930826935702E-2</v>
      </c>
      <c r="W9" s="252">
        <f t="shared" si="1"/>
        <v>5472.5628883906056</v>
      </c>
      <c r="X9" s="285">
        <v>548.16666666666663</v>
      </c>
      <c r="Y9" s="252">
        <f t="shared" si="2"/>
        <v>518.48900349658425</v>
      </c>
    </row>
    <row r="10" spans="1:25" ht="19.3">
      <c r="A10" s="27">
        <v>26724</v>
      </c>
      <c r="B10" s="274">
        <v>467</v>
      </c>
      <c r="C10" s="22"/>
      <c r="D10" s="274">
        <v>5181</v>
      </c>
      <c r="E10" s="22"/>
      <c r="F10" s="277">
        <v>5264</v>
      </c>
      <c r="G10" s="22"/>
      <c r="H10" s="277">
        <v>8210</v>
      </c>
      <c r="I10" s="22"/>
      <c r="K10" s="26"/>
      <c r="N10" s="286" t="s">
        <v>50</v>
      </c>
      <c r="O10" s="46">
        <v>9017.0833333333339</v>
      </c>
      <c r="P10" s="88">
        <v>0.63295596321796588</v>
      </c>
      <c r="Q10" s="88">
        <v>9.7406572405452613E-2</v>
      </c>
      <c r="R10" s="287">
        <v>9041.4320913185093</v>
      </c>
      <c r="S10" s="281">
        <v>0.632357480708023</v>
      </c>
      <c r="T10" s="281">
        <v>9.4703409525985702E-2</v>
      </c>
      <c r="U10" s="252">
        <f t="shared" si="0"/>
        <v>5717.4172192588439</v>
      </c>
      <c r="V10" s="47">
        <f>★構造失業率!O10</f>
        <v>3.1443393604439498E-2</v>
      </c>
      <c r="W10" s="252">
        <f t="shared" si="1"/>
        <v>5537.6422192328882</v>
      </c>
      <c r="X10" s="285">
        <v>543.66666666666663</v>
      </c>
      <c r="Y10" s="252">
        <f t="shared" si="2"/>
        <v>524.43359889640055</v>
      </c>
    </row>
    <row r="11" spans="1:25" ht="19.3">
      <c r="A11" s="27">
        <v>26755</v>
      </c>
      <c r="B11" s="274">
        <v>462</v>
      </c>
      <c r="C11" s="22"/>
      <c r="D11" s="274">
        <v>5252</v>
      </c>
      <c r="E11" s="22"/>
      <c r="F11" s="277">
        <v>5327</v>
      </c>
      <c r="G11" s="22"/>
      <c r="H11" s="277">
        <v>8218</v>
      </c>
      <c r="I11" s="22"/>
      <c r="K11" s="26"/>
      <c r="N11" s="286" t="s">
        <v>51</v>
      </c>
      <c r="O11" s="46">
        <v>9116.5833333333339</v>
      </c>
      <c r="P11" s="88">
        <v>0.63336959204380294</v>
      </c>
      <c r="Q11" s="88">
        <v>9.6010878079782438E-2</v>
      </c>
      <c r="R11" s="287">
        <v>9150.1776044823091</v>
      </c>
      <c r="S11" s="281">
        <v>0.63213420979361701</v>
      </c>
      <c r="T11" s="281">
        <v>9.4504996057283602E-2</v>
      </c>
      <c r="U11" s="252">
        <f t="shared" si="0"/>
        <v>5784.1402894806761</v>
      </c>
      <c r="V11" s="47">
        <f>★構造失業率!O11</f>
        <v>3.12049721345234E-2</v>
      </c>
      <c r="W11" s="252">
        <f t="shared" si="1"/>
        <v>5603.6463529252569</v>
      </c>
      <c r="X11" s="285">
        <v>541.33333333333337</v>
      </c>
      <c r="Y11" s="252">
        <f t="shared" si="2"/>
        <v>529.57257648961308</v>
      </c>
    </row>
    <row r="12" spans="1:25" ht="19.3">
      <c r="A12" s="27">
        <v>26785</v>
      </c>
      <c r="B12" s="274">
        <v>459</v>
      </c>
      <c r="C12" s="22"/>
      <c r="D12" s="274">
        <v>5300</v>
      </c>
      <c r="E12" s="22"/>
      <c r="F12" s="277">
        <v>5369</v>
      </c>
      <c r="G12" s="22"/>
      <c r="H12" s="277">
        <v>8228</v>
      </c>
      <c r="I12" s="22"/>
      <c r="K12" s="26"/>
      <c r="N12" s="286" t="s">
        <v>52</v>
      </c>
      <c r="O12" s="46">
        <v>9232</v>
      </c>
      <c r="P12" s="88">
        <v>0.63784481513575964</v>
      </c>
      <c r="Q12" s="88">
        <v>9.4317405399119036E-2</v>
      </c>
      <c r="R12" s="287">
        <v>9261.5227633676495</v>
      </c>
      <c r="S12" s="281">
        <v>0.63193706457644605</v>
      </c>
      <c r="T12" s="281">
        <v>9.4224774543911594E-2</v>
      </c>
      <c r="U12" s="252">
        <f t="shared" si="0"/>
        <v>5852.6995085904873</v>
      </c>
      <c r="V12" s="47">
        <f>★構造失業率!O12</f>
        <v>3.11180152723937E-2</v>
      </c>
      <c r="W12" s="252">
        <f t="shared" si="1"/>
        <v>5670.5751158974381</v>
      </c>
      <c r="X12" s="285">
        <v>540.66666666666663</v>
      </c>
      <c r="Y12" s="252">
        <f t="shared" si="2"/>
        <v>534.30866182975149</v>
      </c>
    </row>
    <row r="13" spans="1:25" ht="19.3">
      <c r="A13" s="27">
        <v>26816</v>
      </c>
      <c r="B13" s="274">
        <v>442</v>
      </c>
      <c r="C13" s="22"/>
      <c r="D13" s="274">
        <v>5354</v>
      </c>
      <c r="E13" s="22"/>
      <c r="F13" s="277">
        <v>5421</v>
      </c>
      <c r="G13" s="22"/>
      <c r="H13" s="277">
        <v>8235</v>
      </c>
      <c r="I13" s="22"/>
      <c r="K13" s="26"/>
      <c r="N13" s="286" t="s">
        <v>53</v>
      </c>
      <c r="O13" s="46">
        <v>9347.1666666666661</v>
      </c>
      <c r="P13" s="88">
        <v>0.63410480894388677</v>
      </c>
      <c r="Q13" s="88">
        <v>9.1395207676966211E-2</v>
      </c>
      <c r="R13" s="287">
        <v>9375.2058100930299</v>
      </c>
      <c r="S13" s="281">
        <v>0.63175830588108495</v>
      </c>
      <c r="T13" s="281">
        <v>9.3954457360213905E-2</v>
      </c>
      <c r="U13" s="252">
        <f t="shared" si="0"/>
        <v>5922.8641398708769</v>
      </c>
      <c r="V13" s="47">
        <f>★構造失業率!O13</f>
        <v>3.1158495050921199E-2</v>
      </c>
      <c r="W13" s="252">
        <f t="shared" si="1"/>
        <v>5738.3166068814317</v>
      </c>
      <c r="X13" s="285">
        <v>527</v>
      </c>
      <c r="Y13" s="252">
        <f t="shared" si="2"/>
        <v>539.14042296064883</v>
      </c>
    </row>
    <row r="14" spans="1:25" ht="19.3">
      <c r="A14" s="27">
        <v>26846</v>
      </c>
      <c r="B14" s="274">
        <v>457</v>
      </c>
      <c r="C14" s="22"/>
      <c r="D14" s="274">
        <v>5353</v>
      </c>
      <c r="E14" s="22"/>
      <c r="F14" s="277">
        <v>5415</v>
      </c>
      <c r="G14" s="22"/>
      <c r="H14" s="277">
        <v>8241</v>
      </c>
      <c r="I14" s="22"/>
      <c r="K14" s="26"/>
      <c r="N14" s="286" t="s">
        <v>54</v>
      </c>
      <c r="O14" s="46">
        <v>9465.25</v>
      </c>
      <c r="P14" s="88">
        <v>0.63003266333870389</v>
      </c>
      <c r="Q14" s="88">
        <v>9.1269157912863788E-2</v>
      </c>
      <c r="R14" s="287">
        <v>9490.6697591432603</v>
      </c>
      <c r="S14" s="281">
        <v>0.63164927203770804</v>
      </c>
      <c r="T14" s="281">
        <v>9.3786683189086006E-2</v>
      </c>
      <c r="U14" s="252">
        <f t="shared" si="0"/>
        <v>5994.7746445131306</v>
      </c>
      <c r="V14" s="47">
        <f>★構造失業率!O14</f>
        <v>3.13042572514029E-2</v>
      </c>
      <c r="W14" s="252">
        <f t="shared" si="1"/>
        <v>5807.1126768771046</v>
      </c>
      <c r="X14" s="285">
        <v>530</v>
      </c>
      <c r="Y14" s="252">
        <f t="shared" si="2"/>
        <v>544.62983686959819</v>
      </c>
    </row>
    <row r="15" spans="1:25" ht="19.3">
      <c r="A15" s="27">
        <v>26877</v>
      </c>
      <c r="B15" s="274">
        <v>469</v>
      </c>
      <c r="C15" s="22"/>
      <c r="D15" s="274">
        <v>5291</v>
      </c>
      <c r="E15" s="22"/>
      <c r="F15" s="277">
        <v>5352</v>
      </c>
      <c r="G15" s="22"/>
      <c r="H15" s="277">
        <v>8251</v>
      </c>
      <c r="I15" s="22"/>
      <c r="K15" s="26"/>
      <c r="N15" s="286" t="s">
        <v>55</v>
      </c>
      <c r="O15" s="46">
        <v>9586.8333333333339</v>
      </c>
      <c r="P15" s="88">
        <v>0.62796196171832896</v>
      </c>
      <c r="Q15" s="88">
        <v>9.124300622143762E-2</v>
      </c>
      <c r="R15" s="287">
        <v>9607.0772335688998</v>
      </c>
      <c r="S15" s="281">
        <v>0.63168476640711502</v>
      </c>
      <c r="T15" s="281">
        <v>9.3788498216590993E-2</v>
      </c>
      <c r="U15" s="252">
        <f t="shared" si="0"/>
        <v>6068.6443381420831</v>
      </c>
      <c r="V15" s="47">
        <f>★構造失業率!O15</f>
        <v>3.1533479409946601E-2</v>
      </c>
      <c r="W15" s="252">
        <f t="shared" si="1"/>
        <v>5877.278866858991</v>
      </c>
      <c r="X15" s="285">
        <v>534.08333333333337</v>
      </c>
      <c r="Y15" s="252">
        <f t="shared" si="2"/>
        <v>551.2211585228124</v>
      </c>
    </row>
    <row r="16" spans="1:25" ht="19.3">
      <c r="A16" s="27">
        <v>26908</v>
      </c>
      <c r="B16" s="274">
        <v>463</v>
      </c>
      <c r="C16" s="22"/>
      <c r="D16" s="274">
        <v>5313</v>
      </c>
      <c r="E16" s="22"/>
      <c r="F16" s="277">
        <v>5377</v>
      </c>
      <c r="G16" s="22"/>
      <c r="H16" s="277">
        <v>8260</v>
      </c>
      <c r="I16" s="22"/>
      <c r="K16" s="26"/>
      <c r="N16" s="286" t="s">
        <v>56</v>
      </c>
      <c r="O16" s="46">
        <v>9720.1666666666661</v>
      </c>
      <c r="P16" s="88">
        <v>0.625872327292056</v>
      </c>
      <c r="Q16" s="88">
        <v>9.0133656665914733E-2</v>
      </c>
      <c r="R16" s="287">
        <v>9723.3366588290701</v>
      </c>
      <c r="S16" s="281">
        <v>0.63192342626312104</v>
      </c>
      <c r="T16" s="281">
        <v>9.4001773376031397E-2</v>
      </c>
      <c r="U16" s="252">
        <f t="shared" si="0"/>
        <v>6144.4042161570733</v>
      </c>
      <c r="V16" s="47">
        <f>★構造失業率!O16</f>
        <v>3.1824833152375998E-2</v>
      </c>
      <c r="W16" s="252">
        <f t="shared" si="1"/>
        <v>5948.8595771571181</v>
      </c>
      <c r="X16" s="285">
        <v>532.75</v>
      </c>
      <c r="Y16" s="252">
        <f t="shared" si="2"/>
        <v>559.20334981775738</v>
      </c>
    </row>
    <row r="17" spans="1:25" ht="19.3">
      <c r="A17" s="27">
        <v>26938</v>
      </c>
      <c r="B17" s="274">
        <v>454</v>
      </c>
      <c r="C17" s="22"/>
      <c r="D17" s="274">
        <v>5409</v>
      </c>
      <c r="E17" s="22"/>
      <c r="F17" s="277">
        <v>5462</v>
      </c>
      <c r="G17" s="22"/>
      <c r="H17" s="277">
        <v>8269</v>
      </c>
      <c r="I17" s="22"/>
      <c r="K17" s="26"/>
      <c r="N17" s="286" t="s">
        <v>57</v>
      </c>
      <c r="O17" s="46">
        <v>9848.6666666666661</v>
      </c>
      <c r="P17" s="88">
        <v>0.62607459554592837</v>
      </c>
      <c r="Q17" s="88">
        <v>9.3182858014335831E-2</v>
      </c>
      <c r="R17" s="287">
        <v>9838.1540213805492</v>
      </c>
      <c r="S17" s="281">
        <v>0.63238666083265105</v>
      </c>
      <c r="T17" s="281">
        <v>9.4442924680753701E-2</v>
      </c>
      <c r="U17" s="252">
        <f t="shared" si="0"/>
        <v>6221.5173703381633</v>
      </c>
      <c r="V17" s="47">
        <f>★構造失業率!O17</f>
        <v>3.2164120748565402E-2</v>
      </c>
      <c r="W17" s="252">
        <f t="shared" si="1"/>
        <v>6021.4077343993094</v>
      </c>
      <c r="X17" s="285">
        <v>560.08333333333337</v>
      </c>
      <c r="Y17" s="252">
        <f t="shared" si="2"/>
        <v>568.67935713198176</v>
      </c>
    </row>
    <row r="18" spans="1:25" ht="19.3">
      <c r="A18" s="27">
        <v>26969</v>
      </c>
      <c r="B18" s="274">
        <v>485</v>
      </c>
      <c r="C18" s="22"/>
      <c r="D18" s="274">
        <v>5320</v>
      </c>
      <c r="E18" s="22"/>
      <c r="F18" s="277">
        <v>5375</v>
      </c>
      <c r="G18" s="22"/>
      <c r="H18" s="277">
        <v>8277</v>
      </c>
      <c r="I18" s="22"/>
      <c r="K18" s="26"/>
      <c r="N18" s="286" t="s">
        <v>58</v>
      </c>
      <c r="O18" s="46">
        <v>9974.3333333333339</v>
      </c>
      <c r="P18" s="88">
        <v>0.62858837683387359</v>
      </c>
      <c r="Q18" s="88">
        <v>9.4348346388163612E-2</v>
      </c>
      <c r="R18" s="287">
        <v>9950.2036077584798</v>
      </c>
      <c r="S18" s="281">
        <v>0.63303536835291496</v>
      </c>
      <c r="T18" s="281">
        <v>9.5089686977003901E-2</v>
      </c>
      <c r="U18" s="252">
        <f t="shared" si="0"/>
        <v>6298.8308060238924</v>
      </c>
      <c r="V18" s="47">
        <f>★構造失業率!O18</f>
        <v>3.2532110312835399E-2</v>
      </c>
      <c r="W18" s="252">
        <f t="shared" si="1"/>
        <v>6093.9165474004367</v>
      </c>
      <c r="X18" s="285">
        <v>578.16666666666663</v>
      </c>
      <c r="Y18" s="252">
        <f t="shared" si="2"/>
        <v>579.46861695629184</v>
      </c>
    </row>
    <row r="19" spans="1:25" ht="19.3">
      <c r="A19" s="27">
        <v>26999</v>
      </c>
      <c r="B19" s="274">
        <v>473</v>
      </c>
      <c r="C19" s="278">
        <f>AVERAGE(B8:B19)</f>
        <v>467.41666666666669</v>
      </c>
      <c r="D19" s="274">
        <v>5147</v>
      </c>
      <c r="E19" s="278">
        <f>AVERAGE(D8:D19)</f>
        <v>5259</v>
      </c>
      <c r="F19" s="277">
        <v>5202</v>
      </c>
      <c r="G19" s="278">
        <f>AVERAGE(F8:F19)</f>
        <v>5325.833333333333</v>
      </c>
      <c r="H19" s="277">
        <v>8282</v>
      </c>
      <c r="I19" s="278">
        <f>AVERAGE(H8:H19)</f>
        <v>8238.6666666666661</v>
      </c>
      <c r="J19" s="47">
        <f>G19/I19</f>
        <v>0.64644359928791073</v>
      </c>
      <c r="K19" s="47">
        <f>C19/E19</f>
        <v>8.8879381377955258E-2</v>
      </c>
      <c r="N19" s="286" t="s">
        <v>59</v>
      </c>
      <c r="O19" s="46">
        <v>10089.5</v>
      </c>
      <c r="P19" s="88">
        <v>0.63269570675785058</v>
      </c>
      <c r="Q19" s="88">
        <v>9.4167533402672213E-2</v>
      </c>
      <c r="R19" s="287">
        <v>10058.2648309508</v>
      </c>
      <c r="S19" s="281">
        <v>0.63376732640825995</v>
      </c>
      <c r="T19" s="281">
        <v>9.5907194444360799E-2</v>
      </c>
      <c r="U19" s="252">
        <f t="shared" si="0"/>
        <v>6374.5996102179179</v>
      </c>
      <c r="V19" s="47">
        <f>★構造失業率!O19</f>
        <v>3.2913303544600897E-2</v>
      </c>
      <c r="W19" s="252">
        <f t="shared" si="1"/>
        <v>6164.7904782715214</v>
      </c>
      <c r="X19" s="285">
        <v>588.5</v>
      </c>
      <c r="Y19" s="252">
        <f t="shared" si="2"/>
        <v>591.2477591083308</v>
      </c>
    </row>
    <row r="20" spans="1:25" ht="19.3">
      <c r="A20" s="27">
        <v>27030</v>
      </c>
      <c r="B20" s="274">
        <v>459</v>
      </c>
      <c r="C20" s="22"/>
      <c r="D20" s="274">
        <v>5061</v>
      </c>
      <c r="E20" s="22"/>
      <c r="F20" s="277">
        <v>5135</v>
      </c>
      <c r="G20" s="22"/>
      <c r="H20" s="277">
        <v>8297</v>
      </c>
      <c r="I20" s="22"/>
      <c r="K20" s="26"/>
      <c r="N20" s="286" t="s">
        <v>60</v>
      </c>
      <c r="O20" s="46">
        <v>10198.5</v>
      </c>
      <c r="P20" s="88">
        <v>0.63787158242225162</v>
      </c>
      <c r="Q20" s="88">
        <v>9.4890415439973841E-2</v>
      </c>
      <c r="R20" s="287">
        <v>10161.3584012014</v>
      </c>
      <c r="S20" s="281">
        <v>0.63443584266784003</v>
      </c>
      <c r="T20" s="281">
        <v>9.6853167856512601E-2</v>
      </c>
      <c r="U20" s="252">
        <f t="shared" si="0"/>
        <v>6446.7299799161456</v>
      </c>
      <c r="V20" s="47">
        <f>★構造失業率!O20</f>
        <v>3.3302967707968201E-2</v>
      </c>
      <c r="W20" s="252">
        <f t="shared" si="1"/>
        <v>6232.0347395730078</v>
      </c>
      <c r="X20" s="285">
        <v>604.33333333333337</v>
      </c>
      <c r="Y20" s="252">
        <f t="shared" si="2"/>
        <v>603.59230671948228</v>
      </c>
    </row>
    <row r="21" spans="1:25" ht="19.3">
      <c r="A21" s="27">
        <v>27061</v>
      </c>
      <c r="B21" s="274">
        <v>482</v>
      </c>
      <c r="C21" s="22"/>
      <c r="D21" s="274">
        <v>5086</v>
      </c>
      <c r="E21" s="22"/>
      <c r="F21" s="277">
        <v>5170</v>
      </c>
      <c r="G21" s="22"/>
      <c r="H21" s="277">
        <v>8305</v>
      </c>
      <c r="I21" s="22"/>
      <c r="K21" s="26"/>
      <c r="N21" s="286" t="s">
        <v>61</v>
      </c>
      <c r="O21" s="46">
        <v>10282.833333333334</v>
      </c>
      <c r="P21" s="88">
        <v>0.63974747556607292</v>
      </c>
      <c r="Q21" s="88">
        <v>9.6162311935158076E-2</v>
      </c>
      <c r="R21" s="287">
        <v>10258.8173804444</v>
      </c>
      <c r="S21" s="281">
        <v>0.63488350860430798</v>
      </c>
      <c r="T21" s="281">
        <v>9.7867931376734205E-2</v>
      </c>
      <c r="U21" s="252">
        <f t="shared" si="0"/>
        <v>6513.1539726273959</v>
      </c>
      <c r="V21" s="47">
        <f>★構造失業率!O21</f>
        <v>3.3702676887967999E-2</v>
      </c>
      <c r="W21" s="252">
        <f t="shared" si="1"/>
        <v>6293.6432487663496</v>
      </c>
      <c r="X21" s="285">
        <v>618.91666666666663</v>
      </c>
      <c r="Y21" s="252">
        <f t="shared" si="2"/>
        <v>615.94584557991163</v>
      </c>
    </row>
    <row r="22" spans="1:25" ht="19.3">
      <c r="A22" s="27">
        <v>27089</v>
      </c>
      <c r="B22" s="274">
        <v>467</v>
      </c>
      <c r="C22" s="22"/>
      <c r="D22" s="274">
        <v>5187</v>
      </c>
      <c r="E22" s="22"/>
      <c r="F22" s="277">
        <v>5278</v>
      </c>
      <c r="G22" s="22"/>
      <c r="H22" s="277">
        <v>8313</v>
      </c>
      <c r="I22" s="22"/>
      <c r="K22" s="26"/>
      <c r="N22" s="286" t="s">
        <v>62</v>
      </c>
      <c r="O22" s="46">
        <v>10370.416666666666</v>
      </c>
      <c r="P22" s="88">
        <v>0.63790429507011126</v>
      </c>
      <c r="Q22" s="88">
        <v>9.9320378314124769E-2</v>
      </c>
      <c r="R22" s="287">
        <v>10350.346246601999</v>
      </c>
      <c r="S22" s="281">
        <v>0.63498727308786096</v>
      </c>
      <c r="T22" s="281">
        <v>9.8872181644135498E-2</v>
      </c>
      <c r="U22" s="252">
        <f t="shared" si="0"/>
        <v>6572.3381386449801</v>
      </c>
      <c r="V22" s="47">
        <f>★構造失業率!O22</f>
        <v>3.4120466806370903E-2</v>
      </c>
      <c r="W22" s="252">
        <f t="shared" si="1"/>
        <v>6348.0868933450984</v>
      </c>
      <c r="X22" s="285">
        <v>640.58333333333337</v>
      </c>
      <c r="Y22" s="252">
        <f>W22*T22</f>
        <v>627.64920041157234</v>
      </c>
    </row>
    <row r="23" spans="1:25" ht="19.3">
      <c r="A23" s="27">
        <v>27120</v>
      </c>
      <c r="B23" s="274">
        <v>458</v>
      </c>
      <c r="C23" s="22"/>
      <c r="D23" s="274">
        <v>5293</v>
      </c>
      <c r="E23" s="22"/>
      <c r="F23" s="277">
        <v>5363</v>
      </c>
      <c r="G23" s="22"/>
      <c r="H23" s="277">
        <v>8323</v>
      </c>
      <c r="I23" s="22"/>
      <c r="K23" s="26"/>
      <c r="N23" s="286" t="s">
        <v>63</v>
      </c>
      <c r="O23" s="46">
        <v>10444</v>
      </c>
      <c r="P23" s="88">
        <v>0.63624249968083746</v>
      </c>
      <c r="Q23" s="88">
        <v>0.1014773490366238</v>
      </c>
      <c r="R23" s="287">
        <v>10435.8896371255</v>
      </c>
      <c r="S23" s="281">
        <v>0.63467272465830804</v>
      </c>
      <c r="T23" s="281">
        <v>9.97695591034089E-2</v>
      </c>
      <c r="U23" s="252">
        <f t="shared" si="0"/>
        <v>6623.3745102278426</v>
      </c>
      <c r="V23" s="47">
        <f>★構造失業率!O23</f>
        <v>3.4559052376468197E-2</v>
      </c>
      <c r="W23" s="252">
        <f t="shared" si="1"/>
        <v>6394.4769636199144</v>
      </c>
      <c r="X23" s="285">
        <v>654.83333333333337</v>
      </c>
      <c r="Y23" s="252">
        <f t="shared" si="2"/>
        <v>637.97414735726375</v>
      </c>
    </row>
    <row r="24" spans="1:25" ht="19.3">
      <c r="A24" s="27">
        <v>27150</v>
      </c>
      <c r="B24" s="274">
        <v>459</v>
      </c>
      <c r="C24" s="22"/>
      <c r="D24" s="274">
        <v>5345</v>
      </c>
      <c r="E24" s="22"/>
      <c r="F24" s="277">
        <v>5409</v>
      </c>
      <c r="G24" s="22"/>
      <c r="H24" s="277">
        <v>8333</v>
      </c>
      <c r="I24" s="22"/>
      <c r="K24" s="26"/>
      <c r="N24" s="286" t="s">
        <v>64</v>
      </c>
      <c r="O24" s="46">
        <v>10510.083333333334</v>
      </c>
      <c r="P24" s="88">
        <v>0.63428770783612565</v>
      </c>
      <c r="Q24" s="88">
        <v>0.10268588907962158</v>
      </c>
      <c r="R24" s="287">
        <v>10515.5928936664</v>
      </c>
      <c r="S24" s="281">
        <v>0.63389462207528302</v>
      </c>
      <c r="T24" s="281">
        <v>0.10046818616594499</v>
      </c>
      <c r="U24" s="252">
        <f t="shared" si="0"/>
        <v>6665.7777832281945</v>
      </c>
      <c r="V24" s="47">
        <f>★構造失業率!O24</f>
        <v>3.50238014557573E-2</v>
      </c>
      <c r="W24" s="252">
        <f t="shared" si="1"/>
        <v>6432.3169056002116</v>
      </c>
      <c r="X24" s="285">
        <v>663</v>
      </c>
      <c r="Y24" s="252">
        <f t="shared" si="2"/>
        <v>646.24321235019727</v>
      </c>
    </row>
    <row r="25" spans="1:25" ht="19.3">
      <c r="A25" s="27">
        <v>27181</v>
      </c>
      <c r="B25" s="274">
        <v>447</v>
      </c>
      <c r="C25" s="22"/>
      <c r="D25" s="274">
        <v>5346</v>
      </c>
      <c r="E25" s="22"/>
      <c r="F25" s="277">
        <v>5409</v>
      </c>
      <c r="G25" s="22"/>
      <c r="H25" s="277">
        <v>8339</v>
      </c>
      <c r="I25" s="22"/>
      <c r="K25" s="26"/>
      <c r="N25" s="286" t="s">
        <v>65</v>
      </c>
      <c r="O25" s="46">
        <v>10570.5</v>
      </c>
      <c r="P25" s="88">
        <v>0.63485644009271081</v>
      </c>
      <c r="Q25" s="88">
        <v>0.10322365124436278</v>
      </c>
      <c r="R25" s="287">
        <v>10589.682461505399</v>
      </c>
      <c r="S25" s="281">
        <v>0.63262342184864795</v>
      </c>
      <c r="T25" s="281">
        <v>0.100893263142472</v>
      </c>
      <c r="U25" s="252">
        <f t="shared" si="0"/>
        <v>6699.2811550881588</v>
      </c>
      <c r="V25" s="47">
        <f>★構造失業率!O25</f>
        <v>3.5518035264340803E-2</v>
      </c>
      <c r="W25" s="252">
        <f t="shared" si="1"/>
        <v>6461.335850776004</v>
      </c>
      <c r="X25" s="285">
        <v>669.5</v>
      </c>
      <c r="Y25" s="252">
        <f t="shared" si="2"/>
        <v>651.90525824423162</v>
      </c>
    </row>
    <row r="26" spans="1:25" ht="19.3">
      <c r="A26" s="27">
        <v>27211</v>
      </c>
      <c r="B26" s="274">
        <v>451</v>
      </c>
      <c r="C26" s="22"/>
      <c r="D26" s="274">
        <v>5299</v>
      </c>
      <c r="E26" s="22"/>
      <c r="F26" s="277">
        <v>5360</v>
      </c>
      <c r="G26" s="22"/>
      <c r="H26" s="277">
        <v>8343</v>
      </c>
      <c r="I26" s="22"/>
      <c r="K26" s="26"/>
      <c r="N26" s="286" t="s">
        <v>66</v>
      </c>
      <c r="O26" s="46">
        <v>10660.5</v>
      </c>
      <c r="P26" s="88">
        <v>0.6366414958647969</v>
      </c>
      <c r="Q26" s="88">
        <v>0.10442165198713793</v>
      </c>
      <c r="R26" s="287">
        <v>10658.329690319601</v>
      </c>
      <c r="S26" s="281">
        <v>0.63083351134586796</v>
      </c>
      <c r="T26" s="281">
        <v>0.100992167372856</v>
      </c>
      <c r="U26" s="252">
        <f t="shared" si="0"/>
        <v>6723.6315436262312</v>
      </c>
      <c r="V26" s="47">
        <f>★構造失業率!O26</f>
        <v>3.6035460569573997E-2</v>
      </c>
      <c r="W26" s="252">
        <f t="shared" si="1"/>
        <v>6481.342384251544</v>
      </c>
      <c r="X26" s="285">
        <v>684.66666666666663</v>
      </c>
      <c r="Y26" s="252">
        <f t="shared" si="2"/>
        <v>654.56481487111751</v>
      </c>
    </row>
    <row r="27" spans="1:25" ht="19.3">
      <c r="A27" s="27">
        <v>27242</v>
      </c>
      <c r="B27" s="274">
        <v>454</v>
      </c>
      <c r="C27" s="22"/>
      <c r="D27" s="274">
        <v>5276</v>
      </c>
      <c r="E27" s="22"/>
      <c r="F27" s="277">
        <v>5351</v>
      </c>
      <c r="G27" s="22"/>
      <c r="H27" s="277">
        <v>8353</v>
      </c>
      <c r="I27" s="22"/>
      <c r="K27" s="26"/>
      <c r="N27" s="286" t="s">
        <v>67</v>
      </c>
      <c r="O27" s="46">
        <v>10728</v>
      </c>
      <c r="P27" s="88">
        <v>0.63319506587124041</v>
      </c>
      <c r="Q27" s="88">
        <v>0.10159907893053602</v>
      </c>
      <c r="R27" s="287">
        <v>10721.5141051711</v>
      </c>
      <c r="S27" s="281">
        <v>0.62852160811685598</v>
      </c>
      <c r="T27" s="281">
        <v>0.100735580077981</v>
      </c>
      <c r="U27" s="252">
        <f t="shared" si="0"/>
        <v>6738.7032868296938</v>
      </c>
      <c r="V27" s="47">
        <f>★構造失業率!O27</f>
        <v>3.6554819604128597E-2</v>
      </c>
      <c r="W27" s="252">
        <f t="shared" si="1"/>
        <v>6492.3712038138865</v>
      </c>
      <c r="X27" s="285">
        <v>661.83333333333337</v>
      </c>
      <c r="Y27" s="252">
        <f t="shared" si="2"/>
        <v>654.01277929777166</v>
      </c>
    </row>
    <row r="28" spans="1:25" ht="19.3">
      <c r="A28" s="27">
        <v>27273</v>
      </c>
      <c r="B28" s="274">
        <v>444</v>
      </c>
      <c r="C28" s="22"/>
      <c r="D28" s="274">
        <v>5285</v>
      </c>
      <c r="E28" s="22"/>
      <c r="F28" s="277">
        <v>5354</v>
      </c>
      <c r="G28" s="22"/>
      <c r="H28" s="277">
        <v>8362</v>
      </c>
      <c r="I28" s="22"/>
      <c r="K28" s="26"/>
      <c r="N28" s="286" t="s">
        <v>68</v>
      </c>
      <c r="O28" s="46">
        <v>10783.583333333334</v>
      </c>
      <c r="P28" s="88">
        <v>0.62867939692279162</v>
      </c>
      <c r="Q28" s="88">
        <v>0.10162737917160984</v>
      </c>
      <c r="R28" s="287">
        <v>10779.236934218899</v>
      </c>
      <c r="S28" s="281">
        <v>0.62574250955671296</v>
      </c>
      <c r="T28" s="281">
        <v>0.10012847732487</v>
      </c>
      <c r="U28" s="252">
        <f t="shared" si="0"/>
        <v>6745.0267703245427</v>
      </c>
      <c r="V28" s="47">
        <f>★構造失業率!O28</f>
        <v>3.7053957482320703E-2</v>
      </c>
      <c r="W28" s="252">
        <f t="shared" si="1"/>
        <v>6495.0968351598221</v>
      </c>
      <c r="X28" s="285">
        <v>656.75</v>
      </c>
      <c r="Y28" s="252">
        <f t="shared" si="2"/>
        <v>650.34415618213518</v>
      </c>
    </row>
    <row r="29" spans="1:25" ht="19.3">
      <c r="A29" s="27">
        <v>27303</v>
      </c>
      <c r="B29" s="274">
        <v>456</v>
      </c>
      <c r="C29" s="22"/>
      <c r="D29" s="274">
        <v>5304</v>
      </c>
      <c r="E29" s="22"/>
      <c r="F29" s="277">
        <v>5380</v>
      </c>
      <c r="G29" s="22"/>
      <c r="H29" s="277">
        <v>8369</v>
      </c>
      <c r="I29" s="22"/>
      <c r="K29" s="26"/>
      <c r="N29" s="286" t="s">
        <v>69</v>
      </c>
      <c r="O29" s="46">
        <v>10835.583333333334</v>
      </c>
      <c r="P29" s="88">
        <v>0.62444723019065262</v>
      </c>
      <c r="Q29" s="88">
        <v>0.10134960442628886</v>
      </c>
      <c r="R29" s="287">
        <v>10831.564264570001</v>
      </c>
      <c r="S29" s="281">
        <v>0.62259774763808196</v>
      </c>
      <c r="T29" s="281">
        <v>9.9184470169077901E-2</v>
      </c>
      <c r="U29" s="252">
        <f t="shared" si="0"/>
        <v>6743.7075145184199</v>
      </c>
      <c r="V29" s="47">
        <f>★構造失業率!O29</f>
        <v>3.7495773248934897E-2</v>
      </c>
      <c r="W29" s="252">
        <f t="shared" si="1"/>
        <v>6490.846986696899</v>
      </c>
      <c r="X29" s="285">
        <v>653.33333333333337</v>
      </c>
      <c r="Y29" s="252">
        <f t="shared" si="2"/>
        <v>643.79121932408771</v>
      </c>
    </row>
    <row r="30" spans="1:25" ht="19.3">
      <c r="A30" s="27">
        <v>27334</v>
      </c>
      <c r="B30" s="274">
        <v>490</v>
      </c>
      <c r="C30" s="22"/>
      <c r="D30" s="274">
        <v>5237</v>
      </c>
      <c r="E30" s="22"/>
      <c r="F30" s="277">
        <v>5308</v>
      </c>
      <c r="G30" s="22"/>
      <c r="H30" s="277">
        <v>8378</v>
      </c>
      <c r="I30" s="22"/>
      <c r="K30" s="26"/>
      <c r="N30" s="286" t="s">
        <v>70</v>
      </c>
      <c r="O30" s="46">
        <v>10885.583333333334</v>
      </c>
      <c r="P30" s="88">
        <v>0.62025461811111016</v>
      </c>
      <c r="Q30" s="88">
        <v>9.8485931509519786E-2</v>
      </c>
      <c r="R30" s="287">
        <v>10878.605647323</v>
      </c>
      <c r="S30" s="281">
        <v>0.61921822320727005</v>
      </c>
      <c r="T30" s="281">
        <v>9.7932158684630205E-2</v>
      </c>
      <c r="U30" s="252">
        <f t="shared" si="0"/>
        <v>6736.2308599079215</v>
      </c>
      <c r="V30" s="47">
        <f>★構造失業率!O30</f>
        <v>3.78581149288027E-2</v>
      </c>
      <c r="W30" s="252">
        <f t="shared" si="1"/>
        <v>6481.2098578265804</v>
      </c>
      <c r="X30" s="285">
        <v>631.5</v>
      </c>
      <c r="Y30" s="252">
        <f t="shared" si="2"/>
        <v>634.71887226506226</v>
      </c>
    </row>
    <row r="31" spans="1:25" ht="19.3">
      <c r="A31" s="27">
        <v>27364</v>
      </c>
      <c r="B31" s="274">
        <v>489</v>
      </c>
      <c r="C31" s="278">
        <f t="shared" ref="C31:E31" si="3">AVERAGE(B20:B31)</f>
        <v>463</v>
      </c>
      <c r="D31" s="274">
        <v>5123</v>
      </c>
      <c r="E31" s="278">
        <f t="shared" si="3"/>
        <v>5236.833333333333</v>
      </c>
      <c r="F31" s="277">
        <v>5206</v>
      </c>
      <c r="G31" s="278">
        <f t="shared" ref="G31" si="4">AVERAGE(F20:F31)</f>
        <v>5310.25</v>
      </c>
      <c r="H31" s="277">
        <v>8382</v>
      </c>
      <c r="I31" s="278">
        <f t="shared" ref="I31" si="5">AVERAGE(H20:H31)</f>
        <v>8341.4166666666661</v>
      </c>
      <c r="J31" s="47">
        <f t="shared" ref="J31" si="6">G31/I31</f>
        <v>0.63661248588868802</v>
      </c>
      <c r="K31" s="47">
        <f t="shared" ref="K31" si="7">C31/E31</f>
        <v>8.8412208395658956E-2</v>
      </c>
      <c r="N31" s="286" t="s">
        <v>71</v>
      </c>
      <c r="O31" s="46">
        <v>10926.75</v>
      </c>
      <c r="P31" s="88">
        <v>0.61216738737501997</v>
      </c>
      <c r="Q31" s="88">
        <v>9.7585698488757838E-2</v>
      </c>
      <c r="R31" s="287">
        <v>10920.5108242637</v>
      </c>
      <c r="S31" s="281">
        <v>0.61575333193611304</v>
      </c>
      <c r="T31" s="281">
        <v>9.6421794288121795E-2</v>
      </c>
      <c r="U31" s="252">
        <f t="shared" si="0"/>
        <v>6724.3409264847614</v>
      </c>
      <c r="V31" s="47">
        <f>★構造失業率!O31</f>
        <v>3.8118800176896499E-2</v>
      </c>
      <c r="W31" s="252">
        <f t="shared" si="1"/>
        <v>6468.0171183867615</v>
      </c>
      <c r="X31" s="285">
        <v>617.75</v>
      </c>
      <c r="Y31" s="252">
        <f t="shared" si="2"/>
        <v>623.65781604113863</v>
      </c>
    </row>
    <row r="32" spans="1:25" ht="19.3">
      <c r="A32" s="27">
        <v>27395</v>
      </c>
      <c r="B32" s="274">
        <v>481</v>
      </c>
      <c r="C32" s="22"/>
      <c r="D32" s="274">
        <v>5016</v>
      </c>
      <c r="E32" s="22"/>
      <c r="F32" s="277">
        <v>5116</v>
      </c>
      <c r="G32" s="22"/>
      <c r="H32" s="277">
        <v>8397</v>
      </c>
      <c r="I32" s="22"/>
      <c r="K32" s="26"/>
      <c r="N32" s="286" t="s">
        <v>72</v>
      </c>
      <c r="O32" s="46">
        <v>10961.916666666666</v>
      </c>
      <c r="P32" s="88">
        <v>0.60813574268490156</v>
      </c>
      <c r="Q32" s="88">
        <v>9.5574847613267525E-2</v>
      </c>
      <c r="R32" s="287">
        <v>10957.499314038199</v>
      </c>
      <c r="S32" s="281">
        <v>0.61236283344548303</v>
      </c>
      <c r="T32" s="281">
        <v>9.4709166124401403E-2</v>
      </c>
      <c r="U32" s="252">
        <f t="shared" si="0"/>
        <v>6709.9653274213688</v>
      </c>
      <c r="V32" s="47">
        <f>★構造失業率!O32</f>
        <v>3.8263627974950101E-2</v>
      </c>
      <c r="W32" s="252">
        <f t="shared" si="1"/>
        <v>6453.2177104081038</v>
      </c>
      <c r="X32" s="285">
        <v>603.66666666666663</v>
      </c>
      <c r="Y32" s="252">
        <f t="shared" si="2"/>
        <v>611.17886817197041</v>
      </c>
    </row>
    <row r="33" spans="1:27" ht="19.3">
      <c r="A33" s="27">
        <v>27426</v>
      </c>
      <c r="B33" s="274">
        <v>492</v>
      </c>
      <c r="C33" s="22"/>
      <c r="D33" s="274">
        <v>5027</v>
      </c>
      <c r="E33" s="22"/>
      <c r="F33" s="277">
        <v>5136</v>
      </c>
      <c r="G33" s="22"/>
      <c r="H33" s="277">
        <v>8405</v>
      </c>
      <c r="I33" s="22"/>
      <c r="K33" s="26"/>
      <c r="N33" s="286" t="s">
        <v>73</v>
      </c>
      <c r="O33" s="46">
        <v>10990.083333333334</v>
      </c>
      <c r="P33" s="88">
        <v>0.60437060683494959</v>
      </c>
      <c r="Q33" s="88">
        <v>9.2332407200136954E-2</v>
      </c>
      <c r="R33" s="287">
        <v>10989.85302705</v>
      </c>
      <c r="S33" s="281">
        <v>0.60917062791064303</v>
      </c>
      <c r="T33" s="281">
        <v>9.2861702380326497E-2</v>
      </c>
      <c r="U33" s="252">
        <f t="shared" si="0"/>
        <v>6694.6956691337291</v>
      </c>
      <c r="V33" s="47">
        <f>★構造失業率!O33</f>
        <v>3.8302645426749E-2</v>
      </c>
      <c r="W33" s="252">
        <f t="shared" si="1"/>
        <v>6438.2711146789079</v>
      </c>
      <c r="X33" s="285">
        <v>584.33333333333337</v>
      </c>
      <c r="Y33" s="252">
        <f t="shared" si="2"/>
        <v>597.8688160951657</v>
      </c>
    </row>
    <row r="34" spans="1:27" ht="19.3">
      <c r="A34" s="27">
        <v>27454</v>
      </c>
      <c r="B34" s="274">
        <v>479</v>
      </c>
      <c r="C34" s="22"/>
      <c r="D34" s="274">
        <v>5121</v>
      </c>
      <c r="E34" s="22"/>
      <c r="F34" s="277">
        <v>5235</v>
      </c>
      <c r="G34" s="22"/>
      <c r="H34" s="277">
        <v>8414</v>
      </c>
      <c r="I34" s="22"/>
      <c r="K34" s="26"/>
      <c r="N34" s="286" t="s">
        <v>74</v>
      </c>
      <c r="O34" s="46">
        <v>11007.5</v>
      </c>
      <c r="P34" s="88">
        <v>0.60418653948065715</v>
      </c>
      <c r="Q34" s="88">
        <v>8.9388258122033715E-2</v>
      </c>
      <c r="R34" s="287">
        <v>11017.8980472289</v>
      </c>
      <c r="S34" s="281">
        <v>0.60625834459924999</v>
      </c>
      <c r="T34" s="281">
        <v>9.0955488057640393E-2</v>
      </c>
      <c r="U34" s="252">
        <f t="shared" si="0"/>
        <v>6679.692631076302</v>
      </c>
      <c r="V34" s="47">
        <f>★構造失業率!O34</f>
        <v>3.8255800703388798E-2</v>
      </c>
      <c r="W34" s="252">
        <f t="shared" si="1"/>
        <v>6424.1556410219519</v>
      </c>
      <c r="X34" s="285">
        <v>568.16666666666663</v>
      </c>
      <c r="Y34" s="252">
        <f t="shared" si="2"/>
        <v>584.31221168739535</v>
      </c>
    </row>
    <row r="35" spans="1:27" ht="19.3">
      <c r="A35" s="27">
        <v>27485</v>
      </c>
      <c r="B35" s="274">
        <v>470</v>
      </c>
      <c r="C35" s="22"/>
      <c r="D35" s="274">
        <v>5206</v>
      </c>
      <c r="E35" s="22"/>
      <c r="F35" s="277">
        <v>5306</v>
      </c>
      <c r="G35" s="22"/>
      <c r="H35" s="277">
        <v>8422</v>
      </c>
      <c r="I35" s="22"/>
      <c r="K35" s="26"/>
      <c r="N35" s="286" t="s">
        <v>75</v>
      </c>
      <c r="O35" s="46">
        <v>11029.583333333334</v>
      </c>
      <c r="P35" s="88">
        <v>0.6041781572286653</v>
      </c>
      <c r="Q35" s="88">
        <v>8.7693210721972212E-2</v>
      </c>
      <c r="R35" s="287">
        <v>11041.9627615673</v>
      </c>
      <c r="S35" s="281">
        <v>0.603659612568204</v>
      </c>
      <c r="T35" s="281">
        <v>8.9061315206283201E-2</v>
      </c>
      <c r="U35" s="252">
        <f t="shared" si="0"/>
        <v>6665.5869626402518</v>
      </c>
      <c r="V35" s="47">
        <f>★構造失業率!O35</f>
        <v>3.8139284255547599E-2</v>
      </c>
      <c r="W35" s="252">
        <f t="shared" si="1"/>
        <v>6411.3662467420436</v>
      </c>
      <c r="X35" s="285">
        <v>560.25</v>
      </c>
      <c r="Y35" s="252">
        <f t="shared" si="2"/>
        <v>571.00471020401801</v>
      </c>
    </row>
    <row r="36" spans="1:27" ht="19.3">
      <c r="A36" s="27">
        <v>27515</v>
      </c>
      <c r="B36" s="274">
        <v>477</v>
      </c>
      <c r="C36" s="22"/>
      <c r="D36" s="274">
        <v>5325</v>
      </c>
      <c r="E36" s="22"/>
      <c r="F36" s="277">
        <v>5417</v>
      </c>
      <c r="G36" s="22"/>
      <c r="H36" s="277">
        <v>8432</v>
      </c>
      <c r="I36" s="22"/>
      <c r="K36" s="26"/>
      <c r="N36" s="286" t="s">
        <v>76</v>
      </c>
      <c r="O36" s="46">
        <v>11066</v>
      </c>
      <c r="P36" s="88">
        <v>0.60404241219350563</v>
      </c>
      <c r="Q36" s="88">
        <v>8.6256968754051588E-2</v>
      </c>
      <c r="R36" s="287">
        <v>11062.271576585599</v>
      </c>
      <c r="S36" s="281">
        <v>0.60138734282322603</v>
      </c>
      <c r="T36" s="281">
        <v>8.7234303576838798E-2</v>
      </c>
      <c r="U36" s="252">
        <f t="shared" si="0"/>
        <v>6652.7101090317128</v>
      </c>
      <c r="V36" s="47">
        <f>★構造失業率!O36</f>
        <v>3.7974260873339903E-2</v>
      </c>
      <c r="W36" s="252">
        <f t="shared" si="1"/>
        <v>6400.078359836637</v>
      </c>
      <c r="X36" s="285">
        <v>554.41666666666663</v>
      </c>
      <c r="Y36" s="252">
        <f t="shared" si="2"/>
        <v>558.30637855754571</v>
      </c>
    </row>
    <row r="37" spans="1:27" ht="19.3">
      <c r="A37" s="27">
        <v>27546</v>
      </c>
      <c r="B37" s="274">
        <v>474</v>
      </c>
      <c r="C37" s="22"/>
      <c r="D37" s="274">
        <v>5339</v>
      </c>
      <c r="E37" s="22"/>
      <c r="F37" s="277">
        <v>5432</v>
      </c>
      <c r="G37" s="22"/>
      <c r="H37" s="277">
        <v>8440</v>
      </c>
      <c r="I37" s="22"/>
      <c r="K37" s="26"/>
      <c r="N37" s="286" t="s">
        <v>77</v>
      </c>
      <c r="O37" s="46">
        <v>11085.916666666666</v>
      </c>
      <c r="P37" s="88">
        <v>0.60202509189587394</v>
      </c>
      <c r="Q37" s="88">
        <v>8.4371343128331819E-2</v>
      </c>
      <c r="R37" s="287">
        <v>11078.925104521801</v>
      </c>
      <c r="S37" s="281">
        <v>0.59945963181664097</v>
      </c>
      <c r="T37" s="281">
        <v>8.55158918750481E-2</v>
      </c>
      <c r="U37" s="252">
        <f t="shared" si="0"/>
        <v>6641.3683640807794</v>
      </c>
      <c r="V37" s="47">
        <f>★構造失業率!O37</f>
        <v>3.7780928454734498E-2</v>
      </c>
      <c r="W37" s="252">
        <f t="shared" si="1"/>
        <v>6390.4513010759065</v>
      </c>
      <c r="X37" s="285">
        <v>540.75</v>
      </c>
      <c r="Y37" s="252">
        <f t="shared" si="2"/>
        <v>546.48514249556763</v>
      </c>
    </row>
    <row r="38" spans="1:27" ht="19.3">
      <c r="A38" s="27">
        <v>27576</v>
      </c>
      <c r="B38" s="274">
        <v>472</v>
      </c>
      <c r="C38" s="22"/>
      <c r="D38" s="274">
        <v>5331</v>
      </c>
      <c r="E38" s="22"/>
      <c r="F38" s="277">
        <v>5419</v>
      </c>
      <c r="G38" s="22"/>
      <c r="H38" s="277">
        <v>8445</v>
      </c>
      <c r="I38" s="22"/>
      <c r="K38" s="26"/>
      <c r="N38" s="286" t="s">
        <v>78</v>
      </c>
      <c r="O38" s="46">
        <v>11099.333333333334</v>
      </c>
      <c r="P38" s="88">
        <v>0.59913508318817943</v>
      </c>
      <c r="Q38" s="88">
        <v>8.2600892126586958E-2</v>
      </c>
      <c r="R38" s="287">
        <v>11092.061241847799</v>
      </c>
      <c r="S38" s="281">
        <v>0.59792112669448405</v>
      </c>
      <c r="T38" s="281">
        <v>8.3937745458423696E-2</v>
      </c>
      <c r="U38" s="252">
        <f t="shared" si="0"/>
        <v>6632.1777550898541</v>
      </c>
      <c r="V38" s="47">
        <f>★構造失業率!O38</f>
        <v>3.7570781269326899E-2</v>
      </c>
      <c r="W38" s="252">
        <f t="shared" si="1"/>
        <v>6383.0016553140777</v>
      </c>
      <c r="X38" s="285">
        <v>521.58333333333337</v>
      </c>
      <c r="Y38" s="252">
        <f t="shared" si="2"/>
        <v>535.7747682044502</v>
      </c>
    </row>
    <row r="39" spans="1:27" ht="19.3">
      <c r="A39" s="27">
        <v>27607</v>
      </c>
      <c r="B39" s="274">
        <v>481</v>
      </c>
      <c r="C39" s="22"/>
      <c r="D39" s="274">
        <v>5294</v>
      </c>
      <c r="E39" s="22"/>
      <c r="F39" s="277">
        <v>5389</v>
      </c>
      <c r="G39" s="22"/>
      <c r="H39" s="277">
        <v>8455</v>
      </c>
      <c r="I39" s="22"/>
      <c r="K39" s="26"/>
      <c r="N39" s="286" t="s">
        <v>79</v>
      </c>
      <c r="O39" s="46">
        <v>11111.166666666666</v>
      </c>
      <c r="P39" s="88">
        <v>0.59685451572742143</v>
      </c>
      <c r="Q39" s="88">
        <v>8.0076212654476162E-2</v>
      </c>
      <c r="R39" s="287">
        <v>11101.8878006573</v>
      </c>
      <c r="S39" s="281">
        <v>0.59684212920358404</v>
      </c>
      <c r="T39" s="281">
        <v>8.2520084197007904E-2</v>
      </c>
      <c r="U39" s="252">
        <f t="shared" si="0"/>
        <v>6626.0743531235976</v>
      </c>
      <c r="V39" s="47">
        <f>★構造失業率!O39</f>
        <v>3.7344674289475202E-2</v>
      </c>
      <c r="W39" s="252">
        <f t="shared" si="1"/>
        <v>6378.6257645883516</v>
      </c>
      <c r="X39" s="285">
        <v>504.33333333333331</v>
      </c>
      <c r="Y39" s="252">
        <f t="shared" si="2"/>
        <v>526.36473515503474</v>
      </c>
    </row>
    <row r="40" spans="1:27" ht="19.3">
      <c r="A40" s="27">
        <v>27638</v>
      </c>
      <c r="B40" s="274">
        <v>468</v>
      </c>
      <c r="C40" s="22"/>
      <c r="D40" s="274">
        <v>5290</v>
      </c>
      <c r="E40" s="22"/>
      <c r="F40" s="277">
        <v>5390</v>
      </c>
      <c r="G40" s="22"/>
      <c r="H40" s="277">
        <v>8466</v>
      </c>
      <c r="I40" s="22"/>
      <c r="K40" s="26"/>
      <c r="N40" s="286" t="s">
        <v>80</v>
      </c>
      <c r="O40" s="46">
        <v>11116.583333333334</v>
      </c>
      <c r="P40" s="88">
        <v>0.59330279837180189</v>
      </c>
      <c r="Q40" s="88">
        <v>7.9732987205636943E-2</v>
      </c>
      <c r="R40" s="287">
        <v>11108.6853139587</v>
      </c>
      <c r="S40" s="281">
        <v>0.59630508065570198</v>
      </c>
      <c r="T40" s="281">
        <v>8.1269759427528399E-2</v>
      </c>
      <c r="U40" s="252">
        <f t="shared" si="0"/>
        <v>6624.1654921189547</v>
      </c>
      <c r="V40" s="47">
        <f>★構造失業率!O40</f>
        <v>3.7124952983774301E-2</v>
      </c>
      <c r="W40" s="252">
        <f t="shared" si="1"/>
        <v>6378.2436596672987</v>
      </c>
      <c r="X40" s="285">
        <v>501.66666666666669</v>
      </c>
      <c r="Y40" s="252">
        <f t="shared" si="2"/>
        <v>518.35832779131965</v>
      </c>
    </row>
    <row r="41" spans="1:27" ht="19.3">
      <c r="A41" s="27">
        <v>27668</v>
      </c>
      <c r="B41" s="274">
        <v>469</v>
      </c>
      <c r="C41" s="22"/>
      <c r="D41" s="274">
        <v>5293</v>
      </c>
      <c r="E41" s="22"/>
      <c r="F41" s="277">
        <v>5397</v>
      </c>
      <c r="G41" s="22"/>
      <c r="H41" s="277">
        <v>8474</v>
      </c>
      <c r="I41" s="22"/>
      <c r="K41" s="26"/>
      <c r="N41" s="286" t="s">
        <v>81</v>
      </c>
      <c r="O41" s="46">
        <v>11110.166666666666</v>
      </c>
      <c r="P41" s="88">
        <v>0.59091522779436256</v>
      </c>
      <c r="Q41" s="88">
        <v>8.0219226073570779E-2</v>
      </c>
      <c r="R41" s="287">
        <v>11112.827103420301</v>
      </c>
      <c r="S41" s="281">
        <v>0.59639254622783799</v>
      </c>
      <c r="T41" s="281">
        <v>8.0169183771283098E-2</v>
      </c>
      <c r="U41" s="252">
        <f t="shared" si="0"/>
        <v>6627.6072519985628</v>
      </c>
      <c r="V41" s="47">
        <f>★構造失業率!O41</f>
        <v>3.6925425431914398E-2</v>
      </c>
      <c r="W41" s="252">
        <f t="shared" si="1"/>
        <v>6382.8800346228754</v>
      </c>
      <c r="X41" s="285">
        <v>503.75</v>
      </c>
      <c r="Y41" s="252">
        <f t="shared" si="2"/>
        <v>511.71028248573515</v>
      </c>
    </row>
    <row r="42" spans="1:27" ht="19.3">
      <c r="A42" s="27">
        <v>27699</v>
      </c>
      <c r="B42" s="274">
        <v>492</v>
      </c>
      <c r="C42" s="22"/>
      <c r="D42" s="274">
        <v>5245</v>
      </c>
      <c r="E42" s="22"/>
      <c r="F42" s="277">
        <v>5344</v>
      </c>
      <c r="G42" s="22"/>
      <c r="H42" s="277">
        <v>8482</v>
      </c>
      <c r="I42" s="22"/>
      <c r="K42" s="26"/>
      <c r="N42" s="286" t="s">
        <v>82</v>
      </c>
      <c r="O42" s="46">
        <v>11107.25</v>
      </c>
      <c r="P42" s="88">
        <v>0.59355375993157622</v>
      </c>
      <c r="Q42" s="88">
        <v>7.9084287200832465E-2</v>
      </c>
      <c r="R42" s="287">
        <v>11114.7654709045</v>
      </c>
      <c r="S42" s="281">
        <v>0.59715706827415005</v>
      </c>
      <c r="T42" s="281">
        <v>7.9185402127354601E-2</v>
      </c>
      <c r="U42" s="252">
        <f t="shared" si="0"/>
        <v>6637.260763160084</v>
      </c>
      <c r="V42" s="47">
        <f>★構造失業率!O42</f>
        <v>3.6746921119907801E-2</v>
      </c>
      <c r="W42" s="252">
        <f t="shared" si="1"/>
        <v>6393.3618654439806</v>
      </c>
      <c r="X42" s="285">
        <v>500.33333333333331</v>
      </c>
      <c r="Y42" s="252">
        <f t="shared" si="2"/>
        <v>506.26093026087557</v>
      </c>
    </row>
    <row r="43" spans="1:27" ht="19.3">
      <c r="A43" s="27">
        <v>27729</v>
      </c>
      <c r="B43" s="274">
        <v>491</v>
      </c>
      <c r="C43" s="278">
        <f t="shared" ref="C43:E43" si="8">AVERAGE(B32:B43)</f>
        <v>478.83333333333331</v>
      </c>
      <c r="D43" s="274">
        <v>5185</v>
      </c>
      <c r="E43" s="278">
        <f t="shared" si="8"/>
        <v>5222.666666666667</v>
      </c>
      <c r="F43" s="277">
        <v>5291</v>
      </c>
      <c r="G43" s="278">
        <f t="shared" ref="G43" si="9">AVERAGE(F32:F43)</f>
        <v>5322.666666666667</v>
      </c>
      <c r="H43" s="277">
        <v>8485</v>
      </c>
      <c r="I43" s="278">
        <f t="shared" ref="I43" si="10">AVERAGE(H32:H43)</f>
        <v>8443.0833333333339</v>
      </c>
      <c r="J43" s="47">
        <f t="shared" ref="J43" si="11">G43/I43</f>
        <v>0.63041740280505743</v>
      </c>
      <c r="K43" s="47">
        <f t="shared" ref="K43" si="12">C43/E43</f>
        <v>9.1683686494766395E-2</v>
      </c>
      <c r="N43" s="286" t="s">
        <v>83</v>
      </c>
      <c r="O43" s="46">
        <v>11108.583333333334</v>
      </c>
      <c r="P43" s="88">
        <v>0.59492284494722547</v>
      </c>
      <c r="Q43" s="88">
        <v>7.9577262144557515E-2</v>
      </c>
      <c r="R43" s="287">
        <v>11114.926113906</v>
      </c>
      <c r="S43" s="281">
        <v>0.598596415964461</v>
      </c>
      <c r="T43" s="281">
        <v>7.8285959817852496E-2</v>
      </c>
      <c r="U43" s="252">
        <f t="shared" si="0"/>
        <v>6653.354935493926</v>
      </c>
      <c r="V43" s="47">
        <f>★構造失業率!O43</f>
        <v>3.6591718455117703E-2</v>
      </c>
      <c r="W43" s="252">
        <f t="shared" si="1"/>
        <v>6409.8972449123648</v>
      </c>
      <c r="X43" s="285">
        <v>507</v>
      </c>
      <c r="Y43" s="252">
        <f t="shared" si="2"/>
        <v>501.80495815177284</v>
      </c>
    </row>
    <row r="44" spans="1:27" ht="19.3">
      <c r="A44" s="27">
        <v>27760</v>
      </c>
      <c r="B44" s="274">
        <v>500</v>
      </c>
      <c r="C44" s="22"/>
      <c r="D44" s="274">
        <v>5080</v>
      </c>
      <c r="E44" s="22"/>
      <c r="F44" s="277">
        <v>5206</v>
      </c>
      <c r="G44" s="22"/>
      <c r="H44" s="277">
        <v>8500</v>
      </c>
      <c r="I44" s="22"/>
      <c r="K44" s="26"/>
      <c r="N44" s="286" t="s">
        <v>84</v>
      </c>
      <c r="O44" s="46">
        <v>11110.25</v>
      </c>
      <c r="P44" s="88">
        <v>0.59627371121261896</v>
      </c>
      <c r="Q44" s="88">
        <v>7.8497227212372095E-2</v>
      </c>
      <c r="R44" s="287">
        <v>11113.6595752103</v>
      </c>
      <c r="S44" s="281">
        <v>0.60067232538517201</v>
      </c>
      <c r="T44" s="281">
        <v>7.7437391015622997E-2</v>
      </c>
      <c r="U44" s="252">
        <f t="shared" si="0"/>
        <v>6675.6677405807541</v>
      </c>
      <c r="V44" s="47">
        <f>★構造失業率!O44</f>
        <v>3.6464706113378403E-2</v>
      </c>
      <c r="W44" s="252">
        <f t="shared" si="1"/>
        <v>6432.2414783099166</v>
      </c>
      <c r="X44" s="285">
        <v>502.5</v>
      </c>
      <c r="Y44" s="252">
        <f t="shared" si="2"/>
        <v>498.09599846279394</v>
      </c>
      <c r="AA44" s="24">
        <v>7.3464000786955905E-2</v>
      </c>
    </row>
    <row r="45" spans="1:27" ht="19.3">
      <c r="A45" s="27">
        <v>27791</v>
      </c>
      <c r="B45" s="274">
        <v>507</v>
      </c>
      <c r="C45" s="22"/>
      <c r="D45" s="274">
        <v>5089</v>
      </c>
      <c r="E45" s="22"/>
      <c r="F45" s="277">
        <v>5215</v>
      </c>
      <c r="G45" s="22"/>
      <c r="H45" s="277">
        <v>8505</v>
      </c>
      <c r="I45" s="22"/>
      <c r="K45" s="26"/>
      <c r="N45" s="286" t="s">
        <v>85</v>
      </c>
      <c r="O45" s="46">
        <v>11111.083333333334</v>
      </c>
      <c r="P45" s="88">
        <v>0.60057900144750354</v>
      </c>
      <c r="Q45" s="88">
        <v>7.6515551889042133E-2</v>
      </c>
      <c r="R45" s="287">
        <v>11111.252969797501</v>
      </c>
      <c r="S45" s="281">
        <v>0.60330979691250697</v>
      </c>
      <c r="T45" s="281">
        <v>7.6619142916783595E-2</v>
      </c>
      <c r="U45" s="252">
        <f t="shared" si="0"/>
        <v>6703.5277726520198</v>
      </c>
      <c r="V45" s="47">
        <f>★構造失業率!O45</f>
        <v>3.6361028506832697E-2</v>
      </c>
      <c r="W45" s="252">
        <f t="shared" si="1"/>
        <v>6459.7806082142752</v>
      </c>
      <c r="X45" s="285">
        <v>494.66666666666669</v>
      </c>
      <c r="Y45" s="252">
        <f t="shared" si="2"/>
        <v>494.94285363183678</v>
      </c>
    </row>
    <row r="46" spans="1:27" ht="19.3">
      <c r="A46" s="27">
        <v>27820</v>
      </c>
      <c r="B46" s="274">
        <v>497</v>
      </c>
      <c r="C46" s="22"/>
      <c r="D46" s="274">
        <v>5198</v>
      </c>
      <c r="E46" s="22"/>
      <c r="F46" s="277">
        <v>5324</v>
      </c>
      <c r="G46" s="22"/>
      <c r="H46" s="277">
        <v>8514</v>
      </c>
      <c r="I46" s="22"/>
      <c r="K46" s="26"/>
      <c r="N46" s="286" t="s">
        <v>86</v>
      </c>
      <c r="O46" s="46">
        <v>11108.333333333334</v>
      </c>
      <c r="P46" s="88">
        <v>0.60496624156039014</v>
      </c>
      <c r="Q46" s="88">
        <v>7.6294869013743036E-2</v>
      </c>
      <c r="R46" s="287">
        <v>11107.9593168952</v>
      </c>
      <c r="S46" s="281">
        <v>0.60638984478097002</v>
      </c>
      <c r="T46" s="281">
        <v>7.5821261079415697E-2</v>
      </c>
      <c r="U46" s="252">
        <f t="shared" si="0"/>
        <v>6735.7537260054096</v>
      </c>
      <c r="V46" s="47">
        <f>★構造失業率!O46</f>
        <v>3.6274286434399797E-2</v>
      </c>
      <c r="W46" s="252">
        <f t="shared" si="1"/>
        <v>6491.4190659967135</v>
      </c>
      <c r="X46" s="285">
        <v>498.25</v>
      </c>
      <c r="Y46" s="252">
        <f t="shared" si="2"/>
        <v>492.18757977883359</v>
      </c>
    </row>
    <row r="47" spans="1:27" ht="19.3">
      <c r="A47" s="27">
        <v>27851</v>
      </c>
      <c r="B47" s="274">
        <v>481</v>
      </c>
      <c r="C47" s="22"/>
      <c r="D47" s="274">
        <v>5273</v>
      </c>
      <c r="E47" s="22"/>
      <c r="F47" s="277">
        <v>5387</v>
      </c>
      <c r="G47" s="22"/>
      <c r="H47" s="277">
        <v>8521</v>
      </c>
      <c r="I47" s="22"/>
      <c r="K47" s="26"/>
      <c r="N47" s="286" t="s">
        <v>87</v>
      </c>
      <c r="O47" s="46">
        <v>11101.25</v>
      </c>
      <c r="P47" s="88">
        <v>0.61526104417670691</v>
      </c>
      <c r="Q47" s="88">
        <v>7.5547440691319745E-2</v>
      </c>
      <c r="R47" s="287">
        <v>11104.029939366799</v>
      </c>
      <c r="S47" s="281">
        <v>0.60976617527042098</v>
      </c>
      <c r="T47" s="281">
        <v>7.5032755151322697E-2</v>
      </c>
      <c r="U47" s="252">
        <f t="shared" si="0"/>
        <v>6770.8618662159379</v>
      </c>
      <c r="V47" s="47">
        <f>★構造失業率!O47</f>
        <v>3.6195981076960503E-2</v>
      </c>
      <c r="W47" s="252">
        <f t="shared" si="1"/>
        <v>6525.7838782316721</v>
      </c>
      <c r="X47" s="285">
        <v>503.41666666666669</v>
      </c>
      <c r="Y47" s="252">
        <f t="shared" si="2"/>
        <v>489.64754390580612</v>
      </c>
    </row>
    <row r="48" spans="1:27" ht="19.3">
      <c r="A48" s="27">
        <v>27881</v>
      </c>
      <c r="B48" s="274">
        <v>469</v>
      </c>
      <c r="C48" s="22"/>
      <c r="D48" s="274">
        <v>5331</v>
      </c>
      <c r="E48" s="22"/>
      <c r="F48" s="277">
        <v>5438</v>
      </c>
      <c r="G48" s="22"/>
      <c r="H48" s="277">
        <v>8531</v>
      </c>
      <c r="I48" s="22"/>
      <c r="K48" s="26"/>
      <c r="N48" s="286" t="s">
        <v>88</v>
      </c>
      <c r="O48" s="46">
        <v>11092.333333333334</v>
      </c>
      <c r="P48" s="88">
        <v>0.62081918442167261</v>
      </c>
      <c r="Q48" s="88">
        <v>7.4156690708107167E-2</v>
      </c>
      <c r="R48" s="287">
        <v>11099.719900239599</v>
      </c>
      <c r="S48" s="281">
        <v>0.61327825862850704</v>
      </c>
      <c r="T48" s="281">
        <v>7.4247370859654105E-2</v>
      </c>
      <c r="U48" s="252">
        <f t="shared" si="0"/>
        <v>6807.216891683127</v>
      </c>
      <c r="V48" s="47">
        <f>★構造失業率!O48</f>
        <v>3.6118966186491602E-2</v>
      </c>
      <c r="W48" s="252">
        <f t="shared" si="1"/>
        <v>6561.3472549483095</v>
      </c>
      <c r="X48" s="285">
        <v>498.66666666666669</v>
      </c>
      <c r="Y48" s="252">
        <f>W48*T48</f>
        <v>487.16278297712057</v>
      </c>
    </row>
    <row r="49" spans="1:25" ht="19.3">
      <c r="A49" s="27">
        <v>27912</v>
      </c>
      <c r="B49" s="274">
        <v>478</v>
      </c>
      <c r="C49" s="22"/>
      <c r="D49" s="274">
        <v>5347</v>
      </c>
      <c r="E49" s="22"/>
      <c r="F49" s="277">
        <v>5451</v>
      </c>
      <c r="G49" s="22"/>
      <c r="H49" s="277">
        <v>8537</v>
      </c>
      <c r="I49" s="22"/>
      <c r="K49" s="26"/>
      <c r="N49" s="286" t="s">
        <v>89</v>
      </c>
      <c r="O49" s="46">
        <v>11079.916666666666</v>
      </c>
      <c r="P49" s="88">
        <v>0.61983769432682256</v>
      </c>
      <c r="Q49" s="88">
        <v>7.3665422683757906E-2</v>
      </c>
      <c r="R49" s="287">
        <v>11095.2564631476</v>
      </c>
      <c r="S49" s="281">
        <v>0.61682051379194403</v>
      </c>
      <c r="T49" s="281">
        <v>7.3464000786955905E-2</v>
      </c>
      <c r="U49" s="252">
        <f t="shared" si="0"/>
        <v>6843.7817922520899</v>
      </c>
      <c r="V49" s="47">
        <f>★構造失業率!O49</f>
        <v>3.6036451963230499E-2</v>
      </c>
      <c r="W49" s="252">
        <f t="shared" si="1"/>
        <v>6597.1561784487658</v>
      </c>
      <c r="X49" s="285">
        <v>491.83333333333331</v>
      </c>
      <c r="Y49" s="288">
        <f>Y48</f>
        <v>487.16278297712057</v>
      </c>
    </row>
    <row r="50" spans="1:25" ht="19.3">
      <c r="A50" s="27">
        <v>27942</v>
      </c>
      <c r="B50" s="274">
        <v>492</v>
      </c>
      <c r="C50" s="22"/>
      <c r="D50" s="274">
        <v>5358</v>
      </c>
      <c r="E50" s="22"/>
      <c r="F50" s="277">
        <v>5457</v>
      </c>
      <c r="G50" s="22"/>
      <c r="H50" s="277">
        <v>8539</v>
      </c>
      <c r="I50" s="22"/>
      <c r="K50" s="26"/>
    </row>
    <row r="51" spans="1:25" ht="19.3">
      <c r="A51" s="27">
        <v>27973</v>
      </c>
      <c r="B51" s="274">
        <v>498</v>
      </c>
      <c r="C51" s="22"/>
      <c r="D51" s="274">
        <v>5344</v>
      </c>
      <c r="E51" s="22"/>
      <c r="F51" s="277">
        <v>5447</v>
      </c>
      <c r="G51" s="22"/>
      <c r="H51" s="277">
        <v>8552</v>
      </c>
      <c r="I51" s="22"/>
      <c r="K51" s="26"/>
    </row>
    <row r="52" spans="1:25" ht="19.3">
      <c r="A52" s="27">
        <v>28004</v>
      </c>
      <c r="B52" s="274">
        <v>493</v>
      </c>
      <c r="C52" s="22"/>
      <c r="D52" s="274">
        <v>5346</v>
      </c>
      <c r="E52" s="22"/>
      <c r="F52" s="277">
        <v>5447</v>
      </c>
      <c r="G52" s="22"/>
      <c r="H52" s="277">
        <v>8560</v>
      </c>
      <c r="I52" s="22"/>
      <c r="K52" s="26"/>
    </row>
    <row r="53" spans="1:25" ht="19.3">
      <c r="A53" s="27">
        <v>28034</v>
      </c>
      <c r="B53" s="274">
        <v>484</v>
      </c>
      <c r="C53" s="22"/>
      <c r="D53" s="274">
        <v>5342</v>
      </c>
      <c r="E53" s="22"/>
      <c r="F53" s="277">
        <v>5441</v>
      </c>
      <c r="G53" s="22"/>
      <c r="H53" s="277">
        <v>8567</v>
      </c>
      <c r="I53" s="22"/>
      <c r="K53" s="26"/>
    </row>
    <row r="54" spans="1:25" ht="19.3">
      <c r="A54" s="27">
        <v>28065</v>
      </c>
      <c r="B54" s="274">
        <v>503</v>
      </c>
      <c r="C54" s="22"/>
      <c r="D54" s="274">
        <v>5297</v>
      </c>
      <c r="E54" s="22"/>
      <c r="F54" s="277">
        <v>5394</v>
      </c>
      <c r="G54" s="22"/>
      <c r="H54" s="277">
        <v>8574</v>
      </c>
      <c r="I54" s="22"/>
      <c r="K54" s="26"/>
    </row>
    <row r="55" spans="1:25" ht="19.3">
      <c r="A55" s="27">
        <v>28095</v>
      </c>
      <c r="B55" s="274">
        <v>496</v>
      </c>
      <c r="C55" s="278">
        <f t="shared" ref="C55:E55" si="13">AVERAGE(B44:B55)</f>
        <v>491.5</v>
      </c>
      <c r="D55" s="274">
        <v>5241</v>
      </c>
      <c r="E55" s="278">
        <f t="shared" si="13"/>
        <v>5270.5</v>
      </c>
      <c r="F55" s="277">
        <v>5333</v>
      </c>
      <c r="G55" s="278">
        <f t="shared" ref="G55" si="14">AVERAGE(F44:F55)</f>
        <v>5378.333333333333</v>
      </c>
      <c r="H55" s="277">
        <v>8576</v>
      </c>
      <c r="I55" s="278">
        <f t="shared" ref="I55" si="15">AVERAGE(H44:H55)</f>
        <v>8539.6666666666661</v>
      </c>
      <c r="J55" s="47">
        <f t="shared" ref="J55" si="16">G55/I55</f>
        <v>0.62980600335688353</v>
      </c>
      <c r="K55" s="47">
        <f t="shared" ref="K55" si="17">C55/E55</f>
        <v>9.3254909401385061E-2</v>
      </c>
    </row>
    <row r="56" spans="1:25" ht="19.3">
      <c r="A56" s="27">
        <v>28126</v>
      </c>
      <c r="B56" s="274">
        <v>494</v>
      </c>
      <c r="C56" s="22"/>
      <c r="D56" s="274">
        <v>5139</v>
      </c>
      <c r="E56" s="22"/>
      <c r="F56" s="277">
        <v>5253</v>
      </c>
      <c r="G56" s="22"/>
      <c r="H56" s="277">
        <v>8590</v>
      </c>
      <c r="I56" s="22"/>
      <c r="K56" s="26"/>
    </row>
    <row r="57" spans="1:25" ht="19.3">
      <c r="A57" s="27">
        <v>28157</v>
      </c>
      <c r="B57" s="274">
        <v>500</v>
      </c>
      <c r="C57" s="22"/>
      <c r="D57" s="274">
        <v>5133</v>
      </c>
      <c r="E57" s="22"/>
      <c r="F57" s="277">
        <v>5256</v>
      </c>
      <c r="G57" s="22"/>
      <c r="H57" s="277">
        <v>8597</v>
      </c>
      <c r="I57" s="22"/>
      <c r="K57" s="26"/>
    </row>
    <row r="58" spans="1:25" ht="19.3">
      <c r="A58" s="27">
        <v>28185</v>
      </c>
      <c r="B58" s="274">
        <v>496</v>
      </c>
      <c r="C58" s="22"/>
      <c r="D58" s="274">
        <v>5230</v>
      </c>
      <c r="E58" s="22"/>
      <c r="F58" s="277">
        <v>5357</v>
      </c>
      <c r="G58" s="22"/>
      <c r="H58" s="277">
        <v>8605</v>
      </c>
      <c r="I58" s="22"/>
      <c r="K58" s="26"/>
    </row>
    <row r="59" spans="1:25" ht="19.3">
      <c r="A59" s="27">
        <v>28216</v>
      </c>
      <c r="B59" s="274">
        <v>494</v>
      </c>
      <c r="C59" s="22"/>
      <c r="D59" s="274">
        <v>5365</v>
      </c>
      <c r="E59" s="22"/>
      <c r="F59" s="277">
        <v>5471</v>
      </c>
      <c r="G59" s="22"/>
      <c r="H59" s="277">
        <v>8611</v>
      </c>
      <c r="I59" s="22"/>
      <c r="K59" s="26"/>
    </row>
    <row r="60" spans="1:25" ht="19.3">
      <c r="A60" s="27">
        <v>28246</v>
      </c>
      <c r="B60" s="274">
        <v>497</v>
      </c>
      <c r="C60" s="22"/>
      <c r="D60" s="274">
        <v>5430</v>
      </c>
      <c r="E60" s="22"/>
      <c r="F60" s="277">
        <v>5540</v>
      </c>
      <c r="G60" s="22"/>
      <c r="H60" s="277">
        <v>8622</v>
      </c>
      <c r="I60" s="22"/>
      <c r="K60" s="26"/>
    </row>
    <row r="61" spans="1:25" ht="19.3">
      <c r="A61" s="27">
        <v>28277</v>
      </c>
      <c r="B61" s="274">
        <v>506</v>
      </c>
      <c r="C61" s="22"/>
      <c r="D61" s="274">
        <v>5440</v>
      </c>
      <c r="E61" s="22"/>
      <c r="F61" s="277">
        <v>5551</v>
      </c>
      <c r="G61" s="22"/>
      <c r="H61" s="277">
        <v>8628</v>
      </c>
      <c r="I61" s="22"/>
      <c r="K61" s="26"/>
    </row>
    <row r="62" spans="1:25" ht="19.3">
      <c r="A62" s="27">
        <v>28307</v>
      </c>
      <c r="B62" s="274">
        <v>507</v>
      </c>
      <c r="C62" s="22"/>
      <c r="D62" s="274">
        <v>5444</v>
      </c>
      <c r="E62" s="22"/>
      <c r="F62" s="277">
        <v>5549</v>
      </c>
      <c r="G62" s="22"/>
      <c r="H62" s="277">
        <v>8631</v>
      </c>
      <c r="I62" s="22"/>
      <c r="K62" s="26"/>
    </row>
    <row r="63" spans="1:25" ht="19.3">
      <c r="A63" s="27">
        <v>28338</v>
      </c>
      <c r="B63" s="274">
        <v>499</v>
      </c>
      <c r="C63" s="22"/>
      <c r="D63" s="274">
        <v>5410</v>
      </c>
      <c r="E63" s="22"/>
      <c r="F63" s="277">
        <v>5516</v>
      </c>
      <c r="G63" s="22"/>
      <c r="H63" s="277">
        <v>8643</v>
      </c>
      <c r="I63" s="22"/>
      <c r="K63" s="26"/>
    </row>
    <row r="64" spans="1:25" ht="19.3">
      <c r="A64" s="27">
        <v>28369</v>
      </c>
      <c r="B64" s="274">
        <v>487</v>
      </c>
      <c r="C64" s="22"/>
      <c r="D64" s="274">
        <v>5415</v>
      </c>
      <c r="E64" s="22"/>
      <c r="F64" s="277">
        <v>5520</v>
      </c>
      <c r="G64" s="22"/>
      <c r="H64" s="277">
        <v>8650</v>
      </c>
      <c r="I64" s="22"/>
      <c r="K64" s="26"/>
    </row>
    <row r="65" spans="1:11" ht="19.3">
      <c r="A65" s="27">
        <v>28399</v>
      </c>
      <c r="B65" s="274">
        <v>485</v>
      </c>
      <c r="C65" s="22"/>
      <c r="D65" s="274">
        <v>5402</v>
      </c>
      <c r="E65" s="22"/>
      <c r="F65" s="277">
        <v>5501</v>
      </c>
      <c r="G65" s="22"/>
      <c r="H65" s="277">
        <v>8659</v>
      </c>
      <c r="I65" s="22"/>
      <c r="K65" s="26"/>
    </row>
    <row r="66" spans="1:11" ht="19.3">
      <c r="A66" s="27">
        <v>28430</v>
      </c>
      <c r="B66" s="274">
        <v>508</v>
      </c>
      <c r="C66" s="22"/>
      <c r="D66" s="274">
        <v>5378</v>
      </c>
      <c r="E66" s="22"/>
      <c r="F66" s="277">
        <v>5480</v>
      </c>
      <c r="G66" s="22"/>
      <c r="H66" s="277">
        <v>8666</v>
      </c>
      <c r="I66" s="22"/>
      <c r="K66" s="26"/>
    </row>
    <row r="67" spans="1:11" ht="19.3">
      <c r="A67" s="27">
        <v>28460</v>
      </c>
      <c r="B67" s="274">
        <v>515</v>
      </c>
      <c r="C67" s="278">
        <f t="shared" ref="C67:E67" si="18">AVERAGE(B56:B67)</f>
        <v>499</v>
      </c>
      <c r="D67" s="274">
        <v>5314</v>
      </c>
      <c r="E67" s="278">
        <f t="shared" si="18"/>
        <v>5341.666666666667</v>
      </c>
      <c r="F67" s="277">
        <v>5426</v>
      </c>
      <c r="G67" s="278">
        <f t="shared" ref="G67" si="19">AVERAGE(F56:F67)</f>
        <v>5451.666666666667</v>
      </c>
      <c r="H67" s="277">
        <v>8668</v>
      </c>
      <c r="I67" s="278">
        <f t="shared" ref="I67" si="20">AVERAGE(H56:H67)</f>
        <v>8630.8333333333339</v>
      </c>
      <c r="J67" s="47">
        <f t="shared" ref="J67" si="21">G67/I67</f>
        <v>0.6316500917254031</v>
      </c>
      <c r="K67" s="47">
        <f t="shared" ref="K67" si="22">C67/E67</f>
        <v>9.3416536661466459E-2</v>
      </c>
    </row>
    <row r="68" spans="1:11" ht="19.3">
      <c r="A68" s="27">
        <v>28491</v>
      </c>
      <c r="B68" s="274">
        <v>502</v>
      </c>
      <c r="C68" s="22"/>
      <c r="D68" s="274">
        <v>5190</v>
      </c>
      <c r="E68" s="22"/>
      <c r="F68" s="277">
        <v>5315</v>
      </c>
      <c r="G68" s="22"/>
      <c r="H68" s="277">
        <v>8683</v>
      </c>
      <c r="I68" s="22"/>
      <c r="K68" s="26"/>
    </row>
    <row r="69" spans="1:11" ht="19.3">
      <c r="A69" s="27">
        <v>28522</v>
      </c>
      <c r="B69" s="274">
        <v>505</v>
      </c>
      <c r="C69" s="22"/>
      <c r="D69" s="274">
        <v>5212</v>
      </c>
      <c r="E69" s="22"/>
      <c r="F69" s="277">
        <v>5348</v>
      </c>
      <c r="G69" s="22"/>
      <c r="H69" s="277">
        <v>8690</v>
      </c>
      <c r="I69" s="22"/>
      <c r="K69" s="26"/>
    </row>
    <row r="70" spans="1:11" ht="19.3">
      <c r="A70" s="27">
        <v>28550</v>
      </c>
      <c r="B70" s="274">
        <v>516</v>
      </c>
      <c r="C70" s="22"/>
      <c r="D70" s="274">
        <v>5297</v>
      </c>
      <c r="E70" s="22"/>
      <c r="F70" s="277">
        <v>5438</v>
      </c>
      <c r="G70" s="22"/>
      <c r="H70" s="277">
        <v>8698</v>
      </c>
      <c r="I70" s="22"/>
      <c r="K70" s="26"/>
    </row>
    <row r="71" spans="1:11" ht="19.3">
      <c r="A71" s="27">
        <v>28581</v>
      </c>
      <c r="B71" s="274">
        <v>500</v>
      </c>
      <c r="C71" s="22"/>
      <c r="D71" s="274">
        <v>5413</v>
      </c>
      <c r="E71" s="22"/>
      <c r="F71" s="277">
        <v>5537</v>
      </c>
      <c r="G71" s="22"/>
      <c r="H71" s="277">
        <v>8705</v>
      </c>
      <c r="I71" s="22"/>
      <c r="K71" s="26"/>
    </row>
    <row r="72" spans="1:11" ht="19.3">
      <c r="A72" s="27">
        <v>28611</v>
      </c>
      <c r="B72" s="274">
        <v>512</v>
      </c>
      <c r="C72" s="22"/>
      <c r="D72" s="274">
        <v>5532</v>
      </c>
      <c r="E72" s="22"/>
      <c r="F72" s="277">
        <v>5656</v>
      </c>
      <c r="G72" s="22"/>
      <c r="H72" s="277">
        <v>8717</v>
      </c>
      <c r="I72" s="22"/>
      <c r="K72" s="26"/>
    </row>
    <row r="73" spans="1:11" ht="19.3">
      <c r="A73" s="27">
        <v>28642</v>
      </c>
      <c r="B73" s="274">
        <v>527</v>
      </c>
      <c r="C73" s="22"/>
      <c r="D73" s="274">
        <v>5550</v>
      </c>
      <c r="E73" s="22"/>
      <c r="F73" s="277">
        <v>5676</v>
      </c>
      <c r="G73" s="22"/>
      <c r="H73" s="277">
        <v>8724</v>
      </c>
      <c r="I73" s="22"/>
      <c r="K73" s="26"/>
    </row>
    <row r="74" spans="1:11" ht="19.3">
      <c r="A74" s="27">
        <v>28672</v>
      </c>
      <c r="B74" s="274">
        <v>532</v>
      </c>
      <c r="C74" s="22"/>
      <c r="D74" s="274">
        <v>5494</v>
      </c>
      <c r="E74" s="22"/>
      <c r="F74" s="277">
        <v>5609</v>
      </c>
      <c r="G74" s="22"/>
      <c r="H74" s="277">
        <v>8727</v>
      </c>
      <c r="I74" s="22"/>
      <c r="K74" s="26"/>
    </row>
    <row r="75" spans="1:11" ht="19.3">
      <c r="A75" s="27">
        <v>28703</v>
      </c>
      <c r="B75" s="274">
        <v>536</v>
      </c>
      <c r="C75" s="22"/>
      <c r="D75" s="274">
        <v>5454</v>
      </c>
      <c r="E75" s="22"/>
      <c r="F75" s="277">
        <v>5576</v>
      </c>
      <c r="G75" s="22"/>
      <c r="H75" s="277">
        <v>8739</v>
      </c>
      <c r="I75" s="22"/>
      <c r="K75" s="26"/>
    </row>
    <row r="76" spans="1:11" ht="19.3">
      <c r="A76" s="27">
        <v>28734</v>
      </c>
      <c r="B76" s="274">
        <v>526</v>
      </c>
      <c r="C76" s="22"/>
      <c r="D76" s="274">
        <v>5460</v>
      </c>
      <c r="E76" s="22"/>
      <c r="F76" s="277">
        <v>5585</v>
      </c>
      <c r="G76" s="22"/>
      <c r="H76" s="277">
        <v>8746</v>
      </c>
      <c r="I76" s="22"/>
      <c r="K76" s="26"/>
    </row>
    <row r="77" spans="1:11" ht="19.3">
      <c r="A77" s="27">
        <v>28764</v>
      </c>
      <c r="B77" s="274">
        <v>520</v>
      </c>
      <c r="C77" s="22"/>
      <c r="D77" s="274">
        <v>5474</v>
      </c>
      <c r="E77" s="22"/>
      <c r="F77" s="277">
        <v>5591</v>
      </c>
      <c r="G77" s="22"/>
      <c r="H77" s="277">
        <v>8755</v>
      </c>
      <c r="I77" s="22"/>
      <c r="K77" s="26"/>
    </row>
    <row r="78" spans="1:11" ht="19.3">
      <c r="A78" s="27">
        <v>28795</v>
      </c>
      <c r="B78" s="274">
        <v>530</v>
      </c>
      <c r="C78" s="22"/>
      <c r="D78" s="274">
        <v>5442</v>
      </c>
      <c r="E78" s="22"/>
      <c r="F78" s="277">
        <v>5558</v>
      </c>
      <c r="G78" s="22"/>
      <c r="H78" s="277">
        <v>8763</v>
      </c>
      <c r="I78" s="22"/>
      <c r="K78" s="26"/>
    </row>
    <row r="79" spans="1:11" ht="19.3">
      <c r="A79" s="27">
        <v>28825</v>
      </c>
      <c r="B79" s="274">
        <v>534</v>
      </c>
      <c r="C79" s="278">
        <f t="shared" ref="C79:E79" si="23">AVERAGE(B68:B79)</f>
        <v>520</v>
      </c>
      <c r="D79" s="274">
        <v>5375</v>
      </c>
      <c r="E79" s="278">
        <f t="shared" si="23"/>
        <v>5407.75</v>
      </c>
      <c r="F79" s="277">
        <v>5491</v>
      </c>
      <c r="G79" s="278">
        <f t="shared" ref="G79" si="24">AVERAGE(F68:F79)</f>
        <v>5531.666666666667</v>
      </c>
      <c r="H79" s="277">
        <v>8764</v>
      </c>
      <c r="I79" s="278">
        <f t="shared" ref="I79" si="25">AVERAGE(H68:H79)</f>
        <v>8725.9166666666661</v>
      </c>
      <c r="J79" s="47">
        <f t="shared" ref="J79" si="26">G79/I79</f>
        <v>0.63393530765631123</v>
      </c>
      <c r="K79" s="47">
        <f t="shared" ref="K79" si="27">C79/E79</f>
        <v>9.6158291341130783E-2</v>
      </c>
    </row>
    <row r="80" spans="1:11" ht="19.3">
      <c r="A80" s="27">
        <v>28856</v>
      </c>
      <c r="B80" s="274">
        <v>548</v>
      </c>
      <c r="C80" s="22"/>
      <c r="D80" s="274">
        <v>5294</v>
      </c>
      <c r="E80" s="22"/>
      <c r="F80" s="277">
        <v>5422</v>
      </c>
      <c r="G80" s="22"/>
      <c r="H80" s="277">
        <v>8778</v>
      </c>
      <c r="I80" s="22"/>
      <c r="K80" s="26"/>
    </row>
    <row r="81" spans="1:11" ht="19.3">
      <c r="A81" s="27">
        <v>28887</v>
      </c>
      <c r="B81" s="274">
        <v>539</v>
      </c>
      <c r="C81" s="22"/>
      <c r="D81" s="274">
        <v>5284</v>
      </c>
      <c r="E81" s="22"/>
      <c r="F81" s="277">
        <v>5405</v>
      </c>
      <c r="G81" s="22"/>
      <c r="H81" s="277">
        <v>8784</v>
      </c>
      <c r="I81" s="22"/>
      <c r="K81" s="26"/>
    </row>
    <row r="82" spans="1:11" ht="19.3">
      <c r="A82" s="27">
        <v>28915</v>
      </c>
      <c r="B82" s="274">
        <v>544</v>
      </c>
      <c r="C82" s="22"/>
      <c r="D82" s="274">
        <v>5353</v>
      </c>
      <c r="E82" s="22"/>
      <c r="F82" s="277">
        <v>5488</v>
      </c>
      <c r="G82" s="22"/>
      <c r="H82" s="277">
        <v>8795</v>
      </c>
      <c r="I82" s="22"/>
      <c r="K82" s="26"/>
    </row>
    <row r="83" spans="1:11" ht="19.3">
      <c r="A83" s="27">
        <v>28946</v>
      </c>
      <c r="B83" s="274">
        <v>545</v>
      </c>
      <c r="C83" s="22"/>
      <c r="D83" s="274">
        <v>5482</v>
      </c>
      <c r="E83" s="22"/>
      <c r="F83" s="277">
        <v>5606</v>
      </c>
      <c r="G83" s="22"/>
      <c r="H83" s="277">
        <v>8802</v>
      </c>
      <c r="I83" s="22"/>
      <c r="K83" s="26"/>
    </row>
    <row r="84" spans="1:11" ht="19.3">
      <c r="A84" s="27">
        <v>28976</v>
      </c>
      <c r="B84" s="274">
        <v>532</v>
      </c>
      <c r="C84" s="22"/>
      <c r="D84" s="274">
        <v>5581</v>
      </c>
      <c r="E84" s="22"/>
      <c r="F84" s="277">
        <v>5692</v>
      </c>
      <c r="G84" s="22"/>
      <c r="H84" s="277">
        <v>8814</v>
      </c>
      <c r="I84" s="22"/>
      <c r="K84" s="26"/>
    </row>
    <row r="85" spans="1:11" ht="19.3">
      <c r="A85" s="27">
        <v>29007</v>
      </c>
      <c r="B85" s="274">
        <v>531</v>
      </c>
      <c r="C85" s="22"/>
      <c r="D85" s="274">
        <v>5598</v>
      </c>
      <c r="E85" s="22"/>
      <c r="F85" s="277">
        <v>5709</v>
      </c>
      <c r="G85" s="22"/>
      <c r="H85" s="277">
        <v>8820</v>
      </c>
      <c r="I85" s="22"/>
      <c r="K85" s="26"/>
    </row>
    <row r="86" spans="1:11" ht="19.3">
      <c r="A86" s="27">
        <v>29037</v>
      </c>
      <c r="B86" s="274">
        <v>539</v>
      </c>
      <c r="C86" s="22"/>
      <c r="D86" s="274">
        <v>5580</v>
      </c>
      <c r="E86" s="22"/>
      <c r="F86" s="277">
        <v>5696</v>
      </c>
      <c r="G86" s="22"/>
      <c r="H86" s="277">
        <v>8825</v>
      </c>
      <c r="I86" s="22"/>
      <c r="K86" s="26"/>
    </row>
    <row r="87" spans="1:11" ht="19.3">
      <c r="A87" s="27">
        <v>29068</v>
      </c>
      <c r="B87" s="274">
        <v>524</v>
      </c>
      <c r="C87" s="22"/>
      <c r="D87" s="274">
        <v>5554</v>
      </c>
      <c r="E87" s="22"/>
      <c r="F87" s="277">
        <v>5673</v>
      </c>
      <c r="G87" s="22"/>
      <c r="H87" s="277">
        <v>8838</v>
      </c>
      <c r="I87" s="22"/>
      <c r="K87" s="26"/>
    </row>
    <row r="88" spans="1:11" ht="19.3">
      <c r="A88" s="27">
        <v>29099</v>
      </c>
      <c r="B88" s="274">
        <v>517</v>
      </c>
      <c r="C88" s="22"/>
      <c r="D88" s="274">
        <v>5533</v>
      </c>
      <c r="E88" s="22"/>
      <c r="F88" s="277">
        <v>5641</v>
      </c>
      <c r="G88" s="22"/>
      <c r="H88" s="277">
        <v>8846</v>
      </c>
      <c r="I88" s="22"/>
      <c r="K88" s="26"/>
    </row>
    <row r="89" spans="1:11" ht="19.3">
      <c r="A89" s="27">
        <v>29129</v>
      </c>
      <c r="B89" s="274">
        <v>524</v>
      </c>
      <c r="C89" s="22"/>
      <c r="D89" s="274">
        <v>5552</v>
      </c>
      <c r="E89" s="22"/>
      <c r="F89" s="277">
        <v>5663</v>
      </c>
      <c r="G89" s="22"/>
      <c r="H89" s="277">
        <v>8856</v>
      </c>
      <c r="I89" s="22"/>
      <c r="K89" s="26"/>
    </row>
    <row r="90" spans="1:11" ht="19.3">
      <c r="A90" s="27">
        <v>29160</v>
      </c>
      <c r="B90" s="274">
        <v>536</v>
      </c>
      <c r="C90" s="22"/>
      <c r="D90" s="274">
        <v>5509</v>
      </c>
      <c r="E90" s="22"/>
      <c r="F90" s="277">
        <v>5620</v>
      </c>
      <c r="G90" s="22"/>
      <c r="H90" s="277">
        <v>8863</v>
      </c>
      <c r="I90" s="22"/>
      <c r="K90" s="26"/>
    </row>
    <row r="91" spans="1:11" ht="19.3">
      <c r="A91" s="27">
        <v>29190</v>
      </c>
      <c r="B91" s="274">
        <v>549</v>
      </c>
      <c r="C91" s="278">
        <f t="shared" ref="C91:E91" si="28">AVERAGE(B80:B91)</f>
        <v>535.66666666666663</v>
      </c>
      <c r="D91" s="274">
        <v>5432</v>
      </c>
      <c r="E91" s="278">
        <f t="shared" si="28"/>
        <v>5479.333333333333</v>
      </c>
      <c r="F91" s="277">
        <v>5539</v>
      </c>
      <c r="G91" s="278">
        <f t="shared" ref="G91" si="29">AVERAGE(F80:F91)</f>
        <v>5596.166666666667</v>
      </c>
      <c r="H91" s="277">
        <v>8869</v>
      </c>
      <c r="I91" s="278">
        <f t="shared" ref="I91" si="30">AVERAGE(H80:H91)</f>
        <v>8824.1666666666661</v>
      </c>
      <c r="J91" s="47">
        <f t="shared" ref="J91" si="31">G91/I91</f>
        <v>0.63418641986967617</v>
      </c>
      <c r="K91" s="47">
        <f t="shared" ref="K91" si="32">C91/E91</f>
        <v>9.7761284827837941E-2</v>
      </c>
    </row>
    <row r="92" spans="1:11" ht="19.3">
      <c r="A92" s="27">
        <v>29221</v>
      </c>
      <c r="B92" s="274">
        <v>541</v>
      </c>
      <c r="C92" s="22"/>
      <c r="D92" s="274">
        <v>5333</v>
      </c>
      <c r="E92" s="22"/>
      <c r="F92" s="277">
        <v>5446</v>
      </c>
      <c r="G92" s="22"/>
      <c r="H92" s="277">
        <v>8884</v>
      </c>
      <c r="I92" s="22"/>
      <c r="K92" s="26"/>
    </row>
    <row r="93" spans="1:11" ht="19.3">
      <c r="A93" s="27">
        <v>29252</v>
      </c>
      <c r="B93" s="274">
        <v>535</v>
      </c>
      <c r="C93" s="22"/>
      <c r="D93" s="274">
        <v>5339</v>
      </c>
      <c r="E93" s="22"/>
      <c r="F93" s="277">
        <v>5450</v>
      </c>
      <c r="G93" s="22"/>
      <c r="H93" s="277">
        <v>8890</v>
      </c>
      <c r="I93" s="22"/>
      <c r="K93" s="26"/>
    </row>
    <row r="94" spans="1:11" ht="19.3">
      <c r="A94" s="27">
        <v>29281</v>
      </c>
      <c r="B94" s="274">
        <v>545</v>
      </c>
      <c r="C94" s="22"/>
      <c r="D94" s="274">
        <v>5425</v>
      </c>
      <c r="E94" s="22"/>
      <c r="F94" s="277">
        <v>5548</v>
      </c>
      <c r="G94" s="22"/>
      <c r="H94" s="277">
        <v>8900</v>
      </c>
      <c r="I94" s="22"/>
      <c r="K94" s="26"/>
    </row>
    <row r="95" spans="1:11" ht="19.3">
      <c r="A95" s="27">
        <v>29312</v>
      </c>
      <c r="B95" s="274">
        <v>545</v>
      </c>
      <c r="C95" s="22"/>
      <c r="D95" s="274">
        <v>5557</v>
      </c>
      <c r="E95" s="22"/>
      <c r="F95" s="277">
        <v>5674</v>
      </c>
      <c r="G95" s="22"/>
      <c r="H95" s="277">
        <v>8907</v>
      </c>
      <c r="I95" s="22"/>
      <c r="K95" s="26"/>
    </row>
    <row r="96" spans="1:11" ht="19.3">
      <c r="A96" s="27">
        <v>29342</v>
      </c>
      <c r="B96" s="274">
        <v>547</v>
      </c>
      <c r="C96" s="22"/>
      <c r="D96" s="274">
        <v>5610</v>
      </c>
      <c r="E96" s="22"/>
      <c r="F96" s="277">
        <v>5719</v>
      </c>
      <c r="G96" s="22"/>
      <c r="H96" s="277">
        <v>8919</v>
      </c>
      <c r="I96" s="22"/>
      <c r="K96" s="26"/>
    </row>
    <row r="97" spans="1:11" ht="19.3">
      <c r="A97" s="27">
        <v>29373</v>
      </c>
      <c r="B97" s="274">
        <v>561</v>
      </c>
      <c r="C97" s="22"/>
      <c r="D97" s="274">
        <v>5658</v>
      </c>
      <c r="E97" s="22"/>
      <c r="F97" s="277">
        <v>5763</v>
      </c>
      <c r="G97" s="22"/>
      <c r="H97" s="277">
        <v>8928</v>
      </c>
      <c r="I97" s="22"/>
      <c r="K97" s="26"/>
    </row>
    <row r="98" spans="1:11" ht="19.3">
      <c r="A98" s="27">
        <v>29403</v>
      </c>
      <c r="B98" s="274">
        <v>557</v>
      </c>
      <c r="C98" s="22"/>
      <c r="D98" s="274">
        <v>5641</v>
      </c>
      <c r="E98" s="22"/>
      <c r="F98" s="277">
        <v>5754</v>
      </c>
      <c r="G98" s="22"/>
      <c r="H98" s="277">
        <v>8930</v>
      </c>
      <c r="I98" s="22"/>
      <c r="K98" s="26"/>
    </row>
    <row r="99" spans="1:11" ht="19.3">
      <c r="A99" s="27">
        <v>29434</v>
      </c>
      <c r="B99" s="274">
        <v>541</v>
      </c>
      <c r="C99" s="22"/>
      <c r="D99" s="274">
        <v>5609</v>
      </c>
      <c r="E99" s="22"/>
      <c r="F99" s="277">
        <v>5724</v>
      </c>
      <c r="G99" s="22"/>
      <c r="H99" s="277">
        <v>8946</v>
      </c>
      <c r="I99" s="22"/>
      <c r="K99" s="26"/>
    </row>
    <row r="100" spans="1:11" ht="19.3">
      <c r="A100" s="27">
        <v>29465</v>
      </c>
      <c r="B100" s="274">
        <v>534</v>
      </c>
      <c r="C100" s="22"/>
      <c r="D100" s="274">
        <v>5621</v>
      </c>
      <c r="E100" s="22"/>
      <c r="F100" s="277">
        <v>5730</v>
      </c>
      <c r="G100" s="22"/>
      <c r="H100" s="277">
        <v>8957</v>
      </c>
      <c r="I100" s="22"/>
      <c r="K100" s="26"/>
    </row>
    <row r="101" spans="1:11" ht="19.3">
      <c r="A101" s="27">
        <v>29495</v>
      </c>
      <c r="B101" s="274">
        <v>533</v>
      </c>
      <c r="C101" s="22"/>
      <c r="D101" s="274">
        <v>5603</v>
      </c>
      <c r="E101" s="22"/>
      <c r="F101" s="277">
        <v>5716</v>
      </c>
      <c r="G101" s="22"/>
      <c r="H101" s="277">
        <v>8969</v>
      </c>
      <c r="I101" s="22"/>
      <c r="K101" s="26"/>
    </row>
    <row r="102" spans="1:11" ht="19.3">
      <c r="A102" s="27">
        <v>29526</v>
      </c>
      <c r="B102" s="274">
        <v>563</v>
      </c>
      <c r="C102" s="22"/>
      <c r="D102" s="274">
        <v>5553</v>
      </c>
      <c r="E102" s="22"/>
      <c r="F102" s="277">
        <v>5674</v>
      </c>
      <c r="G102" s="22"/>
      <c r="H102" s="277">
        <v>8977</v>
      </c>
      <c r="I102" s="22"/>
      <c r="K102" s="26"/>
    </row>
    <row r="103" spans="1:11" ht="19.3">
      <c r="A103" s="27">
        <v>29556</v>
      </c>
      <c r="B103" s="274">
        <v>576</v>
      </c>
      <c r="C103" s="278">
        <f t="shared" ref="C103:E103" si="33">AVERAGE(B92:B103)</f>
        <v>548.16666666666663</v>
      </c>
      <c r="D103" s="274">
        <v>5483</v>
      </c>
      <c r="E103" s="278">
        <f t="shared" si="33"/>
        <v>5536</v>
      </c>
      <c r="F103" s="277">
        <v>5601</v>
      </c>
      <c r="G103" s="278">
        <f t="shared" ref="G103" si="34">AVERAGE(F92:F103)</f>
        <v>5649.916666666667</v>
      </c>
      <c r="H103" s="277">
        <v>8978</v>
      </c>
      <c r="I103" s="278">
        <f t="shared" ref="I103" si="35">AVERAGE(H92:H103)</f>
        <v>8932.0833333333339</v>
      </c>
      <c r="J103" s="47">
        <f t="shared" ref="J103" si="36">G103/I103</f>
        <v>0.63254186686569946</v>
      </c>
      <c r="K103" s="47">
        <f t="shared" ref="K103" si="37">C103/E103</f>
        <v>9.9018545279383419E-2</v>
      </c>
    </row>
    <row r="104" spans="1:11" ht="19.3">
      <c r="A104" s="27">
        <v>29587</v>
      </c>
      <c r="B104" s="274">
        <v>547</v>
      </c>
      <c r="C104" s="22"/>
      <c r="D104" s="274">
        <v>5408</v>
      </c>
      <c r="E104" s="22"/>
      <c r="F104" s="277">
        <v>5532</v>
      </c>
      <c r="G104" s="22"/>
      <c r="H104" s="277">
        <v>8991</v>
      </c>
      <c r="I104" s="22"/>
      <c r="K104" s="26"/>
    </row>
    <row r="105" spans="1:11" ht="19.3">
      <c r="A105" s="27">
        <v>29618</v>
      </c>
      <c r="B105" s="274">
        <v>539</v>
      </c>
      <c r="C105" s="22"/>
      <c r="D105" s="274">
        <v>5398</v>
      </c>
      <c r="E105" s="22"/>
      <c r="F105" s="277">
        <v>5533</v>
      </c>
      <c r="G105" s="22"/>
      <c r="H105" s="277">
        <v>8992</v>
      </c>
      <c r="I105" s="22"/>
      <c r="K105" s="26"/>
    </row>
    <row r="106" spans="1:11" ht="19.3">
      <c r="A106" s="27">
        <v>29646</v>
      </c>
      <c r="B106" s="274">
        <v>526</v>
      </c>
      <c r="C106" s="22"/>
      <c r="D106" s="274">
        <v>5488</v>
      </c>
      <c r="E106" s="22"/>
      <c r="F106" s="277">
        <v>5629</v>
      </c>
      <c r="G106" s="22"/>
      <c r="H106" s="277">
        <v>8998</v>
      </c>
      <c r="I106" s="22"/>
      <c r="K106" s="26"/>
    </row>
    <row r="107" spans="1:11" ht="19.3">
      <c r="A107" s="27">
        <v>29677</v>
      </c>
      <c r="B107" s="274">
        <v>528</v>
      </c>
      <c r="C107" s="22"/>
      <c r="D107" s="274">
        <v>5621</v>
      </c>
      <c r="E107" s="22"/>
      <c r="F107" s="277">
        <v>5759</v>
      </c>
      <c r="G107" s="22"/>
      <c r="H107" s="277">
        <v>9002</v>
      </c>
      <c r="I107" s="22"/>
      <c r="K107" s="26"/>
    </row>
    <row r="108" spans="1:11" ht="19.3">
      <c r="A108" s="27">
        <v>29707</v>
      </c>
      <c r="B108" s="274">
        <v>545</v>
      </c>
      <c r="C108" s="22"/>
      <c r="D108" s="274">
        <v>5656</v>
      </c>
      <c r="E108" s="22"/>
      <c r="F108" s="277">
        <v>5788</v>
      </c>
      <c r="G108" s="22"/>
      <c r="H108" s="277">
        <v>9010</v>
      </c>
      <c r="I108" s="22"/>
      <c r="K108" s="26"/>
    </row>
    <row r="109" spans="1:11" ht="19.3">
      <c r="A109" s="27">
        <v>29738</v>
      </c>
      <c r="B109" s="274">
        <v>559</v>
      </c>
      <c r="C109" s="22"/>
      <c r="D109" s="274">
        <v>5678</v>
      </c>
      <c r="E109" s="22"/>
      <c r="F109" s="277">
        <v>5804</v>
      </c>
      <c r="G109" s="22"/>
      <c r="H109" s="277">
        <v>9015</v>
      </c>
      <c r="I109" s="22"/>
      <c r="K109" s="26"/>
    </row>
    <row r="110" spans="1:11" ht="19.3">
      <c r="A110" s="27">
        <v>29768</v>
      </c>
      <c r="B110" s="274">
        <v>554</v>
      </c>
      <c r="C110" s="22"/>
      <c r="D110" s="274">
        <v>5660</v>
      </c>
      <c r="E110" s="22"/>
      <c r="F110" s="277">
        <v>5781</v>
      </c>
      <c r="G110" s="22"/>
      <c r="H110" s="277">
        <v>9015</v>
      </c>
      <c r="I110" s="22"/>
      <c r="K110" s="26"/>
    </row>
    <row r="111" spans="1:11" ht="19.3">
      <c r="A111" s="27">
        <v>29799</v>
      </c>
      <c r="B111" s="274">
        <v>532</v>
      </c>
      <c r="C111" s="22"/>
      <c r="D111" s="274">
        <v>5641</v>
      </c>
      <c r="E111" s="22"/>
      <c r="F111" s="277">
        <v>5756</v>
      </c>
      <c r="G111" s="22"/>
      <c r="H111" s="277">
        <v>9026</v>
      </c>
      <c r="I111" s="22"/>
      <c r="K111" s="26"/>
    </row>
    <row r="112" spans="1:11" ht="19.3">
      <c r="A112" s="27">
        <v>29830</v>
      </c>
      <c r="B112" s="274">
        <v>530</v>
      </c>
      <c r="C112" s="22"/>
      <c r="D112" s="274">
        <v>5639</v>
      </c>
      <c r="E112" s="22"/>
      <c r="F112" s="277">
        <v>5759</v>
      </c>
      <c r="G112" s="22"/>
      <c r="H112" s="277">
        <v>9032</v>
      </c>
      <c r="I112" s="22"/>
      <c r="K112" s="26"/>
    </row>
    <row r="113" spans="1:11" ht="19.3">
      <c r="A113" s="27">
        <v>29860</v>
      </c>
      <c r="B113" s="274">
        <v>553</v>
      </c>
      <c r="C113" s="22"/>
      <c r="D113" s="274">
        <v>5637</v>
      </c>
      <c r="E113" s="22"/>
      <c r="F113" s="277">
        <v>5759</v>
      </c>
      <c r="G113" s="22"/>
      <c r="H113" s="277">
        <v>9037</v>
      </c>
      <c r="I113" s="22"/>
      <c r="K113" s="26"/>
    </row>
    <row r="114" spans="1:11" ht="19.3">
      <c r="A114" s="27">
        <v>29891</v>
      </c>
      <c r="B114" s="274">
        <v>563</v>
      </c>
      <c r="C114" s="22"/>
      <c r="D114" s="274">
        <v>5609</v>
      </c>
      <c r="E114" s="22"/>
      <c r="F114" s="277">
        <v>5728</v>
      </c>
      <c r="G114" s="22"/>
      <c r="H114" s="277">
        <v>9044</v>
      </c>
      <c r="I114" s="22"/>
      <c r="K114" s="26"/>
    </row>
    <row r="115" spans="1:11" ht="19.3">
      <c r="A115" s="27">
        <v>29921</v>
      </c>
      <c r="B115" s="274">
        <v>548</v>
      </c>
      <c r="C115" s="278">
        <f t="shared" ref="C115:E115" si="38">AVERAGE(B104:B115)</f>
        <v>543.66666666666663</v>
      </c>
      <c r="D115" s="274">
        <v>5542</v>
      </c>
      <c r="E115" s="278">
        <f t="shared" si="38"/>
        <v>5581.416666666667</v>
      </c>
      <c r="F115" s="277">
        <v>5661</v>
      </c>
      <c r="G115" s="278">
        <f t="shared" ref="G115" si="39">AVERAGE(F104:F115)</f>
        <v>5707.416666666667</v>
      </c>
      <c r="H115" s="277">
        <v>9043</v>
      </c>
      <c r="I115" s="278">
        <f t="shared" ref="I115" si="40">AVERAGE(H104:H115)</f>
        <v>9017.0833333333339</v>
      </c>
      <c r="J115" s="47">
        <f t="shared" ref="J115" si="41">G115/I115</f>
        <v>0.63295596321796588</v>
      </c>
      <c r="K115" s="47">
        <f t="shared" ref="K115" si="42">C115/E115</f>
        <v>9.7406572405452613E-2</v>
      </c>
    </row>
    <row r="116" spans="1:11" ht="19.3">
      <c r="A116" s="27">
        <v>29952</v>
      </c>
      <c r="B116" s="274">
        <v>542</v>
      </c>
      <c r="C116" s="22"/>
      <c r="D116" s="274">
        <v>5445</v>
      </c>
      <c r="E116" s="22"/>
      <c r="F116" s="277">
        <v>5576</v>
      </c>
      <c r="G116" s="22"/>
      <c r="H116" s="277">
        <v>9062</v>
      </c>
      <c r="I116" s="22"/>
      <c r="K116" s="26"/>
    </row>
    <row r="117" spans="1:11" ht="19.3">
      <c r="A117" s="27">
        <v>29983</v>
      </c>
      <c r="B117" s="274">
        <v>534</v>
      </c>
      <c r="C117" s="22"/>
      <c r="D117" s="274">
        <v>5454</v>
      </c>
      <c r="E117" s="22"/>
      <c r="F117" s="277">
        <v>5589</v>
      </c>
      <c r="G117" s="22"/>
      <c r="H117" s="277">
        <v>9073</v>
      </c>
      <c r="I117" s="22"/>
      <c r="K117" s="26"/>
    </row>
    <row r="118" spans="1:11" ht="19.3">
      <c r="A118" s="27">
        <v>30011</v>
      </c>
      <c r="B118" s="274">
        <v>547</v>
      </c>
      <c r="C118" s="22"/>
      <c r="D118" s="274">
        <v>5550</v>
      </c>
      <c r="E118" s="22"/>
      <c r="F118" s="277">
        <v>5697</v>
      </c>
      <c r="G118" s="22"/>
      <c r="H118" s="277">
        <v>9084</v>
      </c>
      <c r="I118" s="22"/>
      <c r="K118" s="26"/>
    </row>
    <row r="119" spans="1:11" ht="19.3">
      <c r="A119" s="27">
        <v>30042</v>
      </c>
      <c r="B119" s="274">
        <v>548</v>
      </c>
      <c r="C119" s="22"/>
      <c r="D119" s="274">
        <v>5663</v>
      </c>
      <c r="E119" s="22"/>
      <c r="F119" s="277">
        <v>5806</v>
      </c>
      <c r="G119" s="22"/>
      <c r="H119" s="277">
        <v>9090</v>
      </c>
      <c r="I119" s="22"/>
      <c r="K119" s="26"/>
    </row>
    <row r="120" spans="1:11" ht="19.3">
      <c r="A120" s="27">
        <v>30072</v>
      </c>
      <c r="B120" s="274">
        <v>546</v>
      </c>
      <c r="C120" s="22"/>
      <c r="D120" s="274">
        <v>5737</v>
      </c>
      <c r="E120" s="22"/>
      <c r="F120" s="277">
        <v>5871</v>
      </c>
      <c r="G120" s="22"/>
      <c r="H120" s="277">
        <v>9103</v>
      </c>
      <c r="I120" s="22"/>
      <c r="K120" s="26"/>
    </row>
    <row r="121" spans="1:11" ht="19.3">
      <c r="A121" s="27">
        <v>30103</v>
      </c>
      <c r="B121" s="274">
        <v>535</v>
      </c>
      <c r="C121" s="22"/>
      <c r="D121" s="274">
        <v>5723</v>
      </c>
      <c r="E121" s="22"/>
      <c r="F121" s="277">
        <v>5860</v>
      </c>
      <c r="G121" s="22"/>
      <c r="H121" s="277">
        <v>9111</v>
      </c>
      <c r="I121" s="22"/>
      <c r="K121" s="26"/>
    </row>
    <row r="122" spans="1:11" ht="19.3">
      <c r="A122" s="27">
        <v>30133</v>
      </c>
      <c r="B122" s="274">
        <v>531</v>
      </c>
      <c r="C122" s="22"/>
      <c r="D122" s="274">
        <v>5689</v>
      </c>
      <c r="E122" s="22"/>
      <c r="F122" s="277">
        <v>5821</v>
      </c>
      <c r="G122" s="22"/>
      <c r="H122" s="277">
        <v>9118</v>
      </c>
      <c r="I122" s="22"/>
      <c r="K122" s="26"/>
    </row>
    <row r="123" spans="1:11" ht="19.3">
      <c r="A123" s="27">
        <v>30164</v>
      </c>
      <c r="B123" s="274">
        <v>535</v>
      </c>
      <c r="C123" s="22"/>
      <c r="D123" s="274">
        <v>5679</v>
      </c>
      <c r="E123" s="22"/>
      <c r="F123" s="277">
        <v>5809</v>
      </c>
      <c r="G123" s="22"/>
      <c r="H123" s="277">
        <v>9133</v>
      </c>
      <c r="I123" s="22"/>
      <c r="K123" s="26"/>
    </row>
    <row r="124" spans="1:11" ht="19.3">
      <c r="A124" s="27">
        <v>30195</v>
      </c>
      <c r="B124" s="274">
        <v>522</v>
      </c>
      <c r="C124" s="22"/>
      <c r="D124" s="274">
        <v>5689</v>
      </c>
      <c r="E124" s="22"/>
      <c r="F124" s="277">
        <v>5823</v>
      </c>
      <c r="G124" s="22"/>
      <c r="H124" s="277">
        <v>9144</v>
      </c>
      <c r="I124" s="22"/>
      <c r="K124" s="26"/>
    </row>
    <row r="125" spans="1:11" ht="19.3">
      <c r="A125" s="27">
        <v>30225</v>
      </c>
      <c r="B125" s="274">
        <v>537</v>
      </c>
      <c r="C125" s="22"/>
      <c r="D125" s="274">
        <v>5710</v>
      </c>
      <c r="E125" s="22"/>
      <c r="F125" s="277">
        <v>5849</v>
      </c>
      <c r="G125" s="22"/>
      <c r="H125" s="277">
        <v>9152</v>
      </c>
      <c r="I125" s="22"/>
      <c r="K125" s="26"/>
    </row>
    <row r="126" spans="1:11" ht="19.3">
      <c r="A126" s="27">
        <v>30256</v>
      </c>
      <c r="B126" s="274">
        <v>552</v>
      </c>
      <c r="C126" s="22"/>
      <c r="D126" s="274">
        <v>5678</v>
      </c>
      <c r="E126" s="22"/>
      <c r="F126" s="277">
        <v>5812</v>
      </c>
      <c r="G126" s="22"/>
      <c r="H126" s="277">
        <v>9161</v>
      </c>
      <c r="I126" s="22"/>
      <c r="K126" s="26"/>
    </row>
    <row r="127" spans="1:11" ht="19.3">
      <c r="A127" s="27">
        <v>30286</v>
      </c>
      <c r="B127" s="274">
        <v>567</v>
      </c>
      <c r="C127" s="278">
        <f t="shared" ref="C127:E127" si="43">AVERAGE(B116:B127)</f>
        <v>541.33333333333337</v>
      </c>
      <c r="D127" s="274">
        <v>5642</v>
      </c>
      <c r="E127" s="278">
        <f t="shared" si="43"/>
        <v>5638.25</v>
      </c>
      <c r="F127" s="277">
        <v>5777</v>
      </c>
      <c r="G127" s="278">
        <f t="shared" ref="G127" si="44">AVERAGE(F116:F127)</f>
        <v>5774.166666666667</v>
      </c>
      <c r="H127" s="277">
        <v>9168</v>
      </c>
      <c r="I127" s="278">
        <f t="shared" ref="I127" si="45">AVERAGE(H116:H127)</f>
        <v>9116.5833333333339</v>
      </c>
      <c r="J127" s="47">
        <f t="shared" ref="J127" si="46">G127/I127</f>
        <v>0.63336959204380294</v>
      </c>
      <c r="K127" s="47">
        <f t="shared" ref="K127" si="47">C127/E127</f>
        <v>9.6010878079782438E-2</v>
      </c>
    </row>
    <row r="128" spans="1:11" ht="19.3">
      <c r="A128" s="27">
        <v>30317</v>
      </c>
      <c r="B128" s="274">
        <v>567</v>
      </c>
      <c r="C128" s="22"/>
      <c r="D128" s="274">
        <v>5563</v>
      </c>
      <c r="E128" s="22"/>
      <c r="F128" s="277">
        <v>5725</v>
      </c>
      <c r="G128" s="22"/>
      <c r="H128" s="277">
        <v>9182</v>
      </c>
      <c r="I128" s="22"/>
      <c r="K128" s="26"/>
    </row>
    <row r="129" spans="1:11" ht="19.3">
      <c r="A129" s="27">
        <v>30348</v>
      </c>
      <c r="B129" s="274">
        <v>553</v>
      </c>
      <c r="C129" s="22"/>
      <c r="D129" s="274">
        <v>5560</v>
      </c>
      <c r="E129" s="22"/>
      <c r="F129" s="277">
        <v>5725</v>
      </c>
      <c r="G129" s="22"/>
      <c r="H129" s="277">
        <v>9187</v>
      </c>
      <c r="I129" s="22"/>
      <c r="K129" s="26"/>
    </row>
    <row r="130" spans="1:11" ht="19.3">
      <c r="A130" s="27">
        <v>30376</v>
      </c>
      <c r="B130" s="274">
        <v>536</v>
      </c>
      <c r="C130" s="22"/>
      <c r="D130" s="274">
        <v>5633</v>
      </c>
      <c r="E130" s="22"/>
      <c r="F130" s="277">
        <v>5805</v>
      </c>
      <c r="G130" s="22"/>
      <c r="H130" s="277">
        <v>9197</v>
      </c>
      <c r="I130" s="22"/>
      <c r="K130" s="26"/>
    </row>
    <row r="131" spans="1:11" ht="19.3">
      <c r="A131" s="27">
        <v>30407</v>
      </c>
      <c r="B131" s="274">
        <v>520</v>
      </c>
      <c r="C131" s="22"/>
      <c r="D131" s="274">
        <v>5752</v>
      </c>
      <c r="E131" s="22"/>
      <c r="F131" s="277">
        <v>5922</v>
      </c>
      <c r="G131" s="22"/>
      <c r="H131" s="277">
        <v>9205</v>
      </c>
      <c r="I131" s="22"/>
      <c r="K131" s="26"/>
    </row>
    <row r="132" spans="1:11" ht="19.3">
      <c r="A132" s="27">
        <v>30437</v>
      </c>
      <c r="B132" s="274">
        <v>542</v>
      </c>
      <c r="C132" s="22"/>
      <c r="D132" s="274">
        <v>5829</v>
      </c>
      <c r="E132" s="22"/>
      <c r="F132" s="277">
        <v>5987</v>
      </c>
      <c r="G132" s="22"/>
      <c r="H132" s="277">
        <v>9219</v>
      </c>
      <c r="I132" s="22"/>
      <c r="K132" s="26"/>
    </row>
    <row r="133" spans="1:11" ht="19.3">
      <c r="A133" s="27">
        <v>30468</v>
      </c>
      <c r="B133" s="274">
        <v>537</v>
      </c>
      <c r="C133" s="22"/>
      <c r="D133" s="274">
        <v>5841</v>
      </c>
      <c r="E133" s="22"/>
      <c r="F133" s="277">
        <v>5989</v>
      </c>
      <c r="G133" s="22"/>
      <c r="H133" s="277">
        <v>9227</v>
      </c>
      <c r="I133" s="22"/>
      <c r="K133" s="26"/>
    </row>
    <row r="134" spans="1:11" ht="19.3">
      <c r="A134" s="27">
        <v>30498</v>
      </c>
      <c r="B134" s="274">
        <v>535</v>
      </c>
      <c r="C134" s="22"/>
      <c r="D134" s="274">
        <v>5809</v>
      </c>
      <c r="E134" s="22"/>
      <c r="F134" s="277">
        <v>5953</v>
      </c>
      <c r="G134" s="22"/>
      <c r="H134" s="277">
        <v>9233</v>
      </c>
      <c r="I134" s="22"/>
      <c r="K134" s="26"/>
    </row>
    <row r="135" spans="1:11" ht="19.3">
      <c r="A135" s="27">
        <v>30529</v>
      </c>
      <c r="B135" s="274">
        <v>545</v>
      </c>
      <c r="C135" s="22"/>
      <c r="D135" s="274">
        <v>5782</v>
      </c>
      <c r="E135" s="22"/>
      <c r="F135" s="277">
        <v>5940</v>
      </c>
      <c r="G135" s="22"/>
      <c r="H135" s="277">
        <v>9249</v>
      </c>
      <c r="I135" s="22"/>
      <c r="K135" s="26"/>
    </row>
    <row r="136" spans="1:11" ht="19.3">
      <c r="A136" s="27">
        <v>30560</v>
      </c>
      <c r="B136" s="274">
        <v>541</v>
      </c>
      <c r="C136" s="22"/>
      <c r="D136" s="274">
        <v>5796</v>
      </c>
      <c r="E136" s="22"/>
      <c r="F136" s="277">
        <v>5952</v>
      </c>
      <c r="G136" s="22"/>
      <c r="H136" s="277">
        <v>9258</v>
      </c>
      <c r="I136" s="22"/>
      <c r="K136" s="26"/>
    </row>
    <row r="137" spans="1:11" ht="19.3">
      <c r="A137" s="27">
        <v>30590</v>
      </c>
      <c r="B137" s="274">
        <v>538</v>
      </c>
      <c r="C137" s="22"/>
      <c r="D137" s="274">
        <v>5806</v>
      </c>
      <c r="E137" s="22"/>
      <c r="F137" s="277">
        <v>5955</v>
      </c>
      <c r="G137" s="22"/>
      <c r="H137" s="277">
        <v>9268</v>
      </c>
      <c r="I137" s="22"/>
      <c r="K137" s="26"/>
    </row>
    <row r="138" spans="1:11" ht="19.3">
      <c r="A138" s="27">
        <v>30621</v>
      </c>
      <c r="B138" s="274">
        <v>537</v>
      </c>
      <c r="C138" s="22"/>
      <c r="D138" s="274">
        <v>5755</v>
      </c>
      <c r="E138" s="22"/>
      <c r="F138" s="277">
        <v>5903</v>
      </c>
      <c r="G138" s="22"/>
      <c r="H138" s="277">
        <v>9277</v>
      </c>
      <c r="I138" s="22"/>
      <c r="K138" s="26"/>
    </row>
    <row r="139" spans="1:11" ht="19.3">
      <c r="A139" s="27">
        <v>30651</v>
      </c>
      <c r="B139" s="274">
        <v>537</v>
      </c>
      <c r="C139" s="278">
        <f t="shared" ref="C139:E139" si="48">AVERAGE(B128:B139)</f>
        <v>540.66666666666663</v>
      </c>
      <c r="D139" s="274">
        <v>5663</v>
      </c>
      <c r="E139" s="278">
        <f t="shared" si="48"/>
        <v>5732.416666666667</v>
      </c>
      <c r="F139" s="277">
        <v>5807</v>
      </c>
      <c r="G139" s="278">
        <f t="shared" ref="G139" si="49">AVERAGE(F128:F139)</f>
        <v>5888.583333333333</v>
      </c>
      <c r="H139" s="277">
        <v>9282</v>
      </c>
      <c r="I139" s="278">
        <f t="shared" ref="I139" si="50">AVERAGE(H128:H139)</f>
        <v>9232</v>
      </c>
      <c r="J139" s="47">
        <f t="shared" ref="J139" si="51">G139/I139</f>
        <v>0.63784481513575964</v>
      </c>
      <c r="K139" s="47">
        <f t="shared" ref="K139" si="52">C139/E139</f>
        <v>9.4317405399119036E-2</v>
      </c>
    </row>
    <row r="140" spans="1:11" ht="19.3">
      <c r="A140" s="27">
        <v>30682</v>
      </c>
      <c r="B140" s="274">
        <v>529</v>
      </c>
      <c r="C140" s="22"/>
      <c r="D140" s="274">
        <v>5559</v>
      </c>
      <c r="E140" s="22"/>
      <c r="F140" s="277">
        <v>5724</v>
      </c>
      <c r="G140" s="22"/>
      <c r="H140" s="277">
        <v>9297</v>
      </c>
      <c r="I140" s="22"/>
      <c r="K140" s="26"/>
    </row>
    <row r="141" spans="1:11" ht="19.3">
      <c r="A141" s="27">
        <v>30713</v>
      </c>
      <c r="B141" s="274">
        <v>525</v>
      </c>
      <c r="C141" s="22"/>
      <c r="D141" s="274">
        <v>5565</v>
      </c>
      <c r="E141" s="22"/>
      <c r="F141" s="277">
        <v>5736</v>
      </c>
      <c r="G141" s="22"/>
      <c r="H141" s="277">
        <v>9301</v>
      </c>
      <c r="I141" s="22"/>
      <c r="K141" s="26"/>
    </row>
    <row r="142" spans="1:11" ht="19.3">
      <c r="A142" s="27">
        <v>30742</v>
      </c>
      <c r="B142" s="274">
        <v>530</v>
      </c>
      <c r="C142" s="22"/>
      <c r="D142" s="274">
        <v>5657</v>
      </c>
      <c r="E142" s="22"/>
      <c r="F142" s="277">
        <v>5835</v>
      </c>
      <c r="G142" s="22"/>
      <c r="H142" s="277">
        <v>9313</v>
      </c>
      <c r="I142" s="22"/>
      <c r="K142" s="26"/>
    </row>
    <row r="143" spans="1:11" ht="19.3">
      <c r="A143" s="27">
        <v>30773</v>
      </c>
      <c r="B143" s="274">
        <v>531</v>
      </c>
      <c r="C143" s="22"/>
      <c r="D143" s="274">
        <v>5793</v>
      </c>
      <c r="E143" s="22"/>
      <c r="F143" s="277">
        <v>5961</v>
      </c>
      <c r="G143" s="22"/>
      <c r="H143" s="277">
        <v>9321</v>
      </c>
      <c r="I143" s="22"/>
      <c r="K143" s="26"/>
    </row>
    <row r="144" spans="1:11" ht="19.3">
      <c r="A144" s="27">
        <v>30803</v>
      </c>
      <c r="B144" s="274">
        <v>523</v>
      </c>
      <c r="C144" s="22"/>
      <c r="D144" s="274">
        <v>5843</v>
      </c>
      <c r="E144" s="22"/>
      <c r="F144" s="277">
        <v>6003</v>
      </c>
      <c r="G144" s="22"/>
      <c r="H144" s="277">
        <v>9335</v>
      </c>
      <c r="I144" s="22"/>
      <c r="K144" s="26"/>
    </row>
    <row r="145" spans="1:11" ht="19.3">
      <c r="A145" s="27">
        <v>30834</v>
      </c>
      <c r="B145" s="274">
        <v>516</v>
      </c>
      <c r="C145" s="22"/>
      <c r="D145" s="274">
        <v>5866</v>
      </c>
      <c r="E145" s="22"/>
      <c r="F145" s="277">
        <v>6029</v>
      </c>
      <c r="G145" s="22"/>
      <c r="H145" s="277">
        <v>9344</v>
      </c>
      <c r="I145" s="22"/>
      <c r="K145" s="26"/>
    </row>
    <row r="146" spans="1:11" ht="19.3">
      <c r="A146" s="27">
        <v>30864</v>
      </c>
      <c r="B146" s="274">
        <v>514</v>
      </c>
      <c r="C146" s="22"/>
      <c r="D146" s="274">
        <v>5838</v>
      </c>
      <c r="E146" s="22"/>
      <c r="F146" s="277">
        <v>5995</v>
      </c>
      <c r="G146" s="22"/>
      <c r="H146" s="277">
        <v>9349</v>
      </c>
      <c r="I146" s="22"/>
      <c r="K146" s="26"/>
    </row>
    <row r="147" spans="1:11" ht="19.3">
      <c r="A147" s="27">
        <v>30895</v>
      </c>
      <c r="B147" s="274">
        <v>527</v>
      </c>
      <c r="C147" s="22"/>
      <c r="D147" s="274">
        <v>5821</v>
      </c>
      <c r="E147" s="22"/>
      <c r="F147" s="277">
        <v>5978</v>
      </c>
      <c r="G147" s="22"/>
      <c r="H147" s="277">
        <v>9364</v>
      </c>
      <c r="I147" s="22"/>
      <c r="K147" s="26"/>
    </row>
    <row r="148" spans="1:11" ht="19.3">
      <c r="A148" s="27">
        <v>30926</v>
      </c>
      <c r="B148" s="274">
        <v>530</v>
      </c>
      <c r="C148" s="22"/>
      <c r="D148" s="274">
        <v>5865</v>
      </c>
      <c r="E148" s="22"/>
      <c r="F148" s="277">
        <v>6024</v>
      </c>
      <c r="G148" s="22"/>
      <c r="H148" s="277">
        <v>9374</v>
      </c>
      <c r="I148" s="22"/>
      <c r="K148" s="26"/>
    </row>
    <row r="149" spans="1:11" ht="19.3">
      <c r="A149" s="27">
        <v>30956</v>
      </c>
      <c r="B149" s="274">
        <v>530</v>
      </c>
      <c r="C149" s="22"/>
      <c r="D149" s="274">
        <v>5856</v>
      </c>
      <c r="E149" s="22"/>
      <c r="F149" s="277">
        <v>6015</v>
      </c>
      <c r="G149" s="22"/>
      <c r="H149" s="277">
        <v>9382</v>
      </c>
      <c r="I149" s="22"/>
      <c r="K149" s="26"/>
    </row>
    <row r="150" spans="1:11" ht="19.3">
      <c r="A150" s="27">
        <v>30987</v>
      </c>
      <c r="B150" s="274">
        <v>534</v>
      </c>
      <c r="C150" s="22"/>
      <c r="D150" s="274">
        <v>5809</v>
      </c>
      <c r="E150" s="22"/>
      <c r="F150" s="277">
        <v>5960</v>
      </c>
      <c r="G150" s="22"/>
      <c r="H150" s="277">
        <v>9391</v>
      </c>
      <c r="I150" s="22"/>
      <c r="K150" s="26"/>
    </row>
    <row r="151" spans="1:11" ht="19.3">
      <c r="A151" s="27">
        <v>31017</v>
      </c>
      <c r="B151" s="274">
        <v>535</v>
      </c>
      <c r="C151" s="278">
        <f t="shared" ref="C151:E151" si="53">AVERAGE(B140:B151)</f>
        <v>527</v>
      </c>
      <c r="D151" s="274">
        <v>5722</v>
      </c>
      <c r="E151" s="278">
        <f t="shared" si="53"/>
        <v>5766.166666666667</v>
      </c>
      <c r="F151" s="277">
        <v>5865</v>
      </c>
      <c r="G151" s="278">
        <f t="shared" ref="G151" si="54">AVERAGE(F140:F151)</f>
        <v>5927.083333333333</v>
      </c>
      <c r="H151" s="277">
        <v>9395</v>
      </c>
      <c r="I151" s="278">
        <f t="shared" ref="I151" si="55">AVERAGE(H140:H151)</f>
        <v>9347.1666666666661</v>
      </c>
      <c r="J151" s="47">
        <f t="shared" ref="J151" si="56">G151/I151</f>
        <v>0.63410480894388677</v>
      </c>
      <c r="K151" s="47">
        <f t="shared" ref="K151" si="57">C151/E151</f>
        <v>9.1395207676966211E-2</v>
      </c>
    </row>
    <row r="152" spans="1:11" ht="19.3">
      <c r="A152" s="27">
        <v>31048</v>
      </c>
      <c r="B152" s="274">
        <v>527</v>
      </c>
      <c r="C152" s="22"/>
      <c r="D152" s="274">
        <v>5661</v>
      </c>
      <c r="E152" s="22"/>
      <c r="F152" s="277">
        <v>5812</v>
      </c>
      <c r="G152" s="22"/>
      <c r="H152" s="277">
        <v>9413</v>
      </c>
      <c r="I152" s="22"/>
      <c r="K152" s="26"/>
    </row>
    <row r="153" spans="1:11" ht="19.3">
      <c r="A153" s="27">
        <v>31079</v>
      </c>
      <c r="B153" s="274">
        <v>512</v>
      </c>
      <c r="C153" s="22"/>
      <c r="D153" s="274">
        <v>5647</v>
      </c>
      <c r="E153" s="22"/>
      <c r="F153" s="277">
        <v>5811</v>
      </c>
      <c r="G153" s="22"/>
      <c r="H153" s="277">
        <v>9416</v>
      </c>
      <c r="I153" s="22"/>
      <c r="K153" s="26"/>
    </row>
    <row r="154" spans="1:11" ht="19.3">
      <c r="A154" s="27">
        <v>31107</v>
      </c>
      <c r="B154" s="274">
        <v>512</v>
      </c>
      <c r="C154" s="22"/>
      <c r="D154" s="274">
        <v>5709</v>
      </c>
      <c r="E154" s="22"/>
      <c r="F154" s="277">
        <v>5884</v>
      </c>
      <c r="G154" s="22"/>
      <c r="H154" s="277">
        <v>9428</v>
      </c>
      <c r="I154" s="22"/>
      <c r="K154" s="26"/>
    </row>
    <row r="155" spans="1:11" ht="19.3">
      <c r="A155" s="27">
        <v>31138</v>
      </c>
      <c r="B155" s="274">
        <v>527</v>
      </c>
      <c r="C155" s="22"/>
      <c r="D155" s="274">
        <v>5848</v>
      </c>
      <c r="E155" s="22"/>
      <c r="F155" s="277">
        <v>6005</v>
      </c>
      <c r="G155" s="22"/>
      <c r="H155" s="277">
        <v>9438</v>
      </c>
      <c r="I155" s="22"/>
      <c r="K155" s="26"/>
    </row>
    <row r="156" spans="1:11" ht="19.3">
      <c r="A156" s="27">
        <v>31168</v>
      </c>
      <c r="B156" s="274">
        <v>515</v>
      </c>
      <c r="C156" s="22"/>
      <c r="D156" s="274">
        <v>5901</v>
      </c>
      <c r="E156" s="22"/>
      <c r="F156" s="277">
        <v>6054</v>
      </c>
      <c r="G156" s="22"/>
      <c r="H156" s="277">
        <v>9452</v>
      </c>
      <c r="I156" s="22"/>
      <c r="K156" s="26"/>
    </row>
    <row r="157" spans="1:11" ht="19.3">
      <c r="A157" s="27">
        <v>31199</v>
      </c>
      <c r="B157" s="274">
        <v>516</v>
      </c>
      <c r="C157" s="22"/>
      <c r="D157" s="274">
        <v>5886</v>
      </c>
      <c r="E157" s="22"/>
      <c r="F157" s="277">
        <v>6039</v>
      </c>
      <c r="G157" s="22"/>
      <c r="H157" s="277">
        <v>9462</v>
      </c>
      <c r="I157" s="22"/>
      <c r="K157" s="26"/>
    </row>
    <row r="158" spans="1:11" ht="19.3">
      <c r="A158" s="27">
        <v>31229</v>
      </c>
      <c r="B158" s="274">
        <v>531</v>
      </c>
      <c r="C158" s="22"/>
      <c r="D158" s="274">
        <v>5886</v>
      </c>
      <c r="E158" s="22"/>
      <c r="F158" s="277">
        <v>6031</v>
      </c>
      <c r="G158" s="22"/>
      <c r="H158" s="277">
        <v>9469</v>
      </c>
      <c r="I158" s="22"/>
      <c r="K158" s="26"/>
    </row>
    <row r="159" spans="1:11" ht="19.3">
      <c r="A159" s="27">
        <v>31260</v>
      </c>
      <c r="B159" s="274">
        <v>545</v>
      </c>
      <c r="C159" s="22"/>
      <c r="D159" s="274">
        <v>5857</v>
      </c>
      <c r="E159" s="22"/>
      <c r="F159" s="277">
        <v>6005</v>
      </c>
      <c r="G159" s="22"/>
      <c r="H159" s="277">
        <v>9482</v>
      </c>
      <c r="I159" s="22"/>
      <c r="K159" s="26"/>
    </row>
    <row r="160" spans="1:11" ht="19.3">
      <c r="A160" s="27">
        <v>31291</v>
      </c>
      <c r="B160" s="274">
        <v>548</v>
      </c>
      <c r="C160" s="22"/>
      <c r="D160" s="274">
        <v>5880</v>
      </c>
      <c r="E160" s="22"/>
      <c r="F160" s="277">
        <v>6038</v>
      </c>
      <c r="G160" s="22"/>
      <c r="H160" s="277">
        <v>9493</v>
      </c>
      <c r="I160" s="22"/>
      <c r="K160" s="26"/>
    </row>
    <row r="161" spans="1:11" ht="19.3">
      <c r="A161" s="27">
        <v>31321</v>
      </c>
      <c r="B161" s="274">
        <v>530</v>
      </c>
      <c r="C161" s="22"/>
      <c r="D161" s="274">
        <v>5872</v>
      </c>
      <c r="E161" s="22"/>
      <c r="F161" s="277">
        <v>6031</v>
      </c>
      <c r="G161" s="22"/>
      <c r="H161" s="277">
        <v>9502</v>
      </c>
      <c r="I161" s="22"/>
      <c r="K161" s="26"/>
    </row>
    <row r="162" spans="1:11" ht="19.3">
      <c r="A162" s="27">
        <v>31352</v>
      </c>
      <c r="B162" s="274">
        <v>545</v>
      </c>
      <c r="C162" s="22"/>
      <c r="D162" s="274">
        <v>5820</v>
      </c>
      <c r="E162" s="22"/>
      <c r="F162" s="277">
        <v>5980</v>
      </c>
      <c r="G162" s="22"/>
      <c r="H162" s="277">
        <v>9512</v>
      </c>
      <c r="I162" s="22"/>
      <c r="K162" s="26"/>
    </row>
    <row r="163" spans="1:11" ht="19.3">
      <c r="A163" s="27">
        <v>31382</v>
      </c>
      <c r="B163" s="274">
        <v>552</v>
      </c>
      <c r="C163" s="278">
        <f t="shared" ref="C163:E163" si="58">AVERAGE(B152:B163)</f>
        <v>530</v>
      </c>
      <c r="D163" s="274">
        <v>5717</v>
      </c>
      <c r="E163" s="278">
        <f t="shared" si="58"/>
        <v>5807</v>
      </c>
      <c r="F163" s="277">
        <v>5871</v>
      </c>
      <c r="G163" s="278">
        <f t="shared" ref="G163" si="59">AVERAGE(F152:F163)</f>
        <v>5963.416666666667</v>
      </c>
      <c r="H163" s="277">
        <v>9516</v>
      </c>
      <c r="I163" s="278">
        <f t="shared" ref="I163" si="60">AVERAGE(H152:H163)</f>
        <v>9465.25</v>
      </c>
      <c r="J163" s="47">
        <f t="shared" ref="J163" si="61">G163/I163</f>
        <v>0.63003266333870389</v>
      </c>
      <c r="K163" s="47">
        <f t="shared" ref="K163" si="62">C163/E163</f>
        <v>9.1269157912863788E-2</v>
      </c>
    </row>
    <row r="164" spans="1:11" ht="19.3">
      <c r="A164" s="27">
        <v>31413</v>
      </c>
      <c r="B164" s="274">
        <v>535</v>
      </c>
      <c r="C164" s="22"/>
      <c r="D164" s="274">
        <v>5692</v>
      </c>
      <c r="E164" s="22"/>
      <c r="F164" s="277">
        <v>5857</v>
      </c>
      <c r="G164" s="22"/>
      <c r="H164" s="277">
        <v>9532</v>
      </c>
      <c r="I164" s="22"/>
      <c r="K164" s="26"/>
    </row>
    <row r="165" spans="1:11" ht="19.3">
      <c r="A165" s="27">
        <v>31444</v>
      </c>
      <c r="B165" s="274">
        <v>521</v>
      </c>
      <c r="C165" s="22"/>
      <c r="D165" s="274">
        <v>5688</v>
      </c>
      <c r="E165" s="22"/>
      <c r="F165" s="277">
        <v>5852</v>
      </c>
      <c r="G165" s="22"/>
      <c r="H165" s="277">
        <v>9536</v>
      </c>
      <c r="I165" s="22"/>
      <c r="K165" s="26"/>
    </row>
    <row r="166" spans="1:11" ht="19.3">
      <c r="A166" s="27">
        <v>31472</v>
      </c>
      <c r="B166" s="274">
        <v>513</v>
      </c>
      <c r="C166" s="22"/>
      <c r="D166" s="274">
        <v>5752</v>
      </c>
      <c r="E166" s="22"/>
      <c r="F166" s="277">
        <v>5935</v>
      </c>
      <c r="G166" s="22"/>
      <c r="H166" s="277">
        <v>9549</v>
      </c>
      <c r="I166" s="22"/>
      <c r="K166" s="26"/>
    </row>
    <row r="167" spans="1:11" ht="19.3">
      <c r="A167" s="27">
        <v>31503</v>
      </c>
      <c r="B167" s="274">
        <v>518</v>
      </c>
      <c r="C167" s="22"/>
      <c r="D167" s="274">
        <v>5884</v>
      </c>
      <c r="E167" s="22"/>
      <c r="F167" s="277">
        <v>6066</v>
      </c>
      <c r="G167" s="22"/>
      <c r="H167" s="277">
        <v>9557</v>
      </c>
      <c r="I167" s="22"/>
      <c r="K167" s="26"/>
    </row>
    <row r="168" spans="1:11" ht="19.3">
      <c r="A168" s="27">
        <v>31533</v>
      </c>
      <c r="B168" s="274">
        <v>524</v>
      </c>
      <c r="C168" s="22"/>
      <c r="D168" s="274">
        <v>5921</v>
      </c>
      <c r="E168" s="22"/>
      <c r="F168" s="277">
        <v>6084</v>
      </c>
      <c r="G168" s="22"/>
      <c r="H168" s="277">
        <v>9574</v>
      </c>
      <c r="I168" s="22"/>
      <c r="K168" s="26"/>
    </row>
    <row r="169" spans="1:11" ht="19.3">
      <c r="A169" s="27">
        <v>31564</v>
      </c>
      <c r="B169" s="274">
        <v>534</v>
      </c>
      <c r="C169" s="22"/>
      <c r="D169" s="274">
        <v>5932</v>
      </c>
      <c r="E169" s="22"/>
      <c r="F169" s="277">
        <v>6093</v>
      </c>
      <c r="G169" s="22"/>
      <c r="H169" s="277">
        <v>9583</v>
      </c>
      <c r="I169" s="22"/>
      <c r="K169" s="26"/>
    </row>
    <row r="170" spans="1:11" ht="19.3">
      <c r="A170" s="27">
        <v>31594</v>
      </c>
      <c r="B170" s="274">
        <v>539</v>
      </c>
      <c r="C170" s="22"/>
      <c r="D170" s="274">
        <v>5945</v>
      </c>
      <c r="E170" s="22"/>
      <c r="F170" s="277">
        <v>6112</v>
      </c>
      <c r="G170" s="22"/>
      <c r="H170" s="277">
        <v>9588</v>
      </c>
      <c r="I170" s="22"/>
      <c r="K170" s="26"/>
    </row>
    <row r="171" spans="1:11" ht="19.3">
      <c r="A171" s="27">
        <v>31625</v>
      </c>
      <c r="B171" s="274">
        <v>553</v>
      </c>
      <c r="C171" s="22"/>
      <c r="D171" s="274">
        <v>5919</v>
      </c>
      <c r="E171" s="22"/>
      <c r="F171" s="277">
        <v>6088</v>
      </c>
      <c r="G171" s="22"/>
      <c r="H171" s="277">
        <v>9603</v>
      </c>
      <c r="I171" s="22"/>
      <c r="K171" s="26"/>
    </row>
    <row r="172" spans="1:11" ht="19.3">
      <c r="A172" s="27">
        <v>31656</v>
      </c>
      <c r="B172" s="274">
        <v>557</v>
      </c>
      <c r="C172" s="22"/>
      <c r="D172" s="274">
        <v>5919</v>
      </c>
      <c r="E172" s="22"/>
      <c r="F172" s="277">
        <v>6086</v>
      </c>
      <c r="G172" s="22"/>
      <c r="H172" s="277">
        <v>9616</v>
      </c>
      <c r="I172" s="22"/>
      <c r="K172" s="26"/>
    </row>
    <row r="173" spans="1:11" ht="19.3">
      <c r="A173" s="27">
        <v>31686</v>
      </c>
      <c r="B173" s="274">
        <v>534</v>
      </c>
      <c r="C173" s="22"/>
      <c r="D173" s="274">
        <v>5921</v>
      </c>
      <c r="E173" s="22"/>
      <c r="F173" s="277">
        <v>6081</v>
      </c>
      <c r="G173" s="22"/>
      <c r="H173" s="277">
        <v>9628</v>
      </c>
      <c r="I173" s="22"/>
      <c r="K173" s="26"/>
    </row>
    <row r="174" spans="1:11" ht="19.3">
      <c r="A174" s="27">
        <v>31717</v>
      </c>
      <c r="B174" s="274">
        <v>537</v>
      </c>
      <c r="C174" s="22"/>
      <c r="D174" s="274">
        <v>5874</v>
      </c>
      <c r="E174" s="22"/>
      <c r="F174" s="277">
        <v>6033</v>
      </c>
      <c r="G174" s="22"/>
      <c r="H174" s="277">
        <v>9638</v>
      </c>
      <c r="I174" s="22"/>
      <c r="K174" s="26"/>
    </row>
    <row r="175" spans="1:11" ht="19.3">
      <c r="A175" s="27">
        <v>31747</v>
      </c>
      <c r="B175" s="274">
        <v>544</v>
      </c>
      <c r="C175" s="278">
        <f t="shared" ref="C175:E175" si="63">AVERAGE(B164:B175)</f>
        <v>534.08333333333337</v>
      </c>
      <c r="D175" s="274">
        <v>5794</v>
      </c>
      <c r="E175" s="278">
        <f t="shared" si="63"/>
        <v>5853.416666666667</v>
      </c>
      <c r="F175" s="277">
        <v>5955</v>
      </c>
      <c r="G175" s="278">
        <f t="shared" ref="G175" si="64">AVERAGE(F164:F175)</f>
        <v>6020.166666666667</v>
      </c>
      <c r="H175" s="277">
        <v>9638</v>
      </c>
      <c r="I175" s="278">
        <f t="shared" ref="I175" si="65">AVERAGE(H164:H175)</f>
        <v>9586.8333333333339</v>
      </c>
      <c r="J175" s="47">
        <f t="shared" ref="J175" si="66">G175/I175</f>
        <v>0.62796196171832896</v>
      </c>
      <c r="K175" s="47">
        <f t="shared" ref="K175" si="67">C175/E175</f>
        <v>9.124300622143762E-2</v>
      </c>
    </row>
    <row r="176" spans="1:11" ht="19.3">
      <c r="A176" s="27">
        <v>31778</v>
      </c>
      <c r="B176" s="274">
        <v>531</v>
      </c>
      <c r="C176" s="22"/>
      <c r="D176" s="274">
        <v>5716</v>
      </c>
      <c r="E176" s="22"/>
      <c r="F176" s="277">
        <v>5897</v>
      </c>
      <c r="G176" s="22"/>
      <c r="H176" s="277">
        <v>9664</v>
      </c>
      <c r="I176" s="22"/>
      <c r="K176" s="26"/>
    </row>
    <row r="177" spans="1:11" ht="19.3">
      <c r="A177" s="27">
        <v>31809</v>
      </c>
      <c r="B177" s="274">
        <v>522</v>
      </c>
      <c r="C177" s="22"/>
      <c r="D177" s="274">
        <v>5703</v>
      </c>
      <c r="E177" s="22"/>
      <c r="F177" s="277">
        <v>5889</v>
      </c>
      <c r="G177" s="22"/>
      <c r="H177" s="277">
        <v>9668</v>
      </c>
      <c r="I177" s="22"/>
      <c r="K177" s="26"/>
    </row>
    <row r="178" spans="1:11" ht="19.3">
      <c r="A178" s="27">
        <v>31837</v>
      </c>
      <c r="B178" s="274">
        <v>519</v>
      </c>
      <c r="C178" s="22"/>
      <c r="D178" s="274">
        <v>5798</v>
      </c>
      <c r="E178" s="22"/>
      <c r="F178" s="277">
        <v>5991</v>
      </c>
      <c r="G178" s="22"/>
      <c r="H178" s="277">
        <v>9685</v>
      </c>
      <c r="I178" s="22"/>
      <c r="K178" s="26"/>
    </row>
    <row r="179" spans="1:11" ht="19.3">
      <c r="A179" s="27">
        <v>31868</v>
      </c>
      <c r="B179" s="274">
        <v>523</v>
      </c>
      <c r="C179" s="22"/>
      <c r="D179" s="274">
        <v>5930</v>
      </c>
      <c r="E179" s="22"/>
      <c r="F179" s="277">
        <v>6120</v>
      </c>
      <c r="G179" s="22"/>
      <c r="H179" s="277">
        <v>9691</v>
      </c>
      <c r="I179" s="22"/>
      <c r="K179" s="26"/>
    </row>
    <row r="180" spans="1:11" ht="19.3">
      <c r="A180" s="27">
        <v>31898</v>
      </c>
      <c r="B180" s="274">
        <v>527</v>
      </c>
      <c r="C180" s="22"/>
      <c r="D180" s="274">
        <v>5976</v>
      </c>
      <c r="E180" s="22"/>
      <c r="F180" s="277">
        <v>6167</v>
      </c>
      <c r="G180" s="22"/>
      <c r="H180" s="277">
        <v>9704</v>
      </c>
      <c r="I180" s="22"/>
      <c r="K180" s="26"/>
    </row>
    <row r="181" spans="1:11" ht="19.3">
      <c r="A181" s="27">
        <v>31929</v>
      </c>
      <c r="B181" s="274">
        <v>539</v>
      </c>
      <c r="C181" s="22"/>
      <c r="D181" s="274">
        <v>5996</v>
      </c>
      <c r="E181" s="22"/>
      <c r="F181" s="277">
        <v>6172</v>
      </c>
      <c r="G181" s="22"/>
      <c r="H181" s="277">
        <v>9716</v>
      </c>
      <c r="I181" s="22"/>
      <c r="K181" s="26"/>
    </row>
    <row r="182" spans="1:11" ht="19.3">
      <c r="A182" s="27">
        <v>31959</v>
      </c>
      <c r="B182" s="274">
        <v>542</v>
      </c>
      <c r="C182" s="22"/>
      <c r="D182" s="274">
        <v>5989</v>
      </c>
      <c r="E182" s="22"/>
      <c r="F182" s="277">
        <v>6147</v>
      </c>
      <c r="G182" s="22"/>
      <c r="H182" s="277">
        <v>9722</v>
      </c>
      <c r="I182" s="22"/>
      <c r="K182" s="26"/>
    </row>
    <row r="183" spans="1:11" ht="19.3">
      <c r="A183" s="27">
        <v>31990</v>
      </c>
      <c r="B183" s="274">
        <v>535</v>
      </c>
      <c r="C183" s="22"/>
      <c r="D183" s="274">
        <v>5983</v>
      </c>
      <c r="E183" s="22"/>
      <c r="F183" s="277">
        <v>6150</v>
      </c>
      <c r="G183" s="22"/>
      <c r="H183" s="277">
        <v>9737</v>
      </c>
      <c r="I183" s="22"/>
      <c r="K183" s="26"/>
    </row>
    <row r="184" spans="1:11" ht="19.3">
      <c r="A184" s="27">
        <v>32021</v>
      </c>
      <c r="B184" s="274">
        <v>538</v>
      </c>
      <c r="C184" s="22"/>
      <c r="D184" s="274">
        <v>5980</v>
      </c>
      <c r="E184" s="22"/>
      <c r="F184" s="277">
        <v>6146</v>
      </c>
      <c r="G184" s="22"/>
      <c r="H184" s="277">
        <v>9748</v>
      </c>
      <c r="I184" s="22"/>
      <c r="K184" s="26"/>
    </row>
    <row r="185" spans="1:11" ht="19.3">
      <c r="A185" s="27">
        <v>32051</v>
      </c>
      <c r="B185" s="274">
        <v>537</v>
      </c>
      <c r="C185" s="22"/>
      <c r="D185" s="274">
        <v>5980</v>
      </c>
      <c r="E185" s="22"/>
      <c r="F185" s="277">
        <v>6142</v>
      </c>
      <c r="G185" s="22"/>
      <c r="H185" s="277">
        <v>9760</v>
      </c>
      <c r="I185" s="22"/>
      <c r="K185" s="26"/>
    </row>
    <row r="186" spans="1:11" ht="19.3">
      <c r="A186" s="27">
        <v>32082</v>
      </c>
      <c r="B186" s="274">
        <v>539</v>
      </c>
      <c r="C186" s="22"/>
      <c r="D186" s="274">
        <v>5965</v>
      </c>
      <c r="E186" s="22"/>
      <c r="F186" s="277">
        <v>6121</v>
      </c>
      <c r="G186" s="22"/>
      <c r="H186" s="277">
        <v>9773</v>
      </c>
      <c r="I186" s="22"/>
      <c r="K186" s="26"/>
    </row>
    <row r="187" spans="1:11" ht="19.3">
      <c r="A187" s="27">
        <v>32112</v>
      </c>
      <c r="B187" s="274">
        <v>541</v>
      </c>
      <c r="C187" s="278">
        <f t="shared" ref="C187:E187" si="68">AVERAGE(B176:B187)</f>
        <v>532.75</v>
      </c>
      <c r="D187" s="274">
        <v>5912</v>
      </c>
      <c r="E187" s="278">
        <f t="shared" si="68"/>
        <v>5910.666666666667</v>
      </c>
      <c r="F187" s="277">
        <v>6061</v>
      </c>
      <c r="G187" s="278">
        <f t="shared" ref="G187" si="69">AVERAGE(F176:F187)</f>
        <v>6083.583333333333</v>
      </c>
      <c r="H187" s="277">
        <v>9774</v>
      </c>
      <c r="I187" s="278">
        <f t="shared" ref="I187" si="70">AVERAGE(H176:H187)</f>
        <v>9720.1666666666661</v>
      </c>
      <c r="J187" s="47">
        <f t="shared" ref="J187" si="71">G187/I187</f>
        <v>0.625872327292056</v>
      </c>
      <c r="K187" s="47">
        <f t="shared" ref="K187" si="72">C187/E187</f>
        <v>9.0133656665914733E-2</v>
      </c>
    </row>
    <row r="188" spans="1:11" ht="19.3">
      <c r="A188" s="27">
        <v>32143</v>
      </c>
      <c r="B188" s="274">
        <v>551</v>
      </c>
      <c r="C188" s="22"/>
      <c r="D188" s="274">
        <v>5828</v>
      </c>
      <c r="E188" s="22"/>
      <c r="F188" s="277">
        <v>5996</v>
      </c>
      <c r="G188" s="22"/>
      <c r="H188" s="277">
        <v>9795</v>
      </c>
      <c r="I188" s="22"/>
      <c r="K188" s="26"/>
    </row>
    <row r="189" spans="1:11" ht="19.3">
      <c r="A189" s="27">
        <v>32174</v>
      </c>
      <c r="B189" s="274">
        <v>551</v>
      </c>
      <c r="C189" s="22"/>
      <c r="D189" s="274">
        <v>5803</v>
      </c>
      <c r="E189" s="22"/>
      <c r="F189" s="277">
        <v>5976</v>
      </c>
      <c r="G189" s="22"/>
      <c r="H189" s="277">
        <v>9797</v>
      </c>
      <c r="I189" s="22"/>
      <c r="K189" s="26"/>
    </row>
    <row r="190" spans="1:11" ht="19.3">
      <c r="A190" s="27">
        <v>32203</v>
      </c>
      <c r="B190" s="274">
        <v>559</v>
      </c>
      <c r="C190" s="22"/>
      <c r="D190" s="274">
        <v>5888</v>
      </c>
      <c r="E190" s="22"/>
      <c r="F190" s="277">
        <v>6068</v>
      </c>
      <c r="G190" s="22"/>
      <c r="H190" s="277">
        <v>9809</v>
      </c>
      <c r="I190" s="22"/>
      <c r="K190" s="26"/>
    </row>
    <row r="191" spans="1:11" ht="19.3">
      <c r="A191" s="27">
        <v>32234</v>
      </c>
      <c r="B191" s="274">
        <v>560</v>
      </c>
      <c r="C191" s="22"/>
      <c r="D191" s="274">
        <v>6038</v>
      </c>
      <c r="E191" s="22"/>
      <c r="F191" s="277">
        <v>6205</v>
      </c>
      <c r="G191" s="22"/>
      <c r="H191" s="277">
        <v>9820</v>
      </c>
      <c r="I191" s="22"/>
      <c r="K191" s="26"/>
    </row>
    <row r="192" spans="1:11" ht="19.3">
      <c r="A192" s="27">
        <v>32264</v>
      </c>
      <c r="B192" s="274">
        <v>555</v>
      </c>
      <c r="C192" s="22"/>
      <c r="D192" s="274">
        <v>6106</v>
      </c>
      <c r="E192" s="22"/>
      <c r="F192" s="277">
        <v>6262</v>
      </c>
      <c r="G192" s="22"/>
      <c r="H192" s="277">
        <v>9836</v>
      </c>
      <c r="I192" s="22"/>
      <c r="K192" s="26"/>
    </row>
    <row r="193" spans="1:11" ht="19.3">
      <c r="A193" s="27">
        <v>32295</v>
      </c>
      <c r="B193" s="274">
        <v>567</v>
      </c>
      <c r="C193" s="22"/>
      <c r="D193" s="274">
        <v>6106</v>
      </c>
      <c r="E193" s="22"/>
      <c r="F193" s="277">
        <v>6250</v>
      </c>
      <c r="G193" s="22"/>
      <c r="H193" s="277">
        <v>9839</v>
      </c>
      <c r="I193" s="22"/>
      <c r="K193" s="26"/>
    </row>
    <row r="194" spans="1:11" ht="19.3">
      <c r="A194" s="27">
        <v>32325</v>
      </c>
      <c r="B194" s="274">
        <v>566</v>
      </c>
      <c r="C194" s="22"/>
      <c r="D194" s="274">
        <v>6105</v>
      </c>
      <c r="E194" s="22"/>
      <c r="F194" s="277">
        <v>6253</v>
      </c>
      <c r="G194" s="22"/>
      <c r="H194" s="277">
        <v>9848</v>
      </c>
      <c r="I194" s="22"/>
      <c r="K194" s="26"/>
    </row>
    <row r="195" spans="1:11" ht="19.3">
      <c r="A195" s="27">
        <v>32356</v>
      </c>
      <c r="B195" s="274">
        <v>567</v>
      </c>
      <c r="C195" s="22"/>
      <c r="D195" s="274">
        <v>6073</v>
      </c>
      <c r="E195" s="22"/>
      <c r="F195" s="277">
        <v>6229</v>
      </c>
      <c r="G195" s="22"/>
      <c r="H195" s="277">
        <v>9865</v>
      </c>
      <c r="I195" s="22"/>
      <c r="K195" s="26"/>
    </row>
    <row r="196" spans="1:11" ht="19.3">
      <c r="A196" s="27">
        <v>32387</v>
      </c>
      <c r="B196" s="274">
        <v>562</v>
      </c>
      <c r="C196" s="22"/>
      <c r="D196" s="274">
        <v>6064</v>
      </c>
      <c r="E196" s="22"/>
      <c r="F196" s="277">
        <v>6215</v>
      </c>
      <c r="G196" s="22"/>
      <c r="H196" s="277">
        <v>9879</v>
      </c>
      <c r="I196" s="22"/>
      <c r="K196" s="26"/>
    </row>
    <row r="197" spans="1:11" ht="19.3">
      <c r="A197" s="27">
        <v>32417</v>
      </c>
      <c r="B197" s="274">
        <v>555</v>
      </c>
      <c r="C197" s="22"/>
      <c r="D197" s="274">
        <v>6065</v>
      </c>
      <c r="E197" s="22"/>
      <c r="F197" s="277">
        <v>6212</v>
      </c>
      <c r="G197" s="22"/>
      <c r="H197" s="277">
        <v>9889</v>
      </c>
      <c r="I197" s="22"/>
      <c r="K197" s="26"/>
    </row>
    <row r="198" spans="1:11" ht="19.3">
      <c r="A198" s="27">
        <v>32448</v>
      </c>
      <c r="B198" s="274">
        <v>565</v>
      </c>
      <c r="C198" s="22"/>
      <c r="D198" s="274">
        <v>6049</v>
      </c>
      <c r="E198" s="22"/>
      <c r="F198" s="277">
        <v>6190</v>
      </c>
      <c r="G198" s="22"/>
      <c r="H198" s="277">
        <v>9902</v>
      </c>
      <c r="I198" s="22"/>
      <c r="K198" s="26"/>
    </row>
    <row r="199" spans="1:11" ht="19.3">
      <c r="A199" s="27">
        <v>32478</v>
      </c>
      <c r="B199" s="274">
        <v>563</v>
      </c>
      <c r="C199" s="278">
        <f t="shared" ref="C199:E199" si="73">AVERAGE(B188:B199)</f>
        <v>560.08333333333337</v>
      </c>
      <c r="D199" s="274">
        <v>6002</v>
      </c>
      <c r="E199" s="278">
        <f t="shared" si="73"/>
        <v>6010.583333333333</v>
      </c>
      <c r="F199" s="277">
        <v>6136</v>
      </c>
      <c r="G199" s="278">
        <f t="shared" ref="G199" si="74">AVERAGE(F188:F199)</f>
        <v>6166</v>
      </c>
      <c r="H199" s="277">
        <v>9905</v>
      </c>
      <c r="I199" s="278">
        <f t="shared" ref="I199" si="75">AVERAGE(H188:H199)</f>
        <v>9848.6666666666661</v>
      </c>
      <c r="J199" s="47">
        <f t="shared" ref="J199" si="76">G199/I199</f>
        <v>0.62607459554592837</v>
      </c>
      <c r="K199" s="47">
        <f t="shared" ref="K199" si="77">C199/E199</f>
        <v>9.3182858014335831E-2</v>
      </c>
    </row>
    <row r="200" spans="1:11" ht="19.3">
      <c r="A200" s="27">
        <v>32509</v>
      </c>
      <c r="B200" s="274">
        <v>563</v>
      </c>
      <c r="C200" s="22"/>
      <c r="D200" s="274">
        <v>5905</v>
      </c>
      <c r="E200" s="22"/>
      <c r="F200" s="277">
        <v>6051</v>
      </c>
      <c r="G200" s="22"/>
      <c r="H200" s="277">
        <v>9923</v>
      </c>
      <c r="I200" s="22"/>
      <c r="K200" s="26"/>
    </row>
    <row r="201" spans="1:11" ht="19.3">
      <c r="A201" s="27">
        <v>32540</v>
      </c>
      <c r="B201" s="274">
        <v>576</v>
      </c>
      <c r="C201" s="22"/>
      <c r="D201" s="274">
        <v>5917</v>
      </c>
      <c r="E201" s="22"/>
      <c r="F201" s="277">
        <v>6068</v>
      </c>
      <c r="G201" s="22"/>
      <c r="H201" s="277">
        <v>9922</v>
      </c>
      <c r="I201" s="22"/>
      <c r="K201" s="26"/>
    </row>
    <row r="202" spans="1:11" ht="19.3">
      <c r="A202" s="27">
        <v>32568</v>
      </c>
      <c r="B202" s="274">
        <v>573</v>
      </c>
      <c r="C202" s="22"/>
      <c r="D202" s="274">
        <v>5999</v>
      </c>
      <c r="E202" s="22"/>
      <c r="F202" s="277">
        <v>6162</v>
      </c>
      <c r="G202" s="22"/>
      <c r="H202" s="277">
        <v>9936</v>
      </c>
      <c r="I202" s="22"/>
      <c r="K202" s="26"/>
    </row>
    <row r="203" spans="1:11" ht="19.3">
      <c r="A203" s="27">
        <v>32599</v>
      </c>
      <c r="B203" s="274">
        <v>569</v>
      </c>
      <c r="C203" s="22"/>
      <c r="D203" s="274">
        <v>6134</v>
      </c>
      <c r="E203" s="22"/>
      <c r="F203" s="277">
        <v>6290</v>
      </c>
      <c r="G203" s="22"/>
      <c r="H203" s="277">
        <v>9940</v>
      </c>
      <c r="I203" s="22"/>
      <c r="K203" s="26"/>
    </row>
    <row r="204" spans="1:11" ht="19.3">
      <c r="A204" s="27">
        <v>32629</v>
      </c>
      <c r="B204" s="274">
        <v>572</v>
      </c>
      <c r="C204" s="22"/>
      <c r="D204" s="274">
        <v>6208</v>
      </c>
      <c r="E204" s="22"/>
      <c r="F204" s="277">
        <v>6358</v>
      </c>
      <c r="G204" s="22"/>
      <c r="H204" s="277">
        <v>9961</v>
      </c>
      <c r="I204" s="22"/>
      <c r="K204" s="26"/>
    </row>
    <row r="205" spans="1:11" ht="19.3">
      <c r="A205" s="27">
        <v>32660</v>
      </c>
      <c r="B205" s="274">
        <v>576</v>
      </c>
      <c r="C205" s="22"/>
      <c r="D205" s="274">
        <v>6239</v>
      </c>
      <c r="E205" s="22"/>
      <c r="F205" s="277">
        <v>6373</v>
      </c>
      <c r="G205" s="22"/>
      <c r="H205" s="277">
        <v>9971</v>
      </c>
      <c r="I205" s="22"/>
      <c r="K205" s="26"/>
    </row>
    <row r="206" spans="1:11" ht="19.3">
      <c r="A206" s="27">
        <v>32690</v>
      </c>
      <c r="B206" s="274">
        <v>580</v>
      </c>
      <c r="C206" s="22"/>
      <c r="D206" s="274">
        <v>6240</v>
      </c>
      <c r="E206" s="22"/>
      <c r="F206" s="277">
        <v>6372</v>
      </c>
      <c r="G206" s="22"/>
      <c r="H206" s="277">
        <v>9973</v>
      </c>
      <c r="I206" s="22"/>
      <c r="K206" s="26"/>
    </row>
    <row r="207" spans="1:11" ht="19.3">
      <c r="A207" s="27">
        <v>32721</v>
      </c>
      <c r="B207" s="274">
        <v>581</v>
      </c>
      <c r="C207" s="22"/>
      <c r="D207" s="274">
        <v>6193</v>
      </c>
      <c r="E207" s="22"/>
      <c r="F207" s="277">
        <v>6333</v>
      </c>
      <c r="G207" s="22"/>
      <c r="H207" s="277">
        <v>9991</v>
      </c>
      <c r="I207" s="22"/>
      <c r="K207" s="26"/>
    </row>
    <row r="208" spans="1:11" ht="19.3">
      <c r="A208" s="27">
        <v>32752</v>
      </c>
      <c r="B208" s="274">
        <v>586</v>
      </c>
      <c r="C208" s="22"/>
      <c r="D208" s="274">
        <v>6187</v>
      </c>
      <c r="E208" s="22"/>
      <c r="F208" s="277">
        <v>6324</v>
      </c>
      <c r="G208" s="22"/>
      <c r="H208" s="277">
        <v>10005</v>
      </c>
      <c r="I208" s="22"/>
      <c r="K208" s="26"/>
    </row>
    <row r="209" spans="1:11" ht="19.3">
      <c r="A209" s="27">
        <v>32782</v>
      </c>
      <c r="B209" s="274">
        <v>584</v>
      </c>
      <c r="C209" s="22"/>
      <c r="D209" s="274">
        <v>6194</v>
      </c>
      <c r="E209" s="22"/>
      <c r="F209" s="277">
        <v>6331</v>
      </c>
      <c r="G209" s="22"/>
      <c r="H209" s="277">
        <v>10016</v>
      </c>
      <c r="I209" s="22"/>
      <c r="K209" s="26"/>
    </row>
    <row r="210" spans="1:11" ht="19.3">
      <c r="A210" s="27">
        <v>32813</v>
      </c>
      <c r="B210" s="274">
        <v>587</v>
      </c>
      <c r="C210" s="22"/>
      <c r="D210" s="274">
        <v>6179</v>
      </c>
      <c r="E210" s="22"/>
      <c r="F210" s="277">
        <v>6312</v>
      </c>
      <c r="G210" s="22"/>
      <c r="H210" s="277">
        <v>10028</v>
      </c>
      <c r="I210" s="22"/>
      <c r="K210" s="26"/>
    </row>
    <row r="211" spans="1:11" ht="19.3">
      <c r="A211" s="27">
        <v>32843</v>
      </c>
      <c r="B211" s="274">
        <v>591</v>
      </c>
      <c r="C211" s="278">
        <f t="shared" ref="C211:E211" si="78">AVERAGE(B200:B211)</f>
        <v>578.16666666666663</v>
      </c>
      <c r="D211" s="274">
        <v>6141</v>
      </c>
      <c r="E211" s="278">
        <f t="shared" si="78"/>
        <v>6128</v>
      </c>
      <c r="F211" s="277">
        <v>6263</v>
      </c>
      <c r="G211" s="278">
        <f t="shared" ref="G211" si="79">AVERAGE(F200:F211)</f>
        <v>6269.75</v>
      </c>
      <c r="H211" s="277">
        <v>10026</v>
      </c>
      <c r="I211" s="278">
        <f t="shared" ref="I211" si="80">AVERAGE(H200:H211)</f>
        <v>9974.3333333333339</v>
      </c>
      <c r="J211" s="47">
        <f t="shared" ref="J211" si="81">G211/I211</f>
        <v>0.62858837683387359</v>
      </c>
      <c r="K211" s="47">
        <f t="shared" ref="K211" si="82">C211/E211</f>
        <v>9.4348346388163612E-2</v>
      </c>
    </row>
    <row r="212" spans="1:11" ht="19.3">
      <c r="A212" s="27">
        <v>32874</v>
      </c>
      <c r="B212" s="274">
        <v>575</v>
      </c>
      <c r="C212" s="22"/>
      <c r="D212" s="274">
        <v>6036</v>
      </c>
      <c r="E212" s="22"/>
      <c r="F212" s="277">
        <v>6177</v>
      </c>
      <c r="G212" s="22"/>
      <c r="H212" s="277">
        <v>10042</v>
      </c>
      <c r="I212" s="22"/>
      <c r="K212" s="26"/>
    </row>
    <row r="213" spans="1:11" ht="19.3">
      <c r="A213" s="27">
        <v>32905</v>
      </c>
      <c r="B213" s="274">
        <v>579</v>
      </c>
      <c r="C213" s="22"/>
      <c r="D213" s="274">
        <v>6051</v>
      </c>
      <c r="E213" s="22"/>
      <c r="F213" s="277">
        <v>6193</v>
      </c>
      <c r="G213" s="22"/>
      <c r="H213" s="277">
        <v>10044</v>
      </c>
      <c r="I213" s="22"/>
      <c r="K213" s="26"/>
    </row>
    <row r="214" spans="1:11" ht="19.3">
      <c r="A214" s="27">
        <v>32933</v>
      </c>
      <c r="B214" s="274">
        <v>578</v>
      </c>
      <c r="C214" s="22"/>
      <c r="D214" s="274">
        <v>6152</v>
      </c>
      <c r="E214" s="22"/>
      <c r="F214" s="277">
        <v>6293</v>
      </c>
      <c r="G214" s="22"/>
      <c r="H214" s="277">
        <v>10058</v>
      </c>
      <c r="I214" s="22"/>
      <c r="K214" s="26"/>
    </row>
    <row r="215" spans="1:11" ht="19.3">
      <c r="A215" s="27">
        <v>32964</v>
      </c>
      <c r="B215" s="274">
        <v>573</v>
      </c>
      <c r="C215" s="22"/>
      <c r="D215" s="274">
        <v>6257</v>
      </c>
      <c r="E215" s="22"/>
      <c r="F215" s="277">
        <v>6398</v>
      </c>
      <c r="G215" s="22"/>
      <c r="H215" s="277">
        <v>10060</v>
      </c>
      <c r="I215" s="22"/>
      <c r="K215" s="26"/>
    </row>
    <row r="216" spans="1:11" ht="19.3">
      <c r="A216" s="27">
        <v>32994</v>
      </c>
      <c r="B216" s="274">
        <v>612</v>
      </c>
      <c r="C216" s="22"/>
      <c r="D216" s="274">
        <v>6340</v>
      </c>
      <c r="E216" s="22"/>
      <c r="F216" s="277">
        <v>6476</v>
      </c>
      <c r="G216" s="22"/>
      <c r="H216" s="277">
        <v>10080</v>
      </c>
      <c r="I216" s="22"/>
      <c r="K216" s="26"/>
    </row>
    <row r="217" spans="1:11" ht="19.3">
      <c r="A217" s="27">
        <v>33025</v>
      </c>
      <c r="B217" s="274">
        <v>616</v>
      </c>
      <c r="C217" s="22"/>
      <c r="D217" s="274">
        <v>6337</v>
      </c>
      <c r="E217" s="22"/>
      <c r="F217" s="277">
        <v>6469</v>
      </c>
      <c r="G217" s="22"/>
      <c r="H217" s="277">
        <v>10086</v>
      </c>
      <c r="I217" s="22"/>
      <c r="K217" s="26"/>
    </row>
    <row r="218" spans="1:11" ht="19.3">
      <c r="A218" s="27">
        <v>33055</v>
      </c>
      <c r="B218" s="274">
        <v>592</v>
      </c>
      <c r="C218" s="22"/>
      <c r="D218" s="274">
        <v>6334</v>
      </c>
      <c r="E218" s="22"/>
      <c r="F218" s="277">
        <v>6460</v>
      </c>
      <c r="G218" s="22"/>
      <c r="H218" s="277">
        <v>10086</v>
      </c>
      <c r="I218" s="22"/>
      <c r="K218" s="26"/>
    </row>
    <row r="219" spans="1:11" ht="19.3">
      <c r="A219" s="27">
        <v>33086</v>
      </c>
      <c r="B219" s="274">
        <v>582</v>
      </c>
      <c r="C219" s="22"/>
      <c r="D219" s="274">
        <v>6287</v>
      </c>
      <c r="E219" s="22"/>
      <c r="F219" s="277">
        <v>6417</v>
      </c>
      <c r="G219" s="22"/>
      <c r="H219" s="277">
        <v>10103</v>
      </c>
      <c r="I219" s="22"/>
      <c r="K219" s="26"/>
    </row>
    <row r="220" spans="1:11" ht="19.3">
      <c r="A220" s="27">
        <v>33117</v>
      </c>
      <c r="B220" s="274">
        <v>574</v>
      </c>
      <c r="C220" s="22"/>
      <c r="D220" s="274">
        <v>6326</v>
      </c>
      <c r="E220" s="22"/>
      <c r="F220" s="277">
        <v>6463</v>
      </c>
      <c r="G220" s="22"/>
      <c r="H220" s="277">
        <v>10118</v>
      </c>
      <c r="I220" s="22"/>
      <c r="K220" s="26"/>
    </row>
    <row r="221" spans="1:11" ht="19.3">
      <c r="A221" s="27">
        <v>33147</v>
      </c>
      <c r="B221" s="274">
        <v>589</v>
      </c>
      <c r="C221" s="22"/>
      <c r="D221" s="274">
        <v>6326</v>
      </c>
      <c r="E221" s="22"/>
      <c r="F221" s="277">
        <v>6465</v>
      </c>
      <c r="G221" s="22"/>
      <c r="H221" s="277">
        <v>10126</v>
      </c>
      <c r="I221" s="22"/>
      <c r="K221" s="26"/>
    </row>
    <row r="222" spans="1:11" ht="19.3">
      <c r="A222" s="27">
        <v>33178</v>
      </c>
      <c r="B222" s="274">
        <v>599</v>
      </c>
      <c r="C222" s="22"/>
      <c r="D222" s="274">
        <v>6298</v>
      </c>
      <c r="E222" s="22"/>
      <c r="F222" s="277">
        <v>6424</v>
      </c>
      <c r="G222" s="22"/>
      <c r="H222" s="277">
        <v>10136</v>
      </c>
      <c r="I222" s="22"/>
      <c r="K222" s="26"/>
    </row>
    <row r="223" spans="1:11" ht="19.3">
      <c r="A223" s="27">
        <v>33208</v>
      </c>
      <c r="B223" s="274">
        <v>593</v>
      </c>
      <c r="C223" s="278">
        <f t="shared" ref="C223:E223" si="83">AVERAGE(B212:B223)</f>
        <v>588.5</v>
      </c>
      <c r="D223" s="274">
        <v>6250</v>
      </c>
      <c r="E223" s="278">
        <f t="shared" si="83"/>
        <v>6249.5</v>
      </c>
      <c r="F223" s="277">
        <v>6368</v>
      </c>
      <c r="G223" s="278">
        <f t="shared" ref="G223" si="84">AVERAGE(F212:F223)</f>
        <v>6383.583333333333</v>
      </c>
      <c r="H223" s="277">
        <v>10135</v>
      </c>
      <c r="I223" s="278">
        <f t="shared" ref="I223" si="85">AVERAGE(H212:H223)</f>
        <v>10089.5</v>
      </c>
      <c r="J223" s="47">
        <f t="shared" ref="J223" si="86">G223/I223</f>
        <v>0.63269570675785058</v>
      </c>
      <c r="K223" s="47">
        <f t="shared" ref="K223" si="87">C223/E223</f>
        <v>9.4167533402672213E-2</v>
      </c>
    </row>
    <row r="224" spans="1:11" ht="19.3">
      <c r="A224" s="27">
        <v>33239</v>
      </c>
      <c r="B224" s="274">
        <v>595</v>
      </c>
      <c r="C224" s="22"/>
      <c r="D224" s="274">
        <v>6175</v>
      </c>
      <c r="E224" s="22"/>
      <c r="F224" s="274">
        <v>6308</v>
      </c>
      <c r="G224" s="22"/>
      <c r="H224" s="277">
        <v>10150</v>
      </c>
      <c r="I224" s="22"/>
      <c r="K224" s="26"/>
    </row>
    <row r="225" spans="1:11" ht="19.3">
      <c r="A225" s="27">
        <v>33270</v>
      </c>
      <c r="B225" s="274">
        <v>593</v>
      </c>
      <c r="C225" s="22"/>
      <c r="D225" s="274">
        <v>6171</v>
      </c>
      <c r="E225" s="22"/>
      <c r="F225" s="274">
        <v>6307</v>
      </c>
      <c r="G225" s="22"/>
      <c r="H225" s="277">
        <v>10148</v>
      </c>
      <c r="I225" s="22"/>
      <c r="K225" s="26"/>
    </row>
    <row r="226" spans="1:11" ht="19.3">
      <c r="A226" s="27">
        <v>33298</v>
      </c>
      <c r="B226" s="274">
        <v>606</v>
      </c>
      <c r="C226" s="22"/>
      <c r="D226" s="274">
        <v>6263</v>
      </c>
      <c r="E226" s="22"/>
      <c r="F226" s="274">
        <v>6418</v>
      </c>
      <c r="G226" s="22"/>
      <c r="H226" s="277">
        <v>10169</v>
      </c>
      <c r="I226" s="22"/>
      <c r="K226" s="26"/>
    </row>
    <row r="227" spans="1:11" ht="19.3">
      <c r="A227" s="27">
        <v>33329</v>
      </c>
      <c r="B227" s="274">
        <v>607</v>
      </c>
      <c r="C227" s="22"/>
      <c r="D227" s="274">
        <v>6375</v>
      </c>
      <c r="E227" s="22"/>
      <c r="F227" s="274">
        <v>6519</v>
      </c>
      <c r="G227" s="22"/>
      <c r="H227" s="277">
        <v>10179</v>
      </c>
      <c r="I227" s="22"/>
      <c r="K227" s="26"/>
    </row>
    <row r="228" spans="1:11" ht="19.3">
      <c r="A228" s="27">
        <v>33359</v>
      </c>
      <c r="B228" s="274">
        <v>622</v>
      </c>
      <c r="C228" s="22"/>
      <c r="D228" s="274">
        <v>6447</v>
      </c>
      <c r="E228" s="22"/>
      <c r="F228" s="274">
        <v>6583</v>
      </c>
      <c r="G228" s="22"/>
      <c r="H228" s="277">
        <v>10193</v>
      </c>
      <c r="I228" s="22"/>
      <c r="K228" s="26"/>
    </row>
    <row r="229" spans="1:11" ht="19.3">
      <c r="A229" s="27">
        <v>33390</v>
      </c>
      <c r="B229" s="274">
        <v>626</v>
      </c>
      <c r="C229" s="22"/>
      <c r="D229" s="274">
        <v>6478</v>
      </c>
      <c r="E229" s="22"/>
      <c r="F229" s="274">
        <v>6610</v>
      </c>
      <c r="G229" s="22"/>
      <c r="H229" s="277">
        <v>10199</v>
      </c>
      <c r="I229" s="22"/>
      <c r="K229" s="26"/>
    </row>
    <row r="230" spans="1:11" ht="19.3">
      <c r="A230" s="27">
        <v>33420</v>
      </c>
      <c r="B230" s="274">
        <v>602</v>
      </c>
      <c r="C230" s="22"/>
      <c r="D230" s="274">
        <v>6443</v>
      </c>
      <c r="E230" s="22"/>
      <c r="F230" s="274">
        <v>6576</v>
      </c>
      <c r="G230" s="22"/>
      <c r="H230" s="277">
        <v>10196</v>
      </c>
      <c r="I230" s="22"/>
      <c r="K230" s="26"/>
    </row>
    <row r="231" spans="1:11" ht="19.3">
      <c r="A231" s="27">
        <v>33451</v>
      </c>
      <c r="B231" s="274">
        <v>598</v>
      </c>
      <c r="C231" s="22"/>
      <c r="D231" s="274">
        <v>6425</v>
      </c>
      <c r="E231" s="22"/>
      <c r="F231" s="274">
        <v>6564</v>
      </c>
      <c r="G231" s="22"/>
      <c r="H231" s="277">
        <v>10210</v>
      </c>
      <c r="I231" s="22"/>
      <c r="K231" s="26"/>
    </row>
    <row r="232" spans="1:11" ht="19.3">
      <c r="A232" s="27">
        <v>33482</v>
      </c>
      <c r="B232" s="274">
        <v>596</v>
      </c>
      <c r="C232" s="22"/>
      <c r="D232" s="274">
        <v>6437</v>
      </c>
      <c r="E232" s="22"/>
      <c r="F232" s="274">
        <v>6578</v>
      </c>
      <c r="G232" s="22"/>
      <c r="H232" s="277">
        <v>10226</v>
      </c>
      <c r="I232" s="22"/>
      <c r="K232" s="26"/>
    </row>
    <row r="233" spans="1:11" ht="19.3">
      <c r="A233" s="27">
        <v>33512</v>
      </c>
      <c r="B233" s="274">
        <v>598</v>
      </c>
      <c r="C233" s="22"/>
      <c r="D233" s="274">
        <v>6422</v>
      </c>
      <c r="E233" s="22"/>
      <c r="F233" s="274">
        <v>6554</v>
      </c>
      <c r="G233" s="22"/>
      <c r="H233" s="277">
        <v>10235</v>
      </c>
      <c r="I233" s="22"/>
      <c r="K233" s="26"/>
    </row>
    <row r="234" spans="1:11" ht="19.3">
      <c r="A234" s="27">
        <v>33543</v>
      </c>
      <c r="B234" s="274">
        <v>607</v>
      </c>
      <c r="C234" s="22"/>
      <c r="D234" s="274">
        <v>6412</v>
      </c>
      <c r="E234" s="22"/>
      <c r="F234" s="274">
        <v>6543</v>
      </c>
      <c r="G234" s="22"/>
      <c r="H234" s="277">
        <v>10241</v>
      </c>
      <c r="I234" s="22"/>
      <c r="K234" s="26"/>
    </row>
    <row r="235" spans="1:11" ht="19.3">
      <c r="A235" s="27">
        <v>33573</v>
      </c>
      <c r="B235" s="274">
        <v>602</v>
      </c>
      <c r="C235" s="278">
        <f t="shared" ref="C235:E235" si="88">AVERAGE(B224:B235)</f>
        <v>604.33333333333337</v>
      </c>
      <c r="D235" s="274">
        <v>6377</v>
      </c>
      <c r="E235" s="278">
        <f t="shared" si="88"/>
        <v>6368.75</v>
      </c>
      <c r="F235" s="274">
        <v>6504</v>
      </c>
      <c r="G235" s="278">
        <f t="shared" ref="G235" si="89">AVERAGE(F224:F235)</f>
        <v>6505.333333333333</v>
      </c>
      <c r="H235" s="277">
        <v>10236</v>
      </c>
      <c r="I235" s="278">
        <f t="shared" ref="I235" si="90">AVERAGE(H224:H235)</f>
        <v>10198.5</v>
      </c>
      <c r="J235" s="47">
        <f t="shared" ref="J235" si="91">G235/I235</f>
        <v>0.63787158242225162</v>
      </c>
      <c r="K235" s="47">
        <f t="shared" ref="K235" si="92">C235/E235</f>
        <v>9.4890415439973841E-2</v>
      </c>
    </row>
    <row r="236" spans="1:11" ht="19.3">
      <c r="A236" s="27">
        <v>33604</v>
      </c>
      <c r="B236" s="274">
        <v>587</v>
      </c>
      <c r="C236" s="22"/>
      <c r="D236" s="274">
        <v>6264</v>
      </c>
      <c r="E236" s="22"/>
      <c r="F236" s="277">
        <v>6405</v>
      </c>
      <c r="G236" s="22"/>
      <c r="H236" s="277">
        <v>10249</v>
      </c>
      <c r="I236" s="22"/>
      <c r="K236" s="26"/>
    </row>
    <row r="237" spans="1:11" ht="19.3">
      <c r="A237" s="27">
        <v>33635</v>
      </c>
      <c r="B237" s="274">
        <v>598</v>
      </c>
      <c r="C237" s="22"/>
      <c r="D237" s="274">
        <v>6311</v>
      </c>
      <c r="E237" s="22"/>
      <c r="F237" s="277">
        <v>6448</v>
      </c>
      <c r="G237" s="22"/>
      <c r="H237" s="277">
        <v>10250</v>
      </c>
      <c r="I237" s="22"/>
      <c r="K237" s="26"/>
    </row>
    <row r="238" spans="1:11" ht="19.3">
      <c r="A238" s="27">
        <v>33664</v>
      </c>
      <c r="B238" s="274">
        <v>602</v>
      </c>
      <c r="C238" s="22"/>
      <c r="D238" s="274">
        <v>6350</v>
      </c>
      <c r="E238" s="22"/>
      <c r="F238" s="277">
        <v>6502</v>
      </c>
      <c r="G238" s="22"/>
      <c r="H238" s="277">
        <v>10256</v>
      </c>
      <c r="I238" s="22"/>
      <c r="K238" s="26"/>
    </row>
    <row r="239" spans="1:11" ht="19.3">
      <c r="A239" s="27">
        <v>33695</v>
      </c>
      <c r="B239" s="274">
        <v>612</v>
      </c>
      <c r="C239" s="22"/>
      <c r="D239" s="274">
        <v>6441</v>
      </c>
      <c r="E239" s="22"/>
      <c r="F239" s="277">
        <v>6583</v>
      </c>
      <c r="G239" s="22"/>
      <c r="H239" s="277">
        <v>10249</v>
      </c>
      <c r="I239" s="22"/>
      <c r="K239" s="26"/>
    </row>
    <row r="240" spans="1:11" ht="19.3">
      <c r="A240" s="27">
        <v>33725</v>
      </c>
      <c r="B240" s="274">
        <v>629</v>
      </c>
      <c r="C240" s="22"/>
      <c r="D240" s="274">
        <v>6511</v>
      </c>
      <c r="E240" s="22"/>
      <c r="F240" s="277">
        <v>6653</v>
      </c>
      <c r="G240" s="22"/>
      <c r="H240" s="277">
        <v>10267</v>
      </c>
      <c r="I240" s="22"/>
      <c r="K240" s="26"/>
    </row>
    <row r="241" spans="1:11" ht="19.3">
      <c r="A241" s="27">
        <v>33756</v>
      </c>
      <c r="B241" s="274">
        <v>624</v>
      </c>
      <c r="C241" s="22"/>
      <c r="D241" s="274">
        <v>6520</v>
      </c>
      <c r="E241" s="22"/>
      <c r="F241" s="277">
        <v>6653</v>
      </c>
      <c r="G241" s="22"/>
      <c r="H241" s="277">
        <v>10283</v>
      </c>
      <c r="I241" s="22"/>
      <c r="K241" s="26"/>
    </row>
    <row r="242" spans="1:11" ht="19.3">
      <c r="A242" s="27">
        <v>33786</v>
      </c>
      <c r="B242" s="274">
        <v>626</v>
      </c>
      <c r="C242" s="22"/>
      <c r="D242" s="274">
        <v>6480</v>
      </c>
      <c r="E242" s="22"/>
      <c r="F242" s="277">
        <v>6614</v>
      </c>
      <c r="G242" s="22"/>
      <c r="H242" s="277">
        <v>10281</v>
      </c>
      <c r="I242" s="22"/>
      <c r="K242" s="26"/>
    </row>
    <row r="243" spans="1:11" ht="19.3">
      <c r="A243" s="27">
        <v>33817</v>
      </c>
      <c r="B243" s="274">
        <v>632</v>
      </c>
      <c r="C243" s="22"/>
      <c r="D243" s="274">
        <v>6474</v>
      </c>
      <c r="E243" s="22"/>
      <c r="F243" s="277">
        <v>6618</v>
      </c>
      <c r="G243" s="22"/>
      <c r="H243" s="277">
        <v>10295</v>
      </c>
      <c r="I243" s="22"/>
      <c r="K243" s="26"/>
    </row>
    <row r="244" spans="1:11" ht="19.3">
      <c r="A244" s="27">
        <v>33848</v>
      </c>
      <c r="B244" s="274">
        <v>633</v>
      </c>
      <c r="C244" s="22"/>
      <c r="D244" s="274">
        <v>6478</v>
      </c>
      <c r="E244" s="22"/>
      <c r="F244" s="277">
        <v>6625</v>
      </c>
      <c r="G244" s="22"/>
      <c r="H244" s="277">
        <v>10307</v>
      </c>
      <c r="I244" s="22"/>
      <c r="K244" s="26"/>
    </row>
    <row r="245" spans="1:11" ht="19.3">
      <c r="A245" s="27">
        <v>33878</v>
      </c>
      <c r="B245" s="274">
        <v>629</v>
      </c>
      <c r="C245" s="22"/>
      <c r="D245" s="274">
        <v>6496</v>
      </c>
      <c r="E245" s="22"/>
      <c r="F245" s="277">
        <v>6642</v>
      </c>
      <c r="G245" s="22"/>
      <c r="H245" s="277">
        <v>10317</v>
      </c>
      <c r="I245" s="22"/>
      <c r="K245" s="26"/>
    </row>
    <row r="246" spans="1:11" ht="19.3">
      <c r="A246" s="27">
        <v>33909</v>
      </c>
      <c r="B246" s="274">
        <v>624</v>
      </c>
      <c r="C246" s="22"/>
      <c r="D246" s="274">
        <v>6487</v>
      </c>
      <c r="E246" s="22"/>
      <c r="F246" s="277">
        <v>6632</v>
      </c>
      <c r="G246" s="22"/>
      <c r="H246" s="277">
        <v>10326</v>
      </c>
      <c r="I246" s="22"/>
      <c r="K246" s="26"/>
    </row>
    <row r="247" spans="1:11" ht="19.3">
      <c r="A247" s="27">
        <v>33939</v>
      </c>
      <c r="B247" s="274">
        <v>631</v>
      </c>
      <c r="C247" s="278">
        <f t="shared" ref="C247:E247" si="93">AVERAGE(B236:B247)</f>
        <v>618.91666666666663</v>
      </c>
      <c r="D247" s="274">
        <v>6422</v>
      </c>
      <c r="E247" s="278">
        <f t="shared" si="93"/>
        <v>6436.166666666667</v>
      </c>
      <c r="F247" s="277">
        <v>6566</v>
      </c>
      <c r="G247" s="278">
        <f t="shared" ref="G247" si="94">AVERAGE(F236:F247)</f>
        <v>6578.416666666667</v>
      </c>
      <c r="H247" s="277">
        <v>10314</v>
      </c>
      <c r="I247" s="278">
        <f t="shared" ref="I247" si="95">AVERAGE(H236:H247)</f>
        <v>10282.833333333334</v>
      </c>
      <c r="J247" s="47">
        <f t="shared" ref="J247" si="96">G247/I247</f>
        <v>0.63974747556607292</v>
      </c>
      <c r="K247" s="47">
        <f t="shared" ref="K247" si="97">C247/E247</f>
        <v>9.6162311935158076E-2</v>
      </c>
    </row>
    <row r="248" spans="1:11" ht="19.3">
      <c r="A248" s="27">
        <v>33970</v>
      </c>
      <c r="B248" s="274">
        <v>624</v>
      </c>
      <c r="C248" s="22"/>
      <c r="D248" s="274">
        <v>6296</v>
      </c>
      <c r="E248" s="22"/>
      <c r="F248" s="277">
        <v>6449</v>
      </c>
      <c r="G248" s="22"/>
      <c r="H248" s="277">
        <v>10333</v>
      </c>
      <c r="I248" s="22"/>
      <c r="K248" s="26"/>
    </row>
    <row r="249" spans="1:11" ht="19.3">
      <c r="A249" s="27">
        <v>34001</v>
      </c>
      <c r="B249" s="274">
        <v>635</v>
      </c>
      <c r="C249" s="22"/>
      <c r="D249" s="274">
        <v>6286</v>
      </c>
      <c r="E249" s="22"/>
      <c r="F249" s="277">
        <v>6443</v>
      </c>
      <c r="G249" s="22"/>
      <c r="H249" s="277">
        <v>10335</v>
      </c>
      <c r="I249" s="22"/>
      <c r="K249" s="26"/>
    </row>
    <row r="250" spans="1:11" ht="19.3">
      <c r="A250" s="27">
        <v>34029</v>
      </c>
      <c r="B250" s="274">
        <v>627</v>
      </c>
      <c r="C250" s="22"/>
      <c r="D250" s="274">
        <v>6355</v>
      </c>
      <c r="E250" s="22"/>
      <c r="F250" s="277">
        <v>6522</v>
      </c>
      <c r="G250" s="22"/>
      <c r="H250" s="277">
        <v>10347</v>
      </c>
      <c r="I250" s="22"/>
      <c r="K250" s="26"/>
    </row>
    <row r="251" spans="1:11" ht="19.3">
      <c r="A251" s="27">
        <v>34060</v>
      </c>
      <c r="B251" s="274">
        <v>630</v>
      </c>
      <c r="C251" s="22"/>
      <c r="D251" s="274">
        <v>6472</v>
      </c>
      <c r="E251" s="22"/>
      <c r="F251" s="277">
        <v>6630</v>
      </c>
      <c r="G251" s="22"/>
      <c r="H251" s="277">
        <v>10353</v>
      </c>
      <c r="I251" s="22"/>
      <c r="K251" s="26"/>
    </row>
    <row r="252" spans="1:11" ht="19.3">
      <c r="A252" s="27">
        <v>34090</v>
      </c>
      <c r="B252" s="274">
        <v>646</v>
      </c>
      <c r="C252" s="22"/>
      <c r="D252" s="274">
        <v>6527</v>
      </c>
      <c r="E252" s="22"/>
      <c r="F252" s="277">
        <v>6696</v>
      </c>
      <c r="G252" s="22"/>
      <c r="H252" s="277">
        <v>10361</v>
      </c>
      <c r="I252" s="22"/>
      <c r="K252" s="26"/>
    </row>
    <row r="253" spans="1:11" ht="19.3">
      <c r="A253" s="27">
        <v>34121</v>
      </c>
      <c r="B253" s="274">
        <v>630</v>
      </c>
      <c r="C253" s="22"/>
      <c r="D253" s="274">
        <v>6537</v>
      </c>
      <c r="E253" s="22"/>
      <c r="F253" s="277">
        <v>6696</v>
      </c>
      <c r="G253" s="22"/>
      <c r="H253" s="277">
        <v>10364</v>
      </c>
      <c r="I253" s="22"/>
      <c r="K253" s="26"/>
    </row>
    <row r="254" spans="1:11" ht="19.3">
      <c r="A254" s="27">
        <v>34151</v>
      </c>
      <c r="B254" s="274">
        <v>654</v>
      </c>
      <c r="C254" s="22"/>
      <c r="D254" s="274">
        <v>6520</v>
      </c>
      <c r="E254" s="22"/>
      <c r="F254" s="277">
        <v>6679</v>
      </c>
      <c r="G254" s="22"/>
      <c r="H254" s="277">
        <v>10370</v>
      </c>
      <c r="I254" s="22"/>
      <c r="K254" s="26"/>
    </row>
    <row r="255" spans="1:11" ht="19.3">
      <c r="A255" s="27">
        <v>34182</v>
      </c>
      <c r="B255" s="274">
        <v>658</v>
      </c>
      <c r="C255" s="22"/>
      <c r="D255" s="274">
        <v>6494</v>
      </c>
      <c r="E255" s="22"/>
      <c r="F255" s="277">
        <v>6661</v>
      </c>
      <c r="G255" s="22"/>
      <c r="H255" s="277">
        <v>10382</v>
      </c>
      <c r="I255" s="22"/>
      <c r="K255" s="26"/>
    </row>
    <row r="256" spans="1:11" ht="19.3">
      <c r="A256" s="27">
        <v>34213</v>
      </c>
      <c r="B256" s="274">
        <v>648</v>
      </c>
      <c r="C256" s="22"/>
      <c r="D256" s="274">
        <v>6493</v>
      </c>
      <c r="E256" s="22"/>
      <c r="F256" s="277">
        <v>6665</v>
      </c>
      <c r="G256" s="22"/>
      <c r="H256" s="277">
        <v>10393</v>
      </c>
      <c r="I256" s="22"/>
      <c r="K256" s="26"/>
    </row>
    <row r="257" spans="1:11" ht="19.3">
      <c r="A257" s="27">
        <v>34243</v>
      </c>
      <c r="B257" s="274">
        <v>642</v>
      </c>
      <c r="C257" s="22"/>
      <c r="D257" s="274">
        <v>6501</v>
      </c>
      <c r="E257" s="22"/>
      <c r="F257" s="277">
        <v>6677</v>
      </c>
      <c r="G257" s="22"/>
      <c r="H257" s="277">
        <v>10396</v>
      </c>
      <c r="I257" s="22"/>
      <c r="K257" s="26"/>
    </row>
    <row r="258" spans="1:11" ht="19.3">
      <c r="A258" s="27">
        <v>34274</v>
      </c>
      <c r="B258" s="274">
        <v>642</v>
      </c>
      <c r="C258" s="22"/>
      <c r="D258" s="274">
        <v>6483</v>
      </c>
      <c r="E258" s="22"/>
      <c r="F258" s="277">
        <v>6659</v>
      </c>
      <c r="G258" s="22"/>
      <c r="H258" s="277">
        <v>10407</v>
      </c>
      <c r="I258" s="22"/>
      <c r="K258" s="26"/>
    </row>
    <row r="259" spans="1:11" ht="19.3">
      <c r="A259" s="27">
        <v>34304</v>
      </c>
      <c r="B259" s="274">
        <v>651</v>
      </c>
      <c r="C259" s="278">
        <f t="shared" ref="C259:E259" si="98">AVERAGE(B248:B259)</f>
        <v>640.58333333333337</v>
      </c>
      <c r="D259" s="274">
        <v>6432</v>
      </c>
      <c r="E259" s="278">
        <f t="shared" si="98"/>
        <v>6449.666666666667</v>
      </c>
      <c r="F259" s="277">
        <v>6607</v>
      </c>
      <c r="G259" s="278">
        <f t="shared" ref="G259" si="99">AVERAGE(F248:F259)</f>
        <v>6615.333333333333</v>
      </c>
      <c r="H259" s="277">
        <v>10404</v>
      </c>
      <c r="I259" s="278">
        <f t="shared" ref="I259" si="100">AVERAGE(H248:H259)</f>
        <v>10370.416666666666</v>
      </c>
      <c r="J259" s="47">
        <f t="shared" ref="J259" si="101">G259/I259</f>
        <v>0.63790429507011126</v>
      </c>
      <c r="K259" s="47">
        <f t="shared" ref="K259" si="102">C259/E259</f>
        <v>9.9320378314124769E-2</v>
      </c>
    </row>
    <row r="260" spans="1:11" ht="19.3">
      <c r="A260" s="27">
        <v>34335</v>
      </c>
      <c r="B260" s="274">
        <v>645</v>
      </c>
      <c r="C260" s="22"/>
      <c r="D260" s="274">
        <v>6326</v>
      </c>
      <c r="E260" s="22"/>
      <c r="F260" s="277">
        <v>6509</v>
      </c>
      <c r="G260" s="22"/>
      <c r="H260" s="277">
        <v>10415</v>
      </c>
      <c r="I260" s="22"/>
      <c r="K260" s="26"/>
    </row>
    <row r="261" spans="1:11" ht="19.3">
      <c r="A261" s="27">
        <v>34366</v>
      </c>
      <c r="B261" s="274">
        <v>651</v>
      </c>
      <c r="C261" s="22"/>
      <c r="D261" s="274">
        <v>6302</v>
      </c>
      <c r="E261" s="22"/>
      <c r="F261" s="277">
        <v>6497</v>
      </c>
      <c r="G261" s="22"/>
      <c r="H261" s="277">
        <v>10413</v>
      </c>
      <c r="I261" s="22"/>
      <c r="K261" s="26"/>
    </row>
    <row r="262" spans="1:11" ht="19.3">
      <c r="A262" s="27">
        <v>34394</v>
      </c>
      <c r="B262" s="274">
        <v>649</v>
      </c>
      <c r="C262" s="22"/>
      <c r="D262" s="274">
        <v>6365</v>
      </c>
      <c r="E262" s="22"/>
      <c r="F262" s="277">
        <v>6573</v>
      </c>
      <c r="G262" s="22"/>
      <c r="H262" s="277">
        <v>10424</v>
      </c>
      <c r="I262" s="22"/>
      <c r="K262" s="26"/>
    </row>
    <row r="263" spans="1:11" ht="19.3">
      <c r="A263" s="27">
        <v>34425</v>
      </c>
      <c r="B263" s="274">
        <v>650</v>
      </c>
      <c r="C263" s="22"/>
      <c r="D263" s="274">
        <v>6496</v>
      </c>
      <c r="E263" s="22"/>
      <c r="F263" s="277">
        <v>6690</v>
      </c>
      <c r="G263" s="22"/>
      <c r="H263" s="277">
        <v>10421</v>
      </c>
      <c r="I263" s="22"/>
      <c r="K263" s="26"/>
    </row>
    <row r="264" spans="1:11" ht="19.3">
      <c r="A264" s="27">
        <v>34455</v>
      </c>
      <c r="B264" s="274">
        <v>651</v>
      </c>
      <c r="C264" s="22"/>
      <c r="D264" s="274">
        <v>6557</v>
      </c>
      <c r="E264" s="22"/>
      <c r="F264" s="277">
        <v>6748</v>
      </c>
      <c r="G264" s="22"/>
      <c r="H264" s="277">
        <v>10438</v>
      </c>
      <c r="I264" s="22"/>
      <c r="K264" s="26"/>
    </row>
    <row r="265" spans="1:11" ht="19.3">
      <c r="A265" s="27">
        <v>34486</v>
      </c>
      <c r="B265" s="274">
        <v>661</v>
      </c>
      <c r="C265" s="22"/>
      <c r="D265" s="274">
        <v>6552</v>
      </c>
      <c r="E265" s="22"/>
      <c r="F265" s="277">
        <v>6735</v>
      </c>
      <c r="G265" s="22"/>
      <c r="H265" s="277">
        <v>10442</v>
      </c>
      <c r="I265" s="22"/>
      <c r="K265" s="26"/>
    </row>
    <row r="266" spans="1:11" ht="19.3">
      <c r="A266" s="27">
        <v>34516</v>
      </c>
      <c r="B266" s="274">
        <v>674</v>
      </c>
      <c r="C266" s="22"/>
      <c r="D266" s="274">
        <v>6516</v>
      </c>
      <c r="E266" s="22"/>
      <c r="F266" s="277">
        <v>6704</v>
      </c>
      <c r="G266" s="22"/>
      <c r="H266" s="277">
        <v>10440</v>
      </c>
      <c r="I266" s="22"/>
      <c r="K266" s="26"/>
    </row>
    <row r="267" spans="1:11" ht="19.3">
      <c r="A267" s="27">
        <v>34547</v>
      </c>
      <c r="B267" s="274">
        <v>648</v>
      </c>
      <c r="C267" s="22"/>
      <c r="D267" s="274">
        <v>6490</v>
      </c>
      <c r="E267" s="22"/>
      <c r="F267" s="277">
        <v>6690</v>
      </c>
      <c r="G267" s="22"/>
      <c r="H267" s="277">
        <v>10453</v>
      </c>
      <c r="I267" s="22"/>
      <c r="K267" s="26"/>
    </row>
    <row r="268" spans="1:11" ht="19.3">
      <c r="A268" s="27">
        <v>34578</v>
      </c>
      <c r="B268" s="274">
        <v>644</v>
      </c>
      <c r="C268" s="22"/>
      <c r="D268" s="274">
        <v>6484</v>
      </c>
      <c r="E268" s="22"/>
      <c r="F268" s="277">
        <v>6685</v>
      </c>
      <c r="G268" s="22"/>
      <c r="H268" s="277">
        <v>10465</v>
      </c>
      <c r="I268" s="22"/>
      <c r="K268" s="26"/>
    </row>
    <row r="269" spans="1:11" ht="19.3">
      <c r="A269" s="27">
        <v>34608</v>
      </c>
      <c r="B269" s="274">
        <v>663</v>
      </c>
      <c r="C269" s="22"/>
      <c r="D269" s="274">
        <v>6480</v>
      </c>
      <c r="E269" s="22"/>
      <c r="F269" s="277">
        <v>6679</v>
      </c>
      <c r="G269" s="22"/>
      <c r="H269" s="277">
        <v>10470</v>
      </c>
      <c r="I269" s="22"/>
      <c r="K269" s="26"/>
    </row>
    <row r="270" spans="1:11" ht="19.3">
      <c r="A270" s="27">
        <v>34639</v>
      </c>
      <c r="B270" s="274">
        <v>662</v>
      </c>
      <c r="C270" s="22"/>
      <c r="D270" s="274">
        <v>6458</v>
      </c>
      <c r="E270" s="22"/>
      <c r="F270" s="277">
        <v>6642</v>
      </c>
      <c r="G270" s="22"/>
      <c r="H270" s="277">
        <v>10475</v>
      </c>
      <c r="I270" s="22"/>
      <c r="K270" s="26"/>
    </row>
    <row r="271" spans="1:11" ht="19.3">
      <c r="A271" s="27">
        <v>34669</v>
      </c>
      <c r="B271" s="274">
        <v>660</v>
      </c>
      <c r="C271" s="278">
        <f t="shared" ref="C271:E271" si="103">AVERAGE(B260:B271)</f>
        <v>654.83333333333337</v>
      </c>
      <c r="D271" s="274">
        <v>6410</v>
      </c>
      <c r="E271" s="278">
        <f t="shared" si="103"/>
        <v>6453</v>
      </c>
      <c r="F271" s="277">
        <v>6587</v>
      </c>
      <c r="G271" s="278">
        <f t="shared" ref="G271" si="104">AVERAGE(F260:F271)</f>
        <v>6644.916666666667</v>
      </c>
      <c r="H271" s="277">
        <v>10472</v>
      </c>
      <c r="I271" s="278">
        <f t="shared" ref="I271" si="105">AVERAGE(H260:H271)</f>
        <v>10444</v>
      </c>
      <c r="J271" s="47">
        <f t="shared" ref="J271" si="106">G271/I271</f>
        <v>0.63624249968083746</v>
      </c>
      <c r="K271" s="47">
        <f t="shared" ref="K271" si="107">C271/E271</f>
        <v>0.1014773490366238</v>
      </c>
    </row>
    <row r="272" spans="1:11" ht="19.3">
      <c r="A272" s="27">
        <v>34700</v>
      </c>
      <c r="B272" s="274">
        <v>659</v>
      </c>
      <c r="C272" s="22"/>
      <c r="D272" s="274">
        <v>6324</v>
      </c>
      <c r="E272" s="22"/>
      <c r="F272" s="277">
        <v>6519</v>
      </c>
      <c r="G272" s="22"/>
      <c r="H272" s="277">
        <v>10487</v>
      </c>
      <c r="I272" s="22"/>
      <c r="K272" s="26"/>
    </row>
    <row r="273" spans="1:11" ht="19.3">
      <c r="A273" s="27">
        <v>34731</v>
      </c>
      <c r="B273" s="274">
        <v>652</v>
      </c>
      <c r="C273" s="22"/>
      <c r="D273" s="274">
        <v>6315</v>
      </c>
      <c r="E273" s="22"/>
      <c r="F273" s="277">
        <v>6514</v>
      </c>
      <c r="G273" s="22"/>
      <c r="H273" s="277">
        <v>10484</v>
      </c>
      <c r="I273" s="22"/>
      <c r="K273" s="26"/>
    </row>
    <row r="274" spans="1:11" ht="19.3">
      <c r="A274" s="27">
        <v>34759</v>
      </c>
      <c r="B274" s="274">
        <v>655</v>
      </c>
      <c r="C274" s="22"/>
      <c r="D274" s="274">
        <v>6381</v>
      </c>
      <c r="E274" s="22"/>
      <c r="F274" s="277">
        <v>6600</v>
      </c>
      <c r="G274" s="22"/>
      <c r="H274" s="277">
        <v>10495</v>
      </c>
      <c r="I274" s="22"/>
      <c r="K274" s="26"/>
    </row>
    <row r="275" spans="1:11" ht="19.3">
      <c r="A275" s="27">
        <v>34790</v>
      </c>
      <c r="B275" s="274">
        <v>657</v>
      </c>
      <c r="C275" s="22"/>
      <c r="D275" s="274">
        <v>6475</v>
      </c>
      <c r="E275" s="22"/>
      <c r="F275" s="277">
        <v>6690</v>
      </c>
      <c r="G275" s="22"/>
      <c r="H275" s="277">
        <v>10488</v>
      </c>
      <c r="I275" s="22"/>
      <c r="K275" s="26"/>
    </row>
    <row r="276" spans="1:11" ht="19.3">
      <c r="A276" s="27">
        <v>34820</v>
      </c>
      <c r="B276" s="274">
        <v>655</v>
      </c>
      <c r="C276" s="22"/>
      <c r="D276" s="274">
        <v>6526</v>
      </c>
      <c r="E276" s="22"/>
      <c r="F276" s="277">
        <v>6734</v>
      </c>
      <c r="G276" s="22"/>
      <c r="H276" s="277">
        <v>10506</v>
      </c>
      <c r="I276" s="22"/>
      <c r="K276" s="26"/>
    </row>
    <row r="277" spans="1:11" ht="19.3">
      <c r="A277" s="27">
        <v>34851</v>
      </c>
      <c r="B277" s="274">
        <v>672</v>
      </c>
      <c r="C277" s="22"/>
      <c r="D277" s="274">
        <v>6559</v>
      </c>
      <c r="E277" s="22"/>
      <c r="F277" s="277">
        <v>6760</v>
      </c>
      <c r="G277" s="22"/>
      <c r="H277" s="277">
        <v>10513</v>
      </c>
      <c r="I277" s="22"/>
      <c r="K277" s="26"/>
    </row>
    <row r="278" spans="1:11" ht="19.3">
      <c r="A278" s="27">
        <v>34881</v>
      </c>
      <c r="B278" s="274">
        <v>678</v>
      </c>
      <c r="C278" s="22"/>
      <c r="D278" s="274">
        <v>6542</v>
      </c>
      <c r="E278" s="22"/>
      <c r="F278" s="277">
        <v>6744</v>
      </c>
      <c r="G278" s="22"/>
      <c r="H278" s="277">
        <v>10504</v>
      </c>
      <c r="I278" s="22"/>
      <c r="K278" s="26"/>
    </row>
    <row r="279" spans="1:11" ht="19.3">
      <c r="A279" s="27">
        <v>34912</v>
      </c>
      <c r="B279" s="274">
        <v>656</v>
      </c>
      <c r="C279" s="22"/>
      <c r="D279" s="274">
        <v>6494</v>
      </c>
      <c r="E279" s="22"/>
      <c r="F279" s="277">
        <v>6710</v>
      </c>
      <c r="G279" s="22"/>
      <c r="H279" s="277">
        <v>10514</v>
      </c>
      <c r="I279" s="22"/>
      <c r="K279" s="26"/>
    </row>
    <row r="280" spans="1:11" ht="19.3">
      <c r="A280" s="27">
        <v>34943</v>
      </c>
      <c r="B280" s="274">
        <v>655</v>
      </c>
      <c r="C280" s="22"/>
      <c r="D280" s="274">
        <v>6529</v>
      </c>
      <c r="E280" s="22"/>
      <c r="F280" s="277">
        <v>6749</v>
      </c>
      <c r="G280" s="22"/>
      <c r="H280" s="277">
        <v>10525</v>
      </c>
      <c r="I280" s="22"/>
      <c r="K280" s="26"/>
    </row>
    <row r="281" spans="1:11" ht="19.3">
      <c r="A281" s="27">
        <v>34973</v>
      </c>
      <c r="B281" s="274">
        <v>671</v>
      </c>
      <c r="C281" s="22"/>
      <c r="D281" s="274">
        <v>6496</v>
      </c>
      <c r="E281" s="22"/>
      <c r="F281" s="277">
        <v>6710</v>
      </c>
      <c r="G281" s="22"/>
      <c r="H281" s="277">
        <v>10532</v>
      </c>
      <c r="I281" s="22"/>
      <c r="K281" s="26"/>
    </row>
    <row r="282" spans="1:11" ht="19.3">
      <c r="A282" s="27">
        <v>35004</v>
      </c>
      <c r="B282" s="274">
        <v>677</v>
      </c>
      <c r="C282" s="22"/>
      <c r="D282" s="274">
        <v>6439</v>
      </c>
      <c r="E282" s="22"/>
      <c r="F282" s="277">
        <v>6657</v>
      </c>
      <c r="G282" s="22"/>
      <c r="H282" s="277">
        <v>10542</v>
      </c>
      <c r="I282" s="22"/>
      <c r="K282" s="26"/>
    </row>
    <row r="283" spans="1:11" ht="19.3">
      <c r="A283" s="27">
        <v>35034</v>
      </c>
      <c r="B283" s="274">
        <v>669</v>
      </c>
      <c r="C283" s="278">
        <f t="shared" ref="C283:E283" si="108">AVERAGE(B272:B283)</f>
        <v>663</v>
      </c>
      <c r="D283" s="274">
        <v>6399</v>
      </c>
      <c r="E283" s="278">
        <f t="shared" si="108"/>
        <v>6456.583333333333</v>
      </c>
      <c r="F283" s="277">
        <v>6610</v>
      </c>
      <c r="G283" s="278">
        <f t="shared" ref="G283" si="109">AVERAGE(F272:F283)</f>
        <v>6666.416666666667</v>
      </c>
      <c r="H283" s="277">
        <v>10531</v>
      </c>
      <c r="I283" s="278">
        <f t="shared" ref="I283" si="110">AVERAGE(H272:H283)</f>
        <v>10510.083333333334</v>
      </c>
      <c r="J283" s="47">
        <f t="shared" ref="J283" si="111">G283/I283</f>
        <v>0.63428770783612565</v>
      </c>
      <c r="K283" s="47">
        <f t="shared" ref="K283" si="112">C283/E283</f>
        <v>0.10268588907962158</v>
      </c>
    </row>
    <row r="284" spans="1:11" ht="19.3">
      <c r="A284" s="27">
        <v>35065</v>
      </c>
      <c r="B284" s="274">
        <v>647</v>
      </c>
      <c r="C284" s="22"/>
      <c r="D284" s="274">
        <v>6322</v>
      </c>
      <c r="E284" s="22"/>
      <c r="F284" s="277">
        <v>6551</v>
      </c>
      <c r="G284" s="22"/>
      <c r="H284" s="277">
        <v>10547</v>
      </c>
      <c r="I284" s="22"/>
      <c r="K284" s="26"/>
    </row>
    <row r="285" spans="1:11" ht="19.3">
      <c r="A285" s="27">
        <v>35096</v>
      </c>
      <c r="B285" s="274">
        <v>658</v>
      </c>
      <c r="C285" s="22"/>
      <c r="D285" s="274">
        <v>6298</v>
      </c>
      <c r="E285" s="22"/>
      <c r="F285" s="277">
        <v>6522</v>
      </c>
      <c r="G285" s="22"/>
      <c r="H285" s="277">
        <v>10542</v>
      </c>
      <c r="I285" s="22"/>
      <c r="K285" s="26"/>
    </row>
    <row r="286" spans="1:11" ht="19.3">
      <c r="A286" s="27">
        <v>35125</v>
      </c>
      <c r="B286" s="274">
        <v>680</v>
      </c>
      <c r="C286" s="22"/>
      <c r="D286" s="274">
        <v>6398</v>
      </c>
      <c r="E286" s="22"/>
      <c r="F286" s="277">
        <v>6627</v>
      </c>
      <c r="G286" s="22"/>
      <c r="H286" s="277">
        <v>10547</v>
      </c>
      <c r="I286" s="22"/>
      <c r="K286" s="26"/>
    </row>
    <row r="287" spans="1:11" ht="19.3">
      <c r="A287" s="27">
        <v>35156</v>
      </c>
      <c r="B287" s="274">
        <v>670</v>
      </c>
      <c r="C287" s="22"/>
      <c r="D287" s="274">
        <v>6496</v>
      </c>
      <c r="E287" s="22"/>
      <c r="F287" s="277">
        <v>6731</v>
      </c>
      <c r="G287" s="22"/>
      <c r="H287" s="277">
        <v>10548</v>
      </c>
      <c r="I287" s="22"/>
      <c r="K287" s="26"/>
    </row>
    <row r="288" spans="1:11" ht="19.3">
      <c r="A288" s="27">
        <v>35186</v>
      </c>
      <c r="B288" s="274">
        <v>645</v>
      </c>
      <c r="C288" s="22"/>
      <c r="D288" s="274">
        <v>6530</v>
      </c>
      <c r="E288" s="22"/>
      <c r="F288" s="277">
        <v>6770</v>
      </c>
      <c r="G288" s="22"/>
      <c r="H288" s="277">
        <v>10564</v>
      </c>
      <c r="I288" s="22"/>
      <c r="K288" s="26"/>
    </row>
    <row r="289" spans="1:11" ht="19.3">
      <c r="A289" s="27">
        <v>35217</v>
      </c>
      <c r="B289" s="274">
        <v>659</v>
      </c>
      <c r="C289" s="22"/>
      <c r="D289" s="274">
        <v>6590</v>
      </c>
      <c r="E289" s="22"/>
      <c r="F289" s="277">
        <v>6816</v>
      </c>
      <c r="G289" s="22"/>
      <c r="H289" s="277">
        <v>10572</v>
      </c>
      <c r="I289" s="22"/>
      <c r="K289" s="26"/>
    </row>
    <row r="290" spans="1:11" ht="19.3">
      <c r="A290" s="27">
        <v>35247</v>
      </c>
      <c r="B290" s="274">
        <v>670</v>
      </c>
      <c r="C290" s="22"/>
      <c r="D290" s="274">
        <v>6589</v>
      </c>
      <c r="E290" s="22"/>
      <c r="F290" s="277">
        <v>6810</v>
      </c>
      <c r="G290" s="22"/>
      <c r="H290" s="277">
        <v>10565</v>
      </c>
      <c r="I290" s="22"/>
      <c r="K290" s="26"/>
    </row>
    <row r="291" spans="1:11" ht="19.3">
      <c r="A291" s="27">
        <v>35278</v>
      </c>
      <c r="B291" s="274">
        <v>681</v>
      </c>
      <c r="C291" s="22"/>
      <c r="D291" s="274">
        <v>6542</v>
      </c>
      <c r="E291" s="22"/>
      <c r="F291" s="277">
        <v>6766</v>
      </c>
      <c r="G291" s="22"/>
      <c r="H291" s="277">
        <v>10576</v>
      </c>
      <c r="I291" s="22"/>
      <c r="K291" s="26"/>
    </row>
    <row r="292" spans="1:11" ht="19.3">
      <c r="A292" s="27">
        <v>35309</v>
      </c>
      <c r="B292" s="274">
        <v>670</v>
      </c>
      <c r="C292" s="22"/>
      <c r="D292" s="274">
        <v>6569</v>
      </c>
      <c r="E292" s="22"/>
      <c r="F292" s="277">
        <v>6792</v>
      </c>
      <c r="G292" s="22"/>
      <c r="H292" s="277">
        <v>10590</v>
      </c>
      <c r="I292" s="22"/>
      <c r="K292" s="26"/>
    </row>
    <row r="293" spans="1:11" ht="19.3">
      <c r="A293" s="27">
        <v>35339</v>
      </c>
      <c r="B293" s="274">
        <v>672</v>
      </c>
      <c r="C293" s="22"/>
      <c r="D293" s="274">
        <v>6545</v>
      </c>
      <c r="E293" s="22"/>
      <c r="F293" s="277">
        <v>6772</v>
      </c>
      <c r="G293" s="22"/>
      <c r="H293" s="277">
        <v>10597</v>
      </c>
      <c r="I293" s="22"/>
      <c r="K293" s="26"/>
    </row>
    <row r="294" spans="1:11" ht="19.3">
      <c r="A294" s="27">
        <v>35370</v>
      </c>
      <c r="B294" s="274">
        <v>690</v>
      </c>
      <c r="C294" s="22"/>
      <c r="D294" s="274">
        <v>6497</v>
      </c>
      <c r="E294" s="22"/>
      <c r="F294" s="277">
        <v>6709</v>
      </c>
      <c r="G294" s="22"/>
      <c r="H294" s="277">
        <v>10604</v>
      </c>
      <c r="I294" s="22"/>
      <c r="K294" s="26"/>
    </row>
    <row r="295" spans="1:11" ht="19.3">
      <c r="A295" s="27">
        <v>35400</v>
      </c>
      <c r="B295" s="274">
        <v>692</v>
      </c>
      <c r="C295" s="278">
        <f t="shared" ref="C295:E295" si="113">AVERAGE(B284:B295)</f>
        <v>669.5</v>
      </c>
      <c r="D295" s="274">
        <v>6455</v>
      </c>
      <c r="E295" s="278">
        <f t="shared" si="113"/>
        <v>6485.916666666667</v>
      </c>
      <c r="F295" s="277">
        <v>6663</v>
      </c>
      <c r="G295" s="278">
        <f t="shared" ref="G295" si="114">AVERAGE(F284:F295)</f>
        <v>6710.75</v>
      </c>
      <c r="H295" s="277">
        <v>10594</v>
      </c>
      <c r="I295" s="278">
        <f t="shared" ref="I295" si="115">AVERAGE(H284:H295)</f>
        <v>10570.5</v>
      </c>
      <c r="J295" s="47">
        <f t="shared" ref="J295" si="116">G295/I295</f>
        <v>0.63485644009271081</v>
      </c>
      <c r="K295" s="47">
        <f t="shared" ref="K295" si="117">C295/E295</f>
        <v>0.10322365124436278</v>
      </c>
    </row>
    <row r="296" spans="1:11" ht="19.3">
      <c r="A296" s="27">
        <v>35431</v>
      </c>
      <c r="B296" s="274">
        <v>686</v>
      </c>
      <c r="C296" s="22"/>
      <c r="D296" s="274">
        <v>6420</v>
      </c>
      <c r="E296" s="22"/>
      <c r="F296" s="277">
        <v>6642</v>
      </c>
      <c r="G296" s="22"/>
      <c r="H296" s="277">
        <v>10635</v>
      </c>
      <c r="I296" s="22"/>
      <c r="K296" s="26"/>
    </row>
    <row r="297" spans="1:11" ht="19.3">
      <c r="A297" s="27">
        <v>35462</v>
      </c>
      <c r="B297" s="274">
        <v>682</v>
      </c>
      <c r="C297" s="22"/>
      <c r="D297" s="274">
        <v>6418</v>
      </c>
      <c r="E297" s="22"/>
      <c r="F297" s="277">
        <v>6647</v>
      </c>
      <c r="G297" s="22"/>
      <c r="H297" s="277">
        <v>10628</v>
      </c>
      <c r="I297" s="22"/>
      <c r="K297" s="26"/>
    </row>
    <row r="298" spans="1:11" ht="19.3">
      <c r="A298" s="27">
        <v>35490</v>
      </c>
      <c r="B298" s="274">
        <v>689</v>
      </c>
      <c r="C298" s="22"/>
      <c r="D298" s="274">
        <v>6489</v>
      </c>
      <c r="E298" s="22"/>
      <c r="F298" s="277">
        <v>6723</v>
      </c>
      <c r="G298" s="22"/>
      <c r="H298" s="277">
        <v>10640</v>
      </c>
      <c r="I298" s="22"/>
      <c r="K298" s="26"/>
    </row>
    <row r="299" spans="1:11" ht="19.3">
      <c r="A299" s="27">
        <v>35521</v>
      </c>
      <c r="B299" s="274">
        <v>671</v>
      </c>
      <c r="C299" s="22"/>
      <c r="D299" s="274">
        <v>6574</v>
      </c>
      <c r="E299" s="22"/>
      <c r="F299" s="277">
        <v>6805</v>
      </c>
      <c r="G299" s="22"/>
      <c r="H299" s="277">
        <v>10639</v>
      </c>
      <c r="I299" s="22"/>
      <c r="K299" s="26"/>
    </row>
    <row r="300" spans="1:11" ht="19.3">
      <c r="A300" s="27">
        <v>35551</v>
      </c>
      <c r="B300" s="274">
        <v>678</v>
      </c>
      <c r="C300" s="22"/>
      <c r="D300" s="274">
        <v>6632</v>
      </c>
      <c r="E300" s="22"/>
      <c r="F300" s="277">
        <v>6876</v>
      </c>
      <c r="G300" s="22"/>
      <c r="H300" s="277">
        <v>10655</v>
      </c>
      <c r="I300" s="22"/>
      <c r="K300" s="26"/>
    </row>
    <row r="301" spans="1:11" ht="19.3">
      <c r="A301" s="27">
        <v>35582</v>
      </c>
      <c r="B301" s="274">
        <v>694</v>
      </c>
      <c r="C301" s="22"/>
      <c r="D301" s="274">
        <v>6679</v>
      </c>
      <c r="E301" s="22"/>
      <c r="F301" s="277">
        <v>6908</v>
      </c>
      <c r="G301" s="22"/>
      <c r="H301" s="277">
        <v>10664</v>
      </c>
      <c r="I301" s="22"/>
      <c r="K301" s="26"/>
    </row>
    <row r="302" spans="1:11" ht="19.3">
      <c r="A302" s="27">
        <v>35612</v>
      </c>
      <c r="B302" s="274">
        <v>698</v>
      </c>
      <c r="C302" s="22"/>
      <c r="D302" s="274">
        <v>6649</v>
      </c>
      <c r="E302" s="22"/>
      <c r="F302" s="277">
        <v>6873</v>
      </c>
      <c r="G302" s="22"/>
      <c r="H302" s="277">
        <v>10657</v>
      </c>
      <c r="I302" s="22"/>
      <c r="K302" s="26"/>
    </row>
    <row r="303" spans="1:11" ht="19.3">
      <c r="A303" s="27">
        <v>35643</v>
      </c>
      <c r="B303" s="274">
        <v>700</v>
      </c>
      <c r="C303" s="22"/>
      <c r="D303" s="274">
        <v>6590</v>
      </c>
      <c r="E303" s="22"/>
      <c r="F303" s="277">
        <v>6821</v>
      </c>
      <c r="G303" s="22"/>
      <c r="H303" s="277">
        <v>10666</v>
      </c>
      <c r="I303" s="22"/>
      <c r="K303" s="26"/>
    </row>
    <row r="304" spans="1:11" ht="19.3">
      <c r="A304" s="27">
        <v>35674</v>
      </c>
      <c r="B304" s="274">
        <v>697</v>
      </c>
      <c r="C304" s="22"/>
      <c r="D304" s="274">
        <v>6596</v>
      </c>
      <c r="E304" s="22"/>
      <c r="F304" s="277">
        <v>6832</v>
      </c>
      <c r="G304" s="22"/>
      <c r="H304" s="277">
        <v>10681</v>
      </c>
      <c r="I304" s="22"/>
      <c r="K304" s="26"/>
    </row>
    <row r="305" spans="1:11" ht="19.3">
      <c r="A305" s="27">
        <v>35704</v>
      </c>
      <c r="B305" s="274">
        <v>687</v>
      </c>
      <c r="C305" s="22"/>
      <c r="D305" s="274">
        <v>6597</v>
      </c>
      <c r="E305" s="22"/>
      <c r="F305" s="277">
        <v>6833</v>
      </c>
      <c r="G305" s="22"/>
      <c r="H305" s="277">
        <v>10688</v>
      </c>
      <c r="I305" s="22"/>
      <c r="K305" s="26"/>
    </row>
    <row r="306" spans="1:11" ht="19.3">
      <c r="A306" s="27">
        <v>35735</v>
      </c>
      <c r="B306" s="274">
        <v>664</v>
      </c>
      <c r="C306" s="22"/>
      <c r="D306" s="274">
        <v>6529</v>
      </c>
      <c r="E306" s="22"/>
      <c r="F306" s="277">
        <v>6757</v>
      </c>
      <c r="G306" s="22"/>
      <c r="H306" s="277">
        <v>10693</v>
      </c>
      <c r="I306" s="22"/>
      <c r="K306" s="26"/>
    </row>
    <row r="307" spans="1:11" ht="19.3">
      <c r="A307" s="27">
        <v>35765</v>
      </c>
      <c r="B307" s="274">
        <v>670</v>
      </c>
      <c r="C307" s="278">
        <f t="shared" ref="C307:E307" si="118">AVERAGE(B296:B307)</f>
        <v>684.66666666666663</v>
      </c>
      <c r="D307" s="274">
        <v>6508</v>
      </c>
      <c r="E307" s="278">
        <f t="shared" si="118"/>
        <v>6556.75</v>
      </c>
      <c r="F307" s="277">
        <v>6726</v>
      </c>
      <c r="G307" s="278">
        <f t="shared" ref="G307" si="119">AVERAGE(F296:F307)</f>
        <v>6786.916666666667</v>
      </c>
      <c r="H307" s="277">
        <v>10680</v>
      </c>
      <c r="I307" s="278">
        <f t="shared" ref="I307" si="120">AVERAGE(H296:H307)</f>
        <v>10660.5</v>
      </c>
      <c r="J307" s="47">
        <f t="shared" ref="J307" si="121">G307/I307</f>
        <v>0.6366414958647969</v>
      </c>
      <c r="K307" s="47">
        <f t="shared" ref="K307" si="122">C307/E307</f>
        <v>0.10442165198713793</v>
      </c>
    </row>
    <row r="308" spans="1:11" ht="19.3">
      <c r="A308" s="27">
        <v>35796</v>
      </c>
      <c r="B308" s="274">
        <v>681</v>
      </c>
      <c r="C308" s="22"/>
      <c r="D308" s="274">
        <v>6455</v>
      </c>
      <c r="E308" s="22"/>
      <c r="F308" s="277">
        <v>6693</v>
      </c>
      <c r="G308" s="22"/>
      <c r="H308" s="277">
        <v>10699</v>
      </c>
      <c r="I308" s="22"/>
      <c r="K308" s="26"/>
    </row>
    <row r="309" spans="1:11" ht="19.3">
      <c r="A309" s="27">
        <v>35827</v>
      </c>
      <c r="B309" s="274">
        <v>668</v>
      </c>
      <c r="C309" s="22"/>
      <c r="D309" s="274">
        <v>6411</v>
      </c>
      <c r="E309" s="22"/>
      <c r="F309" s="277">
        <v>6657</v>
      </c>
      <c r="G309" s="22"/>
      <c r="H309" s="277">
        <v>10699</v>
      </c>
      <c r="I309" s="22"/>
      <c r="K309" s="26"/>
    </row>
    <row r="310" spans="1:11" ht="19.3">
      <c r="A310" s="27">
        <v>35855</v>
      </c>
      <c r="B310" s="274">
        <v>662</v>
      </c>
      <c r="C310" s="22"/>
      <c r="D310" s="274">
        <v>6468</v>
      </c>
      <c r="E310" s="22"/>
      <c r="F310" s="277">
        <v>6745</v>
      </c>
      <c r="G310" s="22"/>
      <c r="H310" s="277">
        <v>10716</v>
      </c>
      <c r="I310" s="22"/>
      <c r="K310" s="26"/>
    </row>
    <row r="311" spans="1:11" ht="19.3">
      <c r="A311" s="27">
        <v>35886</v>
      </c>
      <c r="B311" s="274">
        <v>660</v>
      </c>
      <c r="C311" s="22"/>
      <c r="D311" s="274">
        <v>6532</v>
      </c>
      <c r="E311" s="22"/>
      <c r="F311" s="277">
        <v>6822</v>
      </c>
      <c r="G311" s="22"/>
      <c r="H311" s="277">
        <v>10714</v>
      </c>
      <c r="I311" s="22"/>
      <c r="K311" s="26"/>
    </row>
    <row r="312" spans="1:11" ht="19.3">
      <c r="A312" s="27">
        <v>35916</v>
      </c>
      <c r="B312" s="274">
        <v>674</v>
      </c>
      <c r="C312" s="22"/>
      <c r="D312" s="274">
        <v>6597</v>
      </c>
      <c r="E312" s="22"/>
      <c r="F312" s="277">
        <v>6891</v>
      </c>
      <c r="G312" s="22"/>
      <c r="H312" s="277">
        <v>10719</v>
      </c>
      <c r="I312" s="22"/>
      <c r="K312" s="26"/>
    </row>
    <row r="313" spans="1:11" ht="19.3">
      <c r="A313" s="27">
        <v>35947</v>
      </c>
      <c r="B313" s="274">
        <v>672</v>
      </c>
      <c r="C313" s="22"/>
      <c r="D313" s="274">
        <v>6608</v>
      </c>
      <c r="E313" s="22"/>
      <c r="F313" s="277">
        <v>6892</v>
      </c>
      <c r="G313" s="22"/>
      <c r="H313" s="277">
        <v>10726</v>
      </c>
      <c r="I313" s="22"/>
      <c r="K313" s="26"/>
    </row>
    <row r="314" spans="1:11" ht="19.3">
      <c r="A314" s="27">
        <v>35977</v>
      </c>
      <c r="B314" s="274">
        <v>651</v>
      </c>
      <c r="C314" s="22"/>
      <c r="D314" s="274">
        <v>6577</v>
      </c>
      <c r="E314" s="22"/>
      <c r="F314" s="277">
        <v>6847</v>
      </c>
      <c r="G314" s="22"/>
      <c r="H314" s="277">
        <v>10727</v>
      </c>
      <c r="I314" s="22"/>
      <c r="K314" s="26"/>
    </row>
    <row r="315" spans="1:11" ht="19.3">
      <c r="A315" s="27">
        <v>36008</v>
      </c>
      <c r="B315" s="274">
        <v>659</v>
      </c>
      <c r="C315" s="22"/>
      <c r="D315" s="274">
        <v>6546</v>
      </c>
      <c r="E315" s="22"/>
      <c r="F315" s="277">
        <v>6842</v>
      </c>
      <c r="G315" s="22"/>
      <c r="H315" s="277">
        <v>10735</v>
      </c>
      <c r="I315" s="22"/>
      <c r="K315" s="26"/>
    </row>
    <row r="316" spans="1:11" ht="19.3">
      <c r="A316" s="27">
        <v>36039</v>
      </c>
      <c r="B316" s="274">
        <v>652</v>
      </c>
      <c r="C316" s="22"/>
      <c r="D316" s="274">
        <v>6526</v>
      </c>
      <c r="E316" s="22"/>
      <c r="F316" s="277">
        <v>6821</v>
      </c>
      <c r="G316" s="22"/>
      <c r="H316" s="277">
        <v>10745</v>
      </c>
      <c r="I316" s="22"/>
      <c r="K316" s="26"/>
    </row>
    <row r="317" spans="1:11" ht="19.3">
      <c r="A317" s="27">
        <v>36069</v>
      </c>
      <c r="B317" s="274">
        <v>648</v>
      </c>
      <c r="C317" s="22"/>
      <c r="D317" s="274">
        <v>6526</v>
      </c>
      <c r="E317" s="22"/>
      <c r="F317" s="277">
        <v>6816</v>
      </c>
      <c r="G317" s="22"/>
      <c r="H317" s="277">
        <v>10751</v>
      </c>
      <c r="I317" s="22"/>
      <c r="K317" s="26"/>
    </row>
    <row r="318" spans="1:11" ht="19.3">
      <c r="A318" s="27">
        <v>36100</v>
      </c>
      <c r="B318" s="274">
        <v>647</v>
      </c>
      <c r="C318" s="22"/>
      <c r="D318" s="274">
        <v>6481</v>
      </c>
      <c r="E318" s="22"/>
      <c r="F318" s="277">
        <v>6772</v>
      </c>
      <c r="G318" s="22"/>
      <c r="H318" s="277">
        <v>10758</v>
      </c>
      <c r="I318" s="22"/>
      <c r="K318" s="26"/>
    </row>
    <row r="319" spans="1:11" ht="19.3">
      <c r="A319" s="27">
        <v>36130</v>
      </c>
      <c r="B319" s="274">
        <v>668</v>
      </c>
      <c r="C319" s="278">
        <f t="shared" ref="C319:E319" si="123">AVERAGE(B308:B319)</f>
        <v>661.83333333333337</v>
      </c>
      <c r="D319" s="274">
        <v>6443</v>
      </c>
      <c r="E319" s="278">
        <f t="shared" si="123"/>
        <v>6514.166666666667</v>
      </c>
      <c r="F319" s="277">
        <v>6717</v>
      </c>
      <c r="G319" s="278">
        <f t="shared" ref="G319" si="124">AVERAGE(F308:F319)</f>
        <v>6792.916666666667</v>
      </c>
      <c r="H319" s="277">
        <v>10747</v>
      </c>
      <c r="I319" s="278">
        <f t="shared" ref="I319" si="125">AVERAGE(H308:H319)</f>
        <v>10728</v>
      </c>
      <c r="J319" s="47">
        <f t="shared" ref="J319" si="126">G319/I319</f>
        <v>0.63319506587124041</v>
      </c>
      <c r="K319" s="47">
        <f t="shared" ref="K319" si="127">C319/E319</f>
        <v>0.10159907893053602</v>
      </c>
    </row>
    <row r="320" spans="1:11" ht="19.3">
      <c r="A320" s="27">
        <v>36161</v>
      </c>
      <c r="B320" s="275">
        <v>666</v>
      </c>
      <c r="C320" s="22"/>
      <c r="D320" s="275">
        <v>6380</v>
      </c>
      <c r="E320" s="22"/>
      <c r="F320" s="277">
        <v>6677</v>
      </c>
      <c r="G320" s="22"/>
      <c r="H320" s="277">
        <v>10768</v>
      </c>
      <c r="I320" s="22"/>
      <c r="K320" s="26"/>
    </row>
    <row r="321" spans="1:11" ht="19.3">
      <c r="A321" s="27">
        <v>36192</v>
      </c>
      <c r="B321" s="275">
        <v>647</v>
      </c>
      <c r="C321" s="22"/>
      <c r="D321" s="275">
        <v>6334</v>
      </c>
      <c r="E321" s="22"/>
      <c r="F321" s="277">
        <v>6648</v>
      </c>
      <c r="G321" s="22"/>
      <c r="H321" s="277">
        <v>10763</v>
      </c>
      <c r="I321" s="22"/>
      <c r="K321" s="26"/>
    </row>
    <row r="322" spans="1:11" ht="19.3">
      <c r="A322" s="27">
        <v>36220</v>
      </c>
      <c r="B322" s="275">
        <v>653</v>
      </c>
      <c r="C322" s="22"/>
      <c r="D322" s="275">
        <v>6384</v>
      </c>
      <c r="E322" s="22"/>
      <c r="F322" s="277">
        <v>6724</v>
      </c>
      <c r="G322" s="22"/>
      <c r="H322" s="277">
        <v>10767</v>
      </c>
      <c r="I322" s="22"/>
      <c r="K322" s="26"/>
    </row>
    <row r="323" spans="1:11" ht="19.3">
      <c r="A323" s="27">
        <v>36251</v>
      </c>
      <c r="B323" s="275">
        <v>656</v>
      </c>
      <c r="C323" s="22"/>
      <c r="D323" s="275">
        <v>6469</v>
      </c>
      <c r="E323" s="22"/>
      <c r="F323" s="277">
        <v>6811</v>
      </c>
      <c r="G323" s="22"/>
      <c r="H323" s="277">
        <v>10769</v>
      </c>
      <c r="I323" s="22"/>
      <c r="K323" s="26"/>
    </row>
    <row r="324" spans="1:11" ht="19.3">
      <c r="A324" s="27">
        <v>36281</v>
      </c>
      <c r="B324" s="275">
        <v>653</v>
      </c>
      <c r="C324" s="22"/>
      <c r="D324" s="275">
        <v>6532</v>
      </c>
      <c r="E324" s="22"/>
      <c r="F324" s="277">
        <v>6866</v>
      </c>
      <c r="G324" s="22"/>
      <c r="H324" s="277">
        <v>10778</v>
      </c>
      <c r="I324" s="22"/>
      <c r="K324" s="26"/>
    </row>
    <row r="325" spans="1:11" ht="19.3">
      <c r="A325" s="27">
        <v>36312</v>
      </c>
      <c r="B325" s="275">
        <v>661</v>
      </c>
      <c r="C325" s="22"/>
      <c r="D325" s="275">
        <v>6519</v>
      </c>
      <c r="E325" s="22"/>
      <c r="F325" s="277">
        <v>6848</v>
      </c>
      <c r="G325" s="22"/>
      <c r="H325" s="277">
        <v>10776</v>
      </c>
      <c r="I325" s="22"/>
      <c r="K325" s="26"/>
    </row>
    <row r="326" spans="1:11" ht="19.3">
      <c r="A326" s="27">
        <v>36342</v>
      </c>
      <c r="B326" s="275">
        <v>651</v>
      </c>
      <c r="C326" s="22"/>
      <c r="D326" s="275">
        <v>6497</v>
      </c>
      <c r="E326" s="22"/>
      <c r="F326" s="277">
        <v>6815</v>
      </c>
      <c r="G326" s="22"/>
      <c r="H326" s="277">
        <v>10781</v>
      </c>
      <c r="I326" s="22"/>
      <c r="K326" s="26"/>
    </row>
    <row r="327" spans="1:11" ht="19.3">
      <c r="A327" s="27">
        <v>36373</v>
      </c>
      <c r="B327" s="275">
        <v>661</v>
      </c>
      <c r="C327" s="22"/>
      <c r="D327" s="275">
        <v>6511</v>
      </c>
      <c r="E327" s="22"/>
      <c r="F327" s="277">
        <v>6831</v>
      </c>
      <c r="G327" s="22"/>
      <c r="H327" s="277">
        <v>10788</v>
      </c>
      <c r="I327" s="22"/>
      <c r="K327" s="26"/>
    </row>
    <row r="328" spans="1:11" ht="19.3">
      <c r="A328" s="27">
        <v>36404</v>
      </c>
      <c r="B328" s="275">
        <v>666</v>
      </c>
      <c r="C328" s="22"/>
      <c r="D328" s="275">
        <v>6514</v>
      </c>
      <c r="E328" s="22"/>
      <c r="F328" s="277">
        <v>6831</v>
      </c>
      <c r="G328" s="22"/>
      <c r="H328" s="277">
        <v>10797</v>
      </c>
      <c r="I328" s="22"/>
      <c r="K328" s="26"/>
    </row>
    <row r="329" spans="1:11" ht="19.3">
      <c r="A329" s="27">
        <v>36434</v>
      </c>
      <c r="B329" s="275">
        <v>678</v>
      </c>
      <c r="C329" s="22"/>
      <c r="D329" s="275">
        <v>6500</v>
      </c>
      <c r="E329" s="22"/>
      <c r="F329" s="277">
        <v>6811</v>
      </c>
      <c r="G329" s="22"/>
      <c r="H329" s="277">
        <v>10802</v>
      </c>
      <c r="I329" s="22"/>
      <c r="K329" s="26"/>
    </row>
    <row r="330" spans="1:11" ht="19.3">
      <c r="A330" s="27">
        <v>36465</v>
      </c>
      <c r="B330" s="275">
        <v>656</v>
      </c>
      <c r="C330" s="22"/>
      <c r="D330" s="275">
        <v>6481</v>
      </c>
      <c r="E330" s="22"/>
      <c r="F330" s="277">
        <v>6776</v>
      </c>
      <c r="G330" s="22"/>
      <c r="H330" s="277">
        <v>10809</v>
      </c>
      <c r="I330" s="22"/>
      <c r="K330" s="26"/>
    </row>
    <row r="331" spans="1:11" ht="19.3">
      <c r="A331" s="27">
        <v>36495</v>
      </c>
      <c r="B331" s="275">
        <v>633</v>
      </c>
      <c r="C331" s="278">
        <f t="shared" ref="C331:E331" si="128">AVERAGE(B320:B331)</f>
        <v>656.75</v>
      </c>
      <c r="D331" s="275">
        <v>6427</v>
      </c>
      <c r="E331" s="278">
        <f t="shared" si="128"/>
        <v>6462.333333333333</v>
      </c>
      <c r="F331" s="277">
        <v>6715</v>
      </c>
      <c r="G331" s="278">
        <f t="shared" ref="G331" si="129">AVERAGE(F320:F331)</f>
        <v>6779.416666666667</v>
      </c>
      <c r="H331" s="277">
        <v>10805</v>
      </c>
      <c r="I331" s="278">
        <f t="shared" ref="I331" si="130">AVERAGE(H320:H331)</f>
        <v>10783.583333333334</v>
      </c>
      <c r="J331" s="47">
        <f t="shared" ref="J331" si="131">G331/I331</f>
        <v>0.62867939692279162</v>
      </c>
      <c r="K331" s="47">
        <f t="shared" ref="K331" si="132">C331/E331</f>
        <v>0.10162737917160984</v>
      </c>
    </row>
    <row r="332" spans="1:11" ht="19.3">
      <c r="A332" s="27">
        <v>36526</v>
      </c>
      <c r="B332" s="275">
        <v>628</v>
      </c>
      <c r="C332" s="22"/>
      <c r="D332" s="275">
        <v>6355</v>
      </c>
      <c r="E332" s="22"/>
      <c r="F332" s="277">
        <v>6664</v>
      </c>
      <c r="G332" s="22"/>
      <c r="H332" s="277">
        <v>10815</v>
      </c>
      <c r="I332" s="22"/>
      <c r="K332" s="26"/>
    </row>
    <row r="333" spans="1:11" ht="19.3">
      <c r="A333" s="27">
        <v>36557</v>
      </c>
      <c r="B333" s="275">
        <v>645</v>
      </c>
      <c r="C333" s="22"/>
      <c r="D333" s="275">
        <v>6311</v>
      </c>
      <c r="E333" s="22"/>
      <c r="F333" s="277">
        <v>6638</v>
      </c>
      <c r="G333" s="22"/>
      <c r="H333" s="277">
        <v>10818</v>
      </c>
      <c r="I333" s="22"/>
      <c r="K333" s="26"/>
    </row>
    <row r="334" spans="1:11" ht="19.3">
      <c r="A334" s="27">
        <v>36586</v>
      </c>
      <c r="B334" s="275">
        <v>667</v>
      </c>
      <c r="C334" s="22"/>
      <c r="D334" s="275">
        <v>6345</v>
      </c>
      <c r="E334" s="22"/>
      <c r="F334" s="277">
        <v>6694</v>
      </c>
      <c r="G334" s="22"/>
      <c r="H334" s="277">
        <v>10820</v>
      </c>
      <c r="I334" s="22"/>
      <c r="K334" s="26"/>
    </row>
    <row r="335" spans="1:11" ht="19.3">
      <c r="A335" s="27">
        <v>36617</v>
      </c>
      <c r="B335" s="275">
        <v>664</v>
      </c>
      <c r="C335" s="22"/>
      <c r="D335" s="275">
        <v>6440</v>
      </c>
      <c r="E335" s="22"/>
      <c r="F335" s="277">
        <v>6786</v>
      </c>
      <c r="G335" s="22"/>
      <c r="H335" s="277">
        <v>10815</v>
      </c>
      <c r="I335" s="22"/>
      <c r="K335" s="26"/>
    </row>
    <row r="336" spans="1:11" ht="19.3">
      <c r="A336" s="27">
        <v>36647</v>
      </c>
      <c r="B336" s="275">
        <v>642</v>
      </c>
      <c r="C336" s="22"/>
      <c r="D336" s="275">
        <v>6503</v>
      </c>
      <c r="E336" s="22"/>
      <c r="F336" s="277">
        <v>6831</v>
      </c>
      <c r="G336" s="22"/>
      <c r="H336" s="277">
        <v>10829</v>
      </c>
      <c r="I336" s="22"/>
      <c r="K336" s="26"/>
    </row>
    <row r="337" spans="1:11" ht="19.3">
      <c r="A337" s="27">
        <v>36678</v>
      </c>
      <c r="B337" s="275">
        <v>642</v>
      </c>
      <c r="C337" s="22"/>
      <c r="D337" s="275">
        <v>6503</v>
      </c>
      <c r="E337" s="22"/>
      <c r="F337" s="277">
        <v>6824</v>
      </c>
      <c r="G337" s="22"/>
      <c r="H337" s="277">
        <v>10837</v>
      </c>
      <c r="I337" s="22"/>
      <c r="K337" s="26"/>
    </row>
    <row r="338" spans="1:11" ht="19.3">
      <c r="A338" s="27">
        <v>36708</v>
      </c>
      <c r="B338" s="275">
        <v>650</v>
      </c>
      <c r="C338" s="22"/>
      <c r="D338" s="275">
        <v>6489</v>
      </c>
      <c r="E338" s="22"/>
      <c r="F338" s="277">
        <v>6796</v>
      </c>
      <c r="G338" s="22"/>
      <c r="H338" s="277">
        <v>10829</v>
      </c>
      <c r="I338" s="22"/>
      <c r="K338" s="26"/>
    </row>
    <row r="339" spans="1:11" ht="19.3">
      <c r="A339" s="27">
        <v>36739</v>
      </c>
      <c r="B339" s="275">
        <v>655</v>
      </c>
      <c r="C339" s="22"/>
      <c r="D339" s="275">
        <v>6480</v>
      </c>
      <c r="E339" s="22"/>
      <c r="F339" s="277">
        <v>6791</v>
      </c>
      <c r="G339" s="22"/>
      <c r="H339" s="277">
        <v>10836</v>
      </c>
      <c r="I339" s="22"/>
      <c r="K339" s="26"/>
    </row>
    <row r="340" spans="1:11" ht="19.3">
      <c r="A340" s="27">
        <v>36770</v>
      </c>
      <c r="B340" s="275">
        <v>677</v>
      </c>
      <c r="C340" s="22"/>
      <c r="D340" s="275">
        <v>6480</v>
      </c>
      <c r="E340" s="22"/>
      <c r="F340" s="277">
        <v>6800</v>
      </c>
      <c r="G340" s="22"/>
      <c r="H340" s="277">
        <v>10846</v>
      </c>
      <c r="I340" s="22"/>
      <c r="K340" s="26"/>
    </row>
    <row r="341" spans="1:11" ht="19.3">
      <c r="A341" s="27">
        <v>36800</v>
      </c>
      <c r="B341" s="275">
        <v>683</v>
      </c>
      <c r="C341" s="22"/>
      <c r="D341" s="275">
        <v>6508</v>
      </c>
      <c r="E341" s="22"/>
      <c r="F341" s="277">
        <v>6822</v>
      </c>
      <c r="G341" s="22"/>
      <c r="H341" s="277">
        <v>10855</v>
      </c>
      <c r="I341" s="22"/>
      <c r="K341" s="26"/>
    </row>
    <row r="342" spans="1:11" ht="19.3">
      <c r="A342" s="27">
        <v>36831</v>
      </c>
      <c r="B342" s="275">
        <v>658</v>
      </c>
      <c r="C342" s="22"/>
      <c r="D342" s="275">
        <v>6502</v>
      </c>
      <c r="E342" s="22"/>
      <c r="F342" s="277">
        <v>6811</v>
      </c>
      <c r="G342" s="22"/>
      <c r="H342" s="277">
        <v>10863</v>
      </c>
      <c r="I342" s="22"/>
      <c r="K342" s="26"/>
    </row>
    <row r="343" spans="1:11" ht="19.3">
      <c r="A343" s="27">
        <v>36861</v>
      </c>
      <c r="B343" s="275">
        <v>629</v>
      </c>
      <c r="C343" s="278">
        <f t="shared" ref="C343:E343" si="133">AVERAGE(B332:B343)</f>
        <v>653.33333333333337</v>
      </c>
      <c r="D343" s="275">
        <v>6440</v>
      </c>
      <c r="E343" s="278">
        <f t="shared" si="133"/>
        <v>6446.333333333333</v>
      </c>
      <c r="F343" s="277">
        <v>6738</v>
      </c>
      <c r="G343" s="278">
        <f t="shared" ref="G343" si="134">AVERAGE(F332:F343)</f>
        <v>6766.25</v>
      </c>
      <c r="H343" s="277">
        <v>10864</v>
      </c>
      <c r="I343" s="278">
        <f t="shared" ref="I343" si="135">AVERAGE(H332:H343)</f>
        <v>10835.583333333334</v>
      </c>
      <c r="J343" s="47">
        <f t="shared" ref="J343" si="136">G343/I343</f>
        <v>0.62444723019065262</v>
      </c>
      <c r="K343" s="47">
        <f t="shared" ref="K343" si="137">C343/E343</f>
        <v>0.10134960442628886</v>
      </c>
    </row>
    <row r="344" spans="1:11" ht="19.3">
      <c r="A344" s="27">
        <v>36892</v>
      </c>
      <c r="B344" s="275">
        <v>608</v>
      </c>
      <c r="C344" s="22"/>
      <c r="D344" s="275">
        <v>6360</v>
      </c>
      <c r="E344" s="22"/>
      <c r="F344" s="277">
        <v>6677</v>
      </c>
      <c r="G344" s="22"/>
      <c r="H344" s="277">
        <v>10867</v>
      </c>
      <c r="I344" s="22"/>
      <c r="K344" s="26"/>
    </row>
    <row r="345" spans="1:11" ht="19.3">
      <c r="A345" s="27">
        <v>36923</v>
      </c>
      <c r="B345" s="275">
        <v>622</v>
      </c>
      <c r="C345" s="22"/>
      <c r="D345" s="275">
        <v>6352</v>
      </c>
      <c r="E345" s="22"/>
      <c r="F345" s="277">
        <v>6670</v>
      </c>
      <c r="G345" s="22"/>
      <c r="H345" s="277">
        <v>10852</v>
      </c>
      <c r="I345" s="22"/>
      <c r="K345" s="26"/>
    </row>
    <row r="346" spans="1:11" ht="19.3">
      <c r="A346" s="27">
        <v>36951</v>
      </c>
      <c r="B346" s="275">
        <v>636</v>
      </c>
      <c r="C346" s="22"/>
      <c r="D346" s="275">
        <v>6379</v>
      </c>
      <c r="E346" s="22"/>
      <c r="F346" s="277">
        <v>6722</v>
      </c>
      <c r="G346" s="22"/>
      <c r="H346" s="277">
        <v>10869</v>
      </c>
      <c r="I346" s="22"/>
      <c r="K346" s="26"/>
    </row>
    <row r="347" spans="1:11" ht="19.3">
      <c r="A347" s="27">
        <v>36982</v>
      </c>
      <c r="B347" s="275">
        <v>647</v>
      </c>
      <c r="C347" s="22"/>
      <c r="D347" s="275">
        <v>6427</v>
      </c>
      <c r="E347" s="22"/>
      <c r="F347" s="277">
        <v>6776</v>
      </c>
      <c r="G347" s="22"/>
      <c r="H347" s="277">
        <v>10867</v>
      </c>
      <c r="I347" s="22"/>
      <c r="K347" s="26"/>
    </row>
    <row r="348" spans="1:11" ht="19.3">
      <c r="A348" s="27">
        <v>37012</v>
      </c>
      <c r="B348" s="275">
        <v>634</v>
      </c>
      <c r="C348" s="22"/>
      <c r="D348" s="275">
        <v>6473</v>
      </c>
      <c r="E348" s="22"/>
      <c r="F348" s="277">
        <v>6821</v>
      </c>
      <c r="G348" s="22"/>
      <c r="H348" s="277">
        <v>10880</v>
      </c>
      <c r="I348" s="22"/>
      <c r="K348" s="26"/>
    </row>
    <row r="349" spans="1:11" ht="19.3">
      <c r="A349" s="27">
        <v>37043</v>
      </c>
      <c r="B349" s="275">
        <v>621</v>
      </c>
      <c r="C349" s="22"/>
      <c r="D349" s="275">
        <v>6466</v>
      </c>
      <c r="E349" s="22"/>
      <c r="F349" s="277">
        <v>6804</v>
      </c>
      <c r="G349" s="22"/>
      <c r="H349" s="277">
        <v>10882</v>
      </c>
      <c r="I349" s="22"/>
      <c r="K349" s="26"/>
    </row>
    <row r="350" spans="1:11" ht="19.3">
      <c r="A350" s="27">
        <v>37073</v>
      </c>
      <c r="B350" s="275">
        <v>629</v>
      </c>
      <c r="C350" s="22"/>
      <c r="D350" s="275">
        <v>6452</v>
      </c>
      <c r="E350" s="22"/>
      <c r="F350" s="277">
        <v>6783</v>
      </c>
      <c r="G350" s="22"/>
      <c r="H350" s="277">
        <v>10884</v>
      </c>
      <c r="I350" s="22"/>
      <c r="K350" s="26"/>
    </row>
    <row r="351" spans="1:11" ht="19.3">
      <c r="A351" s="27">
        <v>37104</v>
      </c>
      <c r="B351" s="275">
        <v>626</v>
      </c>
      <c r="C351" s="22"/>
      <c r="D351" s="275">
        <v>6443</v>
      </c>
      <c r="E351" s="22"/>
      <c r="F351" s="277">
        <v>6780</v>
      </c>
      <c r="G351" s="22"/>
      <c r="H351" s="277">
        <v>10889</v>
      </c>
      <c r="I351" s="22"/>
      <c r="K351" s="26"/>
    </row>
    <row r="352" spans="1:11" ht="19.3">
      <c r="A352" s="27">
        <v>37135</v>
      </c>
      <c r="B352" s="275">
        <v>648</v>
      </c>
      <c r="C352" s="22"/>
      <c r="D352" s="275">
        <v>6396</v>
      </c>
      <c r="E352" s="22"/>
      <c r="F352" s="277">
        <v>6753</v>
      </c>
      <c r="G352" s="22"/>
      <c r="H352" s="277">
        <v>10898</v>
      </c>
      <c r="I352" s="22"/>
      <c r="K352" s="26"/>
    </row>
    <row r="353" spans="1:11" ht="19.3">
      <c r="A353" s="27">
        <v>37165</v>
      </c>
      <c r="B353" s="275">
        <v>655</v>
      </c>
      <c r="C353" s="22"/>
      <c r="D353" s="275">
        <v>6405</v>
      </c>
      <c r="E353" s="22"/>
      <c r="F353" s="277">
        <v>6757</v>
      </c>
      <c r="G353" s="22"/>
      <c r="H353" s="277">
        <v>10907</v>
      </c>
      <c r="I353" s="22"/>
      <c r="K353" s="26"/>
    </row>
    <row r="354" spans="1:11" ht="19.3">
      <c r="A354" s="27">
        <v>37196</v>
      </c>
      <c r="B354" s="275">
        <v>638</v>
      </c>
      <c r="C354" s="22"/>
      <c r="D354" s="275">
        <v>6430</v>
      </c>
      <c r="E354" s="22"/>
      <c r="F354" s="277">
        <v>6780</v>
      </c>
      <c r="G354" s="22"/>
      <c r="H354" s="277">
        <v>10919</v>
      </c>
      <c r="I354" s="22"/>
      <c r="K354" s="26"/>
    </row>
    <row r="355" spans="1:11" ht="19.3">
      <c r="A355" s="27">
        <v>37226</v>
      </c>
      <c r="B355" s="275">
        <v>614</v>
      </c>
      <c r="C355" s="278">
        <f t="shared" ref="C355:E355" si="138">AVERAGE(B344:B355)</f>
        <v>631.5</v>
      </c>
      <c r="D355" s="275">
        <v>6362</v>
      </c>
      <c r="E355" s="278">
        <f t="shared" si="138"/>
        <v>6412.083333333333</v>
      </c>
      <c r="F355" s="277">
        <v>6699</v>
      </c>
      <c r="G355" s="278">
        <f t="shared" ref="G355" si="139">AVERAGE(F344:F355)</f>
        <v>6751.833333333333</v>
      </c>
      <c r="H355" s="277">
        <v>10913</v>
      </c>
      <c r="I355" s="278">
        <f t="shared" ref="I355" si="140">AVERAGE(H344:H355)</f>
        <v>10885.583333333334</v>
      </c>
      <c r="J355" s="47">
        <f t="shared" ref="J355" si="141">G355/I355</f>
        <v>0.62025461811111016</v>
      </c>
      <c r="K355" s="47">
        <f t="shared" ref="K355" si="142">C355/E355</f>
        <v>9.8485931509519786E-2</v>
      </c>
    </row>
    <row r="356" spans="1:11" ht="19.3">
      <c r="A356" s="27">
        <v>37257</v>
      </c>
      <c r="B356" s="276">
        <v>589</v>
      </c>
      <c r="C356" s="22"/>
      <c r="D356" s="276">
        <v>6267</v>
      </c>
      <c r="E356" s="22"/>
      <c r="F356" s="277">
        <v>6611</v>
      </c>
      <c r="G356" s="22"/>
      <c r="H356" s="277">
        <v>10917</v>
      </c>
      <c r="I356" s="22"/>
      <c r="K356" s="26"/>
    </row>
    <row r="357" spans="1:11" ht="19.3">
      <c r="A357" s="27">
        <v>37288</v>
      </c>
      <c r="B357" s="276">
        <v>611</v>
      </c>
      <c r="C357" s="22"/>
      <c r="D357" s="276">
        <v>6248</v>
      </c>
      <c r="E357" s="22"/>
      <c r="F357" s="277">
        <v>6604</v>
      </c>
      <c r="G357" s="22"/>
      <c r="H357" s="277">
        <v>10908</v>
      </c>
      <c r="I357" s="22"/>
      <c r="K357" s="26"/>
    </row>
    <row r="358" spans="1:11" ht="19.3">
      <c r="A358" s="27">
        <v>37316</v>
      </c>
      <c r="B358" s="276">
        <v>628</v>
      </c>
      <c r="C358" s="22"/>
      <c r="D358" s="276">
        <v>6297</v>
      </c>
      <c r="E358" s="22"/>
      <c r="F358" s="277">
        <v>6676</v>
      </c>
      <c r="G358" s="22"/>
      <c r="H358" s="277">
        <v>10914</v>
      </c>
      <c r="I358" s="22"/>
      <c r="K358" s="26"/>
    </row>
    <row r="359" spans="1:11" ht="19.3">
      <c r="A359" s="27">
        <v>37347</v>
      </c>
      <c r="B359" s="276">
        <v>624</v>
      </c>
      <c r="C359" s="22"/>
      <c r="D359" s="276">
        <v>6333</v>
      </c>
      <c r="E359" s="22"/>
      <c r="F359" s="277">
        <v>6708</v>
      </c>
      <c r="G359" s="22"/>
      <c r="H359" s="277">
        <v>10909</v>
      </c>
      <c r="I359" s="22"/>
      <c r="K359" s="26"/>
    </row>
    <row r="360" spans="1:11" ht="19.3">
      <c r="A360" s="27">
        <v>37377</v>
      </c>
      <c r="B360" s="276">
        <v>607</v>
      </c>
      <c r="C360" s="22"/>
      <c r="D360" s="276">
        <v>6356</v>
      </c>
      <c r="E360" s="22"/>
      <c r="F360" s="277">
        <v>6731</v>
      </c>
      <c r="G360" s="22"/>
      <c r="H360" s="277">
        <v>10923</v>
      </c>
      <c r="I360" s="22"/>
      <c r="K360" s="26"/>
    </row>
    <row r="361" spans="1:11" ht="19.3">
      <c r="A361" s="27">
        <v>37408</v>
      </c>
      <c r="B361" s="276">
        <v>594</v>
      </c>
      <c r="C361" s="22"/>
      <c r="D361" s="276">
        <v>6373</v>
      </c>
      <c r="E361" s="22"/>
      <c r="F361" s="277">
        <v>6741</v>
      </c>
      <c r="G361" s="22"/>
      <c r="H361" s="277">
        <v>10929</v>
      </c>
      <c r="I361" s="22"/>
      <c r="K361" s="26"/>
    </row>
    <row r="362" spans="1:11" ht="19.3">
      <c r="A362" s="27">
        <v>37438</v>
      </c>
      <c r="B362" s="276">
        <v>622</v>
      </c>
      <c r="C362" s="22"/>
      <c r="D362" s="276">
        <v>6374</v>
      </c>
      <c r="E362" s="22"/>
      <c r="F362" s="277">
        <v>6725</v>
      </c>
      <c r="G362" s="22"/>
      <c r="H362" s="277">
        <v>10924</v>
      </c>
      <c r="I362" s="22"/>
      <c r="K362" s="26"/>
    </row>
    <row r="363" spans="1:11" ht="19.3">
      <c r="A363" s="27">
        <v>37469</v>
      </c>
      <c r="B363" s="276">
        <v>620</v>
      </c>
      <c r="C363" s="22"/>
      <c r="D363" s="276">
        <v>6371</v>
      </c>
      <c r="E363" s="22"/>
      <c r="F363" s="277">
        <v>6732</v>
      </c>
      <c r="G363" s="22"/>
      <c r="H363" s="277">
        <v>10929</v>
      </c>
      <c r="I363" s="22"/>
      <c r="K363" s="26"/>
    </row>
    <row r="364" spans="1:11" ht="19.3">
      <c r="A364" s="27">
        <v>37500</v>
      </c>
      <c r="B364" s="276">
        <v>621</v>
      </c>
      <c r="C364" s="22"/>
      <c r="D364" s="276">
        <v>6353</v>
      </c>
      <c r="E364" s="22"/>
      <c r="F364" s="277">
        <v>6717</v>
      </c>
      <c r="G364" s="22"/>
      <c r="H364" s="277">
        <v>10944</v>
      </c>
      <c r="I364" s="22"/>
      <c r="K364" s="26"/>
    </row>
    <row r="365" spans="1:11" ht="19.3">
      <c r="A365" s="27">
        <v>37530</v>
      </c>
      <c r="B365" s="276">
        <v>642</v>
      </c>
      <c r="C365" s="22"/>
      <c r="D365" s="276">
        <v>6355</v>
      </c>
      <c r="E365" s="22"/>
      <c r="F365" s="277">
        <v>6717</v>
      </c>
      <c r="G365" s="22"/>
      <c r="H365" s="277">
        <v>10952</v>
      </c>
      <c r="I365" s="22"/>
      <c r="K365" s="26"/>
    </row>
    <row r="366" spans="1:11" ht="19.3">
      <c r="A366" s="27">
        <v>37561</v>
      </c>
      <c r="B366" s="276">
        <v>632</v>
      </c>
      <c r="C366" s="22"/>
      <c r="D366" s="276">
        <v>6346</v>
      </c>
      <c r="E366" s="22"/>
      <c r="F366" s="277">
        <v>6684</v>
      </c>
      <c r="G366" s="22"/>
      <c r="H366" s="277">
        <v>10943</v>
      </c>
      <c r="I366" s="22"/>
      <c r="K366" s="26"/>
    </row>
    <row r="367" spans="1:11" ht="19.3">
      <c r="A367" s="27">
        <v>37591</v>
      </c>
      <c r="B367" s="276">
        <v>623</v>
      </c>
      <c r="C367" s="278">
        <f t="shared" ref="C367:E367" si="143">AVERAGE(B356:B367)</f>
        <v>617.75</v>
      </c>
      <c r="D367" s="276">
        <v>6291</v>
      </c>
      <c r="E367" s="278">
        <f t="shared" si="143"/>
        <v>6330.333333333333</v>
      </c>
      <c r="F367" s="277">
        <v>6622</v>
      </c>
      <c r="G367" s="278">
        <f t="shared" ref="G367" si="144">AVERAGE(F356:F367)</f>
        <v>6689</v>
      </c>
      <c r="H367" s="277">
        <v>10929</v>
      </c>
      <c r="I367" s="278">
        <f t="shared" ref="I367" si="145">AVERAGE(H356:H367)</f>
        <v>10926.75</v>
      </c>
      <c r="J367" s="47">
        <f t="shared" ref="J367" si="146">G367/I367</f>
        <v>0.61216738737501997</v>
      </c>
      <c r="K367" s="47">
        <f t="shared" ref="K367" si="147">C367/E367</f>
        <v>9.7585698488757838E-2</v>
      </c>
    </row>
    <row r="368" spans="1:11" ht="19.3">
      <c r="A368" s="27">
        <v>37622</v>
      </c>
      <c r="B368" s="276">
        <v>616</v>
      </c>
      <c r="C368" s="22"/>
      <c r="D368" s="276">
        <v>6203</v>
      </c>
      <c r="E368" s="22"/>
      <c r="F368" s="277">
        <v>6560</v>
      </c>
      <c r="G368" s="22"/>
      <c r="H368" s="277">
        <v>10941</v>
      </c>
      <c r="I368" s="22"/>
      <c r="K368" s="26"/>
    </row>
    <row r="369" spans="1:11" ht="19.3">
      <c r="A369" s="27">
        <v>37653</v>
      </c>
      <c r="B369" s="276">
        <v>624</v>
      </c>
      <c r="C369" s="22"/>
      <c r="D369" s="276">
        <v>6193</v>
      </c>
      <c r="E369" s="22"/>
      <c r="F369" s="277">
        <v>6542</v>
      </c>
      <c r="G369" s="22"/>
      <c r="H369" s="277">
        <v>10933</v>
      </c>
      <c r="I369" s="22"/>
      <c r="K369" s="26"/>
    </row>
    <row r="370" spans="1:11" ht="19.3">
      <c r="A370" s="27">
        <v>37681</v>
      </c>
      <c r="B370" s="276">
        <v>605</v>
      </c>
      <c r="C370" s="22"/>
      <c r="D370" s="276">
        <v>6266</v>
      </c>
      <c r="E370" s="22"/>
      <c r="F370" s="277">
        <v>6649</v>
      </c>
      <c r="G370" s="22"/>
      <c r="H370" s="277">
        <v>10952</v>
      </c>
      <c r="I370" s="22"/>
      <c r="K370" s="26"/>
    </row>
    <row r="371" spans="1:11" ht="19.3">
      <c r="A371" s="27">
        <v>37712</v>
      </c>
      <c r="B371" s="276">
        <v>591</v>
      </c>
      <c r="C371" s="22"/>
      <c r="D371" s="276">
        <v>6306</v>
      </c>
      <c r="E371" s="22"/>
      <c r="F371" s="277">
        <v>6691</v>
      </c>
      <c r="G371" s="22"/>
      <c r="H371" s="277">
        <v>10947</v>
      </c>
      <c r="I371" s="22"/>
      <c r="K371" s="26"/>
    </row>
    <row r="372" spans="1:11" ht="19.3">
      <c r="A372" s="27">
        <v>37742</v>
      </c>
      <c r="B372" s="276">
        <v>603</v>
      </c>
      <c r="C372" s="22"/>
      <c r="D372" s="276">
        <v>6360</v>
      </c>
      <c r="E372" s="22"/>
      <c r="F372" s="277">
        <v>6735</v>
      </c>
      <c r="G372" s="22"/>
      <c r="H372" s="277">
        <v>10960</v>
      </c>
      <c r="I372" s="22"/>
      <c r="K372" s="26"/>
    </row>
    <row r="373" spans="1:11" ht="19.3">
      <c r="A373" s="27">
        <v>37773</v>
      </c>
      <c r="B373" s="276">
        <v>591</v>
      </c>
      <c r="C373" s="22"/>
      <c r="D373" s="276">
        <v>6411</v>
      </c>
      <c r="E373" s="22"/>
      <c r="F373" s="277">
        <v>6771</v>
      </c>
      <c r="G373" s="22"/>
      <c r="H373" s="277">
        <v>10971</v>
      </c>
      <c r="I373" s="22"/>
      <c r="K373" s="26"/>
    </row>
    <row r="374" spans="1:11" ht="19.3">
      <c r="A374" s="27">
        <v>37803</v>
      </c>
      <c r="B374" s="276">
        <v>593</v>
      </c>
      <c r="C374" s="22"/>
      <c r="D374" s="276">
        <v>6381</v>
      </c>
      <c r="E374" s="22"/>
      <c r="F374" s="277">
        <v>6722</v>
      </c>
      <c r="G374" s="22"/>
      <c r="H374" s="277">
        <v>10968</v>
      </c>
      <c r="I374" s="22"/>
      <c r="K374" s="26"/>
    </row>
    <row r="375" spans="1:11" ht="19.3">
      <c r="A375" s="27">
        <v>37834</v>
      </c>
      <c r="B375" s="276">
        <v>592</v>
      </c>
      <c r="C375" s="22"/>
      <c r="D375" s="276">
        <v>6361</v>
      </c>
      <c r="E375" s="22"/>
      <c r="F375" s="277">
        <v>6693</v>
      </c>
      <c r="G375" s="22"/>
      <c r="H375" s="277">
        <v>10968</v>
      </c>
      <c r="I375" s="22"/>
      <c r="K375" s="26"/>
    </row>
    <row r="376" spans="1:11" ht="19.3">
      <c r="A376" s="27">
        <v>37865</v>
      </c>
      <c r="B376" s="276">
        <v>592</v>
      </c>
      <c r="C376" s="22"/>
      <c r="D376" s="276">
        <v>6346</v>
      </c>
      <c r="E376" s="22"/>
      <c r="F376" s="277">
        <v>6692</v>
      </c>
      <c r="G376" s="22"/>
      <c r="H376" s="277">
        <v>10975</v>
      </c>
      <c r="I376" s="22"/>
      <c r="K376" s="26"/>
    </row>
    <row r="377" spans="1:11" ht="19.3">
      <c r="A377" s="27">
        <v>37895</v>
      </c>
      <c r="B377" s="276">
        <v>616</v>
      </c>
      <c r="C377" s="22"/>
      <c r="D377" s="276">
        <v>6337</v>
      </c>
      <c r="E377" s="22"/>
      <c r="F377" s="277">
        <v>6680</v>
      </c>
      <c r="G377" s="22"/>
      <c r="H377" s="277">
        <v>10979</v>
      </c>
      <c r="I377" s="22"/>
      <c r="K377" s="26"/>
    </row>
    <row r="378" spans="1:11" ht="19.3">
      <c r="A378" s="27">
        <v>37926</v>
      </c>
      <c r="B378" s="276">
        <v>615</v>
      </c>
      <c r="C378" s="22"/>
      <c r="D378" s="276">
        <v>6323</v>
      </c>
      <c r="E378" s="22"/>
      <c r="F378" s="277">
        <v>6654</v>
      </c>
      <c r="G378" s="22"/>
      <c r="H378" s="277">
        <v>10982</v>
      </c>
      <c r="I378" s="22"/>
      <c r="K378" s="26"/>
    </row>
    <row r="379" spans="1:11" ht="19.3">
      <c r="A379" s="27">
        <v>37956</v>
      </c>
      <c r="B379" s="276">
        <v>606</v>
      </c>
      <c r="C379" s="278">
        <f t="shared" ref="C379:E379" si="148">AVERAGE(B368:B379)</f>
        <v>603.66666666666663</v>
      </c>
      <c r="D379" s="276">
        <v>6307</v>
      </c>
      <c r="E379" s="278">
        <f t="shared" si="148"/>
        <v>6316.166666666667</v>
      </c>
      <c r="F379" s="277">
        <v>6607</v>
      </c>
      <c r="G379" s="278">
        <f t="shared" ref="G379" si="149">AVERAGE(F368:F379)</f>
        <v>6666.333333333333</v>
      </c>
      <c r="H379" s="277">
        <v>10967</v>
      </c>
      <c r="I379" s="278">
        <f t="shared" ref="I379" si="150">AVERAGE(H368:H379)</f>
        <v>10961.916666666666</v>
      </c>
      <c r="J379" s="47">
        <f t="shared" ref="J379" si="151">G379/I379</f>
        <v>0.60813574268490156</v>
      </c>
      <c r="K379" s="47">
        <f t="shared" ref="K379" si="152">C379/E379</f>
        <v>9.5574847613267525E-2</v>
      </c>
    </row>
    <row r="380" spans="1:11" ht="19.3">
      <c r="A380" s="27">
        <v>37987</v>
      </c>
      <c r="B380" s="276">
        <v>605</v>
      </c>
      <c r="C380" s="22"/>
      <c r="D380" s="276">
        <v>6221</v>
      </c>
      <c r="E380" s="22"/>
      <c r="F380" s="277">
        <v>6545</v>
      </c>
      <c r="G380" s="22"/>
      <c r="H380" s="277">
        <v>10983</v>
      </c>
      <c r="I380" s="22"/>
      <c r="K380" s="26"/>
    </row>
    <row r="381" spans="1:11" ht="19.3">
      <c r="A381" s="27">
        <v>38018</v>
      </c>
      <c r="B381" s="276">
        <v>595</v>
      </c>
      <c r="C381" s="22"/>
      <c r="D381" s="276">
        <v>6209</v>
      </c>
      <c r="E381" s="22"/>
      <c r="F381" s="277">
        <v>6539</v>
      </c>
      <c r="G381" s="22"/>
      <c r="H381" s="277">
        <v>10976</v>
      </c>
      <c r="I381" s="22"/>
      <c r="K381" s="26"/>
    </row>
    <row r="382" spans="1:11" ht="19.3">
      <c r="A382" s="27">
        <v>38047</v>
      </c>
      <c r="B382" s="276">
        <v>587</v>
      </c>
      <c r="C382" s="22"/>
      <c r="D382" s="276">
        <v>6279</v>
      </c>
      <c r="E382" s="22"/>
      <c r="F382" s="277">
        <v>6612</v>
      </c>
      <c r="G382" s="22"/>
      <c r="H382" s="277">
        <v>10990</v>
      </c>
      <c r="I382" s="22"/>
      <c r="K382" s="26"/>
    </row>
    <row r="383" spans="1:11" ht="19.3">
      <c r="A383" s="27">
        <v>38078</v>
      </c>
      <c r="B383" s="276">
        <v>581</v>
      </c>
      <c r="C383" s="22"/>
      <c r="D383" s="276">
        <v>6354</v>
      </c>
      <c r="E383" s="22"/>
      <c r="F383" s="277">
        <v>6688</v>
      </c>
      <c r="G383" s="22"/>
      <c r="H383" s="277">
        <v>10997</v>
      </c>
      <c r="I383" s="22"/>
      <c r="K383" s="26"/>
    </row>
    <row r="384" spans="1:11" ht="19.3">
      <c r="A384" s="27">
        <v>38108</v>
      </c>
      <c r="B384" s="276">
        <v>592</v>
      </c>
      <c r="C384" s="22"/>
      <c r="D384" s="276">
        <v>6389</v>
      </c>
      <c r="E384" s="22"/>
      <c r="F384" s="277">
        <v>6708</v>
      </c>
      <c r="G384" s="22"/>
      <c r="H384" s="277">
        <v>10995</v>
      </c>
      <c r="I384" s="22"/>
      <c r="K384" s="26"/>
    </row>
    <row r="385" spans="1:11" ht="19.3">
      <c r="A385" s="27">
        <v>38139</v>
      </c>
      <c r="B385" s="276">
        <v>583</v>
      </c>
      <c r="C385" s="22"/>
      <c r="D385" s="276">
        <v>6374</v>
      </c>
      <c r="E385" s="22"/>
      <c r="F385" s="277">
        <v>6683</v>
      </c>
      <c r="G385" s="22"/>
      <c r="H385" s="277">
        <v>10982</v>
      </c>
      <c r="I385" s="22"/>
      <c r="K385" s="26"/>
    </row>
    <row r="386" spans="1:11" ht="19.3">
      <c r="A386" s="27">
        <v>38169</v>
      </c>
      <c r="B386" s="276">
        <v>571</v>
      </c>
      <c r="C386" s="22"/>
      <c r="D386" s="276">
        <v>6373</v>
      </c>
      <c r="E386" s="22"/>
      <c r="F386" s="277">
        <v>6691</v>
      </c>
      <c r="G386" s="22"/>
      <c r="H386" s="277">
        <v>10984</v>
      </c>
      <c r="I386" s="22"/>
      <c r="K386" s="26"/>
    </row>
    <row r="387" spans="1:11" ht="19.3">
      <c r="A387" s="27">
        <v>38200</v>
      </c>
      <c r="B387" s="276">
        <v>576</v>
      </c>
      <c r="C387" s="22"/>
      <c r="D387" s="276">
        <v>6395</v>
      </c>
      <c r="E387" s="22"/>
      <c r="F387" s="277">
        <v>6710</v>
      </c>
      <c r="G387" s="22"/>
      <c r="H387" s="277">
        <v>10985</v>
      </c>
      <c r="I387" s="22"/>
      <c r="K387" s="26"/>
    </row>
    <row r="388" spans="1:11" ht="19.3">
      <c r="A388" s="27">
        <v>38231</v>
      </c>
      <c r="B388" s="276">
        <v>583</v>
      </c>
      <c r="C388" s="22"/>
      <c r="D388" s="276">
        <v>6369</v>
      </c>
      <c r="E388" s="22"/>
      <c r="F388" s="277">
        <v>6679</v>
      </c>
      <c r="G388" s="22"/>
      <c r="H388" s="277">
        <v>10994</v>
      </c>
      <c r="I388" s="22"/>
      <c r="K388" s="26"/>
    </row>
    <row r="389" spans="1:11" ht="19.3">
      <c r="A389" s="27">
        <v>38261</v>
      </c>
      <c r="B389" s="276">
        <v>578</v>
      </c>
      <c r="C389" s="22"/>
      <c r="D389" s="276">
        <v>6352</v>
      </c>
      <c r="E389" s="22"/>
      <c r="F389" s="277">
        <v>6663</v>
      </c>
      <c r="G389" s="22"/>
      <c r="H389" s="277">
        <v>10997</v>
      </c>
      <c r="I389" s="22"/>
      <c r="K389" s="26"/>
    </row>
    <row r="390" spans="1:11" ht="19.3">
      <c r="A390" s="27">
        <v>38292</v>
      </c>
      <c r="B390" s="276">
        <v>584</v>
      </c>
      <c r="C390" s="22"/>
      <c r="D390" s="276">
        <v>6322</v>
      </c>
      <c r="E390" s="22"/>
      <c r="F390" s="277">
        <v>6611</v>
      </c>
      <c r="G390" s="22"/>
      <c r="H390" s="277">
        <v>11003</v>
      </c>
      <c r="I390" s="22"/>
      <c r="K390" s="26"/>
    </row>
    <row r="391" spans="1:11" ht="19.3">
      <c r="A391" s="27">
        <v>38322</v>
      </c>
      <c r="B391" s="276">
        <v>577</v>
      </c>
      <c r="C391" s="278">
        <f t="shared" ref="C391:E391" si="153">AVERAGE(B380:B391)</f>
        <v>584.33333333333337</v>
      </c>
      <c r="D391" s="276">
        <v>6306</v>
      </c>
      <c r="E391" s="278">
        <f t="shared" si="153"/>
        <v>6328.583333333333</v>
      </c>
      <c r="F391" s="277">
        <v>6576</v>
      </c>
      <c r="G391" s="278">
        <f t="shared" ref="G391" si="154">AVERAGE(F380:F391)</f>
        <v>6642.083333333333</v>
      </c>
      <c r="H391" s="277">
        <v>10995</v>
      </c>
      <c r="I391" s="278">
        <f t="shared" ref="I391" si="155">AVERAGE(H380:H391)</f>
        <v>10990.083333333334</v>
      </c>
      <c r="J391" s="47">
        <f t="shared" ref="J391" si="156">G391/I391</f>
        <v>0.60437060683494959</v>
      </c>
      <c r="K391" s="47">
        <f t="shared" ref="K391" si="157">C391/E391</f>
        <v>9.2332407200136954E-2</v>
      </c>
    </row>
    <row r="392" spans="1:11" ht="19.3">
      <c r="A392" s="27">
        <v>38353</v>
      </c>
      <c r="B392" s="276">
        <v>575</v>
      </c>
      <c r="C392" s="22"/>
      <c r="D392" s="276">
        <v>6261</v>
      </c>
      <c r="E392" s="22"/>
      <c r="F392" s="277">
        <v>6557</v>
      </c>
      <c r="G392" s="22"/>
      <c r="H392" s="277">
        <v>11004</v>
      </c>
      <c r="I392" s="22"/>
      <c r="K392" s="26"/>
    </row>
    <row r="393" spans="1:11" ht="19.3">
      <c r="A393" s="27">
        <v>38384</v>
      </c>
      <c r="B393" s="276">
        <v>569</v>
      </c>
      <c r="C393" s="22"/>
      <c r="D393" s="276">
        <v>6224</v>
      </c>
      <c r="E393" s="22"/>
      <c r="F393" s="277">
        <v>6532</v>
      </c>
      <c r="G393" s="22"/>
      <c r="H393" s="277">
        <v>11003</v>
      </c>
      <c r="I393" s="22"/>
      <c r="K393" s="26"/>
    </row>
    <row r="394" spans="1:11" ht="19.3">
      <c r="A394" s="27">
        <v>38412</v>
      </c>
      <c r="B394" s="276">
        <v>579</v>
      </c>
      <c r="C394" s="22"/>
      <c r="D394" s="276">
        <v>6260</v>
      </c>
      <c r="E394" s="22"/>
      <c r="F394" s="277">
        <v>6573</v>
      </c>
      <c r="G394" s="22"/>
      <c r="H394" s="277">
        <v>11003</v>
      </c>
      <c r="I394" s="22"/>
      <c r="K394" s="26"/>
    </row>
    <row r="395" spans="1:11" ht="19.3">
      <c r="A395" s="27">
        <v>38443</v>
      </c>
      <c r="B395" s="276">
        <v>579</v>
      </c>
      <c r="C395" s="22"/>
      <c r="D395" s="276">
        <v>6352</v>
      </c>
      <c r="E395" s="22"/>
      <c r="F395" s="277">
        <v>6662</v>
      </c>
      <c r="G395" s="22"/>
      <c r="H395" s="277">
        <v>10994</v>
      </c>
      <c r="I395" s="22"/>
      <c r="K395" s="26"/>
    </row>
    <row r="396" spans="1:11" ht="19.3">
      <c r="A396" s="27">
        <v>38473</v>
      </c>
      <c r="B396" s="276">
        <v>590</v>
      </c>
      <c r="C396" s="22"/>
      <c r="D396" s="276">
        <v>6435</v>
      </c>
      <c r="E396" s="22"/>
      <c r="F396" s="277">
        <v>6742</v>
      </c>
      <c r="G396" s="22"/>
      <c r="H396" s="277">
        <v>11008</v>
      </c>
      <c r="I396" s="22"/>
      <c r="K396" s="26"/>
    </row>
    <row r="397" spans="1:11" ht="19.3">
      <c r="A397" s="27">
        <v>38504</v>
      </c>
      <c r="B397" s="276">
        <v>581</v>
      </c>
      <c r="C397" s="22"/>
      <c r="D397" s="276">
        <v>6418</v>
      </c>
      <c r="E397" s="22"/>
      <c r="F397" s="277">
        <v>6698</v>
      </c>
      <c r="G397" s="22"/>
      <c r="H397" s="277">
        <v>11003</v>
      </c>
      <c r="I397" s="22"/>
      <c r="K397" s="26"/>
    </row>
    <row r="398" spans="1:11" ht="19.3">
      <c r="A398" s="27">
        <v>38534</v>
      </c>
      <c r="B398" s="276">
        <v>562</v>
      </c>
      <c r="C398" s="22"/>
      <c r="D398" s="276">
        <v>6410</v>
      </c>
      <c r="E398" s="22"/>
      <c r="F398" s="277">
        <v>6699</v>
      </c>
      <c r="G398" s="22"/>
      <c r="H398" s="277">
        <v>11005</v>
      </c>
      <c r="I398" s="22"/>
      <c r="K398" s="26"/>
    </row>
    <row r="399" spans="1:11" ht="19.3">
      <c r="A399" s="27">
        <v>38565</v>
      </c>
      <c r="B399" s="276">
        <v>554</v>
      </c>
      <c r="C399" s="22"/>
      <c r="D399" s="276">
        <v>6405</v>
      </c>
      <c r="E399" s="22"/>
      <c r="F399" s="277">
        <v>6689</v>
      </c>
      <c r="G399" s="22"/>
      <c r="H399" s="277">
        <v>11006</v>
      </c>
      <c r="I399" s="22"/>
      <c r="K399" s="26"/>
    </row>
    <row r="400" spans="1:11" ht="19.3">
      <c r="A400" s="27">
        <v>38596</v>
      </c>
      <c r="B400" s="276">
        <v>554</v>
      </c>
      <c r="C400" s="22"/>
      <c r="D400" s="276">
        <v>6437</v>
      </c>
      <c r="E400" s="22"/>
      <c r="F400" s="277">
        <v>6722</v>
      </c>
      <c r="G400" s="22"/>
      <c r="H400" s="277">
        <v>11014</v>
      </c>
      <c r="I400" s="22"/>
      <c r="K400" s="26"/>
    </row>
    <row r="401" spans="1:11" ht="19.3">
      <c r="A401" s="27">
        <v>38626</v>
      </c>
      <c r="B401" s="275">
        <v>553</v>
      </c>
      <c r="C401" s="22"/>
      <c r="D401" s="275">
        <v>6410</v>
      </c>
      <c r="E401" s="22"/>
      <c r="F401" s="277">
        <v>6714</v>
      </c>
      <c r="G401" s="22"/>
      <c r="H401" s="277">
        <v>11017</v>
      </c>
      <c r="I401" s="22"/>
      <c r="K401" s="26"/>
    </row>
    <row r="402" spans="1:11" ht="19.3">
      <c r="A402" s="27">
        <v>38657</v>
      </c>
      <c r="B402" s="275">
        <v>558</v>
      </c>
      <c r="C402" s="22"/>
      <c r="D402" s="275">
        <v>6345</v>
      </c>
      <c r="E402" s="22"/>
      <c r="F402" s="277">
        <v>6637</v>
      </c>
      <c r="G402" s="22"/>
      <c r="H402" s="277">
        <v>11018</v>
      </c>
      <c r="I402" s="22"/>
      <c r="K402" s="26"/>
    </row>
    <row r="403" spans="1:11" ht="19.3">
      <c r="A403" s="27">
        <v>38687</v>
      </c>
      <c r="B403" s="275">
        <v>564</v>
      </c>
      <c r="C403" s="278">
        <f t="shared" ref="C403:E403" si="158">AVERAGE(B392:B403)</f>
        <v>568.16666666666663</v>
      </c>
      <c r="D403" s="275">
        <v>6317</v>
      </c>
      <c r="E403" s="278">
        <f t="shared" si="158"/>
        <v>6356.166666666667</v>
      </c>
      <c r="F403" s="277">
        <v>6582</v>
      </c>
      <c r="G403" s="278">
        <f t="shared" ref="G403" si="159">AVERAGE(F392:F403)</f>
        <v>6650.583333333333</v>
      </c>
      <c r="H403" s="277">
        <v>11015</v>
      </c>
      <c r="I403" s="278">
        <f t="shared" ref="I403" si="160">AVERAGE(H392:H403)</f>
        <v>11007.5</v>
      </c>
      <c r="J403" s="47">
        <f t="shared" ref="J403" si="161">G403/I403</f>
        <v>0.60418653948065715</v>
      </c>
      <c r="K403" s="47">
        <f t="shared" ref="K403" si="162">C403/E403</f>
        <v>8.9388258122033715E-2</v>
      </c>
    </row>
    <row r="404" spans="1:11" ht="19.3">
      <c r="A404" s="27">
        <v>38718</v>
      </c>
      <c r="B404" s="275">
        <v>546</v>
      </c>
      <c r="C404" s="22"/>
      <c r="D404" s="275">
        <v>6272</v>
      </c>
      <c r="E404" s="22"/>
      <c r="F404" s="277">
        <v>6564</v>
      </c>
      <c r="G404" s="22"/>
      <c r="H404" s="277">
        <v>11017</v>
      </c>
      <c r="I404" s="22"/>
      <c r="K404" s="26"/>
    </row>
    <row r="405" spans="1:11" ht="19.3">
      <c r="A405" s="27">
        <v>38749</v>
      </c>
      <c r="B405" s="275">
        <v>556</v>
      </c>
      <c r="C405" s="22"/>
      <c r="D405" s="275">
        <v>6276</v>
      </c>
      <c r="E405" s="22"/>
      <c r="F405" s="277">
        <v>6553</v>
      </c>
      <c r="G405" s="22"/>
      <c r="H405" s="277">
        <v>11011</v>
      </c>
      <c r="I405" s="22"/>
      <c r="K405" s="26"/>
    </row>
    <row r="406" spans="1:11" ht="19.3">
      <c r="A406" s="27">
        <v>38777</v>
      </c>
      <c r="B406" s="275">
        <v>562</v>
      </c>
      <c r="C406" s="22"/>
      <c r="D406" s="275">
        <v>6312</v>
      </c>
      <c r="E406" s="22"/>
      <c r="F406" s="277">
        <v>6601</v>
      </c>
      <c r="G406" s="22"/>
      <c r="H406" s="277">
        <v>11027</v>
      </c>
      <c r="I406" s="22"/>
      <c r="K406" s="26"/>
    </row>
    <row r="407" spans="1:11" ht="19.3">
      <c r="A407" s="27">
        <v>38808</v>
      </c>
      <c r="B407" s="275">
        <v>581</v>
      </c>
      <c r="C407" s="22"/>
      <c r="D407" s="275">
        <v>6373</v>
      </c>
      <c r="E407" s="22"/>
      <c r="F407" s="277">
        <v>6657</v>
      </c>
      <c r="G407" s="22"/>
      <c r="H407" s="277">
        <v>11010</v>
      </c>
      <c r="I407" s="22"/>
      <c r="K407" s="26"/>
    </row>
    <row r="408" spans="1:11" ht="19.3">
      <c r="A408" s="27">
        <v>38838</v>
      </c>
      <c r="B408" s="275">
        <v>584</v>
      </c>
      <c r="C408" s="22"/>
      <c r="D408" s="275">
        <v>6454</v>
      </c>
      <c r="E408" s="22"/>
      <c r="F408" s="277">
        <v>6731</v>
      </c>
      <c r="G408" s="22"/>
      <c r="H408" s="277">
        <v>11024</v>
      </c>
      <c r="I408" s="22"/>
      <c r="K408" s="26"/>
    </row>
    <row r="409" spans="1:11" ht="19.3">
      <c r="A409" s="27">
        <v>38869</v>
      </c>
      <c r="B409" s="275">
        <v>575</v>
      </c>
      <c r="C409" s="22"/>
      <c r="D409" s="275">
        <v>6444</v>
      </c>
      <c r="E409" s="22"/>
      <c r="F409" s="277">
        <v>6723</v>
      </c>
      <c r="G409" s="22"/>
      <c r="H409" s="277">
        <v>11035</v>
      </c>
      <c r="I409" s="22"/>
      <c r="K409" s="26"/>
    </row>
    <row r="410" spans="1:11" ht="19.3">
      <c r="A410" s="27">
        <v>38899</v>
      </c>
      <c r="B410" s="275">
        <v>559</v>
      </c>
      <c r="C410" s="22"/>
      <c r="D410" s="275">
        <v>6428</v>
      </c>
      <c r="E410" s="22"/>
      <c r="F410" s="277">
        <v>6695</v>
      </c>
      <c r="G410" s="22"/>
      <c r="H410" s="277">
        <v>11031</v>
      </c>
      <c r="I410" s="22"/>
      <c r="K410" s="26"/>
    </row>
    <row r="411" spans="1:11" ht="19.3">
      <c r="A411" s="27">
        <v>38930</v>
      </c>
      <c r="B411" s="275">
        <v>550</v>
      </c>
      <c r="C411" s="22"/>
      <c r="D411" s="275">
        <v>6435</v>
      </c>
      <c r="E411" s="22"/>
      <c r="F411" s="277">
        <v>6707</v>
      </c>
      <c r="G411" s="22"/>
      <c r="H411" s="277">
        <v>11031</v>
      </c>
      <c r="I411" s="22"/>
      <c r="K411" s="26"/>
    </row>
    <row r="412" spans="1:11" ht="19.3">
      <c r="A412" s="27">
        <v>38961</v>
      </c>
      <c r="B412" s="275">
        <v>550</v>
      </c>
      <c r="C412" s="22"/>
      <c r="D412" s="275">
        <v>6440</v>
      </c>
      <c r="E412" s="22"/>
      <c r="F412" s="277">
        <v>6720</v>
      </c>
      <c r="G412" s="22"/>
      <c r="H412" s="277">
        <v>11037</v>
      </c>
      <c r="I412" s="22"/>
      <c r="K412" s="26"/>
    </row>
    <row r="413" spans="1:11" ht="19.3">
      <c r="A413" s="27">
        <v>38991</v>
      </c>
      <c r="B413" s="275">
        <v>546</v>
      </c>
      <c r="C413" s="22"/>
      <c r="D413" s="275">
        <v>6446</v>
      </c>
      <c r="E413" s="22"/>
      <c r="F413" s="277">
        <v>6727</v>
      </c>
      <c r="G413" s="22"/>
      <c r="H413" s="277">
        <v>11044</v>
      </c>
      <c r="I413" s="22"/>
      <c r="K413" s="26"/>
    </row>
    <row r="414" spans="1:11" ht="19.3">
      <c r="A414" s="27">
        <v>39022</v>
      </c>
      <c r="B414" s="275">
        <v>552</v>
      </c>
      <c r="C414" s="22"/>
      <c r="D414" s="275">
        <v>6420</v>
      </c>
      <c r="E414" s="22"/>
      <c r="F414" s="277">
        <v>6679</v>
      </c>
      <c r="G414" s="22"/>
      <c r="H414" s="277">
        <v>11049</v>
      </c>
      <c r="I414" s="22"/>
      <c r="K414" s="26"/>
    </row>
    <row r="415" spans="1:11" ht="19.3">
      <c r="A415" s="27">
        <v>39052</v>
      </c>
      <c r="B415" s="275">
        <v>562</v>
      </c>
      <c r="C415" s="278">
        <f t="shared" ref="C415:E415" si="163">AVERAGE(B404:B415)</f>
        <v>560.25</v>
      </c>
      <c r="D415" s="275">
        <v>6365</v>
      </c>
      <c r="E415" s="278">
        <f t="shared" si="163"/>
        <v>6388.75</v>
      </c>
      <c r="F415" s="277">
        <v>6609</v>
      </c>
      <c r="G415" s="278">
        <f t="shared" ref="G415" si="164">AVERAGE(F404:F415)</f>
        <v>6663.833333333333</v>
      </c>
      <c r="H415" s="277">
        <v>11039</v>
      </c>
      <c r="I415" s="278">
        <f t="shared" ref="I415" si="165">AVERAGE(H404:H415)</f>
        <v>11029.583333333334</v>
      </c>
      <c r="J415" s="47">
        <f t="shared" ref="J415" si="166">G415/I415</f>
        <v>0.6041781572286653</v>
      </c>
      <c r="K415" s="47">
        <f t="shared" ref="K415" si="167">C415/E415</f>
        <v>8.7693210721972212E-2</v>
      </c>
    </row>
    <row r="416" spans="1:11" ht="19.3">
      <c r="A416" s="27">
        <v>39083</v>
      </c>
      <c r="B416" s="275">
        <v>555</v>
      </c>
      <c r="C416" s="22"/>
      <c r="D416" s="275">
        <v>6290</v>
      </c>
      <c r="E416" s="22"/>
      <c r="F416" s="277">
        <v>6554</v>
      </c>
      <c r="G416" s="22"/>
      <c r="H416" s="277">
        <v>11051</v>
      </c>
      <c r="I416" s="22"/>
      <c r="K416" s="26"/>
    </row>
    <row r="417" spans="1:11" ht="19.3">
      <c r="A417" s="27">
        <v>39114</v>
      </c>
      <c r="B417" s="275">
        <v>547</v>
      </c>
      <c r="C417" s="22"/>
      <c r="D417" s="275">
        <v>6314</v>
      </c>
      <c r="E417" s="22"/>
      <c r="F417" s="277">
        <v>6584</v>
      </c>
      <c r="G417" s="22"/>
      <c r="H417" s="277">
        <v>11052</v>
      </c>
      <c r="I417" s="22"/>
      <c r="K417" s="26"/>
    </row>
    <row r="418" spans="1:11" ht="19.3">
      <c r="A418" s="27">
        <v>39142</v>
      </c>
      <c r="B418" s="275">
        <v>564</v>
      </c>
      <c r="C418" s="22"/>
      <c r="D418" s="275">
        <v>6364</v>
      </c>
      <c r="E418" s="22"/>
      <c r="F418" s="277">
        <v>6645</v>
      </c>
      <c r="G418" s="22"/>
      <c r="H418" s="277">
        <v>11055</v>
      </c>
      <c r="I418" s="22"/>
      <c r="K418" s="26"/>
    </row>
    <row r="419" spans="1:11" ht="19.3">
      <c r="A419" s="27">
        <v>39173</v>
      </c>
      <c r="B419" s="275">
        <v>579</v>
      </c>
      <c r="C419" s="22"/>
      <c r="D419" s="275">
        <v>6458</v>
      </c>
      <c r="E419" s="22"/>
      <c r="F419" s="277">
        <v>6726</v>
      </c>
      <c r="G419" s="22"/>
      <c r="H419" s="277">
        <v>11056</v>
      </c>
      <c r="I419" s="22"/>
      <c r="K419" s="26"/>
    </row>
    <row r="420" spans="1:11" ht="19.3">
      <c r="A420" s="27">
        <v>39203</v>
      </c>
      <c r="B420" s="275">
        <v>566</v>
      </c>
      <c r="C420" s="22"/>
      <c r="D420" s="275">
        <v>6513</v>
      </c>
      <c r="E420" s="22"/>
      <c r="F420" s="277">
        <v>6771</v>
      </c>
      <c r="G420" s="22"/>
      <c r="H420" s="277">
        <v>11062</v>
      </c>
      <c r="I420" s="22"/>
      <c r="K420" s="26"/>
    </row>
    <row r="421" spans="1:11" ht="19.3">
      <c r="A421" s="27">
        <v>39234</v>
      </c>
      <c r="B421" s="275">
        <v>551</v>
      </c>
      <c r="C421" s="22"/>
      <c r="D421" s="275">
        <v>6506</v>
      </c>
      <c r="E421" s="22"/>
      <c r="F421" s="277">
        <v>6748</v>
      </c>
      <c r="G421" s="22"/>
      <c r="H421" s="277">
        <v>11066</v>
      </c>
      <c r="I421" s="22"/>
      <c r="K421" s="26"/>
    </row>
    <row r="422" spans="1:11" ht="19.3">
      <c r="A422" s="27">
        <v>39264</v>
      </c>
      <c r="B422" s="275">
        <v>547</v>
      </c>
      <c r="C422" s="22"/>
      <c r="D422" s="275">
        <v>6474</v>
      </c>
      <c r="E422" s="22"/>
      <c r="F422" s="277">
        <v>6707</v>
      </c>
      <c r="G422" s="22"/>
      <c r="H422" s="277">
        <v>11068</v>
      </c>
      <c r="I422" s="22"/>
      <c r="K422" s="26"/>
    </row>
    <row r="423" spans="1:11" ht="19.3">
      <c r="A423" s="27">
        <v>39295</v>
      </c>
      <c r="B423" s="275">
        <v>552</v>
      </c>
      <c r="C423" s="22"/>
      <c r="D423" s="275">
        <v>6463</v>
      </c>
      <c r="E423" s="22"/>
      <c r="F423" s="277">
        <v>6712</v>
      </c>
      <c r="G423" s="22"/>
      <c r="H423" s="277">
        <v>11071</v>
      </c>
      <c r="I423" s="22"/>
      <c r="K423" s="26"/>
    </row>
    <row r="424" spans="1:11" ht="19.3">
      <c r="A424" s="27">
        <v>39326</v>
      </c>
      <c r="B424" s="275">
        <v>550</v>
      </c>
      <c r="C424" s="22"/>
      <c r="D424" s="275">
        <v>6439</v>
      </c>
      <c r="E424" s="22"/>
      <c r="F424" s="277">
        <v>6708</v>
      </c>
      <c r="G424" s="22"/>
      <c r="H424" s="277">
        <v>11075</v>
      </c>
      <c r="I424" s="22"/>
      <c r="K424" s="26"/>
    </row>
    <row r="425" spans="1:11" ht="19.3">
      <c r="A425" s="27">
        <v>39356</v>
      </c>
      <c r="B425" s="275">
        <v>554</v>
      </c>
      <c r="C425" s="22"/>
      <c r="D425" s="275">
        <v>6442</v>
      </c>
      <c r="E425" s="22"/>
      <c r="F425" s="277">
        <v>6713</v>
      </c>
      <c r="G425" s="22"/>
      <c r="H425" s="277">
        <v>11078</v>
      </c>
      <c r="I425" s="22"/>
      <c r="K425" s="26"/>
    </row>
    <row r="426" spans="1:11" ht="19.3">
      <c r="A426" s="27">
        <v>39387</v>
      </c>
      <c r="B426" s="275">
        <v>548</v>
      </c>
      <c r="C426" s="22"/>
      <c r="D426" s="275">
        <v>6452</v>
      </c>
      <c r="E426" s="22"/>
      <c r="F426" s="277">
        <v>6698</v>
      </c>
      <c r="G426" s="22"/>
      <c r="H426" s="277">
        <v>11079</v>
      </c>
      <c r="I426" s="22"/>
      <c r="K426" s="26"/>
    </row>
    <row r="427" spans="1:11" ht="19.3">
      <c r="A427" s="27">
        <v>39417</v>
      </c>
      <c r="B427" s="275">
        <v>540</v>
      </c>
      <c r="C427" s="278">
        <f t="shared" ref="C427:E427" si="168">AVERAGE(B416:B427)</f>
        <v>554.41666666666663</v>
      </c>
      <c r="D427" s="275">
        <v>6415</v>
      </c>
      <c r="E427" s="278">
        <f t="shared" si="168"/>
        <v>6427.5</v>
      </c>
      <c r="F427" s="277">
        <v>6646</v>
      </c>
      <c r="G427" s="278">
        <f t="shared" ref="G427" si="169">AVERAGE(F416:F427)</f>
        <v>6684.333333333333</v>
      </c>
      <c r="H427" s="277">
        <v>11079</v>
      </c>
      <c r="I427" s="278">
        <f t="shared" ref="I427" si="170">AVERAGE(H416:H427)</f>
        <v>11066</v>
      </c>
      <c r="J427" s="47">
        <f t="shared" ref="J427" si="171">G427/I427</f>
        <v>0.60404241219350563</v>
      </c>
      <c r="K427" s="47">
        <f t="shared" ref="K427" si="172">C427/E427</f>
        <v>8.6256968754051588E-2</v>
      </c>
    </row>
    <row r="428" spans="1:11" ht="19.3">
      <c r="A428" s="27">
        <v>39448</v>
      </c>
      <c r="B428" s="275">
        <v>549</v>
      </c>
      <c r="C428" s="22"/>
      <c r="D428" s="275">
        <v>6341</v>
      </c>
      <c r="E428" s="22"/>
      <c r="F428" s="277">
        <v>6597</v>
      </c>
      <c r="G428" s="22"/>
      <c r="H428" s="277">
        <v>11080</v>
      </c>
      <c r="I428" s="22"/>
      <c r="K428" s="26"/>
    </row>
    <row r="429" spans="1:11" ht="19.3">
      <c r="A429" s="27">
        <v>39479</v>
      </c>
      <c r="B429" s="275">
        <v>548</v>
      </c>
      <c r="C429" s="22"/>
      <c r="D429" s="275">
        <v>6313</v>
      </c>
      <c r="E429" s="22"/>
      <c r="F429" s="277">
        <v>6579</v>
      </c>
      <c r="G429" s="22"/>
      <c r="H429" s="277">
        <v>11078</v>
      </c>
      <c r="I429" s="22"/>
      <c r="K429" s="26"/>
    </row>
    <row r="430" spans="1:11" ht="19.3">
      <c r="A430" s="27">
        <v>39508</v>
      </c>
      <c r="B430" s="275">
        <v>545</v>
      </c>
      <c r="C430" s="22"/>
      <c r="D430" s="275">
        <v>6358</v>
      </c>
      <c r="E430" s="22"/>
      <c r="F430" s="277">
        <v>6626</v>
      </c>
      <c r="G430" s="22"/>
      <c r="H430" s="277">
        <v>11080</v>
      </c>
      <c r="I430" s="22"/>
      <c r="K430" s="26"/>
    </row>
    <row r="431" spans="1:11" ht="19.3">
      <c r="A431" s="27">
        <v>39539</v>
      </c>
      <c r="B431" s="275">
        <v>531</v>
      </c>
      <c r="C431" s="22"/>
      <c r="D431" s="275">
        <v>6451</v>
      </c>
      <c r="E431" s="22"/>
      <c r="F431" s="277">
        <v>6726</v>
      </c>
      <c r="G431" s="22"/>
      <c r="H431" s="277">
        <v>11078</v>
      </c>
      <c r="I431" s="22"/>
      <c r="K431" s="26"/>
    </row>
    <row r="432" spans="1:11" ht="19.3">
      <c r="A432" s="27">
        <v>39569</v>
      </c>
      <c r="B432" s="275">
        <v>536</v>
      </c>
      <c r="C432" s="22"/>
      <c r="D432" s="275">
        <v>6501</v>
      </c>
      <c r="E432" s="22"/>
      <c r="F432" s="277">
        <v>6771</v>
      </c>
      <c r="G432" s="22"/>
      <c r="H432" s="277">
        <v>11083</v>
      </c>
      <c r="I432" s="22"/>
      <c r="K432" s="26"/>
    </row>
    <row r="433" spans="1:11" ht="19.3">
      <c r="A433" s="27">
        <v>39600</v>
      </c>
      <c r="B433" s="275">
        <v>547</v>
      </c>
      <c r="C433" s="22"/>
      <c r="D433" s="275">
        <v>6475</v>
      </c>
      <c r="E433" s="22"/>
      <c r="F433" s="277">
        <v>6740</v>
      </c>
      <c r="G433" s="22"/>
      <c r="H433" s="277">
        <v>11085</v>
      </c>
      <c r="I433" s="22"/>
      <c r="K433" s="26"/>
    </row>
    <row r="434" spans="1:11" ht="19.3">
      <c r="A434" s="27">
        <v>39630</v>
      </c>
      <c r="B434" s="275">
        <v>547</v>
      </c>
      <c r="C434" s="22"/>
      <c r="D434" s="275">
        <v>6430</v>
      </c>
      <c r="E434" s="22"/>
      <c r="F434" s="277">
        <v>6686</v>
      </c>
      <c r="G434" s="22"/>
      <c r="H434" s="277">
        <v>11089</v>
      </c>
      <c r="I434" s="22"/>
      <c r="K434" s="26"/>
    </row>
    <row r="435" spans="1:11" ht="19.3">
      <c r="A435" s="27">
        <v>39661</v>
      </c>
      <c r="B435" s="275">
        <v>540</v>
      </c>
      <c r="C435" s="22"/>
      <c r="D435" s="275">
        <v>6430</v>
      </c>
      <c r="E435" s="22"/>
      <c r="F435" s="277">
        <v>6702</v>
      </c>
      <c r="G435" s="22"/>
      <c r="H435" s="277">
        <v>11088</v>
      </c>
      <c r="I435" s="22"/>
      <c r="K435" s="26"/>
    </row>
    <row r="436" spans="1:11" ht="19.3">
      <c r="A436" s="27">
        <v>39692</v>
      </c>
      <c r="B436" s="275">
        <v>527</v>
      </c>
      <c r="C436" s="22"/>
      <c r="D436" s="275">
        <v>6419</v>
      </c>
      <c r="E436" s="22"/>
      <c r="F436" s="277">
        <v>6689</v>
      </c>
      <c r="G436" s="22"/>
      <c r="H436" s="277">
        <v>11092</v>
      </c>
      <c r="I436" s="22"/>
      <c r="K436" s="26"/>
    </row>
    <row r="437" spans="1:11" ht="19.3">
      <c r="A437" s="27">
        <v>39722</v>
      </c>
      <c r="B437" s="275">
        <v>544</v>
      </c>
      <c r="C437" s="22"/>
      <c r="D437" s="275">
        <v>6415</v>
      </c>
      <c r="E437" s="22"/>
      <c r="F437" s="277">
        <v>6670</v>
      </c>
      <c r="G437" s="22"/>
      <c r="H437" s="277">
        <v>11093</v>
      </c>
      <c r="I437" s="22"/>
      <c r="K437" s="26"/>
    </row>
    <row r="438" spans="1:11" ht="19.3">
      <c r="A438" s="27">
        <v>39753</v>
      </c>
      <c r="B438" s="275">
        <v>543</v>
      </c>
      <c r="C438" s="22"/>
      <c r="D438" s="275">
        <v>6418</v>
      </c>
      <c r="E438" s="22"/>
      <c r="F438" s="277">
        <v>6673</v>
      </c>
      <c r="G438" s="22"/>
      <c r="H438" s="277">
        <v>11094</v>
      </c>
      <c r="I438" s="22"/>
      <c r="K438" s="26"/>
    </row>
    <row r="439" spans="1:11" ht="19.3">
      <c r="A439" s="27">
        <v>39783</v>
      </c>
      <c r="B439" s="275">
        <v>532</v>
      </c>
      <c r="C439" s="278">
        <f t="shared" ref="C439:E439" si="173">AVERAGE(B428:B439)</f>
        <v>540.75</v>
      </c>
      <c r="D439" s="275">
        <v>6359</v>
      </c>
      <c r="E439" s="278">
        <f t="shared" si="173"/>
        <v>6409.166666666667</v>
      </c>
      <c r="F439" s="277">
        <v>6629</v>
      </c>
      <c r="G439" s="278">
        <f t="shared" ref="G439" si="174">AVERAGE(F428:F439)</f>
        <v>6674</v>
      </c>
      <c r="H439" s="277">
        <v>11091</v>
      </c>
      <c r="I439" s="278">
        <f t="shared" ref="I439" si="175">AVERAGE(H428:H439)</f>
        <v>11085.916666666666</v>
      </c>
      <c r="J439" s="47">
        <f t="shared" ref="J439" si="176">G439/I439</f>
        <v>0.60202509189587394</v>
      </c>
      <c r="K439" s="47">
        <f t="shared" ref="K439" si="177">C439/E439</f>
        <v>8.4371343128331819E-2</v>
      </c>
    </row>
    <row r="440" spans="1:11" ht="19.3">
      <c r="A440" s="27">
        <v>39814</v>
      </c>
      <c r="B440" s="275">
        <v>532</v>
      </c>
      <c r="C440" s="22"/>
      <c r="D440" s="275">
        <v>6321</v>
      </c>
      <c r="E440" s="22"/>
      <c r="F440" s="277">
        <v>6598</v>
      </c>
      <c r="G440" s="22"/>
      <c r="H440" s="277">
        <v>11091</v>
      </c>
      <c r="I440" s="22"/>
      <c r="K440" s="26"/>
    </row>
    <row r="441" spans="1:11" ht="19.3">
      <c r="A441" s="27">
        <v>39845</v>
      </c>
      <c r="B441" s="275">
        <v>523</v>
      </c>
      <c r="C441" s="22"/>
      <c r="D441" s="275">
        <v>6294</v>
      </c>
      <c r="E441" s="22"/>
      <c r="F441" s="277">
        <v>6594</v>
      </c>
      <c r="G441" s="22"/>
      <c r="H441" s="277">
        <v>11089</v>
      </c>
      <c r="I441" s="22"/>
      <c r="K441" s="26"/>
    </row>
    <row r="442" spans="1:11" ht="19.3">
      <c r="A442" s="27">
        <v>39873</v>
      </c>
      <c r="B442" s="275">
        <v>527</v>
      </c>
      <c r="C442" s="22"/>
      <c r="D442" s="275">
        <v>6275</v>
      </c>
      <c r="E442" s="22"/>
      <c r="F442" s="277">
        <v>6610</v>
      </c>
      <c r="G442" s="22"/>
      <c r="H442" s="277">
        <v>11091</v>
      </c>
      <c r="I442" s="22"/>
      <c r="K442" s="26"/>
    </row>
    <row r="443" spans="1:11" ht="19.3">
      <c r="A443" s="27">
        <v>39904</v>
      </c>
      <c r="B443" s="275">
        <v>511</v>
      </c>
      <c r="C443" s="22"/>
      <c r="D443" s="275">
        <v>6353</v>
      </c>
      <c r="E443" s="22"/>
      <c r="F443" s="277">
        <v>6699</v>
      </c>
      <c r="G443" s="22"/>
      <c r="H443" s="277">
        <v>11093</v>
      </c>
      <c r="I443" s="22"/>
      <c r="K443" s="26"/>
    </row>
    <row r="444" spans="1:11" ht="19.3">
      <c r="A444" s="27">
        <v>39934</v>
      </c>
      <c r="B444" s="275">
        <v>513</v>
      </c>
      <c r="C444" s="22"/>
      <c r="D444" s="275">
        <v>6374</v>
      </c>
      <c r="E444" s="22"/>
      <c r="F444" s="277">
        <v>6721</v>
      </c>
      <c r="G444" s="22"/>
      <c r="H444" s="277">
        <v>11097</v>
      </c>
      <c r="I444" s="22"/>
      <c r="K444" s="26"/>
    </row>
    <row r="445" spans="1:11" ht="19.3">
      <c r="A445" s="27">
        <v>39965</v>
      </c>
      <c r="B445" s="275">
        <v>511</v>
      </c>
      <c r="C445" s="22"/>
      <c r="D445" s="275">
        <v>6332</v>
      </c>
      <c r="E445" s="22"/>
      <c r="F445" s="277">
        <v>6680</v>
      </c>
      <c r="G445" s="22"/>
      <c r="H445" s="277">
        <v>11101</v>
      </c>
      <c r="I445" s="22"/>
      <c r="K445" s="26"/>
    </row>
    <row r="446" spans="1:11" ht="19.3">
      <c r="A446" s="27">
        <v>39995</v>
      </c>
      <c r="B446" s="275">
        <v>525</v>
      </c>
      <c r="C446" s="22"/>
      <c r="D446" s="275">
        <v>6303</v>
      </c>
      <c r="E446" s="22"/>
      <c r="F446" s="277">
        <v>6661</v>
      </c>
      <c r="G446" s="22"/>
      <c r="H446" s="277">
        <v>11102</v>
      </c>
      <c r="I446" s="22"/>
      <c r="K446" s="26"/>
    </row>
    <row r="447" spans="1:11" ht="19.3">
      <c r="A447" s="27">
        <v>40026</v>
      </c>
      <c r="B447" s="275">
        <v>531</v>
      </c>
      <c r="C447" s="22"/>
      <c r="D447" s="275">
        <v>6330</v>
      </c>
      <c r="E447" s="22"/>
      <c r="F447" s="277">
        <v>6691</v>
      </c>
      <c r="G447" s="22"/>
      <c r="H447" s="277">
        <v>11101</v>
      </c>
      <c r="I447" s="22"/>
      <c r="K447" s="26"/>
    </row>
    <row r="448" spans="1:11" ht="19.3">
      <c r="A448" s="27">
        <v>40057</v>
      </c>
      <c r="B448" s="275">
        <v>508</v>
      </c>
      <c r="C448" s="22"/>
      <c r="D448" s="275">
        <v>6330</v>
      </c>
      <c r="E448" s="22"/>
      <c r="F448" s="277">
        <v>6693</v>
      </c>
      <c r="G448" s="22"/>
      <c r="H448" s="277">
        <v>11105</v>
      </c>
      <c r="I448" s="22"/>
      <c r="K448" s="26"/>
    </row>
    <row r="449" spans="1:11" ht="19.3">
      <c r="A449" s="27">
        <v>40087</v>
      </c>
      <c r="B449" s="275">
        <v>521</v>
      </c>
      <c r="C449" s="22"/>
      <c r="D449" s="275">
        <v>6306</v>
      </c>
      <c r="E449" s="22"/>
      <c r="F449" s="277">
        <v>6650</v>
      </c>
      <c r="G449" s="22"/>
      <c r="H449" s="277">
        <v>11108</v>
      </c>
      <c r="I449" s="22"/>
      <c r="K449" s="26"/>
    </row>
    <row r="450" spans="1:11" ht="19.3">
      <c r="A450" s="27">
        <v>40118</v>
      </c>
      <c r="B450" s="275">
        <v>525</v>
      </c>
      <c r="C450" s="22"/>
      <c r="D450" s="275">
        <v>6296</v>
      </c>
      <c r="E450" s="22"/>
      <c r="F450" s="277">
        <v>6627</v>
      </c>
      <c r="G450" s="22"/>
      <c r="H450" s="277">
        <v>11109</v>
      </c>
      <c r="I450" s="22"/>
      <c r="K450" s="26"/>
    </row>
    <row r="451" spans="1:11" ht="19.3">
      <c r="A451" s="27">
        <v>40148</v>
      </c>
      <c r="B451" s="275">
        <v>532</v>
      </c>
      <c r="C451" s="278">
        <f t="shared" ref="C451:E451" si="178">AVERAGE(B440:B451)</f>
        <v>521.58333333333337</v>
      </c>
      <c r="D451" s="275">
        <v>6260</v>
      </c>
      <c r="E451" s="278">
        <f t="shared" si="178"/>
        <v>6314.5</v>
      </c>
      <c r="F451" s="277">
        <v>6576</v>
      </c>
      <c r="G451" s="278">
        <f t="shared" ref="G451" si="179">AVERAGE(F440:F451)</f>
        <v>6650</v>
      </c>
      <c r="H451" s="277">
        <v>11105</v>
      </c>
      <c r="I451" s="278">
        <f t="shared" ref="I451" si="180">AVERAGE(H440:H451)</f>
        <v>11099.333333333334</v>
      </c>
      <c r="J451" s="47">
        <f t="shared" ref="J451" si="181">G451/I451</f>
        <v>0.59913508318817943</v>
      </c>
      <c r="K451" s="47">
        <f t="shared" ref="K451" si="182">C451/E451</f>
        <v>8.2600892126586958E-2</v>
      </c>
    </row>
    <row r="452" spans="1:11" ht="19.3">
      <c r="A452" s="27">
        <v>40179</v>
      </c>
      <c r="B452" s="275">
        <v>532</v>
      </c>
      <c r="C452" s="22"/>
      <c r="D452" s="275">
        <v>6250</v>
      </c>
      <c r="E452" s="22"/>
      <c r="F452" s="277">
        <v>6572</v>
      </c>
      <c r="G452" s="22"/>
      <c r="H452" s="277">
        <v>11103</v>
      </c>
      <c r="I452" s="22"/>
      <c r="K452" s="26"/>
    </row>
    <row r="453" spans="1:11" ht="19.3">
      <c r="A453" s="27">
        <v>40210</v>
      </c>
      <c r="B453" s="275">
        <v>515</v>
      </c>
      <c r="C453" s="22"/>
      <c r="D453" s="275">
        <v>6223</v>
      </c>
      <c r="E453" s="22"/>
      <c r="F453" s="277">
        <v>6547</v>
      </c>
      <c r="G453" s="22"/>
      <c r="H453" s="277">
        <v>11101</v>
      </c>
      <c r="I453" s="22"/>
      <c r="K453" s="26"/>
    </row>
    <row r="454" spans="1:11" ht="19.3">
      <c r="A454" s="27">
        <v>40238</v>
      </c>
      <c r="B454" s="275">
        <v>495</v>
      </c>
      <c r="C454" s="22"/>
      <c r="D454" s="275">
        <v>6249</v>
      </c>
      <c r="E454" s="22"/>
      <c r="F454" s="277">
        <v>6599</v>
      </c>
      <c r="G454" s="22"/>
      <c r="H454" s="277">
        <v>11104</v>
      </c>
      <c r="I454" s="22"/>
      <c r="K454" s="26"/>
    </row>
    <row r="455" spans="1:11" ht="19.3">
      <c r="A455" s="27">
        <v>40269</v>
      </c>
      <c r="B455" s="275">
        <v>498</v>
      </c>
      <c r="C455" s="22"/>
      <c r="D455" s="275">
        <v>6309</v>
      </c>
      <c r="E455" s="22"/>
      <c r="F455" s="277">
        <v>6665</v>
      </c>
      <c r="G455" s="22"/>
      <c r="H455" s="277">
        <v>11102</v>
      </c>
      <c r="I455" s="22"/>
      <c r="K455" s="26"/>
    </row>
    <row r="456" spans="1:11" ht="19.3">
      <c r="A456" s="27">
        <v>40299</v>
      </c>
      <c r="B456" s="275">
        <v>498</v>
      </c>
      <c r="C456" s="22"/>
      <c r="D456" s="275">
        <v>6335</v>
      </c>
      <c r="E456" s="22"/>
      <c r="F456" s="277">
        <v>6682</v>
      </c>
      <c r="G456" s="22"/>
      <c r="H456" s="277">
        <v>11107</v>
      </c>
      <c r="I456" s="22"/>
      <c r="K456" s="26"/>
    </row>
    <row r="457" spans="1:11" ht="19.3">
      <c r="A457" s="27">
        <v>40330</v>
      </c>
      <c r="B457" s="275">
        <v>493</v>
      </c>
      <c r="C457" s="22"/>
      <c r="D457" s="275">
        <v>6321</v>
      </c>
      <c r="E457" s="22"/>
      <c r="F457" s="277">
        <v>6665</v>
      </c>
      <c r="G457" s="22"/>
      <c r="H457" s="277">
        <v>11113</v>
      </c>
      <c r="I457" s="22"/>
      <c r="K457" s="26"/>
    </row>
    <row r="458" spans="1:11" ht="19.3">
      <c r="A458" s="27">
        <v>40360</v>
      </c>
      <c r="B458" s="275">
        <v>509</v>
      </c>
      <c r="C458" s="22"/>
      <c r="D458" s="275">
        <v>6313</v>
      </c>
      <c r="E458" s="22"/>
      <c r="F458" s="277">
        <v>6644</v>
      </c>
      <c r="G458" s="22"/>
      <c r="H458" s="277">
        <v>11113</v>
      </c>
      <c r="I458" s="22"/>
      <c r="K458" s="26"/>
    </row>
    <row r="459" spans="1:11" ht="19.3">
      <c r="A459" s="27">
        <v>40391</v>
      </c>
      <c r="B459" s="275">
        <v>502</v>
      </c>
      <c r="C459" s="22"/>
      <c r="D459" s="275">
        <v>6320</v>
      </c>
      <c r="E459" s="22"/>
      <c r="F459" s="277">
        <v>6657</v>
      </c>
      <c r="G459" s="22"/>
      <c r="H459" s="277">
        <v>11113</v>
      </c>
      <c r="I459" s="22"/>
      <c r="K459" s="26"/>
    </row>
    <row r="460" spans="1:11" ht="19.3">
      <c r="A460" s="27">
        <v>40422</v>
      </c>
      <c r="B460" s="275">
        <v>501</v>
      </c>
      <c r="C460" s="22"/>
      <c r="D460" s="275">
        <v>6352</v>
      </c>
      <c r="E460" s="22"/>
      <c r="F460" s="277">
        <v>6692</v>
      </c>
      <c r="G460" s="22"/>
      <c r="H460" s="277">
        <v>11117</v>
      </c>
      <c r="I460" s="22"/>
      <c r="K460" s="26"/>
    </row>
    <row r="461" spans="1:11" ht="19.3">
      <c r="A461" s="27">
        <v>40452</v>
      </c>
      <c r="B461" s="275">
        <v>500</v>
      </c>
      <c r="C461" s="22"/>
      <c r="D461" s="275">
        <v>6330</v>
      </c>
      <c r="E461" s="22"/>
      <c r="F461" s="277">
        <v>6665</v>
      </c>
      <c r="G461" s="22"/>
      <c r="H461" s="277">
        <v>11120</v>
      </c>
      <c r="I461" s="22"/>
      <c r="K461" s="26"/>
    </row>
    <row r="462" spans="1:11" ht="19.3">
      <c r="A462" s="27">
        <v>40483</v>
      </c>
      <c r="B462" s="275">
        <v>495</v>
      </c>
      <c r="C462" s="22"/>
      <c r="D462" s="275">
        <v>6298</v>
      </c>
      <c r="E462" s="22"/>
      <c r="F462" s="277">
        <v>6616</v>
      </c>
      <c r="G462" s="22"/>
      <c r="H462" s="277">
        <v>11121</v>
      </c>
      <c r="I462" s="22"/>
      <c r="K462" s="26"/>
    </row>
    <row r="463" spans="1:11" ht="19.3">
      <c r="A463" s="27">
        <v>40513</v>
      </c>
      <c r="B463" s="275">
        <v>514</v>
      </c>
      <c r="C463" s="278">
        <f t="shared" ref="C463:E463" si="183">AVERAGE(B452:B463)</f>
        <v>504.33333333333331</v>
      </c>
      <c r="D463" s="275">
        <v>6278</v>
      </c>
      <c r="E463" s="278">
        <f t="shared" si="183"/>
        <v>6298.166666666667</v>
      </c>
      <c r="F463" s="277">
        <v>6577</v>
      </c>
      <c r="G463" s="278">
        <f t="shared" ref="G463" si="184">AVERAGE(F452:F463)</f>
        <v>6631.75</v>
      </c>
      <c r="H463" s="277">
        <v>11120</v>
      </c>
      <c r="I463" s="278">
        <f t="shared" ref="I463" si="185">AVERAGE(H452:H463)</f>
        <v>11111.166666666666</v>
      </c>
      <c r="J463" s="47">
        <f t="shared" ref="J463" si="186">G463/I463</f>
        <v>0.59685451572742143</v>
      </c>
      <c r="K463" s="47">
        <f t="shared" ref="K463" si="187">C463/E463</f>
        <v>8.0076212654476162E-2</v>
      </c>
    </row>
    <row r="464" spans="1:11" ht="19.3">
      <c r="A464" s="27">
        <v>40544</v>
      </c>
      <c r="B464" s="275">
        <v>517</v>
      </c>
      <c r="C464" s="22"/>
      <c r="D464" s="275">
        <v>6261</v>
      </c>
      <c r="E464" s="22"/>
      <c r="F464" s="277">
        <v>6571</v>
      </c>
      <c r="G464" s="22"/>
      <c r="H464" s="277">
        <v>11123</v>
      </c>
      <c r="I464" s="22"/>
      <c r="K464" s="26"/>
    </row>
    <row r="465" spans="1:11" ht="19.3">
      <c r="A465" s="27">
        <v>40575</v>
      </c>
      <c r="B465" s="275">
        <v>508</v>
      </c>
      <c r="C465" s="22"/>
      <c r="D465" s="275">
        <v>6268</v>
      </c>
      <c r="E465" s="22"/>
      <c r="F465" s="277">
        <v>6572</v>
      </c>
      <c r="G465" s="22"/>
      <c r="H465" s="277">
        <v>11119</v>
      </c>
      <c r="I465" s="22"/>
      <c r="K465" s="26"/>
    </row>
    <row r="466" spans="1:11" ht="19.3">
      <c r="A466" s="27">
        <v>40603</v>
      </c>
      <c r="B466" s="275">
        <v>490</v>
      </c>
      <c r="C466" s="22"/>
      <c r="D466" s="275" t="s">
        <v>347</v>
      </c>
      <c r="E466" s="22"/>
      <c r="F466" s="277">
        <v>6563</v>
      </c>
      <c r="G466" s="22"/>
      <c r="H466" s="277">
        <v>11120</v>
      </c>
      <c r="I466" s="22"/>
      <c r="K466" s="26"/>
    </row>
    <row r="467" spans="1:11" ht="19.3">
      <c r="A467" s="27">
        <v>40634</v>
      </c>
      <c r="B467" s="275">
        <v>485</v>
      </c>
      <c r="C467" s="22"/>
      <c r="D467" s="275" t="s">
        <v>348</v>
      </c>
      <c r="E467" s="22"/>
      <c r="F467" s="277">
        <v>6633</v>
      </c>
      <c r="G467" s="22"/>
      <c r="H467" s="277">
        <v>11118</v>
      </c>
      <c r="I467" s="22"/>
      <c r="K467" s="26"/>
    </row>
    <row r="468" spans="1:11" ht="19.3">
      <c r="A468" s="27">
        <v>40664</v>
      </c>
      <c r="B468" s="275">
        <v>511</v>
      </c>
      <c r="C468" s="22"/>
      <c r="D468" s="275" t="s">
        <v>349</v>
      </c>
      <c r="E468" s="22"/>
      <c r="F468" s="277">
        <v>6645</v>
      </c>
      <c r="G468" s="22"/>
      <c r="H468" s="277">
        <v>11122</v>
      </c>
      <c r="I468" s="22"/>
      <c r="K468" s="26"/>
    </row>
    <row r="469" spans="1:11" ht="19.3">
      <c r="A469" s="27">
        <v>40695</v>
      </c>
      <c r="B469" s="275">
        <v>505</v>
      </c>
      <c r="C469" s="22"/>
      <c r="D469" s="275" t="s">
        <v>350</v>
      </c>
      <c r="E469" s="22"/>
      <c r="F469" s="277">
        <v>6628</v>
      </c>
      <c r="G469" s="22"/>
      <c r="H469" s="277">
        <v>11120</v>
      </c>
      <c r="I469" s="22"/>
      <c r="K469" s="26"/>
    </row>
    <row r="470" spans="1:11" ht="19.3">
      <c r="A470" s="27">
        <v>40725</v>
      </c>
      <c r="B470" s="275">
        <v>504</v>
      </c>
      <c r="C470" s="22"/>
      <c r="D470" s="275" t="s">
        <v>351</v>
      </c>
      <c r="E470" s="22"/>
      <c r="F470" s="277">
        <v>6605</v>
      </c>
      <c r="G470" s="22"/>
      <c r="H470" s="277">
        <v>11121</v>
      </c>
      <c r="I470" s="22"/>
      <c r="K470" s="26"/>
    </row>
    <row r="471" spans="1:11" ht="19.3">
      <c r="A471" s="27">
        <v>40756</v>
      </c>
      <c r="B471" s="275">
        <v>511</v>
      </c>
      <c r="C471" s="22"/>
      <c r="D471" s="275" t="s">
        <v>352</v>
      </c>
      <c r="E471" s="22"/>
      <c r="F471" s="277">
        <v>6581</v>
      </c>
      <c r="G471" s="22"/>
      <c r="H471" s="277">
        <v>11099</v>
      </c>
      <c r="I471" s="22"/>
      <c r="K471" s="26"/>
    </row>
    <row r="472" spans="1:11" ht="19.3">
      <c r="A472" s="27">
        <v>40787</v>
      </c>
      <c r="B472" s="275">
        <v>498</v>
      </c>
      <c r="C472" s="22"/>
      <c r="D472" s="275">
        <v>6326</v>
      </c>
      <c r="E472" s="22"/>
      <c r="F472" s="277">
        <v>6604</v>
      </c>
      <c r="G472" s="22"/>
      <c r="H472" s="277">
        <v>11110</v>
      </c>
      <c r="I472" s="22"/>
      <c r="K472" s="26"/>
    </row>
    <row r="473" spans="1:11" ht="19.3">
      <c r="A473" s="27">
        <v>40817</v>
      </c>
      <c r="B473" s="275">
        <v>488</v>
      </c>
      <c r="C473" s="22"/>
      <c r="D473" s="275">
        <v>6314</v>
      </c>
      <c r="E473" s="22"/>
      <c r="F473" s="277">
        <v>6604</v>
      </c>
      <c r="G473" s="22"/>
      <c r="H473" s="277">
        <v>11116</v>
      </c>
      <c r="I473" s="22"/>
      <c r="K473" s="26"/>
    </row>
    <row r="474" spans="1:11" ht="19.3">
      <c r="A474" s="27">
        <v>40848</v>
      </c>
      <c r="B474" s="275">
        <v>498</v>
      </c>
      <c r="C474" s="22"/>
      <c r="D474" s="275">
        <v>6309</v>
      </c>
      <c r="E474" s="22"/>
      <c r="F474" s="277">
        <v>6591</v>
      </c>
      <c r="G474" s="22"/>
      <c r="H474" s="277">
        <v>11116</v>
      </c>
      <c r="I474" s="22"/>
      <c r="K474" s="26"/>
    </row>
    <row r="475" spans="1:11" ht="19.3">
      <c r="A475" s="27">
        <v>40878</v>
      </c>
      <c r="B475" s="275">
        <v>505</v>
      </c>
      <c r="C475" s="278">
        <f t="shared" ref="C475:E475" si="188">AVERAGE(B464:B475)</f>
        <v>501.66666666666669</v>
      </c>
      <c r="D475" s="275">
        <v>6273</v>
      </c>
      <c r="E475" s="278">
        <f t="shared" si="188"/>
        <v>6291.833333333333</v>
      </c>
      <c r="F475" s="277">
        <v>6549</v>
      </c>
      <c r="G475" s="278">
        <f t="shared" ref="G475" si="189">AVERAGE(F464:F475)</f>
        <v>6595.5</v>
      </c>
      <c r="H475" s="277">
        <v>11115</v>
      </c>
      <c r="I475" s="278">
        <f t="shared" ref="I475" si="190">AVERAGE(H464:H475)</f>
        <v>11116.583333333334</v>
      </c>
      <c r="J475" s="47">
        <f t="shared" ref="J475" si="191">G475/I475</f>
        <v>0.59330279837180189</v>
      </c>
      <c r="K475" s="47">
        <f t="shared" ref="K475" si="192">C475/E475</f>
        <v>7.9732987205636943E-2</v>
      </c>
    </row>
    <row r="476" spans="1:11" ht="19.3">
      <c r="A476" s="27">
        <v>40909</v>
      </c>
      <c r="B476" s="275">
        <v>497</v>
      </c>
      <c r="C476" s="22"/>
      <c r="D476" s="275">
        <v>6218</v>
      </c>
      <c r="E476" s="22"/>
      <c r="F476" s="277">
        <v>6510</v>
      </c>
      <c r="G476" s="22"/>
      <c r="H476" s="277">
        <v>11113</v>
      </c>
      <c r="I476" s="22"/>
      <c r="K476" s="26"/>
    </row>
    <row r="477" spans="1:11" ht="19.3">
      <c r="A477" s="27">
        <v>40940</v>
      </c>
      <c r="B477" s="275">
        <v>487</v>
      </c>
      <c r="C477" s="22"/>
      <c r="D477" s="275">
        <v>6234</v>
      </c>
      <c r="E477" s="22"/>
      <c r="F477" s="277">
        <v>6523</v>
      </c>
      <c r="G477" s="22"/>
      <c r="H477" s="277">
        <v>11111</v>
      </c>
      <c r="I477" s="22"/>
      <c r="K477" s="26"/>
    </row>
    <row r="478" spans="1:11" ht="19.3">
      <c r="A478" s="27">
        <v>40969</v>
      </c>
      <c r="B478" s="275">
        <v>494</v>
      </c>
      <c r="C478" s="22"/>
      <c r="D478" s="275">
        <v>6223</v>
      </c>
      <c r="E478" s="22"/>
      <c r="F478" s="277">
        <v>6530</v>
      </c>
      <c r="G478" s="22"/>
      <c r="H478" s="277">
        <v>11112</v>
      </c>
      <c r="I478" s="22"/>
      <c r="K478" s="26"/>
    </row>
    <row r="479" spans="1:11" ht="19.3">
      <c r="A479" s="27">
        <v>41000</v>
      </c>
      <c r="B479" s="275">
        <v>506</v>
      </c>
      <c r="C479" s="22"/>
      <c r="D479" s="275">
        <v>6284</v>
      </c>
      <c r="E479" s="22"/>
      <c r="F479" s="277">
        <v>6600</v>
      </c>
      <c r="G479" s="22"/>
      <c r="H479" s="277">
        <v>11108</v>
      </c>
      <c r="I479" s="22"/>
      <c r="K479" s="26"/>
    </row>
    <row r="480" spans="1:11" ht="19.3">
      <c r="A480" s="27">
        <v>41030</v>
      </c>
      <c r="B480" s="275">
        <v>513</v>
      </c>
      <c r="C480" s="22"/>
      <c r="D480" s="275">
        <v>6306</v>
      </c>
      <c r="E480" s="22"/>
      <c r="F480" s="277">
        <v>6605</v>
      </c>
      <c r="G480" s="22"/>
      <c r="H480" s="277">
        <v>11104</v>
      </c>
      <c r="I480" s="22"/>
      <c r="K480" s="26"/>
    </row>
    <row r="481" spans="1:11" ht="19.3">
      <c r="A481" s="27">
        <v>41061</v>
      </c>
      <c r="B481" s="275">
        <v>513</v>
      </c>
      <c r="C481" s="22"/>
      <c r="D481" s="275">
        <v>6313</v>
      </c>
      <c r="E481" s="22"/>
      <c r="F481" s="277">
        <v>6601</v>
      </c>
      <c r="G481" s="22"/>
      <c r="H481" s="277">
        <v>11108</v>
      </c>
      <c r="I481" s="22"/>
      <c r="K481" s="26"/>
    </row>
    <row r="482" spans="1:11" ht="19.3">
      <c r="A482" s="27">
        <v>41091</v>
      </c>
      <c r="B482" s="275">
        <v>502</v>
      </c>
      <c r="C482" s="22"/>
      <c r="D482" s="275">
        <v>6287</v>
      </c>
      <c r="E482" s="22"/>
      <c r="F482" s="277">
        <v>6576</v>
      </c>
      <c r="G482" s="22"/>
      <c r="H482" s="277">
        <v>11111</v>
      </c>
      <c r="I482" s="22"/>
      <c r="K482" s="26"/>
    </row>
    <row r="483" spans="1:11" ht="19.3">
      <c r="A483" s="27">
        <v>41122</v>
      </c>
      <c r="B483" s="275">
        <v>508</v>
      </c>
      <c r="C483" s="22"/>
      <c r="D483" s="275">
        <v>6291</v>
      </c>
      <c r="E483" s="22"/>
      <c r="F483" s="277">
        <v>6570</v>
      </c>
      <c r="G483" s="22"/>
      <c r="H483" s="277">
        <v>11108</v>
      </c>
      <c r="I483" s="22"/>
      <c r="K483" s="26"/>
    </row>
    <row r="484" spans="1:11" ht="19.3">
      <c r="A484" s="27">
        <v>41153</v>
      </c>
      <c r="B484" s="275">
        <v>508</v>
      </c>
      <c r="C484" s="22"/>
      <c r="D484" s="275">
        <v>6319</v>
      </c>
      <c r="E484" s="22"/>
      <c r="F484" s="277">
        <v>6595</v>
      </c>
      <c r="G484" s="22"/>
      <c r="H484" s="277">
        <v>11111</v>
      </c>
      <c r="I484" s="22"/>
      <c r="K484" s="26"/>
    </row>
    <row r="485" spans="1:11" ht="19.3">
      <c r="A485" s="27">
        <v>41183</v>
      </c>
      <c r="B485" s="275">
        <v>513</v>
      </c>
      <c r="C485" s="22"/>
      <c r="D485" s="275">
        <v>6332</v>
      </c>
      <c r="E485" s="22"/>
      <c r="F485" s="277">
        <v>6604</v>
      </c>
      <c r="G485" s="22"/>
      <c r="H485" s="277">
        <v>11114</v>
      </c>
      <c r="I485" s="22"/>
      <c r="K485" s="26"/>
    </row>
    <row r="486" spans="1:11" ht="19.3">
      <c r="A486" s="27">
        <v>41214</v>
      </c>
      <c r="B486" s="275">
        <v>513</v>
      </c>
      <c r="C486" s="22"/>
      <c r="D486" s="275">
        <v>6309</v>
      </c>
      <c r="E486" s="22"/>
      <c r="F486" s="277">
        <v>6569</v>
      </c>
      <c r="G486" s="22"/>
      <c r="H486" s="277">
        <v>11113</v>
      </c>
      <c r="I486" s="22"/>
      <c r="K486" s="26"/>
    </row>
    <row r="487" spans="1:11" ht="19.3">
      <c r="A487" s="27">
        <v>41244</v>
      </c>
      <c r="B487" s="275">
        <v>491</v>
      </c>
      <c r="C487" s="278">
        <f t="shared" ref="C487:E487" si="193">AVERAGE(B476:B487)</f>
        <v>503.75</v>
      </c>
      <c r="D487" s="275">
        <v>6240</v>
      </c>
      <c r="E487" s="278">
        <f t="shared" si="193"/>
        <v>6279.666666666667</v>
      </c>
      <c r="F487" s="277">
        <v>6499</v>
      </c>
      <c r="G487" s="278">
        <f t="shared" ref="G487" si="194">AVERAGE(F476:F487)</f>
        <v>6565.166666666667</v>
      </c>
      <c r="H487" s="277">
        <v>11109</v>
      </c>
      <c r="I487" s="278">
        <f t="shared" ref="I487" si="195">AVERAGE(H476:H487)</f>
        <v>11110.166666666666</v>
      </c>
      <c r="J487" s="47">
        <f t="shared" ref="J487" si="196">G487/I487</f>
        <v>0.59091522779436256</v>
      </c>
      <c r="K487" s="47">
        <f t="shared" ref="K487" si="197">C487/E487</f>
        <v>8.0219226073570779E-2</v>
      </c>
    </row>
    <row r="488" spans="1:11" ht="19.3">
      <c r="A488" s="27">
        <v>41275</v>
      </c>
      <c r="B488" s="275">
        <v>499</v>
      </c>
      <c r="C488" s="22"/>
      <c r="D488" s="275">
        <v>6241</v>
      </c>
      <c r="E488" s="22"/>
      <c r="F488" s="277">
        <v>6516</v>
      </c>
      <c r="G488" s="22"/>
      <c r="H488" s="277">
        <v>11106</v>
      </c>
      <c r="I488" s="22"/>
      <c r="K488" s="26"/>
    </row>
    <row r="489" spans="1:11" ht="19.3">
      <c r="A489" s="27">
        <v>41306</v>
      </c>
      <c r="B489" s="275">
        <v>509</v>
      </c>
      <c r="C489" s="22"/>
      <c r="D489" s="275">
        <v>6255</v>
      </c>
      <c r="E489" s="22"/>
      <c r="F489" s="277">
        <v>6533</v>
      </c>
      <c r="G489" s="22"/>
      <c r="H489" s="277">
        <v>11103</v>
      </c>
      <c r="I489" s="22"/>
      <c r="K489" s="26"/>
    </row>
    <row r="490" spans="1:11" ht="19.3">
      <c r="A490" s="27">
        <v>41334</v>
      </c>
      <c r="B490" s="275">
        <v>506</v>
      </c>
      <c r="C490" s="22"/>
      <c r="D490" s="275">
        <v>6260</v>
      </c>
      <c r="E490" s="22"/>
      <c r="F490" s="277">
        <v>6541</v>
      </c>
      <c r="G490" s="22"/>
      <c r="H490" s="277">
        <v>11104</v>
      </c>
      <c r="I490" s="22"/>
      <c r="K490" s="26"/>
    </row>
    <row r="491" spans="1:11" ht="19.3">
      <c r="A491" s="27">
        <v>41365</v>
      </c>
      <c r="B491" s="275">
        <v>507</v>
      </c>
      <c r="C491" s="22"/>
      <c r="D491" s="275">
        <v>6326</v>
      </c>
      <c r="E491" s="22"/>
      <c r="F491" s="277">
        <v>6618</v>
      </c>
      <c r="G491" s="22"/>
      <c r="H491" s="277">
        <v>11101</v>
      </c>
      <c r="I491" s="22"/>
      <c r="K491" s="26"/>
    </row>
    <row r="492" spans="1:11" ht="19.3">
      <c r="A492" s="27">
        <v>41395</v>
      </c>
      <c r="B492" s="275">
        <v>504</v>
      </c>
      <c r="C492" s="22"/>
      <c r="D492" s="275">
        <v>6354</v>
      </c>
      <c r="E492" s="22"/>
      <c r="F492" s="277">
        <v>6634</v>
      </c>
      <c r="G492" s="22"/>
      <c r="H492" s="277">
        <v>11106</v>
      </c>
      <c r="I492" s="22"/>
      <c r="K492" s="26"/>
    </row>
    <row r="493" spans="1:11" ht="19.3">
      <c r="A493" s="27">
        <v>41426</v>
      </c>
      <c r="B493" s="275">
        <v>501</v>
      </c>
      <c r="C493" s="22"/>
      <c r="D493" s="275">
        <v>6348</v>
      </c>
      <c r="E493" s="22"/>
      <c r="F493" s="277">
        <v>6609</v>
      </c>
      <c r="G493" s="22"/>
      <c r="H493" s="277">
        <v>11109</v>
      </c>
      <c r="I493" s="22"/>
      <c r="K493" s="26"/>
    </row>
    <row r="494" spans="1:11" ht="19.3">
      <c r="A494" s="27">
        <v>41456</v>
      </c>
      <c r="B494" s="275">
        <v>473</v>
      </c>
      <c r="C494" s="22"/>
      <c r="D494" s="275">
        <v>6326</v>
      </c>
      <c r="E494" s="22"/>
      <c r="F494" s="277">
        <v>6582</v>
      </c>
      <c r="G494" s="22"/>
      <c r="H494" s="277">
        <v>11108</v>
      </c>
      <c r="I494" s="22"/>
      <c r="K494" s="26"/>
    </row>
    <row r="495" spans="1:11" ht="19.3">
      <c r="A495" s="27">
        <v>41487</v>
      </c>
      <c r="B495" s="275">
        <v>485</v>
      </c>
      <c r="C495" s="22"/>
      <c r="D495" s="275">
        <v>6326</v>
      </c>
      <c r="E495" s="22"/>
      <c r="F495" s="277">
        <v>6598</v>
      </c>
      <c r="G495" s="22"/>
      <c r="H495" s="277">
        <v>11106</v>
      </c>
      <c r="I495" s="22"/>
      <c r="K495" s="26"/>
    </row>
    <row r="496" spans="1:11" ht="19.3">
      <c r="A496" s="27">
        <v>41518</v>
      </c>
      <c r="B496" s="275">
        <v>506</v>
      </c>
      <c r="C496" s="22"/>
      <c r="D496" s="275">
        <v>6375</v>
      </c>
      <c r="E496" s="22"/>
      <c r="F496" s="277">
        <v>6634</v>
      </c>
      <c r="G496" s="22"/>
      <c r="H496" s="277">
        <v>11112</v>
      </c>
      <c r="I496" s="22"/>
      <c r="K496" s="26"/>
    </row>
    <row r="497" spans="1:11" ht="19.3">
      <c r="A497" s="27">
        <v>41548</v>
      </c>
      <c r="B497" s="275">
        <v>511</v>
      </c>
      <c r="C497" s="22"/>
      <c r="D497" s="275">
        <v>6383</v>
      </c>
      <c r="E497" s="22"/>
      <c r="F497" s="277">
        <v>6647</v>
      </c>
      <c r="G497" s="22"/>
      <c r="H497" s="277">
        <v>11113</v>
      </c>
      <c r="I497" s="22"/>
      <c r="K497" s="26"/>
    </row>
    <row r="498" spans="1:11" ht="19.3">
      <c r="A498" s="27">
        <v>41579</v>
      </c>
      <c r="B498" s="275">
        <v>510</v>
      </c>
      <c r="C498" s="22"/>
      <c r="D498" s="275">
        <v>6388</v>
      </c>
      <c r="E498" s="22"/>
      <c r="F498" s="277">
        <v>6638</v>
      </c>
      <c r="G498" s="22"/>
      <c r="H498" s="277">
        <v>11111</v>
      </c>
      <c r="I498" s="22"/>
      <c r="K498" s="26"/>
    </row>
    <row r="499" spans="1:11" ht="19.3">
      <c r="A499" s="27">
        <v>41609</v>
      </c>
      <c r="B499" s="275">
        <v>493</v>
      </c>
      <c r="C499" s="278">
        <f t="shared" ref="C499:E499" si="198">AVERAGE(B488:B499)</f>
        <v>500.33333333333331</v>
      </c>
      <c r="D499" s="275">
        <v>6337</v>
      </c>
      <c r="E499" s="278">
        <f t="shared" si="198"/>
        <v>6326.583333333333</v>
      </c>
      <c r="F499" s="277">
        <v>6563</v>
      </c>
      <c r="G499" s="278">
        <f t="shared" ref="G499" si="199">AVERAGE(F488:F499)</f>
        <v>6592.75</v>
      </c>
      <c r="H499" s="277">
        <v>11108</v>
      </c>
      <c r="I499" s="278">
        <f t="shared" ref="I499" si="200">AVERAGE(H488:H499)</f>
        <v>11107.25</v>
      </c>
      <c r="J499" s="47">
        <f t="shared" ref="J499" si="201">G499/I499</f>
        <v>0.59355375993157622</v>
      </c>
      <c r="K499" s="47">
        <f t="shared" ref="K499" si="202">C499/E499</f>
        <v>7.9084287200832465E-2</v>
      </c>
    </row>
    <row r="500" spans="1:11" ht="19.3">
      <c r="A500" s="27">
        <v>41640</v>
      </c>
      <c r="B500" s="275">
        <v>492</v>
      </c>
      <c r="C500" s="22"/>
      <c r="D500" s="275">
        <v>6280</v>
      </c>
      <c r="E500" s="22"/>
      <c r="F500" s="277">
        <v>6520</v>
      </c>
      <c r="G500" s="22"/>
      <c r="H500" s="277">
        <v>11107</v>
      </c>
      <c r="I500" s="22"/>
      <c r="K500" s="26"/>
    </row>
    <row r="501" spans="1:11" ht="19.3">
      <c r="A501" s="27">
        <v>41671</v>
      </c>
      <c r="B501" s="275">
        <v>499</v>
      </c>
      <c r="C501" s="22"/>
      <c r="D501" s="275">
        <v>6301</v>
      </c>
      <c r="E501" s="22"/>
      <c r="F501" s="277">
        <v>6536</v>
      </c>
      <c r="G501" s="22"/>
      <c r="H501" s="277">
        <v>11103</v>
      </c>
      <c r="I501" s="22"/>
      <c r="K501" s="26"/>
    </row>
    <row r="502" spans="1:11" ht="19.3">
      <c r="A502" s="27">
        <v>41699</v>
      </c>
      <c r="B502" s="275">
        <v>510</v>
      </c>
      <c r="C502" s="22"/>
      <c r="D502" s="275">
        <v>6317</v>
      </c>
      <c r="E502" s="22"/>
      <c r="F502" s="277">
        <v>6564</v>
      </c>
      <c r="G502" s="22"/>
      <c r="H502" s="277">
        <v>11106</v>
      </c>
      <c r="I502" s="22"/>
      <c r="K502" s="26"/>
    </row>
    <row r="503" spans="1:11" ht="19.3">
      <c r="A503" s="27">
        <v>41730</v>
      </c>
      <c r="B503" s="275">
        <v>511</v>
      </c>
      <c r="C503" s="22"/>
      <c r="D503" s="275">
        <v>6357</v>
      </c>
      <c r="E503" s="22"/>
      <c r="F503" s="277">
        <v>6613</v>
      </c>
      <c r="G503" s="22"/>
      <c r="H503" s="277">
        <v>11104</v>
      </c>
      <c r="I503" s="22"/>
      <c r="K503" s="26"/>
    </row>
    <row r="504" spans="1:11" ht="19.3">
      <c r="A504" s="27">
        <v>41760</v>
      </c>
      <c r="B504" s="275">
        <v>512</v>
      </c>
      <c r="C504" s="22"/>
      <c r="D504" s="275">
        <v>6418</v>
      </c>
      <c r="E504" s="22"/>
      <c r="F504" s="277">
        <v>6661</v>
      </c>
      <c r="G504" s="22"/>
      <c r="H504" s="277">
        <v>11108</v>
      </c>
      <c r="I504" s="22"/>
      <c r="K504" s="26"/>
    </row>
    <row r="505" spans="1:11" ht="19.3">
      <c r="A505" s="27">
        <v>41791</v>
      </c>
      <c r="B505" s="275">
        <v>503</v>
      </c>
      <c r="C505" s="22"/>
      <c r="D505" s="275">
        <v>6409</v>
      </c>
      <c r="E505" s="22"/>
      <c r="F505" s="277">
        <v>6656</v>
      </c>
      <c r="G505" s="22"/>
      <c r="H505" s="277">
        <v>11107</v>
      </c>
      <c r="I505" s="22"/>
      <c r="K505" s="26"/>
    </row>
    <row r="506" spans="1:11" ht="19.3">
      <c r="A506" s="27">
        <v>41821</v>
      </c>
      <c r="B506" s="275">
        <v>493</v>
      </c>
      <c r="C506" s="22"/>
      <c r="D506" s="275">
        <v>6378</v>
      </c>
      <c r="E506" s="22"/>
      <c r="F506" s="277">
        <v>6626</v>
      </c>
      <c r="G506" s="22"/>
      <c r="H506" s="277">
        <v>11112</v>
      </c>
      <c r="I506" s="22"/>
      <c r="K506" s="26"/>
    </row>
    <row r="507" spans="1:11" ht="19.3">
      <c r="A507" s="27">
        <v>41852</v>
      </c>
      <c r="B507" s="275">
        <v>508</v>
      </c>
      <c r="C507" s="22"/>
      <c r="D507" s="275">
        <v>6384</v>
      </c>
      <c r="E507" s="22"/>
      <c r="F507" s="277">
        <v>6618</v>
      </c>
      <c r="G507" s="22"/>
      <c r="H507" s="277">
        <v>11106</v>
      </c>
      <c r="I507" s="22"/>
      <c r="K507" s="26"/>
    </row>
    <row r="508" spans="1:11" ht="19.3">
      <c r="A508" s="27">
        <v>41883</v>
      </c>
      <c r="B508" s="275">
        <v>507</v>
      </c>
      <c r="C508" s="22"/>
      <c r="D508" s="275">
        <v>6424</v>
      </c>
      <c r="E508" s="22"/>
      <c r="F508" s="277">
        <v>6658</v>
      </c>
      <c r="G508" s="22"/>
      <c r="H508" s="277">
        <v>11112</v>
      </c>
      <c r="I508" s="22"/>
      <c r="K508" s="26"/>
    </row>
    <row r="509" spans="1:11" ht="19.3">
      <c r="A509" s="27">
        <v>41913</v>
      </c>
      <c r="B509" s="275">
        <v>526</v>
      </c>
      <c r="C509" s="22"/>
      <c r="D509" s="275">
        <v>6412</v>
      </c>
      <c r="E509" s="22"/>
      <c r="F509" s="277">
        <v>6647</v>
      </c>
      <c r="G509" s="22"/>
      <c r="H509" s="277">
        <v>11114</v>
      </c>
      <c r="I509" s="22"/>
      <c r="K509" s="26"/>
    </row>
    <row r="510" spans="1:11" ht="19.3">
      <c r="A510" s="27">
        <v>41944</v>
      </c>
      <c r="B510" s="275">
        <v>518</v>
      </c>
      <c r="C510" s="22"/>
      <c r="D510" s="275">
        <v>6394</v>
      </c>
      <c r="E510" s="22"/>
      <c r="F510" s="277">
        <v>6614</v>
      </c>
      <c r="G510" s="22"/>
      <c r="H510" s="277">
        <v>11114</v>
      </c>
      <c r="I510" s="22"/>
      <c r="K510" s="26"/>
    </row>
    <row r="511" spans="1:11" ht="19.3">
      <c r="A511" s="27">
        <v>41974</v>
      </c>
      <c r="B511" s="275">
        <v>505</v>
      </c>
      <c r="C511" s="278">
        <f t="shared" ref="C511:E511" si="203">AVERAGE(B500:B511)</f>
        <v>507</v>
      </c>
      <c r="D511" s="275">
        <v>6380</v>
      </c>
      <c r="E511" s="278">
        <f t="shared" si="203"/>
        <v>6371.166666666667</v>
      </c>
      <c r="F511" s="277">
        <v>6592</v>
      </c>
      <c r="G511" s="278">
        <f t="shared" ref="G511" si="204">AVERAGE(F500:F511)</f>
        <v>6608.75</v>
      </c>
      <c r="H511" s="277">
        <v>11110</v>
      </c>
      <c r="I511" s="278">
        <f t="shared" ref="I511" si="205">AVERAGE(H500:H511)</f>
        <v>11108.583333333334</v>
      </c>
      <c r="J511" s="47">
        <f t="shared" ref="J511" si="206">G511/I511</f>
        <v>0.59492284494722547</v>
      </c>
      <c r="K511" s="47">
        <f t="shared" ref="K511" si="207">C511/E511</f>
        <v>7.9577262144557515E-2</v>
      </c>
    </row>
    <row r="512" spans="1:11" ht="19.3">
      <c r="A512" s="27">
        <v>42005</v>
      </c>
      <c r="B512" s="275">
        <v>491</v>
      </c>
      <c r="C512" s="22"/>
      <c r="D512" s="275">
        <v>6332</v>
      </c>
      <c r="E512" s="22"/>
      <c r="F512" s="277">
        <v>6565</v>
      </c>
      <c r="G512" s="22"/>
      <c r="H512" s="277">
        <v>11107</v>
      </c>
      <c r="I512" s="22"/>
      <c r="K512" s="26"/>
    </row>
    <row r="513" spans="1:11" ht="19.3">
      <c r="A513" s="27">
        <v>42036</v>
      </c>
      <c r="B513" s="275">
        <v>481</v>
      </c>
      <c r="C513" s="22"/>
      <c r="D513" s="275">
        <v>6346</v>
      </c>
      <c r="E513" s="22"/>
      <c r="F513" s="277">
        <v>6574</v>
      </c>
      <c r="G513" s="22"/>
      <c r="H513" s="277">
        <v>11105</v>
      </c>
      <c r="I513" s="22"/>
      <c r="K513" s="26"/>
    </row>
    <row r="514" spans="1:11" ht="19.3">
      <c r="A514" s="27">
        <v>42064</v>
      </c>
      <c r="B514" s="275">
        <v>500</v>
      </c>
      <c r="C514" s="22"/>
      <c r="D514" s="275">
        <v>6343</v>
      </c>
      <c r="E514" s="22"/>
      <c r="F514" s="277">
        <v>6573</v>
      </c>
      <c r="G514" s="22"/>
      <c r="H514" s="277">
        <v>11106</v>
      </c>
      <c r="I514" s="22"/>
      <c r="K514" s="26"/>
    </row>
    <row r="515" spans="1:11" ht="19.3">
      <c r="A515" s="27">
        <v>42095</v>
      </c>
      <c r="B515" s="275">
        <v>512</v>
      </c>
      <c r="C515" s="22"/>
      <c r="D515" s="275">
        <v>6367</v>
      </c>
      <c r="E515" s="22"/>
      <c r="F515" s="277">
        <v>6603</v>
      </c>
      <c r="G515" s="22"/>
      <c r="H515" s="277">
        <v>11105</v>
      </c>
      <c r="I515" s="22"/>
      <c r="K515" s="26"/>
    </row>
    <row r="516" spans="1:11" ht="19.3">
      <c r="A516" s="27">
        <v>42125</v>
      </c>
      <c r="B516" s="275">
        <v>507</v>
      </c>
      <c r="C516" s="22"/>
      <c r="D516" s="275">
        <v>6425</v>
      </c>
      <c r="E516" s="22"/>
      <c r="F516" s="277">
        <v>6651</v>
      </c>
      <c r="G516" s="22"/>
      <c r="H516" s="277">
        <v>11109</v>
      </c>
      <c r="I516" s="22"/>
      <c r="K516" s="26"/>
    </row>
    <row r="517" spans="1:11" ht="19.3">
      <c r="A517" s="27">
        <v>42156</v>
      </c>
      <c r="B517" s="275">
        <v>512</v>
      </c>
      <c r="C517" s="22"/>
      <c r="D517" s="275">
        <v>6451</v>
      </c>
      <c r="E517" s="22"/>
      <c r="F517" s="277">
        <v>6676</v>
      </c>
      <c r="G517" s="22"/>
      <c r="H517" s="277">
        <v>11114</v>
      </c>
      <c r="I517" s="22"/>
      <c r="K517" s="26"/>
    </row>
    <row r="518" spans="1:11" ht="19.3">
      <c r="A518" s="27">
        <v>42186</v>
      </c>
      <c r="B518" s="275">
        <v>500</v>
      </c>
      <c r="C518" s="22"/>
      <c r="D518" s="275">
        <v>6407</v>
      </c>
      <c r="E518" s="22"/>
      <c r="F518" s="277">
        <v>6631</v>
      </c>
      <c r="G518" s="22"/>
      <c r="H518" s="277">
        <v>11110</v>
      </c>
      <c r="I518" s="22"/>
      <c r="K518" s="26"/>
    </row>
    <row r="519" spans="1:11" ht="19.3">
      <c r="A519" s="27">
        <v>42217</v>
      </c>
      <c r="B519" s="275">
        <v>493</v>
      </c>
      <c r="C519" s="22"/>
      <c r="D519" s="275">
        <v>6406</v>
      </c>
      <c r="E519" s="22"/>
      <c r="F519" s="277">
        <v>6632</v>
      </c>
      <c r="G519" s="22"/>
      <c r="H519" s="277">
        <v>11109</v>
      </c>
      <c r="I519" s="22"/>
      <c r="K519" s="26"/>
    </row>
    <row r="520" spans="1:11" ht="19.3">
      <c r="A520" s="27">
        <v>42248</v>
      </c>
      <c r="B520" s="275">
        <v>507</v>
      </c>
      <c r="C520" s="22"/>
      <c r="D520" s="275">
        <v>6466</v>
      </c>
      <c r="E520" s="22"/>
      <c r="F520" s="277">
        <v>6694</v>
      </c>
      <c r="G520" s="22"/>
      <c r="H520" s="277">
        <v>11115</v>
      </c>
      <c r="I520" s="22"/>
      <c r="K520" s="26"/>
    </row>
    <row r="521" spans="1:11" ht="19.3">
      <c r="A521" s="27">
        <v>42278</v>
      </c>
      <c r="B521" s="275">
        <v>519</v>
      </c>
      <c r="C521" s="22"/>
      <c r="D521" s="275">
        <v>6459</v>
      </c>
      <c r="E521" s="22"/>
      <c r="F521" s="277">
        <v>6668</v>
      </c>
      <c r="G521" s="22"/>
      <c r="H521" s="277">
        <v>11116</v>
      </c>
      <c r="I521" s="22"/>
      <c r="K521" s="26"/>
    </row>
    <row r="522" spans="1:11" ht="19.3">
      <c r="A522" s="27">
        <v>42309</v>
      </c>
      <c r="B522" s="275">
        <v>511</v>
      </c>
      <c r="C522" s="22"/>
      <c r="D522" s="275">
        <v>6406</v>
      </c>
      <c r="E522" s="22"/>
      <c r="F522" s="277">
        <v>6615</v>
      </c>
      <c r="G522" s="22"/>
      <c r="H522" s="277">
        <v>11116</v>
      </c>
      <c r="I522" s="22"/>
      <c r="K522" s="26"/>
    </row>
    <row r="523" spans="1:11" ht="19.3">
      <c r="A523" s="27">
        <v>42339</v>
      </c>
      <c r="B523" s="275">
        <v>497</v>
      </c>
      <c r="C523" s="278">
        <f t="shared" ref="C523:E523" si="208">AVERAGE(B512:B523)</f>
        <v>502.5</v>
      </c>
      <c r="D523" s="275">
        <v>6410</v>
      </c>
      <c r="E523" s="278">
        <f t="shared" si="208"/>
        <v>6401.5</v>
      </c>
      <c r="F523" s="277">
        <v>6615</v>
      </c>
      <c r="G523" s="278">
        <f t="shared" ref="G523" si="209">AVERAGE(F512:F523)</f>
        <v>6624.75</v>
      </c>
      <c r="H523" s="277">
        <v>11111</v>
      </c>
      <c r="I523" s="278">
        <f t="shared" ref="I523" si="210">AVERAGE(H512:H523)</f>
        <v>11110.25</v>
      </c>
      <c r="J523" s="47">
        <f t="shared" ref="J523" si="211">G523/I523</f>
        <v>0.59627371121261896</v>
      </c>
      <c r="K523" s="47">
        <f t="shared" ref="K523" si="212">C523/E523</f>
        <v>7.8497227212372095E-2</v>
      </c>
    </row>
    <row r="524" spans="1:11" ht="19.3">
      <c r="A524" s="27">
        <v>42370</v>
      </c>
      <c r="B524" s="275">
        <v>474</v>
      </c>
      <c r="C524" s="22"/>
      <c r="D524" s="275">
        <v>6424</v>
      </c>
      <c r="E524" s="22"/>
      <c r="F524" s="277">
        <v>6635</v>
      </c>
      <c r="G524" s="22"/>
      <c r="H524" s="277">
        <v>11111</v>
      </c>
      <c r="I524" s="22"/>
      <c r="K524" s="26"/>
    </row>
    <row r="525" spans="1:11" ht="19.3">
      <c r="A525" s="27">
        <v>42401</v>
      </c>
      <c r="B525" s="275">
        <v>481</v>
      </c>
      <c r="C525" s="22"/>
      <c r="D525" s="275">
        <v>6376</v>
      </c>
      <c r="E525" s="22"/>
      <c r="F525" s="277">
        <v>6589</v>
      </c>
      <c r="G525" s="22"/>
      <c r="H525" s="277">
        <v>11103</v>
      </c>
      <c r="I525" s="22"/>
      <c r="K525" s="26"/>
    </row>
    <row r="526" spans="1:11" ht="19.3">
      <c r="A526" s="27">
        <v>42430</v>
      </c>
      <c r="B526" s="275">
        <v>493</v>
      </c>
      <c r="C526" s="22"/>
      <c r="D526" s="275">
        <v>6364</v>
      </c>
      <c r="E526" s="22"/>
      <c r="F526" s="277">
        <v>6580</v>
      </c>
      <c r="G526" s="22"/>
      <c r="H526" s="277">
        <v>11109</v>
      </c>
      <c r="I526" s="22"/>
      <c r="K526" s="26"/>
    </row>
    <row r="527" spans="1:11" ht="19.3">
      <c r="A527" s="27">
        <v>42461</v>
      </c>
      <c r="B527" s="275">
        <v>501</v>
      </c>
      <c r="C527" s="22"/>
      <c r="D527" s="275">
        <v>6420</v>
      </c>
      <c r="E527" s="22"/>
      <c r="F527" s="277">
        <v>6645</v>
      </c>
      <c r="G527" s="22"/>
      <c r="H527" s="277">
        <v>11107</v>
      </c>
      <c r="I527" s="22"/>
      <c r="K527" s="26"/>
    </row>
    <row r="528" spans="1:11" ht="19.3">
      <c r="A528" s="27">
        <v>42491</v>
      </c>
      <c r="B528" s="275">
        <v>500</v>
      </c>
      <c r="C528" s="22"/>
      <c r="D528" s="275">
        <v>6471</v>
      </c>
      <c r="E528" s="22"/>
      <c r="F528" s="277">
        <v>6687</v>
      </c>
      <c r="G528" s="22"/>
      <c r="H528" s="277">
        <v>11109</v>
      </c>
      <c r="I528" s="22"/>
      <c r="K528" s="26"/>
    </row>
    <row r="529" spans="1:11" ht="19.3">
      <c r="A529" s="27">
        <v>42522</v>
      </c>
      <c r="B529" s="275">
        <v>498</v>
      </c>
      <c r="C529" s="22"/>
      <c r="D529" s="275">
        <v>6522</v>
      </c>
      <c r="E529" s="22"/>
      <c r="F529" s="277">
        <v>6733</v>
      </c>
      <c r="G529" s="22"/>
      <c r="H529" s="277">
        <v>11112</v>
      </c>
      <c r="I529" s="22"/>
      <c r="K529" s="26"/>
    </row>
    <row r="530" spans="1:11" ht="19.3">
      <c r="A530" s="27">
        <v>42552</v>
      </c>
      <c r="B530" s="275">
        <v>496</v>
      </c>
      <c r="C530" s="22"/>
      <c r="D530" s="275">
        <v>6504</v>
      </c>
      <c r="E530" s="22"/>
      <c r="F530" s="277">
        <v>6708</v>
      </c>
      <c r="G530" s="22"/>
      <c r="H530" s="277">
        <v>11114</v>
      </c>
      <c r="I530" s="22"/>
      <c r="K530" s="26"/>
    </row>
    <row r="531" spans="1:11" ht="19.3">
      <c r="A531" s="27">
        <v>42583</v>
      </c>
      <c r="B531" s="275">
        <v>497</v>
      </c>
      <c r="C531" s="22"/>
      <c r="D531" s="275">
        <v>6489</v>
      </c>
      <c r="E531" s="22"/>
      <c r="F531" s="277">
        <v>6702</v>
      </c>
      <c r="G531" s="22"/>
      <c r="H531" s="277">
        <v>11110</v>
      </c>
      <c r="I531" s="22"/>
      <c r="K531" s="26"/>
    </row>
    <row r="532" spans="1:11" ht="19.3">
      <c r="A532" s="27">
        <v>42614</v>
      </c>
      <c r="B532" s="275">
        <v>494</v>
      </c>
      <c r="C532" s="22"/>
      <c r="D532" s="275">
        <v>6522</v>
      </c>
      <c r="E532" s="22"/>
      <c r="F532" s="277">
        <v>6726</v>
      </c>
      <c r="G532" s="22"/>
      <c r="H532" s="277">
        <v>11113</v>
      </c>
      <c r="I532" s="22"/>
      <c r="K532" s="26"/>
    </row>
    <row r="533" spans="1:11" ht="19.3">
      <c r="A533" s="27">
        <v>42644</v>
      </c>
      <c r="B533" s="275">
        <v>496</v>
      </c>
      <c r="C533" s="22"/>
      <c r="D533" s="275">
        <v>6520</v>
      </c>
      <c r="E533" s="22"/>
      <c r="F533" s="277">
        <v>6715</v>
      </c>
      <c r="G533" s="22"/>
      <c r="H533" s="277">
        <v>11117</v>
      </c>
      <c r="I533" s="22"/>
      <c r="K533" s="26"/>
    </row>
    <row r="534" spans="1:11" ht="19.3">
      <c r="A534" s="27">
        <v>42675</v>
      </c>
      <c r="B534" s="275">
        <v>504</v>
      </c>
      <c r="C534" s="22"/>
      <c r="D534" s="275">
        <v>6477</v>
      </c>
      <c r="E534" s="22"/>
      <c r="F534" s="277">
        <v>6674</v>
      </c>
      <c r="G534" s="22"/>
      <c r="H534" s="277">
        <v>11117</v>
      </c>
      <c r="I534" s="22"/>
      <c r="K534" s="26"/>
    </row>
    <row r="535" spans="1:11" ht="19.3">
      <c r="A535" s="27">
        <v>42705</v>
      </c>
      <c r="B535" s="275">
        <v>502</v>
      </c>
      <c r="C535" s="278">
        <f t="shared" ref="C535:E535" si="213">AVERAGE(B524:B535)</f>
        <v>494.66666666666669</v>
      </c>
      <c r="D535" s="275">
        <v>6490</v>
      </c>
      <c r="E535" s="278">
        <f t="shared" si="213"/>
        <v>6464.916666666667</v>
      </c>
      <c r="F535" s="277">
        <v>6683</v>
      </c>
      <c r="G535" s="278">
        <f t="shared" ref="G535" si="214">AVERAGE(F524:F535)</f>
        <v>6673.083333333333</v>
      </c>
      <c r="H535" s="277">
        <v>11111</v>
      </c>
      <c r="I535" s="278">
        <f t="shared" ref="I535" si="215">AVERAGE(H524:H535)</f>
        <v>11111.083333333334</v>
      </c>
      <c r="J535" s="47">
        <f t="shared" ref="J535" si="216">G535/I535</f>
        <v>0.60057900144750354</v>
      </c>
      <c r="K535" s="47">
        <f t="shared" ref="K535" si="217">C535/E535</f>
        <v>7.6515551889042133E-2</v>
      </c>
    </row>
    <row r="536" spans="1:11" ht="19.3">
      <c r="A536" s="27">
        <v>42736</v>
      </c>
      <c r="B536" s="275">
        <v>501</v>
      </c>
      <c r="C536" s="22"/>
      <c r="D536" s="275">
        <v>6470</v>
      </c>
      <c r="E536" s="22"/>
      <c r="F536" s="277">
        <v>6667</v>
      </c>
      <c r="G536" s="22"/>
      <c r="H536" s="277">
        <v>11110</v>
      </c>
      <c r="I536" s="22"/>
      <c r="K536" s="26"/>
    </row>
    <row r="537" spans="1:11" ht="19.3">
      <c r="A537" s="27">
        <v>42767</v>
      </c>
      <c r="B537" s="275">
        <v>493</v>
      </c>
      <c r="C537" s="22"/>
      <c r="D537" s="275">
        <v>6427</v>
      </c>
      <c r="E537" s="22"/>
      <c r="F537" s="277">
        <v>6615</v>
      </c>
      <c r="G537" s="22"/>
      <c r="H537" s="277">
        <v>11105</v>
      </c>
      <c r="I537" s="22"/>
      <c r="K537" s="26"/>
    </row>
    <row r="538" spans="1:11" ht="19.3">
      <c r="A538" s="27">
        <v>42795</v>
      </c>
      <c r="B538" s="275">
        <v>488</v>
      </c>
      <c r="C538" s="22"/>
      <c r="D538" s="275">
        <v>6433</v>
      </c>
      <c r="E538" s="22"/>
      <c r="F538" s="277">
        <v>6621</v>
      </c>
      <c r="G538" s="22"/>
      <c r="H538" s="277">
        <v>11107</v>
      </c>
      <c r="I538" s="22"/>
      <c r="K538" s="26"/>
    </row>
    <row r="539" spans="1:11" ht="19.3">
      <c r="A539" s="27">
        <v>42826</v>
      </c>
      <c r="B539" s="275">
        <v>492</v>
      </c>
      <c r="C539" s="22"/>
      <c r="D539" s="275">
        <v>6500</v>
      </c>
      <c r="E539" s="22"/>
      <c r="F539" s="277">
        <v>6697</v>
      </c>
      <c r="G539" s="22"/>
      <c r="H539" s="277">
        <v>11104</v>
      </c>
      <c r="I539" s="22"/>
      <c r="K539" s="26"/>
    </row>
    <row r="540" spans="1:11" ht="19.3">
      <c r="A540" s="27">
        <v>42856</v>
      </c>
      <c r="B540" s="275">
        <v>493</v>
      </c>
      <c r="C540" s="22"/>
      <c r="D540" s="275">
        <v>6547</v>
      </c>
      <c r="E540" s="22"/>
      <c r="F540" s="277">
        <v>6757</v>
      </c>
      <c r="G540" s="22"/>
      <c r="H540" s="277">
        <v>11107</v>
      </c>
      <c r="I540" s="22"/>
      <c r="K540" s="26"/>
    </row>
    <row r="541" spans="1:11" ht="19.3">
      <c r="A541" s="27">
        <v>42887</v>
      </c>
      <c r="B541" s="275">
        <v>504</v>
      </c>
      <c r="C541" s="22"/>
      <c r="D541" s="275">
        <v>6583</v>
      </c>
      <c r="E541" s="22"/>
      <c r="F541" s="277">
        <v>6775</v>
      </c>
      <c r="G541" s="22"/>
      <c r="H541" s="277">
        <v>11108</v>
      </c>
      <c r="I541" s="22"/>
      <c r="K541" s="26"/>
    </row>
    <row r="542" spans="1:11" ht="19.3">
      <c r="A542" s="27">
        <v>42917</v>
      </c>
      <c r="B542" s="275">
        <v>507</v>
      </c>
      <c r="C542" s="22"/>
      <c r="D542" s="275">
        <v>6563</v>
      </c>
      <c r="E542" s="22"/>
      <c r="F542" s="277">
        <v>6754</v>
      </c>
      <c r="G542" s="22"/>
      <c r="H542" s="277">
        <v>11111</v>
      </c>
      <c r="I542" s="22"/>
      <c r="K542" s="26"/>
    </row>
    <row r="543" spans="1:11" ht="19.3">
      <c r="A543" s="27">
        <v>42948</v>
      </c>
      <c r="B543" s="275">
        <v>506</v>
      </c>
      <c r="C543" s="22"/>
      <c r="D543" s="275">
        <v>6573</v>
      </c>
      <c r="E543" s="22"/>
      <c r="F543" s="277">
        <v>6762</v>
      </c>
      <c r="G543" s="22"/>
      <c r="H543" s="277">
        <v>11106</v>
      </c>
      <c r="I543" s="22"/>
      <c r="K543" s="26"/>
    </row>
    <row r="544" spans="1:11" ht="19.3">
      <c r="A544" s="27">
        <v>42979</v>
      </c>
      <c r="B544" s="275">
        <v>500</v>
      </c>
      <c r="C544" s="22"/>
      <c r="D544" s="275">
        <v>6596</v>
      </c>
      <c r="E544" s="22"/>
      <c r="F544" s="277">
        <v>6786</v>
      </c>
      <c r="G544" s="22"/>
      <c r="H544" s="277">
        <v>11112</v>
      </c>
      <c r="I544" s="22"/>
      <c r="K544" s="26"/>
    </row>
    <row r="545" spans="1:11" ht="19.3">
      <c r="A545" s="27">
        <v>43009</v>
      </c>
      <c r="B545" s="275">
        <v>505</v>
      </c>
      <c r="C545" s="22"/>
      <c r="D545" s="275">
        <v>6581</v>
      </c>
      <c r="E545" s="22"/>
      <c r="F545" s="277">
        <v>6762</v>
      </c>
      <c r="G545" s="22"/>
      <c r="H545" s="277">
        <v>11114</v>
      </c>
      <c r="I545" s="22"/>
      <c r="K545" s="26"/>
    </row>
    <row r="546" spans="1:11" ht="19.3">
      <c r="A546" s="27">
        <v>43040</v>
      </c>
      <c r="B546" s="275">
        <v>496</v>
      </c>
      <c r="C546" s="22"/>
      <c r="D546" s="275">
        <v>6552</v>
      </c>
      <c r="E546" s="22"/>
      <c r="F546" s="277">
        <v>6730</v>
      </c>
      <c r="G546" s="22"/>
      <c r="H546" s="277">
        <v>11113</v>
      </c>
      <c r="I546" s="22"/>
      <c r="K546" s="26"/>
    </row>
    <row r="547" spans="1:11" ht="19.3">
      <c r="A547" s="27">
        <v>43070</v>
      </c>
      <c r="B547" s="275">
        <v>494</v>
      </c>
      <c r="C547" s="278">
        <f t="shared" ref="C547:E547" si="218">AVERAGE(B536:B547)</f>
        <v>498.25</v>
      </c>
      <c r="D547" s="275">
        <v>6542</v>
      </c>
      <c r="E547" s="278">
        <f t="shared" si="218"/>
        <v>6530.583333333333</v>
      </c>
      <c r="F547" s="277">
        <v>6716</v>
      </c>
      <c r="G547" s="278">
        <f t="shared" ref="G547" si="219">AVERAGE(F536:F547)</f>
        <v>6720.166666666667</v>
      </c>
      <c r="H547" s="277">
        <v>11103</v>
      </c>
      <c r="I547" s="278">
        <f t="shared" ref="I547" si="220">AVERAGE(H536:H547)</f>
        <v>11108.333333333334</v>
      </c>
      <c r="J547" s="47">
        <f t="shared" ref="J547" si="221">G547/I547</f>
        <v>0.60496624156039014</v>
      </c>
      <c r="K547" s="47">
        <f t="shared" ref="K547" si="222">C547/E547</f>
        <v>7.6294869013743036E-2</v>
      </c>
    </row>
    <row r="548" spans="1:11" ht="19.3">
      <c r="A548" s="27">
        <v>43101</v>
      </c>
      <c r="B548" s="275">
        <v>508</v>
      </c>
      <c r="C548" s="22"/>
      <c r="D548" s="275">
        <v>6562</v>
      </c>
      <c r="E548" s="22"/>
      <c r="F548" s="277">
        <v>6722</v>
      </c>
      <c r="G548" s="22"/>
      <c r="H548" s="277">
        <v>11102</v>
      </c>
      <c r="I548" s="22"/>
      <c r="K548" s="26"/>
    </row>
    <row r="549" spans="1:11" ht="19.3">
      <c r="A549" s="27">
        <v>43132</v>
      </c>
      <c r="B549" s="275">
        <v>497</v>
      </c>
      <c r="C549" s="22"/>
      <c r="D549" s="275">
        <v>6578</v>
      </c>
      <c r="E549" s="22"/>
      <c r="F549" s="277">
        <v>6744</v>
      </c>
      <c r="G549" s="22"/>
      <c r="H549" s="277">
        <v>11100</v>
      </c>
      <c r="I549" s="22"/>
      <c r="K549" s="26"/>
    </row>
    <row r="550" spans="1:11" ht="19.3">
      <c r="A550" s="27">
        <v>43160</v>
      </c>
      <c r="B550" s="275">
        <v>501</v>
      </c>
      <c r="C550" s="22"/>
      <c r="D550" s="275">
        <v>6620</v>
      </c>
      <c r="E550" s="22"/>
      <c r="F550" s="277">
        <v>6793</v>
      </c>
      <c r="G550" s="22"/>
      <c r="H550" s="277">
        <v>11100</v>
      </c>
      <c r="I550" s="22"/>
      <c r="K550" s="26"/>
    </row>
    <row r="551" spans="1:11" ht="19.3">
      <c r="A551" s="27">
        <v>43191</v>
      </c>
      <c r="B551" s="275">
        <v>504</v>
      </c>
      <c r="C551" s="22"/>
      <c r="D551" s="275">
        <v>6671</v>
      </c>
      <c r="E551" s="22"/>
      <c r="F551" s="277">
        <v>6851</v>
      </c>
      <c r="G551" s="22"/>
      <c r="H551" s="277">
        <v>11098</v>
      </c>
      <c r="I551" s="22"/>
      <c r="K551" s="26"/>
    </row>
    <row r="552" spans="1:11" ht="19.3">
      <c r="A552" s="27">
        <v>43221</v>
      </c>
      <c r="B552" s="275">
        <v>494</v>
      </c>
      <c r="C552" s="22"/>
      <c r="D552" s="275">
        <v>6698</v>
      </c>
      <c r="E552" s="22"/>
      <c r="F552" s="277">
        <v>6856</v>
      </c>
      <c r="G552" s="22"/>
      <c r="H552" s="277">
        <v>11103</v>
      </c>
      <c r="I552" s="22"/>
      <c r="K552" s="26"/>
    </row>
    <row r="553" spans="1:11" ht="19.3">
      <c r="A553" s="27">
        <v>43252</v>
      </c>
      <c r="B553" s="275">
        <v>513</v>
      </c>
      <c r="C553" s="22"/>
      <c r="D553" s="275">
        <v>6687</v>
      </c>
      <c r="E553" s="22"/>
      <c r="F553" s="277">
        <v>6855</v>
      </c>
      <c r="G553" s="22"/>
      <c r="H553" s="277">
        <v>11110</v>
      </c>
      <c r="I553" s="22"/>
      <c r="K553" s="26"/>
    </row>
    <row r="554" spans="1:11" ht="19.3">
      <c r="A554" s="27">
        <v>43282</v>
      </c>
      <c r="B554" s="275">
        <v>508</v>
      </c>
      <c r="C554" s="22"/>
      <c r="D554" s="275">
        <v>6660</v>
      </c>
      <c r="E554" s="22"/>
      <c r="F554" s="277">
        <v>6832</v>
      </c>
      <c r="G554" s="22"/>
      <c r="H554" s="277">
        <v>11102</v>
      </c>
      <c r="I554" s="22"/>
      <c r="K554" s="26"/>
    </row>
    <row r="555" spans="1:11" ht="19.3">
      <c r="A555" s="27">
        <v>43313</v>
      </c>
      <c r="B555" s="275">
        <v>517</v>
      </c>
      <c r="C555" s="22"/>
      <c r="D555" s="275">
        <v>6682</v>
      </c>
      <c r="E555" s="22"/>
      <c r="F555" s="277">
        <v>6852</v>
      </c>
      <c r="G555" s="22"/>
      <c r="H555" s="277">
        <v>11098</v>
      </c>
      <c r="I555" s="22"/>
      <c r="K555" s="26"/>
    </row>
    <row r="556" spans="1:11" ht="19.3">
      <c r="A556" s="27">
        <v>43344</v>
      </c>
      <c r="B556" s="275">
        <v>518</v>
      </c>
      <c r="C556" s="22"/>
      <c r="D556" s="275">
        <v>6715</v>
      </c>
      <c r="E556" s="22"/>
      <c r="F556" s="277">
        <v>6877</v>
      </c>
      <c r="G556" s="22"/>
      <c r="H556" s="277">
        <v>11102</v>
      </c>
      <c r="I556" s="22"/>
      <c r="K556" s="26"/>
    </row>
    <row r="557" spans="1:11" ht="19.3">
      <c r="A557" s="27">
        <v>43374</v>
      </c>
      <c r="B557" s="275">
        <v>497</v>
      </c>
      <c r="C557" s="22"/>
      <c r="D557" s="275">
        <v>6725</v>
      </c>
      <c r="E557" s="22"/>
      <c r="F557" s="277">
        <v>6888</v>
      </c>
      <c r="G557" s="22"/>
      <c r="H557" s="277">
        <v>11104</v>
      </c>
      <c r="I557" s="22"/>
      <c r="K557" s="26"/>
    </row>
    <row r="558" spans="1:11" ht="19.3">
      <c r="A558" s="27">
        <v>43405</v>
      </c>
      <c r="B558" s="275">
        <v>502</v>
      </c>
      <c r="C558" s="22"/>
      <c r="D558" s="275">
        <v>6709</v>
      </c>
      <c r="E558" s="22"/>
      <c r="F558" s="277">
        <v>6877</v>
      </c>
      <c r="G558" s="22"/>
      <c r="H558" s="277">
        <v>11103</v>
      </c>
      <c r="I558" s="22"/>
      <c r="K558" s="26"/>
    </row>
    <row r="559" spans="1:11" ht="19.3">
      <c r="A559" s="27">
        <v>43435</v>
      </c>
      <c r="B559" s="275">
        <v>482</v>
      </c>
      <c r="C559" s="278">
        <f t="shared" ref="C559:E559" si="223">AVERAGE(B548:B559)</f>
        <v>503.41666666666669</v>
      </c>
      <c r="D559" s="275">
        <v>6656</v>
      </c>
      <c r="E559" s="278">
        <f t="shared" si="223"/>
        <v>6663.583333333333</v>
      </c>
      <c r="F559" s="277">
        <v>6815</v>
      </c>
      <c r="G559" s="278">
        <f t="shared" ref="G559" si="224">AVERAGE(F548:F559)</f>
        <v>6830.166666666667</v>
      </c>
      <c r="H559" s="277">
        <v>11093</v>
      </c>
      <c r="I559" s="278">
        <f t="shared" ref="I559" si="225">AVERAGE(H548:H559)</f>
        <v>11101.25</v>
      </c>
      <c r="J559" s="47">
        <f t="shared" ref="J559" si="226">G559/I559</f>
        <v>0.61526104417670691</v>
      </c>
      <c r="K559" s="47">
        <f t="shared" ref="K559" si="227">C559/E559</f>
        <v>7.5547440691319745E-2</v>
      </c>
    </row>
    <row r="560" spans="1:11" ht="19.3">
      <c r="A560" s="27">
        <v>43466</v>
      </c>
      <c r="B560" s="275">
        <v>473</v>
      </c>
      <c r="C560" s="22"/>
      <c r="D560" s="275">
        <v>6628</v>
      </c>
      <c r="E560" s="22"/>
      <c r="F560" s="277">
        <v>6793</v>
      </c>
      <c r="G560" s="22"/>
      <c r="H560" s="277">
        <v>11097</v>
      </c>
      <c r="I560" s="22"/>
      <c r="K560" s="26"/>
    </row>
    <row r="561" spans="1:11" ht="19.3">
      <c r="A561" s="27">
        <v>43497</v>
      </c>
      <c r="B561" s="275">
        <v>496</v>
      </c>
      <c r="C561" s="22"/>
      <c r="D561" s="275">
        <v>6656</v>
      </c>
      <c r="E561" s="22"/>
      <c r="F561" s="277">
        <v>6812</v>
      </c>
      <c r="G561" s="22"/>
      <c r="H561" s="277">
        <v>11088</v>
      </c>
      <c r="I561" s="22"/>
      <c r="K561" s="26"/>
    </row>
    <row r="562" spans="1:11" ht="19.3">
      <c r="A562" s="27">
        <v>43525</v>
      </c>
      <c r="B562" s="275">
        <v>509</v>
      </c>
      <c r="C562" s="22"/>
      <c r="D562" s="275">
        <v>6687</v>
      </c>
      <c r="E562" s="22"/>
      <c r="F562" s="277">
        <v>6861</v>
      </c>
      <c r="G562" s="22"/>
      <c r="H562" s="277">
        <v>11090</v>
      </c>
      <c r="I562" s="22"/>
      <c r="K562" s="26"/>
    </row>
    <row r="563" spans="1:11" ht="19.3">
      <c r="A563" s="27">
        <v>43556</v>
      </c>
      <c r="B563" s="275">
        <v>503</v>
      </c>
      <c r="C563" s="22"/>
      <c r="D563" s="275">
        <v>6708</v>
      </c>
      <c r="E563" s="22"/>
      <c r="F563" s="277">
        <v>6884</v>
      </c>
      <c r="G563" s="22"/>
      <c r="H563" s="277">
        <v>11089</v>
      </c>
      <c r="I563" s="22"/>
      <c r="K563" s="26"/>
    </row>
    <row r="564" spans="1:11" ht="19.3">
      <c r="A564" s="27">
        <v>43586</v>
      </c>
      <c r="B564" s="275">
        <v>499</v>
      </c>
      <c r="C564" s="22"/>
      <c r="D564" s="275">
        <v>6732</v>
      </c>
      <c r="E564" s="22"/>
      <c r="F564" s="277">
        <v>6898</v>
      </c>
      <c r="G564" s="22"/>
      <c r="H564" s="277">
        <v>11093</v>
      </c>
      <c r="I564" s="22"/>
      <c r="K564" s="26"/>
    </row>
    <row r="565" spans="1:11" ht="19.3">
      <c r="A565" s="27">
        <v>43617</v>
      </c>
      <c r="B565" s="275">
        <v>504</v>
      </c>
      <c r="C565" s="22"/>
      <c r="D565" s="275">
        <v>6747</v>
      </c>
      <c r="E565" s="22"/>
      <c r="F565" s="277">
        <v>6909</v>
      </c>
      <c r="G565" s="22"/>
      <c r="H565" s="277">
        <v>11093</v>
      </c>
      <c r="I565" s="22"/>
      <c r="K565" s="26"/>
    </row>
    <row r="566" spans="1:11" ht="19.3">
      <c r="A566" s="27">
        <v>43647</v>
      </c>
      <c r="B566" s="275">
        <v>495</v>
      </c>
      <c r="C566" s="22"/>
      <c r="D566" s="275">
        <v>6731</v>
      </c>
      <c r="E566" s="22"/>
      <c r="F566" s="277">
        <v>6888</v>
      </c>
      <c r="G566" s="22"/>
      <c r="H566" s="277">
        <v>11096</v>
      </c>
      <c r="I566" s="22"/>
      <c r="K566" s="26"/>
    </row>
    <row r="567" spans="1:11" ht="19.3">
      <c r="A567" s="27">
        <v>43678</v>
      </c>
      <c r="B567" s="275">
        <v>508</v>
      </c>
      <c r="C567" s="22"/>
      <c r="D567" s="275">
        <v>6751</v>
      </c>
      <c r="E567" s="22"/>
      <c r="F567" s="277">
        <v>6908</v>
      </c>
      <c r="G567" s="22"/>
      <c r="H567" s="277">
        <v>11091</v>
      </c>
      <c r="I567" s="22"/>
      <c r="K567" s="26"/>
    </row>
    <row r="568" spans="1:11" ht="19.3">
      <c r="A568" s="27">
        <v>43709</v>
      </c>
      <c r="B568" s="275">
        <v>502</v>
      </c>
      <c r="C568" s="22"/>
      <c r="D568" s="275">
        <v>6768</v>
      </c>
      <c r="E568" s="22"/>
      <c r="F568" s="277">
        <v>6936</v>
      </c>
      <c r="G568" s="22"/>
      <c r="H568" s="277">
        <v>11092</v>
      </c>
      <c r="I568" s="22"/>
      <c r="K568" s="26"/>
    </row>
    <row r="569" spans="1:11" ht="19.3">
      <c r="A569" s="27">
        <v>43739</v>
      </c>
      <c r="B569" s="275">
        <v>494</v>
      </c>
      <c r="C569" s="22"/>
      <c r="D569" s="275">
        <v>6787</v>
      </c>
      <c r="E569" s="22"/>
      <c r="F569" s="277">
        <v>6951</v>
      </c>
      <c r="G569" s="22"/>
      <c r="H569" s="277">
        <v>11097</v>
      </c>
      <c r="I569" s="22"/>
      <c r="K569" s="26"/>
    </row>
    <row r="570" spans="1:11" ht="19.3">
      <c r="A570" s="27">
        <v>43770</v>
      </c>
      <c r="B570" s="275">
        <v>513</v>
      </c>
      <c r="C570" s="22"/>
      <c r="D570" s="275">
        <v>6762</v>
      </c>
      <c r="E570" s="22"/>
      <c r="F570" s="277">
        <v>6913</v>
      </c>
      <c r="G570" s="22"/>
      <c r="H570" s="277">
        <v>11097</v>
      </c>
      <c r="I570" s="22"/>
      <c r="K570" s="26"/>
    </row>
    <row r="571" spans="1:11" ht="19.3">
      <c r="A571" s="27">
        <v>43800</v>
      </c>
      <c r="B571" s="275">
        <v>488</v>
      </c>
      <c r="C571" s="278">
        <f t="shared" ref="C571:E571" si="228">AVERAGE(B560:B571)</f>
        <v>498.66666666666669</v>
      </c>
      <c r="D571" s="275">
        <v>6737</v>
      </c>
      <c r="E571" s="278">
        <f t="shared" si="228"/>
        <v>6724.5</v>
      </c>
      <c r="F571" s="277">
        <v>6883</v>
      </c>
      <c r="G571" s="278">
        <f t="shared" ref="G571" si="229">AVERAGE(F560:F571)</f>
        <v>6886.333333333333</v>
      </c>
      <c r="H571" s="277">
        <v>11085</v>
      </c>
      <c r="I571" s="278">
        <f t="shared" ref="I571" si="230">AVERAGE(H560:H571)</f>
        <v>11092.333333333334</v>
      </c>
      <c r="J571" s="47">
        <f t="shared" ref="J571" si="231">G571/I571</f>
        <v>0.62081918442167261</v>
      </c>
      <c r="K571" s="47">
        <f t="shared" ref="K571" si="232">C571/E571</f>
        <v>7.4156690708107167E-2</v>
      </c>
    </row>
    <row r="572" spans="1:11" ht="19.3">
      <c r="A572" s="27">
        <v>43831</v>
      </c>
      <c r="B572" s="275">
        <v>459</v>
      </c>
      <c r="C572" s="22"/>
      <c r="D572" s="275">
        <v>6687</v>
      </c>
      <c r="E572" s="22"/>
      <c r="F572" s="277">
        <v>6846</v>
      </c>
      <c r="G572" s="22"/>
      <c r="H572" s="277">
        <v>11086</v>
      </c>
      <c r="I572" s="22"/>
      <c r="K572" s="26"/>
    </row>
    <row r="573" spans="1:11" ht="19.3">
      <c r="A573" s="27">
        <v>43862</v>
      </c>
      <c r="B573" s="275">
        <v>503</v>
      </c>
      <c r="C573" s="22"/>
      <c r="D573" s="275">
        <v>6691</v>
      </c>
      <c r="E573" s="22"/>
      <c r="F573" s="277">
        <v>6850</v>
      </c>
      <c r="G573" s="22"/>
      <c r="H573" s="277">
        <v>11083</v>
      </c>
      <c r="I573" s="22"/>
      <c r="K573" s="26"/>
    </row>
    <row r="574" spans="1:11" ht="19.3">
      <c r="A574" s="27">
        <v>43891</v>
      </c>
      <c r="B574" s="275">
        <v>512</v>
      </c>
      <c r="C574" s="22"/>
      <c r="D574" s="275">
        <v>6700</v>
      </c>
      <c r="E574" s="22"/>
      <c r="F574" s="277">
        <v>6876</v>
      </c>
      <c r="G574" s="22"/>
      <c r="H574" s="277">
        <v>11084</v>
      </c>
      <c r="I574" s="22"/>
      <c r="K574" s="26"/>
    </row>
    <row r="575" spans="1:11" ht="19.3">
      <c r="A575" s="27">
        <v>43922</v>
      </c>
      <c r="B575" s="275">
        <v>491</v>
      </c>
      <c r="C575" s="22"/>
      <c r="D575" s="275">
        <v>6628</v>
      </c>
      <c r="E575" s="22"/>
      <c r="F575" s="277">
        <v>6817</v>
      </c>
      <c r="G575" s="22"/>
      <c r="H575" s="277">
        <v>11080</v>
      </c>
      <c r="I575" s="22"/>
      <c r="K575" s="26"/>
    </row>
    <row r="576" spans="1:11" ht="19.3">
      <c r="A576" s="27">
        <v>43952</v>
      </c>
      <c r="B576" s="275">
        <v>486</v>
      </c>
      <c r="C576" s="22"/>
      <c r="D576" s="275">
        <v>6656</v>
      </c>
      <c r="E576" s="22"/>
      <c r="F576" s="277">
        <v>6854</v>
      </c>
      <c r="G576" s="22"/>
      <c r="H576" s="277">
        <v>11084</v>
      </c>
      <c r="I576" s="22"/>
      <c r="K576" s="26"/>
    </row>
    <row r="577" spans="1:11" ht="19.3">
      <c r="A577" s="27">
        <v>43983</v>
      </c>
      <c r="B577" s="275">
        <v>473</v>
      </c>
      <c r="C577" s="22"/>
      <c r="D577" s="275">
        <v>6670</v>
      </c>
      <c r="E577" s="22"/>
      <c r="F577" s="277">
        <v>6865</v>
      </c>
      <c r="G577" s="22"/>
      <c r="H577" s="277">
        <v>11086</v>
      </c>
      <c r="I577" s="22"/>
      <c r="K577" s="26"/>
    </row>
    <row r="578" spans="1:11" ht="19.3">
      <c r="A578" s="27">
        <v>44013</v>
      </c>
      <c r="B578" s="275">
        <v>475</v>
      </c>
      <c r="C578" s="22"/>
      <c r="D578" s="275">
        <v>6655</v>
      </c>
      <c r="E578" s="22"/>
      <c r="F578" s="277">
        <v>6852</v>
      </c>
      <c r="G578" s="22"/>
      <c r="H578" s="277">
        <v>11086</v>
      </c>
      <c r="I578" s="22"/>
      <c r="K578" s="26"/>
    </row>
    <row r="579" spans="1:11" ht="19.3">
      <c r="A579" s="27">
        <v>44044</v>
      </c>
      <c r="B579" s="275">
        <v>497</v>
      </c>
      <c r="C579" s="22"/>
      <c r="D579" s="275">
        <v>6676</v>
      </c>
      <c r="E579" s="22"/>
      <c r="F579" s="277">
        <v>6882</v>
      </c>
      <c r="G579" s="22"/>
      <c r="H579" s="277">
        <v>11077</v>
      </c>
      <c r="I579" s="22"/>
      <c r="K579" s="26"/>
    </row>
    <row r="580" spans="1:11" ht="19.3">
      <c r="A580" s="27">
        <v>44075</v>
      </c>
      <c r="B580" s="275">
        <v>504</v>
      </c>
      <c r="C580" s="22"/>
      <c r="D580" s="275">
        <v>6689</v>
      </c>
      <c r="E580" s="22"/>
      <c r="F580" s="277">
        <v>6899</v>
      </c>
      <c r="G580" s="22"/>
      <c r="H580" s="277">
        <v>11085</v>
      </c>
      <c r="I580" s="22"/>
      <c r="K580" s="26"/>
    </row>
    <row r="581" spans="1:11" ht="19.3">
      <c r="A581" s="27">
        <v>44105</v>
      </c>
      <c r="B581" s="275">
        <v>500</v>
      </c>
      <c r="C581" s="22"/>
      <c r="D581" s="275">
        <v>6694</v>
      </c>
      <c r="E581" s="22"/>
      <c r="F581" s="277">
        <v>6910</v>
      </c>
      <c r="G581" s="22"/>
      <c r="H581" s="277">
        <v>11076</v>
      </c>
      <c r="I581" s="22"/>
      <c r="K581" s="26"/>
    </row>
    <row r="582" spans="1:11" ht="19.3">
      <c r="A582" s="27">
        <v>44136</v>
      </c>
      <c r="B582" s="275">
        <v>505</v>
      </c>
      <c r="C582" s="22"/>
      <c r="D582" s="275">
        <v>6707</v>
      </c>
      <c r="E582" s="22"/>
      <c r="F582" s="277">
        <v>6902</v>
      </c>
      <c r="G582" s="22"/>
      <c r="H582" s="277">
        <v>11073</v>
      </c>
      <c r="I582" s="22"/>
      <c r="K582" s="26"/>
    </row>
    <row r="583" spans="1:11" ht="19.3">
      <c r="A583" s="27">
        <v>44166</v>
      </c>
      <c r="B583" s="275">
        <v>497</v>
      </c>
      <c r="C583" s="278">
        <f t="shared" ref="C583:E583" si="233">AVERAGE(B572:B583)</f>
        <v>491.83333333333331</v>
      </c>
      <c r="D583" s="275">
        <v>6666</v>
      </c>
      <c r="E583" s="278">
        <f t="shared" si="233"/>
        <v>6676.583333333333</v>
      </c>
      <c r="F583" s="277">
        <v>6860</v>
      </c>
      <c r="G583" s="278">
        <f t="shared" ref="G583" si="234">AVERAGE(F572:F583)</f>
        <v>6867.75</v>
      </c>
      <c r="H583" s="277">
        <v>11059</v>
      </c>
      <c r="I583" s="278">
        <f t="shared" ref="I583" si="235">AVERAGE(H572:H583)</f>
        <v>11079.916666666666</v>
      </c>
      <c r="J583" s="47">
        <f t="shared" ref="J583" si="236">G583/I583</f>
        <v>0.61983769432682256</v>
      </c>
      <c r="K583" s="47">
        <f t="shared" ref="K583" si="237">C583/E583</f>
        <v>7.3665422683757906E-2</v>
      </c>
    </row>
    <row r="584" spans="1:11" ht="19.3">
      <c r="A584" s="27">
        <v>44197</v>
      </c>
      <c r="B584" s="275">
        <v>481</v>
      </c>
      <c r="C584" s="22"/>
      <c r="D584" s="275">
        <v>6637</v>
      </c>
      <c r="E584" s="22"/>
      <c r="F584" s="277">
        <v>6834</v>
      </c>
      <c r="G584" s="22"/>
      <c r="H584" s="277">
        <v>11065</v>
      </c>
      <c r="I584" s="22"/>
      <c r="K584" s="26"/>
    </row>
    <row r="585" spans="1:11" ht="19.3">
      <c r="A585" s="27">
        <v>44228</v>
      </c>
      <c r="B585" s="275">
        <v>488</v>
      </c>
      <c r="C585" s="22"/>
      <c r="D585" s="275">
        <v>6646</v>
      </c>
      <c r="E585" s="22"/>
      <c r="F585" s="277">
        <v>6840</v>
      </c>
      <c r="G585" s="22"/>
      <c r="H585" s="277">
        <v>11054</v>
      </c>
      <c r="I585" s="22"/>
      <c r="K585" s="26"/>
    </row>
    <row r="586" spans="1:11" ht="19.3">
      <c r="A586" s="27">
        <v>44256</v>
      </c>
      <c r="B586" s="275">
        <v>499</v>
      </c>
      <c r="C586" s="22"/>
      <c r="D586" s="275">
        <v>6649</v>
      </c>
      <c r="E586" s="22"/>
      <c r="F586" s="277">
        <v>6837</v>
      </c>
      <c r="G586" s="22"/>
      <c r="H586" s="277">
        <v>11048</v>
      </c>
      <c r="I586" s="22"/>
      <c r="K586" s="26"/>
    </row>
    <row r="587" spans="1:11">
      <c r="A587" s="27">
        <v>44287</v>
      </c>
      <c r="B587" s="275">
        <v>498</v>
      </c>
      <c r="C587" s="23"/>
      <c r="D587" s="275">
        <v>6657</v>
      </c>
      <c r="E587" s="23"/>
      <c r="F587" s="277">
        <v>6866</v>
      </c>
      <c r="G587" s="23"/>
      <c r="H587" s="277">
        <v>11045</v>
      </c>
      <c r="I587" s="23"/>
      <c r="K587" s="26"/>
    </row>
    <row r="588" spans="1:11">
      <c r="A588" s="27">
        <v>44317</v>
      </c>
      <c r="B588" s="275">
        <v>484</v>
      </c>
      <c r="C588" s="23"/>
      <c r="D588" s="275">
        <v>6667</v>
      </c>
      <c r="E588" s="23"/>
      <c r="F588" s="277">
        <v>6879</v>
      </c>
      <c r="G588" s="23"/>
      <c r="H588" s="277">
        <v>11058</v>
      </c>
      <c r="I588" s="23"/>
      <c r="K588" s="26"/>
    </row>
    <row r="589" spans="1:11">
      <c r="A589" s="27">
        <v>44348</v>
      </c>
      <c r="B589" s="275">
        <v>465</v>
      </c>
      <c r="C589" s="23"/>
      <c r="D589" s="275">
        <v>6692</v>
      </c>
      <c r="E589" s="23"/>
      <c r="F589" s="277">
        <v>6898</v>
      </c>
      <c r="G589" s="23"/>
      <c r="H589" s="277">
        <v>11050</v>
      </c>
      <c r="I589" s="23"/>
      <c r="K589" s="26"/>
    </row>
    <row r="590" spans="1:11">
      <c r="A590" s="27">
        <v>44378</v>
      </c>
      <c r="B590" s="277">
        <v>469</v>
      </c>
      <c r="D590" s="277">
        <v>6711</v>
      </c>
      <c r="F590" s="277">
        <v>6902</v>
      </c>
      <c r="H590" s="277">
        <v>11046</v>
      </c>
      <c r="K590" s="26"/>
    </row>
    <row r="591" spans="1:11">
      <c r="A591" s="27">
        <v>44409</v>
      </c>
      <c r="B591" s="277">
        <v>485</v>
      </c>
      <c r="D591" s="277">
        <v>6693</v>
      </c>
      <c r="F591" s="277">
        <v>6886</v>
      </c>
      <c r="H591" s="277">
        <v>11040</v>
      </c>
      <c r="K591" s="26"/>
    </row>
    <row r="592" spans="1:11">
      <c r="A592" s="27">
        <v>44440</v>
      </c>
      <c r="B592" s="277">
        <v>495</v>
      </c>
      <c r="D592" s="277">
        <v>6679</v>
      </c>
      <c r="F592" s="277">
        <v>6872</v>
      </c>
      <c r="H592" s="277">
        <v>11033</v>
      </c>
      <c r="K592" s="26"/>
    </row>
    <row r="593" spans="11:11">
      <c r="K593" s="26"/>
    </row>
    <row r="594" spans="11:11">
      <c r="K594" s="26"/>
    </row>
    <row r="595" spans="11:11">
      <c r="K595" s="26"/>
    </row>
    <row r="596" spans="11:11">
      <c r="K596" s="26"/>
    </row>
    <row r="597" spans="11:11">
      <c r="K597" s="26"/>
    </row>
  </sheetData>
  <phoneticPr fontId="1"/>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359A6-5A49-4BB1-8ACD-24A3C9A0A157}">
  <dimension ref="A1:O583"/>
  <sheetViews>
    <sheetView workbookViewId="0">
      <selection activeCell="K32" sqref="K32"/>
    </sheetView>
  </sheetViews>
  <sheetFormatPr defaultColWidth="8.84375" defaultRowHeight="18.45" outlineLevelRow="1"/>
  <cols>
    <col min="1" max="1" width="12.69140625" style="24" bestFit="1" customWidth="1"/>
    <col min="2" max="3" width="16.765625" style="34" bestFit="1" customWidth="1"/>
    <col min="4" max="4" width="19.07421875" style="34" bestFit="1" customWidth="1"/>
    <col min="5" max="5" width="15.69140625" style="35" customWidth="1"/>
    <col min="6" max="6" width="16.765625" style="34" customWidth="1"/>
    <col min="7" max="7" width="14.3046875" style="35" customWidth="1"/>
    <col min="8" max="8" width="16.765625" style="35" bestFit="1" customWidth="1"/>
    <col min="9" max="9" width="15.69140625" style="24" bestFit="1" customWidth="1"/>
    <col min="10" max="10" width="14.4609375" style="24" bestFit="1" customWidth="1"/>
    <col min="11" max="11" width="18.23046875" style="24" customWidth="1"/>
    <col min="12" max="12" width="8.84375" style="24"/>
    <col min="13" max="13" width="10.23046875" style="24" bestFit="1" customWidth="1"/>
    <col min="14" max="14" width="16.4609375" style="35" bestFit="1" customWidth="1"/>
    <col min="15" max="15" width="12.23046875" style="35" bestFit="1" customWidth="1"/>
    <col min="16" max="16384" width="8.84375" style="24"/>
  </cols>
  <sheetData>
    <row r="1" spans="1:15" ht="36.9">
      <c r="A1" s="24" t="s">
        <v>298</v>
      </c>
      <c r="B1" s="30" t="s">
        <v>353</v>
      </c>
      <c r="C1" s="30" t="s">
        <v>354</v>
      </c>
      <c r="D1" s="30" t="s">
        <v>355</v>
      </c>
      <c r="E1" s="31" t="s">
        <v>356</v>
      </c>
      <c r="F1" s="30" t="s">
        <v>357</v>
      </c>
      <c r="G1" s="31" t="s">
        <v>358</v>
      </c>
      <c r="H1" s="31" t="s">
        <v>359</v>
      </c>
      <c r="I1" s="24" t="s">
        <v>360</v>
      </c>
      <c r="J1" s="24" t="s">
        <v>361</v>
      </c>
      <c r="K1" s="32" t="s">
        <v>362</v>
      </c>
      <c r="M1" s="286" t="s">
        <v>216</v>
      </c>
      <c r="N1" s="38" t="s">
        <v>361</v>
      </c>
      <c r="O1" s="38" t="s">
        <v>344</v>
      </c>
    </row>
    <row r="2" spans="1:15">
      <c r="A2" s="33">
        <v>26665</v>
      </c>
      <c r="B2" s="279">
        <v>1850892</v>
      </c>
      <c r="C2" s="279">
        <v>165049</v>
      </c>
      <c r="D2" s="277">
        <v>31090000</v>
      </c>
      <c r="E2" s="47">
        <f>(B2-C2)/(B2-C2+D2)</f>
        <v>5.1435534396476086E-2</v>
      </c>
      <c r="F2" s="277">
        <v>710000</v>
      </c>
      <c r="G2" s="47">
        <f>F2/(D2+F2)</f>
        <v>2.2327044025157231E-2</v>
      </c>
      <c r="H2" s="63">
        <v>2.0500000000000001E-2</v>
      </c>
      <c r="I2" s="280">
        <v>0</v>
      </c>
      <c r="J2" s="281">
        <f>EXP((0.036225+LOG(H2,EXP(1))*0.056981+I2*-0.001826)/(1+0.035334-0.976896))</f>
        <v>4.1981671656222283E-2</v>
      </c>
      <c r="M2" s="286" t="s">
        <v>325</v>
      </c>
      <c r="N2" s="88">
        <v>4.4274291722523222E-2</v>
      </c>
      <c r="O2" s="302">
        <v>4.01658317030298E-2</v>
      </c>
    </row>
    <row r="3" spans="1:15">
      <c r="A3" s="33">
        <v>26696</v>
      </c>
      <c r="B3" s="279">
        <v>1907751</v>
      </c>
      <c r="C3" s="279">
        <v>170428</v>
      </c>
      <c r="D3" s="277">
        <v>31090000</v>
      </c>
      <c r="E3" s="47">
        <f t="shared" ref="E3:E66" si="0">(B3-C3)/(B3-C3+D3)</f>
        <v>5.2923078741449615E-2</v>
      </c>
      <c r="F3" s="277">
        <v>660000</v>
      </c>
      <c r="G3" s="47">
        <f t="shared" ref="G3:G66" si="1">F3/(D3+F3)</f>
        <v>2.078740157480315E-2</v>
      </c>
      <c r="H3" s="63">
        <v>2.1600000000000001E-2</v>
      </c>
      <c r="I3" s="280">
        <v>0</v>
      </c>
      <c r="J3" s="281">
        <f t="shared" ref="J3:J66" si="2">EXP((0.036225+LOG(H3,EXP(1))*0.056981+I3*-0.001826)/(1+0.035334-0.976896))</f>
        <v>4.4176739049669379E-2</v>
      </c>
      <c r="M3" s="286" t="s">
        <v>326</v>
      </c>
      <c r="N3" s="88">
        <v>4.1215397638154148E-2</v>
      </c>
      <c r="O3" s="302">
        <v>3.8587730597949899E-2</v>
      </c>
    </row>
    <row r="4" spans="1:15">
      <c r="A4" s="33">
        <v>26724</v>
      </c>
      <c r="B4" s="279">
        <v>1849650</v>
      </c>
      <c r="C4" s="279">
        <v>159716</v>
      </c>
      <c r="D4" s="277">
        <v>31020000</v>
      </c>
      <c r="E4" s="47">
        <f t="shared" si="0"/>
        <v>5.1664243651485205E-2</v>
      </c>
      <c r="F4" s="277">
        <v>650000</v>
      </c>
      <c r="G4" s="47">
        <f t="shared" si="1"/>
        <v>2.0524155352068203E-2</v>
      </c>
      <c r="H4" s="63">
        <v>2.12E-2</v>
      </c>
      <c r="I4" s="280">
        <v>0</v>
      </c>
      <c r="J4" s="281">
        <f t="shared" si="2"/>
        <v>4.3378862858941138E-2</v>
      </c>
      <c r="M4" s="286" t="s">
        <v>327</v>
      </c>
      <c r="N4" s="88">
        <v>3.6408273188852987E-2</v>
      </c>
      <c r="O4" s="302">
        <v>3.70507140930698E-2</v>
      </c>
    </row>
    <row r="5" spans="1:15">
      <c r="A5" s="33">
        <v>26755</v>
      </c>
      <c r="B5" s="279">
        <v>1842315</v>
      </c>
      <c r="C5" s="279">
        <v>156244</v>
      </c>
      <c r="D5" s="277">
        <v>31160000</v>
      </c>
      <c r="E5" s="47">
        <f t="shared" si="0"/>
        <v>5.1332501838652178E-2</v>
      </c>
      <c r="F5" s="277">
        <v>700000</v>
      </c>
      <c r="G5" s="47">
        <f t="shared" si="1"/>
        <v>2.1971123666038921E-2</v>
      </c>
      <c r="H5" s="63">
        <v>1.83E-2</v>
      </c>
      <c r="I5" s="280">
        <v>0</v>
      </c>
      <c r="J5" s="281">
        <f t="shared" si="2"/>
        <v>3.758254559979312E-2</v>
      </c>
      <c r="M5" s="286" t="s">
        <v>328</v>
      </c>
      <c r="N5" s="88">
        <v>3.3040846744988986E-2</v>
      </c>
      <c r="O5" s="302">
        <v>3.5622143458989598E-2</v>
      </c>
    </row>
    <row r="6" spans="1:15">
      <c r="A6" s="33">
        <v>26785</v>
      </c>
      <c r="B6" s="279">
        <v>1936438</v>
      </c>
      <c r="C6" s="279">
        <v>151782</v>
      </c>
      <c r="D6" s="277">
        <v>31420000</v>
      </c>
      <c r="E6" s="47">
        <f t="shared" si="0"/>
        <v>5.3747161241483724E-2</v>
      </c>
      <c r="F6" s="277">
        <v>720000</v>
      </c>
      <c r="G6" s="47">
        <f t="shared" si="1"/>
        <v>2.2401991288114501E-2</v>
      </c>
      <c r="H6" s="63">
        <v>2.2599999999999999E-2</v>
      </c>
      <c r="I6" s="280">
        <v>0</v>
      </c>
      <c r="J6" s="281">
        <f t="shared" si="2"/>
        <v>4.6169833050556809E-2</v>
      </c>
      <c r="M6" s="286" t="s">
        <v>329</v>
      </c>
      <c r="N6" s="88">
        <v>3.2620046237457838E-2</v>
      </c>
      <c r="O6" s="302">
        <v>3.4362955557268898E-2</v>
      </c>
    </row>
    <row r="7" spans="1:15">
      <c r="A7" s="33">
        <v>26816</v>
      </c>
      <c r="B7" s="279">
        <v>2014843</v>
      </c>
      <c r="C7" s="279">
        <v>155409</v>
      </c>
      <c r="D7" s="277">
        <v>31670000</v>
      </c>
      <c r="E7" s="47">
        <f t="shared" si="0"/>
        <v>5.5456766732179252E-2</v>
      </c>
      <c r="F7" s="277">
        <v>740000</v>
      </c>
      <c r="G7" s="47">
        <f t="shared" si="1"/>
        <v>2.2832459117556311E-2</v>
      </c>
      <c r="H7" s="63">
        <v>2.3E-2</v>
      </c>
      <c r="I7" s="280">
        <v>0</v>
      </c>
      <c r="J7" s="281">
        <f t="shared" si="2"/>
        <v>4.6966449591261367E-2</v>
      </c>
      <c r="M7" s="286" t="s">
        <v>330</v>
      </c>
      <c r="N7" s="88">
        <v>3.0980275211073476E-2</v>
      </c>
      <c r="O7" s="302">
        <v>3.3308274282327202E-2</v>
      </c>
    </row>
    <row r="8" spans="1:15">
      <c r="A8" s="33">
        <v>26846</v>
      </c>
      <c r="B8" s="279">
        <v>2044244</v>
      </c>
      <c r="C8" s="279">
        <v>159916</v>
      </c>
      <c r="D8" s="277">
        <v>31570000</v>
      </c>
      <c r="E8" s="47">
        <f t="shared" si="0"/>
        <v>5.632538785415149E-2</v>
      </c>
      <c r="F8" s="277">
        <v>700000</v>
      </c>
      <c r="G8" s="47">
        <f t="shared" si="1"/>
        <v>2.1691973969631236E-2</v>
      </c>
      <c r="H8" s="63">
        <v>2.2499999999999999E-2</v>
      </c>
      <c r="I8" s="280">
        <v>0</v>
      </c>
      <c r="J8" s="281">
        <f t="shared" si="2"/>
        <v>4.5970624223189684E-2</v>
      </c>
      <c r="M8" s="286" t="s">
        <v>331</v>
      </c>
      <c r="N8" s="88">
        <v>3.1305328130029675E-2</v>
      </c>
      <c r="O8" s="302">
        <v>3.2475794435381601E-2</v>
      </c>
    </row>
    <row r="9" spans="1:15">
      <c r="A9" s="33">
        <v>26877</v>
      </c>
      <c r="B9" s="279">
        <v>2041708</v>
      </c>
      <c r="C9" s="279">
        <v>156948</v>
      </c>
      <c r="D9" s="277">
        <v>31590000</v>
      </c>
      <c r="E9" s="47">
        <f t="shared" si="0"/>
        <v>5.630391375472147E-2</v>
      </c>
      <c r="F9" s="277">
        <v>640000</v>
      </c>
      <c r="G9" s="47">
        <f t="shared" si="1"/>
        <v>1.9857275829972074E-2</v>
      </c>
      <c r="H9" s="63">
        <v>2.2499999999999999E-2</v>
      </c>
      <c r="I9" s="280">
        <v>0</v>
      </c>
      <c r="J9" s="281">
        <f t="shared" si="2"/>
        <v>4.5970624223189684E-2</v>
      </c>
      <c r="M9" s="286" t="s">
        <v>49</v>
      </c>
      <c r="N9" s="88">
        <v>3.1467852744790914E-2</v>
      </c>
      <c r="O9" s="302">
        <v>3.1859930826935702E-2</v>
      </c>
    </row>
    <row r="10" spans="1:15">
      <c r="A10" s="33">
        <v>26908</v>
      </c>
      <c r="B10" s="279">
        <v>2014281</v>
      </c>
      <c r="C10" s="279">
        <v>153309</v>
      </c>
      <c r="D10" s="277">
        <v>31690000</v>
      </c>
      <c r="E10" s="47">
        <f t="shared" si="0"/>
        <v>5.5467007036338618E-2</v>
      </c>
      <c r="F10" s="277">
        <v>670000</v>
      </c>
      <c r="G10" s="47">
        <f t="shared" si="1"/>
        <v>2.0704573547589616E-2</v>
      </c>
      <c r="H10" s="63">
        <v>2.3700000000000002E-2</v>
      </c>
      <c r="I10" s="280">
        <v>0</v>
      </c>
      <c r="J10" s="281">
        <f t="shared" si="2"/>
        <v>4.8359701159182707E-2</v>
      </c>
      <c r="M10" s="286" t="s">
        <v>50</v>
      </c>
      <c r="N10" s="88">
        <v>3.089934246171391E-2</v>
      </c>
      <c r="O10" s="302">
        <v>3.1443393604439498E-2</v>
      </c>
    </row>
    <row r="11" spans="1:15">
      <c r="A11" s="33">
        <v>26938</v>
      </c>
      <c r="B11" s="279">
        <v>2008689</v>
      </c>
      <c r="C11" s="279">
        <v>157788</v>
      </c>
      <c r="D11" s="277">
        <v>31660000</v>
      </c>
      <c r="E11" s="47">
        <f t="shared" si="0"/>
        <v>5.5232803200367546E-2</v>
      </c>
      <c r="F11" s="277">
        <v>600000</v>
      </c>
      <c r="G11" s="47">
        <f t="shared" si="1"/>
        <v>1.8598884066955982E-2</v>
      </c>
      <c r="H11" s="63">
        <v>2.1899999999999999E-2</v>
      </c>
      <c r="I11" s="280">
        <v>0</v>
      </c>
      <c r="J11" s="281">
        <f t="shared" si="2"/>
        <v>4.4774904099974873E-2</v>
      </c>
      <c r="M11" s="286" t="s">
        <v>51</v>
      </c>
      <c r="N11" s="88">
        <v>3.1467289900973514E-2</v>
      </c>
      <c r="O11" s="302">
        <v>3.12049721345234E-2</v>
      </c>
    </row>
    <row r="12" spans="1:15">
      <c r="A12" s="33">
        <v>26969</v>
      </c>
      <c r="B12" s="279">
        <v>1993043</v>
      </c>
      <c r="C12" s="279">
        <v>149244</v>
      </c>
      <c r="D12" s="277">
        <v>31720000</v>
      </c>
      <c r="E12" s="47">
        <f t="shared" si="0"/>
        <v>5.4934156887305872E-2</v>
      </c>
      <c r="F12" s="277">
        <v>640000</v>
      </c>
      <c r="G12" s="47">
        <f t="shared" si="1"/>
        <v>1.9777503090234856E-2</v>
      </c>
      <c r="H12" s="63">
        <v>2.0899999999999998E-2</v>
      </c>
      <c r="I12" s="280">
        <v>0</v>
      </c>
      <c r="J12" s="281">
        <f t="shared" si="2"/>
        <v>4.2780209726790246E-2</v>
      </c>
      <c r="M12" s="286" t="s">
        <v>52</v>
      </c>
      <c r="N12" s="88">
        <v>3.1305390114513512E-2</v>
      </c>
      <c r="O12" s="302">
        <v>3.11180152723937E-2</v>
      </c>
    </row>
    <row r="13" spans="1:15">
      <c r="A13" s="33">
        <v>26999</v>
      </c>
      <c r="B13" s="279">
        <v>1955972</v>
      </c>
      <c r="C13" s="279">
        <v>147138</v>
      </c>
      <c r="D13" s="277">
        <v>31530000</v>
      </c>
      <c r="E13" s="47">
        <f t="shared" si="0"/>
        <v>5.4256066663879124E-2</v>
      </c>
      <c r="F13" s="277">
        <v>600000</v>
      </c>
      <c r="G13" s="47">
        <f t="shared" si="1"/>
        <v>1.8674136321195144E-2</v>
      </c>
      <c r="H13" s="63">
        <v>2.1099999999999997E-2</v>
      </c>
      <c r="I13" s="280">
        <v>0</v>
      </c>
      <c r="J13" s="281">
        <f t="shared" si="2"/>
        <v>4.3179335431507329E-2</v>
      </c>
      <c r="K13" s="282">
        <f>AVERAGE(J2:J13)</f>
        <v>4.4274291722523222E-2</v>
      </c>
      <c r="M13" s="286" t="s">
        <v>53</v>
      </c>
      <c r="N13" s="88">
        <v>3.1191670531581599E-2</v>
      </c>
      <c r="O13" s="302">
        <v>3.1158495050921199E-2</v>
      </c>
    </row>
    <row r="14" spans="1:15">
      <c r="A14" s="33">
        <v>27030</v>
      </c>
      <c r="B14" s="279">
        <v>1794717</v>
      </c>
      <c r="C14" s="279">
        <v>145663</v>
      </c>
      <c r="D14" s="277">
        <v>31160000</v>
      </c>
      <c r="E14" s="47">
        <f t="shared" si="0"/>
        <v>5.0262162389686699E-2</v>
      </c>
      <c r="F14" s="277">
        <v>660000</v>
      </c>
      <c r="G14" s="47">
        <f t="shared" si="1"/>
        <v>2.0741671904462602E-2</v>
      </c>
      <c r="H14" s="63">
        <v>2.1400000000000002E-2</v>
      </c>
      <c r="I14" s="280">
        <v>0</v>
      </c>
      <c r="J14" s="281">
        <f t="shared" si="2"/>
        <v>4.3777847433901146E-2</v>
      </c>
      <c r="M14" s="286" t="s">
        <v>54</v>
      </c>
      <c r="N14" s="88">
        <v>3.13536662228052E-2</v>
      </c>
      <c r="O14" s="302">
        <v>3.13042572514029E-2</v>
      </c>
    </row>
    <row r="15" spans="1:15">
      <c r="A15" s="33">
        <v>27061</v>
      </c>
      <c r="B15" s="279">
        <v>1710592</v>
      </c>
      <c r="C15" s="279">
        <v>147415</v>
      </c>
      <c r="D15" s="277">
        <v>31370000</v>
      </c>
      <c r="E15" s="47">
        <f t="shared" si="0"/>
        <v>4.7465113979134173E-2</v>
      </c>
      <c r="F15" s="277">
        <v>710000</v>
      </c>
      <c r="G15" s="47">
        <f t="shared" si="1"/>
        <v>2.2132169576059849E-2</v>
      </c>
      <c r="H15" s="63">
        <v>0.02</v>
      </c>
      <c r="I15" s="280">
        <v>0</v>
      </c>
      <c r="J15" s="281">
        <f t="shared" si="2"/>
        <v>4.0982951681211105E-2</v>
      </c>
      <c r="M15" s="286" t="s">
        <v>55</v>
      </c>
      <c r="N15" s="88">
        <v>3.2246543815310842E-2</v>
      </c>
      <c r="O15" s="302">
        <v>3.1533479409946601E-2</v>
      </c>
    </row>
    <row r="16" spans="1:15">
      <c r="A16" s="33">
        <v>27089</v>
      </c>
      <c r="B16" s="279">
        <v>1625207</v>
      </c>
      <c r="C16" s="279">
        <v>141239</v>
      </c>
      <c r="D16" s="277">
        <v>31620000</v>
      </c>
      <c r="E16" s="47">
        <f t="shared" si="0"/>
        <v>4.4827496208309531E-2</v>
      </c>
      <c r="F16" s="277">
        <v>730000</v>
      </c>
      <c r="G16" s="47">
        <f t="shared" si="1"/>
        <v>2.2565687789799074E-2</v>
      </c>
      <c r="H16" s="63">
        <v>1.9099999999999999E-2</v>
      </c>
      <c r="I16" s="280">
        <v>0</v>
      </c>
      <c r="J16" s="281">
        <f t="shared" si="2"/>
        <v>3.9183675365040992E-2</v>
      </c>
      <c r="M16" s="286" t="s">
        <v>56</v>
      </c>
      <c r="N16" s="88">
        <v>3.1321417597243356E-2</v>
      </c>
      <c r="O16" s="302">
        <v>3.1824833152375998E-2</v>
      </c>
    </row>
    <row r="17" spans="1:15">
      <c r="A17" s="33">
        <v>27120</v>
      </c>
      <c r="B17" s="279">
        <v>1512501</v>
      </c>
      <c r="C17" s="279">
        <v>146757</v>
      </c>
      <c r="D17" s="277">
        <v>31660000</v>
      </c>
      <c r="E17" s="47">
        <f t="shared" si="0"/>
        <v>4.1353920747402392E-2</v>
      </c>
      <c r="F17" s="277">
        <v>670000</v>
      </c>
      <c r="G17" s="47">
        <f t="shared" si="1"/>
        <v>2.0723785957315187E-2</v>
      </c>
      <c r="H17" s="63">
        <v>1.9900000000000001E-2</v>
      </c>
      <c r="I17" s="280">
        <v>0</v>
      </c>
      <c r="J17" s="281">
        <f t="shared" si="2"/>
        <v>4.0783133465537552E-2</v>
      </c>
      <c r="M17" s="286" t="s">
        <v>57</v>
      </c>
      <c r="N17" s="88">
        <v>3.2537479258438397E-2</v>
      </c>
      <c r="O17" s="302">
        <v>3.2164120748565402E-2</v>
      </c>
    </row>
    <row r="18" spans="1:15">
      <c r="A18" s="33">
        <v>27150</v>
      </c>
      <c r="B18" s="279">
        <v>1521426</v>
      </c>
      <c r="C18" s="279">
        <v>149343</v>
      </c>
      <c r="D18" s="277">
        <v>31860000</v>
      </c>
      <c r="E18" s="47">
        <f t="shared" si="0"/>
        <v>4.1287902416469048E-2</v>
      </c>
      <c r="F18" s="277">
        <v>670000</v>
      </c>
      <c r="G18" s="47">
        <f t="shared" si="1"/>
        <v>2.0596372579157699E-2</v>
      </c>
      <c r="H18" s="63">
        <v>1.9900000000000001E-2</v>
      </c>
      <c r="I18" s="280">
        <v>0</v>
      </c>
      <c r="J18" s="281">
        <f t="shared" si="2"/>
        <v>4.0783133465537552E-2</v>
      </c>
      <c r="M18" s="286" t="s">
        <v>58</v>
      </c>
      <c r="N18" s="88">
        <v>3.3608666782381183E-2</v>
      </c>
      <c r="O18" s="302">
        <v>3.2532110312835399E-2</v>
      </c>
    </row>
    <row r="19" spans="1:15">
      <c r="A19" s="33">
        <v>27181</v>
      </c>
      <c r="B19" s="279">
        <v>1443733</v>
      </c>
      <c r="C19" s="279">
        <v>149077</v>
      </c>
      <c r="D19" s="277">
        <v>31680000</v>
      </c>
      <c r="E19" s="47">
        <f t="shared" si="0"/>
        <v>3.9262153333760326E-2</v>
      </c>
      <c r="F19" s="277">
        <v>670000</v>
      </c>
      <c r="G19" s="47">
        <f t="shared" si="1"/>
        <v>2.071097372488408E-2</v>
      </c>
      <c r="H19" s="63">
        <v>1.9900000000000001E-2</v>
      </c>
      <c r="I19" s="280">
        <v>0</v>
      </c>
      <c r="J19" s="281">
        <f t="shared" si="2"/>
        <v>4.0783133465537552E-2</v>
      </c>
      <c r="M19" s="286" t="s">
        <v>59</v>
      </c>
      <c r="N19" s="88">
        <v>3.3543985637237872E-2</v>
      </c>
      <c r="O19" s="302">
        <v>3.2913303544600897E-2</v>
      </c>
    </row>
    <row r="20" spans="1:15">
      <c r="A20" s="33">
        <v>27211</v>
      </c>
      <c r="B20" s="279">
        <v>1372222</v>
      </c>
      <c r="C20" s="279">
        <v>143026</v>
      </c>
      <c r="D20" s="277">
        <v>31320000</v>
      </c>
      <c r="E20" s="47">
        <f t="shared" si="0"/>
        <v>3.7764250766747047E-2</v>
      </c>
      <c r="F20" s="277">
        <v>680000</v>
      </c>
      <c r="G20" s="47">
        <f t="shared" si="1"/>
        <v>2.1250000000000002E-2</v>
      </c>
      <c r="H20" s="63">
        <v>1.9699999999999999E-2</v>
      </c>
      <c r="I20" s="280">
        <v>0</v>
      </c>
      <c r="J20" s="281">
        <f t="shared" si="2"/>
        <v>4.0383421794795996E-2</v>
      </c>
      <c r="M20" s="286" t="s">
        <v>60</v>
      </c>
      <c r="N20" s="88">
        <v>3.3949131382150506E-2</v>
      </c>
      <c r="O20" s="302">
        <v>3.3302967707968201E-2</v>
      </c>
    </row>
    <row r="21" spans="1:15">
      <c r="A21" s="33">
        <v>27242</v>
      </c>
      <c r="B21" s="279">
        <v>1300284</v>
      </c>
      <c r="C21" s="279">
        <v>142600</v>
      </c>
      <c r="D21" s="277">
        <v>31480000</v>
      </c>
      <c r="E21" s="47">
        <f t="shared" si="0"/>
        <v>3.5470776664177521E-2</v>
      </c>
      <c r="F21" s="277">
        <v>790000</v>
      </c>
      <c r="G21" s="47">
        <f t="shared" si="1"/>
        <v>2.4480942051440968E-2</v>
      </c>
      <c r="H21" s="63">
        <v>0.02</v>
      </c>
      <c r="I21" s="280">
        <v>0</v>
      </c>
      <c r="J21" s="281">
        <f t="shared" si="2"/>
        <v>4.0982951681211105E-2</v>
      </c>
      <c r="M21" s="286" t="s">
        <v>61</v>
      </c>
      <c r="N21" s="88">
        <v>3.3170596040433452E-2</v>
      </c>
      <c r="O21" s="302">
        <v>3.3702676887967999E-2</v>
      </c>
    </row>
    <row r="22" spans="1:15">
      <c r="A22" s="33">
        <v>27273</v>
      </c>
      <c r="B22" s="279">
        <v>1247195</v>
      </c>
      <c r="C22" s="279">
        <v>147050</v>
      </c>
      <c r="D22" s="277">
        <v>31670000</v>
      </c>
      <c r="E22" s="47">
        <f t="shared" si="0"/>
        <v>3.3571563384904156E-2</v>
      </c>
      <c r="F22" s="277">
        <v>730000</v>
      </c>
      <c r="G22" s="47">
        <f t="shared" si="1"/>
        <v>2.2530864197530864E-2</v>
      </c>
      <c r="H22" s="63">
        <v>1.95E-2</v>
      </c>
      <c r="I22" s="280">
        <v>0</v>
      </c>
      <c r="J22" s="281">
        <f t="shared" si="2"/>
        <v>3.9983608934117225E-2</v>
      </c>
      <c r="M22" s="286" t="s">
        <v>62</v>
      </c>
      <c r="N22" s="88">
        <v>3.4385761226966738E-2</v>
      </c>
      <c r="O22" s="302">
        <v>3.4120466806370903E-2</v>
      </c>
    </row>
    <row r="23" spans="1:15">
      <c r="A23" s="33">
        <v>27303</v>
      </c>
      <c r="B23" s="279">
        <v>1202769</v>
      </c>
      <c r="C23" s="279">
        <v>145541</v>
      </c>
      <c r="D23" s="277">
        <v>31690000</v>
      </c>
      <c r="E23" s="47">
        <f t="shared" si="0"/>
        <v>3.2284503592181907E-2</v>
      </c>
      <c r="F23" s="277">
        <v>830000</v>
      </c>
      <c r="G23" s="47">
        <f t="shared" si="1"/>
        <v>2.5522755227552277E-2</v>
      </c>
      <c r="H23" s="63">
        <v>1.9699999999999999E-2</v>
      </c>
      <c r="I23" s="280">
        <v>0</v>
      </c>
      <c r="J23" s="281">
        <f t="shared" si="2"/>
        <v>4.0383421794795996E-2</v>
      </c>
      <c r="M23" s="286" t="s">
        <v>63</v>
      </c>
      <c r="N23" s="88">
        <v>3.4354388637249343E-2</v>
      </c>
      <c r="O23" s="302">
        <v>3.4559052376468197E-2</v>
      </c>
    </row>
    <row r="24" spans="1:15">
      <c r="A24" s="33">
        <v>27334</v>
      </c>
      <c r="B24" s="279">
        <v>1156665</v>
      </c>
      <c r="C24" s="279">
        <v>141478</v>
      </c>
      <c r="D24" s="277">
        <v>31590000</v>
      </c>
      <c r="E24" s="47">
        <f t="shared" si="0"/>
        <v>3.1135751498680257E-2</v>
      </c>
      <c r="F24" s="277">
        <v>800000</v>
      </c>
      <c r="G24" s="47">
        <f t="shared" si="1"/>
        <v>2.4698981167026859E-2</v>
      </c>
      <c r="H24" s="63">
        <v>2.1700000000000001E-2</v>
      </c>
      <c r="I24" s="280">
        <v>0</v>
      </c>
      <c r="J24" s="281">
        <f t="shared" si="2"/>
        <v>4.4376150274163577E-2</v>
      </c>
      <c r="M24" s="286" t="s">
        <v>64</v>
      </c>
      <c r="N24" s="88">
        <v>3.4062356181151665E-2</v>
      </c>
      <c r="O24" s="302">
        <v>3.50238014557573E-2</v>
      </c>
    </row>
    <row r="25" spans="1:15">
      <c r="A25" s="33">
        <v>27364</v>
      </c>
      <c r="B25" s="279">
        <v>1100844</v>
      </c>
      <c r="C25" s="279">
        <v>138826</v>
      </c>
      <c r="D25" s="277">
        <v>31440000</v>
      </c>
      <c r="E25" s="47">
        <f t="shared" si="0"/>
        <v>2.9690064365744135E-2</v>
      </c>
      <c r="F25" s="277">
        <v>910000</v>
      </c>
      <c r="G25" s="47">
        <f t="shared" si="1"/>
        <v>2.8129829984544049E-2</v>
      </c>
      <c r="H25" s="63">
        <v>2.06E-2</v>
      </c>
      <c r="I25" s="280">
        <v>0</v>
      </c>
      <c r="J25" s="281">
        <f t="shared" si="2"/>
        <v>4.2181342302000033E-2</v>
      </c>
      <c r="K25" s="282">
        <f t="shared" ref="K25" si="3">AVERAGE(J14:J25)</f>
        <v>4.1215397638154148E-2</v>
      </c>
      <c r="M25" s="286" t="s">
        <v>65</v>
      </c>
      <c r="N25" s="88">
        <v>3.4021581796316196E-2</v>
      </c>
      <c r="O25" s="302">
        <v>3.5518035264340803E-2</v>
      </c>
    </row>
    <row r="26" spans="1:15">
      <c r="A26" s="33">
        <v>27395</v>
      </c>
      <c r="B26" s="279">
        <v>1039463</v>
      </c>
      <c r="C26" s="279">
        <v>131825</v>
      </c>
      <c r="D26" s="277">
        <v>31420000</v>
      </c>
      <c r="E26" s="47">
        <f t="shared" si="0"/>
        <v>2.8076223818145948E-2</v>
      </c>
      <c r="F26" s="277">
        <v>890000</v>
      </c>
      <c r="G26" s="47">
        <f t="shared" si="1"/>
        <v>2.7545651501083256E-2</v>
      </c>
      <c r="H26" s="63">
        <v>2.0899999999999998E-2</v>
      </c>
      <c r="I26" s="280">
        <v>1</v>
      </c>
      <c r="J26" s="281">
        <f>EXP((0.036225+LOG(H26,EXP(1))*0.056981+I26*-0.001826)/(1+0.035334-0.976896))</f>
        <v>4.1464134083723958E-2</v>
      </c>
      <c r="M26" s="286" t="s">
        <v>66</v>
      </c>
      <c r="N26" s="88">
        <v>3.5945748734239981E-2</v>
      </c>
      <c r="O26" s="302">
        <v>3.6035460569573997E-2</v>
      </c>
    </row>
    <row r="27" spans="1:15">
      <c r="A27" s="33">
        <v>27426</v>
      </c>
      <c r="B27" s="279">
        <v>1026746</v>
      </c>
      <c r="C27" s="279">
        <v>128476</v>
      </c>
      <c r="D27" s="277">
        <v>31340000</v>
      </c>
      <c r="E27" s="47">
        <f t="shared" si="0"/>
        <v>2.78634678597828E-2</v>
      </c>
      <c r="F27" s="277">
        <v>930000</v>
      </c>
      <c r="G27" s="47">
        <f t="shared" si="1"/>
        <v>2.8819336845367215E-2</v>
      </c>
      <c r="H27" s="63">
        <v>2.06E-2</v>
      </c>
      <c r="I27" s="280">
        <v>1</v>
      </c>
      <c r="J27" s="281">
        <f t="shared" si="2"/>
        <v>4.088369001020354E-2</v>
      </c>
      <c r="M27" s="286" t="s">
        <v>67</v>
      </c>
      <c r="N27" s="88">
        <v>3.5060212650902714E-2</v>
      </c>
      <c r="O27" s="302">
        <v>3.6554819604128597E-2</v>
      </c>
    </row>
    <row r="28" spans="1:15">
      <c r="A28" s="33">
        <v>27454</v>
      </c>
      <c r="B28" s="279">
        <v>1020652</v>
      </c>
      <c r="C28" s="279">
        <v>147309</v>
      </c>
      <c r="D28" s="277">
        <v>31450000</v>
      </c>
      <c r="E28" s="47">
        <f t="shared" si="0"/>
        <v>2.7018956547904094E-2</v>
      </c>
      <c r="F28" s="277">
        <v>930000</v>
      </c>
      <c r="G28" s="47">
        <f t="shared" si="1"/>
        <v>2.8721432983323039E-2</v>
      </c>
      <c r="H28" s="63">
        <v>1.9E-2</v>
      </c>
      <c r="I28" s="280">
        <v>1</v>
      </c>
      <c r="J28" s="281">
        <f t="shared" si="2"/>
        <v>3.7784348159098369E-2</v>
      </c>
      <c r="M28" s="286" t="s">
        <v>68</v>
      </c>
      <c r="N28" s="88">
        <v>3.8548855486902407E-2</v>
      </c>
      <c r="O28" s="302">
        <v>3.7053957482320703E-2</v>
      </c>
    </row>
    <row r="29" spans="1:15">
      <c r="A29" s="33">
        <v>27485</v>
      </c>
      <c r="B29" s="279">
        <v>993798</v>
      </c>
      <c r="C29" s="279">
        <v>127732</v>
      </c>
      <c r="D29" s="277">
        <v>31330000</v>
      </c>
      <c r="E29" s="47">
        <f t="shared" si="0"/>
        <v>2.6899746074566997E-2</v>
      </c>
      <c r="F29" s="277">
        <v>960000</v>
      </c>
      <c r="G29" s="47">
        <f t="shared" si="1"/>
        <v>2.973056673892846E-2</v>
      </c>
      <c r="H29" s="63">
        <v>1.8500000000000003E-2</v>
      </c>
      <c r="I29" s="280">
        <v>1</v>
      </c>
      <c r="J29" s="281">
        <f t="shared" si="2"/>
        <v>3.6814493160232165E-2</v>
      </c>
      <c r="M29" s="286" t="s">
        <v>69</v>
      </c>
      <c r="N29" s="88">
        <v>3.7492736263341972E-2</v>
      </c>
      <c r="O29" s="302">
        <v>3.7495773248934897E-2</v>
      </c>
    </row>
    <row r="30" spans="1:15">
      <c r="A30" s="33">
        <v>27515</v>
      </c>
      <c r="B30" s="279">
        <v>952661</v>
      </c>
      <c r="C30" s="279">
        <v>114611</v>
      </c>
      <c r="D30" s="277">
        <v>31430000</v>
      </c>
      <c r="E30" s="47">
        <f t="shared" si="0"/>
        <v>2.5971510518918869E-2</v>
      </c>
      <c r="F30" s="277">
        <v>950000</v>
      </c>
      <c r="G30" s="47">
        <f t="shared" si="1"/>
        <v>2.9339098208770845E-2</v>
      </c>
      <c r="H30" s="63">
        <v>1.8100000000000002E-2</v>
      </c>
      <c r="I30" s="280">
        <v>1</v>
      </c>
      <c r="J30" s="281">
        <f t="shared" si="2"/>
        <v>3.6038139277928129E-2</v>
      </c>
      <c r="M30" s="286" t="s">
        <v>70</v>
      </c>
      <c r="N30" s="88">
        <v>3.8656247605168483E-2</v>
      </c>
      <c r="O30" s="302">
        <v>3.78581149288027E-2</v>
      </c>
    </row>
    <row r="31" spans="1:15">
      <c r="A31" s="33">
        <v>27546</v>
      </c>
      <c r="B31" s="279">
        <v>922817</v>
      </c>
      <c r="C31" s="279">
        <v>112659</v>
      </c>
      <c r="D31" s="277">
        <v>31560000</v>
      </c>
      <c r="E31" s="47">
        <f t="shared" si="0"/>
        <v>2.5027928501306668E-2</v>
      </c>
      <c r="F31" s="277">
        <v>980000</v>
      </c>
      <c r="G31" s="47">
        <f t="shared" si="1"/>
        <v>3.011677934849416E-2</v>
      </c>
      <c r="H31" s="63">
        <v>1.8000000000000002E-2</v>
      </c>
      <c r="I31" s="280">
        <v>1</v>
      </c>
      <c r="J31" s="281">
        <f t="shared" si="2"/>
        <v>3.5843984324827056E-2</v>
      </c>
      <c r="M31" s="286" t="s">
        <v>71</v>
      </c>
      <c r="N31" s="88">
        <v>4.0543612382254464E-2</v>
      </c>
      <c r="O31" s="302">
        <v>3.8118800176896499E-2</v>
      </c>
    </row>
    <row r="32" spans="1:15">
      <c r="A32" s="33">
        <v>27576</v>
      </c>
      <c r="B32" s="279">
        <v>899946</v>
      </c>
      <c r="C32" s="279">
        <v>111761</v>
      </c>
      <c r="D32" s="277">
        <v>31720000</v>
      </c>
      <c r="E32" s="47">
        <f t="shared" si="0"/>
        <v>2.4245739957490707E-2</v>
      </c>
      <c r="F32" s="277">
        <v>980000</v>
      </c>
      <c r="G32" s="47">
        <f t="shared" si="1"/>
        <v>2.9969418960244649E-2</v>
      </c>
      <c r="H32" s="63">
        <v>1.7399999999999999E-2</v>
      </c>
      <c r="I32" s="280">
        <v>1</v>
      </c>
      <c r="J32" s="281">
        <f t="shared" si="2"/>
        <v>3.4678484357644569E-2</v>
      </c>
      <c r="M32" s="286" t="s">
        <v>72</v>
      </c>
      <c r="N32" s="88">
        <v>3.9253734706413732E-2</v>
      </c>
      <c r="O32" s="302">
        <v>3.8263627974950101E-2</v>
      </c>
    </row>
    <row r="33" spans="1:15">
      <c r="A33" s="33">
        <v>27607</v>
      </c>
      <c r="B33" s="279">
        <v>896399</v>
      </c>
      <c r="C33" s="279">
        <v>114270</v>
      </c>
      <c r="D33" s="277">
        <v>31630000</v>
      </c>
      <c r="E33" s="47">
        <f t="shared" si="0"/>
        <v>2.4130750559458774E-2</v>
      </c>
      <c r="F33" s="277">
        <v>990000</v>
      </c>
      <c r="G33" s="47">
        <f t="shared" si="1"/>
        <v>3.0349478847332925E-2</v>
      </c>
      <c r="H33" s="63">
        <v>1.7399999999999999E-2</v>
      </c>
      <c r="I33" s="280">
        <v>1</v>
      </c>
      <c r="J33" s="281">
        <f t="shared" si="2"/>
        <v>3.4678484357644569E-2</v>
      </c>
      <c r="M33" s="286" t="s">
        <v>73</v>
      </c>
      <c r="N33" s="88">
        <v>3.7926873385121108E-2</v>
      </c>
      <c r="O33" s="302">
        <v>3.8302645426749E-2</v>
      </c>
    </row>
    <row r="34" spans="1:15">
      <c r="A34" s="33">
        <v>27638</v>
      </c>
      <c r="B34" s="279">
        <v>895323</v>
      </c>
      <c r="C34" s="279">
        <v>111494</v>
      </c>
      <c r="D34" s="277">
        <v>31600000</v>
      </c>
      <c r="E34" s="47">
        <f t="shared" si="0"/>
        <v>2.4204333588841519E-2</v>
      </c>
      <c r="F34" s="277">
        <v>1050000</v>
      </c>
      <c r="G34" s="47">
        <f t="shared" si="1"/>
        <v>3.2159264931087291E-2</v>
      </c>
      <c r="H34" s="63">
        <v>1.7100000000000001E-2</v>
      </c>
      <c r="I34" s="280">
        <v>1</v>
      </c>
      <c r="J34" s="281">
        <f t="shared" si="2"/>
        <v>3.4095360612345894E-2</v>
      </c>
      <c r="M34" s="286" t="s">
        <v>74</v>
      </c>
      <c r="N34" s="88">
        <v>3.8753234646704153E-2</v>
      </c>
      <c r="O34" s="302">
        <v>3.8255800703388798E-2</v>
      </c>
    </row>
    <row r="35" spans="1:15">
      <c r="A35" s="33">
        <v>27668</v>
      </c>
      <c r="B35" s="279">
        <v>883237</v>
      </c>
      <c r="C35" s="279">
        <v>112569</v>
      </c>
      <c r="D35" s="277">
        <v>31730000</v>
      </c>
      <c r="E35" s="47">
        <f t="shared" si="0"/>
        <v>2.3712374157971151E-2</v>
      </c>
      <c r="F35" s="277">
        <v>1120000</v>
      </c>
      <c r="G35" s="47">
        <f t="shared" si="1"/>
        <v>3.4094368340943683E-2</v>
      </c>
      <c r="H35" s="63">
        <v>1.78E-2</v>
      </c>
      <c r="I35" s="280">
        <v>1</v>
      </c>
      <c r="J35" s="281">
        <f t="shared" si="2"/>
        <v>3.5455593579434772E-2</v>
      </c>
      <c r="M35" s="286" t="s">
        <v>75</v>
      </c>
      <c r="N35" s="88">
        <v>3.8042595041131562E-2</v>
      </c>
      <c r="O35" s="302">
        <v>3.8139284255547599E-2</v>
      </c>
    </row>
    <row r="36" spans="1:15">
      <c r="A36" s="33">
        <v>27699</v>
      </c>
      <c r="B36" s="279">
        <v>870397</v>
      </c>
      <c r="C36" s="279">
        <v>118921</v>
      </c>
      <c r="D36" s="277">
        <v>31790000</v>
      </c>
      <c r="E36" s="47">
        <f t="shared" si="0"/>
        <v>2.3092867699055813E-2</v>
      </c>
      <c r="F36" s="277">
        <v>1100000</v>
      </c>
      <c r="G36" s="47">
        <f t="shared" si="1"/>
        <v>3.3444816053511704E-2</v>
      </c>
      <c r="H36" s="63">
        <v>1.7500000000000002E-2</v>
      </c>
      <c r="I36" s="280">
        <v>1</v>
      </c>
      <c r="J36" s="281">
        <f t="shared" si="2"/>
        <v>3.4872803026755231E-2</v>
      </c>
      <c r="M36" s="286" t="s">
        <v>76</v>
      </c>
      <c r="N36" s="88">
        <v>3.7103898036289253E-2</v>
      </c>
      <c r="O36" s="302">
        <v>3.7974260873339903E-2</v>
      </c>
    </row>
    <row r="37" spans="1:15">
      <c r="A37" s="33">
        <v>27729</v>
      </c>
      <c r="B37" s="279">
        <v>860754</v>
      </c>
      <c r="C37" s="279">
        <v>114624</v>
      </c>
      <c r="D37" s="277">
        <v>32020000</v>
      </c>
      <c r="E37" s="47">
        <f t="shared" si="0"/>
        <v>2.2771380080589317E-2</v>
      </c>
      <c r="F37" s="277">
        <v>1140000</v>
      </c>
      <c r="G37" s="47">
        <f t="shared" si="1"/>
        <v>3.4378769601930037E-2</v>
      </c>
      <c r="H37" s="63">
        <v>1.72E-2</v>
      </c>
      <c r="I37" s="280">
        <v>1</v>
      </c>
      <c r="J37" s="281">
        <f t="shared" si="2"/>
        <v>3.4289763316397617E-2</v>
      </c>
      <c r="K37" s="282">
        <f t="shared" ref="K37" si="4">AVERAGE(J26:J37)</f>
        <v>3.6408273188852987E-2</v>
      </c>
      <c r="M37" s="286" t="s">
        <v>77</v>
      </c>
      <c r="N37" s="88">
        <v>3.6716998730542509E-2</v>
      </c>
      <c r="O37" s="302">
        <v>3.7780928454734498E-2</v>
      </c>
    </row>
    <row r="38" spans="1:15">
      <c r="A38" s="33">
        <v>27760</v>
      </c>
      <c r="B38" s="279">
        <v>892540</v>
      </c>
      <c r="C38" s="279">
        <v>113556</v>
      </c>
      <c r="D38" s="277">
        <v>32060000</v>
      </c>
      <c r="E38" s="47">
        <f t="shared" si="0"/>
        <v>2.3721318540183826E-2</v>
      </c>
      <c r="F38" s="277">
        <v>1130000</v>
      </c>
      <c r="G38" s="47">
        <f t="shared" si="1"/>
        <v>3.4046399517927088E-2</v>
      </c>
      <c r="H38" s="63">
        <v>1.8000000000000002E-2</v>
      </c>
      <c r="I38" s="280">
        <v>1</v>
      </c>
      <c r="J38" s="281">
        <f t="shared" si="2"/>
        <v>3.5843984324827056E-2</v>
      </c>
      <c r="M38" s="286" t="s">
        <v>78</v>
      </c>
      <c r="N38" s="88">
        <v>3.9719830892837989E-2</v>
      </c>
      <c r="O38" s="302">
        <v>3.7570781269326899E-2</v>
      </c>
    </row>
    <row r="39" spans="1:15">
      <c r="A39" s="33">
        <v>27791</v>
      </c>
      <c r="B39" s="279">
        <v>923931</v>
      </c>
      <c r="C39" s="279">
        <v>107524</v>
      </c>
      <c r="D39" s="277">
        <v>32240000</v>
      </c>
      <c r="E39" s="47">
        <f t="shared" si="0"/>
        <v>2.4697390735780811E-2</v>
      </c>
      <c r="F39" s="277">
        <v>1090000</v>
      </c>
      <c r="G39" s="47">
        <f t="shared" si="1"/>
        <v>3.2703270327032706E-2</v>
      </c>
      <c r="H39" s="63">
        <v>1.66E-2</v>
      </c>
      <c r="I39" s="280">
        <v>1</v>
      </c>
      <c r="J39" s="281">
        <f t="shared" si="2"/>
        <v>3.3122918440268365E-2</v>
      </c>
      <c r="M39" s="286" t="s">
        <v>79</v>
      </c>
      <c r="N39" s="88">
        <v>3.6490935398780927E-2</v>
      </c>
      <c r="O39" s="302">
        <v>3.7344674289475202E-2</v>
      </c>
    </row>
    <row r="40" spans="1:15">
      <c r="A40" s="33">
        <v>27820</v>
      </c>
      <c r="B40" s="279">
        <v>942038</v>
      </c>
      <c r="C40" s="279">
        <v>113731</v>
      </c>
      <c r="D40" s="277">
        <v>32480000</v>
      </c>
      <c r="E40" s="47">
        <f t="shared" si="0"/>
        <v>2.4867880556042672E-2</v>
      </c>
      <c r="F40" s="277">
        <v>1050000</v>
      </c>
      <c r="G40" s="47">
        <f t="shared" si="1"/>
        <v>3.1315240083507306E-2</v>
      </c>
      <c r="H40" s="63">
        <v>1.66E-2</v>
      </c>
      <c r="I40" s="280">
        <v>1</v>
      </c>
      <c r="J40" s="281">
        <f t="shared" si="2"/>
        <v>3.3122918440268365E-2</v>
      </c>
      <c r="M40" s="286" t="s">
        <v>80</v>
      </c>
      <c r="N40" s="88">
        <v>3.5827093616438037E-2</v>
      </c>
      <c r="O40" s="302">
        <v>3.7124952983774301E-2</v>
      </c>
    </row>
    <row r="41" spans="1:15">
      <c r="A41" s="33">
        <v>27851</v>
      </c>
      <c r="B41" s="279">
        <v>978527</v>
      </c>
      <c r="C41" s="279">
        <v>127800</v>
      </c>
      <c r="D41" s="277">
        <v>32350000</v>
      </c>
      <c r="E41" s="47">
        <f t="shared" si="0"/>
        <v>2.5623746130619369E-2</v>
      </c>
      <c r="F41" s="277">
        <v>1110000</v>
      </c>
      <c r="G41" s="47">
        <f t="shared" si="1"/>
        <v>3.3173939031679617E-2</v>
      </c>
      <c r="H41" s="63">
        <v>1.44E-2</v>
      </c>
      <c r="I41" s="280">
        <v>1</v>
      </c>
      <c r="J41" s="281">
        <f t="shared" si="2"/>
        <v>2.8835166642662731E-2</v>
      </c>
      <c r="M41" s="286" t="s">
        <v>81</v>
      </c>
      <c r="N41" s="88">
        <v>3.7070317566807003E-2</v>
      </c>
      <c r="O41" s="302">
        <v>3.6925425431914398E-2</v>
      </c>
    </row>
    <row r="42" spans="1:15">
      <c r="A42" s="33">
        <v>27881</v>
      </c>
      <c r="B42" s="279">
        <v>963137</v>
      </c>
      <c r="C42" s="279">
        <v>115948</v>
      </c>
      <c r="D42" s="277">
        <v>32090000</v>
      </c>
      <c r="E42" s="47">
        <f t="shared" si="0"/>
        <v>2.5721351023610423E-2</v>
      </c>
      <c r="F42" s="277">
        <v>1100000</v>
      </c>
      <c r="G42" s="47">
        <f t="shared" si="1"/>
        <v>3.3142512805061766E-2</v>
      </c>
      <c r="H42" s="63">
        <v>1.7000000000000001E-2</v>
      </c>
      <c r="I42" s="280">
        <v>1</v>
      </c>
      <c r="J42" s="281">
        <f t="shared" si="2"/>
        <v>3.390092956145975E-2</v>
      </c>
      <c r="M42" s="286" t="s">
        <v>82</v>
      </c>
      <c r="N42" s="88">
        <v>3.7007947967265718E-2</v>
      </c>
      <c r="O42" s="302">
        <v>3.6746921119907801E-2</v>
      </c>
    </row>
    <row r="43" spans="1:15">
      <c r="A43" s="33">
        <v>27912</v>
      </c>
      <c r="B43" s="279">
        <v>971969</v>
      </c>
      <c r="C43" s="279">
        <v>116102</v>
      </c>
      <c r="D43" s="277">
        <v>32110000</v>
      </c>
      <c r="E43" s="47">
        <f t="shared" si="0"/>
        <v>2.5962217223044672E-2</v>
      </c>
      <c r="F43" s="277">
        <v>1080000</v>
      </c>
      <c r="G43" s="47">
        <f t="shared" si="1"/>
        <v>3.2539921663151554E-2</v>
      </c>
      <c r="H43" s="63">
        <v>1.7000000000000001E-2</v>
      </c>
      <c r="I43" s="280">
        <v>1</v>
      </c>
      <c r="J43" s="281">
        <f t="shared" si="2"/>
        <v>3.390092956145975E-2</v>
      </c>
      <c r="M43" s="286" t="s">
        <v>83</v>
      </c>
      <c r="N43" s="88">
        <v>3.5617292086360046E-2</v>
      </c>
      <c r="O43" s="302">
        <v>3.6591718455117703E-2</v>
      </c>
    </row>
    <row r="44" spans="1:15">
      <c r="A44" s="33">
        <v>27942</v>
      </c>
      <c r="B44" s="279">
        <v>976857</v>
      </c>
      <c r="C44" s="279">
        <v>118502</v>
      </c>
      <c r="D44" s="277">
        <v>32150000</v>
      </c>
      <c r="E44" s="47">
        <f t="shared" si="0"/>
        <v>2.6004173791756662E-2</v>
      </c>
      <c r="F44" s="277">
        <v>1090000</v>
      </c>
      <c r="G44" s="47">
        <f t="shared" si="1"/>
        <v>3.2791817087845967E-2</v>
      </c>
      <c r="H44" s="63">
        <v>1.7100000000000001E-2</v>
      </c>
      <c r="I44" s="280">
        <v>1</v>
      </c>
      <c r="J44" s="281">
        <f t="shared" si="2"/>
        <v>3.4095360612345894E-2</v>
      </c>
      <c r="M44" s="286" t="s">
        <v>84</v>
      </c>
      <c r="N44" s="88">
        <v>3.6310344791216802E-2</v>
      </c>
      <c r="O44" s="302">
        <v>3.6464706113378403E-2</v>
      </c>
    </row>
    <row r="45" spans="1:15">
      <c r="A45" s="33">
        <v>27973</v>
      </c>
      <c r="B45" s="279">
        <v>967173</v>
      </c>
      <c r="C45" s="279">
        <v>117583</v>
      </c>
      <c r="D45" s="277">
        <v>32290000</v>
      </c>
      <c r="E45" s="47">
        <f t="shared" si="0"/>
        <v>2.5636708239299279E-2</v>
      </c>
      <c r="F45" s="277">
        <v>1070000</v>
      </c>
      <c r="G45" s="47">
        <f t="shared" si="1"/>
        <v>3.2074340527577939E-2</v>
      </c>
      <c r="H45" s="63">
        <v>1.66E-2</v>
      </c>
      <c r="I45" s="280">
        <v>1</v>
      </c>
      <c r="J45" s="281">
        <f t="shared" si="2"/>
        <v>3.3122918440268365E-2</v>
      </c>
      <c r="M45" s="286" t="s">
        <v>85</v>
      </c>
      <c r="N45" s="88">
        <v>3.6151066702608682E-2</v>
      </c>
      <c r="O45" s="302">
        <v>3.6361028506832697E-2</v>
      </c>
    </row>
    <row r="46" spans="1:15">
      <c r="A46" s="33">
        <v>28004</v>
      </c>
      <c r="B46" s="279">
        <v>947350</v>
      </c>
      <c r="C46" s="279">
        <v>117850</v>
      </c>
      <c r="D46" s="277">
        <v>32290000</v>
      </c>
      <c r="E46" s="47">
        <f t="shared" si="0"/>
        <v>2.5045667959963165E-2</v>
      </c>
      <c r="F46" s="277">
        <v>1060000</v>
      </c>
      <c r="G46" s="47">
        <f t="shared" si="1"/>
        <v>3.1784107946026985E-2</v>
      </c>
      <c r="H46" s="63">
        <v>1.6200000000000003E-2</v>
      </c>
      <c r="I46" s="280">
        <v>1</v>
      </c>
      <c r="J46" s="281">
        <f t="shared" si="2"/>
        <v>3.2344439718592063E-2</v>
      </c>
      <c r="M46" s="286" t="s">
        <v>86</v>
      </c>
      <c r="N46" s="88">
        <v>3.6409543544124061E-2</v>
      </c>
      <c r="O46" s="302">
        <v>3.6274286434399797E-2</v>
      </c>
    </row>
    <row r="47" spans="1:15">
      <c r="A47" s="33">
        <v>28034</v>
      </c>
      <c r="B47" s="279">
        <v>930390</v>
      </c>
      <c r="C47" s="279">
        <v>116401</v>
      </c>
      <c r="D47" s="277">
        <v>32080000</v>
      </c>
      <c r="E47" s="47">
        <f t="shared" si="0"/>
        <v>2.4745828181556212E-2</v>
      </c>
      <c r="F47" s="277">
        <v>1070000</v>
      </c>
      <c r="G47" s="47">
        <f t="shared" si="1"/>
        <v>3.2277526395173457E-2</v>
      </c>
      <c r="H47" s="63">
        <v>1.6E-2</v>
      </c>
      <c r="I47" s="280">
        <v>1</v>
      </c>
      <c r="J47" s="281">
        <f t="shared" si="2"/>
        <v>3.1955021330892612E-2</v>
      </c>
      <c r="M47" s="286" t="s">
        <v>87</v>
      </c>
      <c r="N47" s="88">
        <v>3.6231625902848709E-2</v>
      </c>
      <c r="O47" s="302">
        <v>3.6195981076960503E-2</v>
      </c>
    </row>
    <row r="48" spans="1:15">
      <c r="A48" s="33">
        <v>28065</v>
      </c>
      <c r="B48" s="279">
        <v>934736</v>
      </c>
      <c r="C48" s="279">
        <v>120646</v>
      </c>
      <c r="D48" s="277">
        <v>32330000</v>
      </c>
      <c r="E48" s="47">
        <f t="shared" si="0"/>
        <v>2.4562146675319793E-2</v>
      </c>
      <c r="F48" s="277">
        <v>1060000</v>
      </c>
      <c r="G48" s="47">
        <f t="shared" si="1"/>
        <v>3.1746031746031744E-2</v>
      </c>
      <c r="H48" s="63">
        <v>1.6899999999999998E-2</v>
      </c>
      <c r="I48" s="280">
        <v>1</v>
      </c>
      <c r="J48" s="281">
        <f t="shared" si="2"/>
        <v>3.3706469992821245E-2</v>
      </c>
      <c r="M48" s="286" t="s">
        <v>88</v>
      </c>
      <c r="N48" s="88">
        <v>3.7347879441692398E-2</v>
      </c>
      <c r="O48" s="302">
        <v>3.6118966186491602E-2</v>
      </c>
    </row>
    <row r="49" spans="1:15">
      <c r="A49" s="33">
        <v>28095</v>
      </c>
      <c r="B49" s="279">
        <v>919197</v>
      </c>
      <c r="C49" s="279">
        <v>123911</v>
      </c>
      <c r="D49" s="277">
        <v>32390000</v>
      </c>
      <c r="E49" s="47">
        <f t="shared" si="0"/>
        <v>2.3965018713414131E-2</v>
      </c>
      <c r="F49" s="277">
        <v>980000</v>
      </c>
      <c r="G49" s="47">
        <f t="shared" si="1"/>
        <v>2.9367695534911597E-2</v>
      </c>
      <c r="H49" s="63">
        <v>1.6299999999999999E-2</v>
      </c>
      <c r="I49" s="280">
        <v>1</v>
      </c>
      <c r="J49" s="281">
        <f t="shared" si="2"/>
        <v>3.2539103874001662E-2</v>
      </c>
      <c r="K49" s="282">
        <f t="shared" ref="K49" si="5">AVERAGE(J38:J49)</f>
        <v>3.3040846744988986E-2</v>
      </c>
      <c r="M49" s="286" t="s">
        <v>89</v>
      </c>
      <c r="N49" s="88">
        <v>3.5486518683886852E-2</v>
      </c>
      <c r="O49" s="302">
        <v>3.6036451963230499E-2</v>
      </c>
    </row>
    <row r="50" spans="1:15">
      <c r="A50" s="33">
        <v>28126</v>
      </c>
      <c r="B50" s="279">
        <v>906831</v>
      </c>
      <c r="C50" s="279">
        <v>129208</v>
      </c>
      <c r="D50" s="277">
        <v>32650000</v>
      </c>
      <c r="E50" s="47">
        <f t="shared" si="0"/>
        <v>2.3262886505570558E-2</v>
      </c>
      <c r="F50" s="277">
        <v>1040000</v>
      </c>
      <c r="G50" s="47">
        <f t="shared" si="1"/>
        <v>3.086969427129712E-2</v>
      </c>
      <c r="H50" s="63">
        <v>1.6299999999999999E-2</v>
      </c>
      <c r="I50" s="280">
        <v>1</v>
      </c>
      <c r="J50" s="281">
        <f t="shared" si="2"/>
        <v>3.2539103874001662E-2</v>
      </c>
    </row>
    <row r="51" spans="1:15">
      <c r="A51" s="33">
        <v>28157</v>
      </c>
      <c r="B51" s="279">
        <v>891126</v>
      </c>
      <c r="C51" s="279">
        <v>120663</v>
      </c>
      <c r="D51" s="277">
        <v>32740000</v>
      </c>
      <c r="E51" s="47">
        <f t="shared" si="0"/>
        <v>2.2991714557927773E-2</v>
      </c>
      <c r="F51" s="277">
        <v>1080000</v>
      </c>
      <c r="G51" s="47">
        <f t="shared" si="1"/>
        <v>3.1933767001774097E-2</v>
      </c>
      <c r="H51" s="63">
        <v>1.6500000000000001E-2</v>
      </c>
      <c r="I51" s="280">
        <v>1</v>
      </c>
      <c r="J51" s="281">
        <f t="shared" si="2"/>
        <v>3.2928343049920206E-2</v>
      </c>
    </row>
    <row r="52" spans="1:15">
      <c r="A52" s="33">
        <v>28185</v>
      </c>
      <c r="B52" s="279">
        <v>877865</v>
      </c>
      <c r="C52" s="279">
        <v>111872</v>
      </c>
      <c r="D52" s="277">
        <v>32680000</v>
      </c>
      <c r="E52" s="47">
        <f t="shared" si="0"/>
        <v>2.2902384749049012E-2</v>
      </c>
      <c r="F52" s="277">
        <v>1080000</v>
      </c>
      <c r="G52" s="47">
        <f t="shared" si="1"/>
        <v>3.1990521327014215E-2</v>
      </c>
      <c r="H52" s="63">
        <v>1.6799999999999999E-2</v>
      </c>
      <c r="I52" s="280">
        <v>1</v>
      </c>
      <c r="J52" s="281">
        <f t="shared" si="2"/>
        <v>3.3511981733464327E-2</v>
      </c>
    </row>
    <row r="53" spans="1:15">
      <c r="A53" s="33">
        <v>28216</v>
      </c>
      <c r="B53" s="279">
        <v>896392</v>
      </c>
      <c r="C53" s="279">
        <v>120175</v>
      </c>
      <c r="D53" s="277">
        <v>32890000</v>
      </c>
      <c r="E53" s="47">
        <f t="shared" si="0"/>
        <v>2.30562584444816E-2</v>
      </c>
      <c r="F53" s="277">
        <v>1040000</v>
      </c>
      <c r="G53" s="47">
        <f t="shared" si="1"/>
        <v>3.0651340996168581E-2</v>
      </c>
      <c r="H53" s="63">
        <v>1.7000000000000001E-2</v>
      </c>
      <c r="I53" s="280">
        <v>1</v>
      </c>
      <c r="J53" s="281">
        <f t="shared" si="2"/>
        <v>3.390092956145975E-2</v>
      </c>
    </row>
    <row r="54" spans="1:15">
      <c r="A54" s="33">
        <v>28246</v>
      </c>
      <c r="B54" s="279">
        <v>834990</v>
      </c>
      <c r="C54" s="279">
        <v>119384</v>
      </c>
      <c r="D54" s="277">
        <v>32830000</v>
      </c>
      <c r="E54" s="47">
        <f t="shared" si="0"/>
        <v>2.1332331870826837E-2</v>
      </c>
      <c r="F54" s="277">
        <v>1120000</v>
      </c>
      <c r="G54" s="47">
        <f t="shared" si="1"/>
        <v>3.2989690721649485E-2</v>
      </c>
      <c r="H54" s="63">
        <v>1.6200000000000003E-2</v>
      </c>
      <c r="I54" s="280">
        <v>1</v>
      </c>
      <c r="J54" s="281">
        <f t="shared" si="2"/>
        <v>3.2344439718592063E-2</v>
      </c>
    </row>
    <row r="55" spans="1:15">
      <c r="A55" s="33">
        <v>28277</v>
      </c>
      <c r="B55" s="279">
        <v>811264</v>
      </c>
      <c r="C55" s="279">
        <v>116515</v>
      </c>
      <c r="D55" s="277">
        <v>32570000</v>
      </c>
      <c r="E55" s="47">
        <f t="shared" si="0"/>
        <v>2.0885442424351374E-2</v>
      </c>
      <c r="F55" s="277">
        <v>1150000</v>
      </c>
      <c r="G55" s="47">
        <f t="shared" si="1"/>
        <v>3.4104389086595494E-2</v>
      </c>
      <c r="H55" s="63">
        <v>1.5900000000000001E-2</v>
      </c>
      <c r="I55" s="280">
        <v>1</v>
      </c>
      <c r="J55" s="281">
        <f t="shared" si="2"/>
        <v>3.1760266714674884E-2</v>
      </c>
    </row>
    <row r="56" spans="1:15">
      <c r="A56" s="33">
        <v>28307</v>
      </c>
      <c r="B56" s="279">
        <v>796557</v>
      </c>
      <c r="C56" s="279">
        <v>112940</v>
      </c>
      <c r="D56" s="277">
        <v>32610000</v>
      </c>
      <c r="E56" s="47">
        <f t="shared" si="0"/>
        <v>2.0532974834185182E-2</v>
      </c>
      <c r="F56" s="277">
        <v>1130000</v>
      </c>
      <c r="G56" s="47">
        <f t="shared" si="1"/>
        <v>3.3491404860699465E-2</v>
      </c>
      <c r="H56" s="63">
        <v>1.6200000000000003E-2</v>
      </c>
      <c r="I56" s="280">
        <v>1</v>
      </c>
      <c r="J56" s="281">
        <f t="shared" si="2"/>
        <v>3.2344439718592063E-2</v>
      </c>
    </row>
    <row r="57" spans="1:15">
      <c r="A57" s="33">
        <v>28338</v>
      </c>
      <c r="B57" s="279">
        <v>800908</v>
      </c>
      <c r="C57" s="279">
        <v>112989</v>
      </c>
      <c r="D57" s="277">
        <v>32630000</v>
      </c>
      <c r="E57" s="47">
        <f t="shared" si="0"/>
        <v>2.0647117846705851E-2</v>
      </c>
      <c r="F57" s="277">
        <v>1090000</v>
      </c>
      <c r="G57" s="47">
        <f t="shared" si="1"/>
        <v>3.232502965599051E-2</v>
      </c>
      <c r="H57" s="63">
        <v>1.6200000000000003E-2</v>
      </c>
      <c r="I57" s="280">
        <v>1</v>
      </c>
      <c r="J57" s="281">
        <f t="shared" si="2"/>
        <v>3.2344439718592063E-2</v>
      </c>
    </row>
    <row r="58" spans="1:15">
      <c r="A58" s="33">
        <v>28369</v>
      </c>
      <c r="B58" s="279">
        <v>814762</v>
      </c>
      <c r="C58" s="279">
        <v>116068</v>
      </c>
      <c r="D58" s="277">
        <v>32650000</v>
      </c>
      <c r="E58" s="47">
        <f t="shared" si="0"/>
        <v>2.095116528401382E-2</v>
      </c>
      <c r="F58" s="277">
        <v>1100000</v>
      </c>
      <c r="G58" s="47">
        <f t="shared" si="1"/>
        <v>3.259259259259259E-2</v>
      </c>
      <c r="H58" s="63">
        <v>1.67E-2</v>
      </c>
      <c r="I58" s="280">
        <v>1</v>
      </c>
      <c r="J58" s="281">
        <f t="shared" si="2"/>
        <v>3.3317464608337982E-2</v>
      </c>
    </row>
    <row r="59" spans="1:15">
      <c r="A59" s="33">
        <v>28399</v>
      </c>
      <c r="B59" s="279">
        <v>826090</v>
      </c>
      <c r="C59" s="279">
        <v>118429</v>
      </c>
      <c r="D59" s="277">
        <v>32620000</v>
      </c>
      <c r="E59" s="47">
        <f t="shared" si="0"/>
        <v>2.1233443295045517E-2</v>
      </c>
      <c r="F59" s="277">
        <v>1060000</v>
      </c>
      <c r="G59" s="47">
        <f t="shared" si="1"/>
        <v>3.147268408551069E-2</v>
      </c>
      <c r="H59" s="63">
        <v>1.5900000000000001E-2</v>
      </c>
      <c r="I59" s="280">
        <v>1</v>
      </c>
      <c r="J59" s="281">
        <f t="shared" si="2"/>
        <v>3.1760266714674884E-2</v>
      </c>
    </row>
    <row r="60" spans="1:15">
      <c r="A60" s="33">
        <v>28430</v>
      </c>
      <c r="B60" s="279">
        <v>815917</v>
      </c>
      <c r="C60" s="279">
        <v>116013</v>
      </c>
      <c r="D60" s="277">
        <v>32800000</v>
      </c>
      <c r="E60" s="47">
        <f t="shared" si="0"/>
        <v>2.0892716588083358E-2</v>
      </c>
      <c r="F60" s="277">
        <v>1110000</v>
      </c>
      <c r="G60" s="47">
        <f t="shared" si="1"/>
        <v>3.2733706871129462E-2</v>
      </c>
      <c r="H60" s="63">
        <v>1.6200000000000003E-2</v>
      </c>
      <c r="I60" s="280">
        <v>1</v>
      </c>
      <c r="J60" s="281">
        <f t="shared" si="2"/>
        <v>3.2344439718592063E-2</v>
      </c>
    </row>
    <row r="61" spans="1:15">
      <c r="A61" s="33">
        <v>28460</v>
      </c>
      <c r="B61" s="279">
        <v>805558</v>
      </c>
      <c r="C61" s="279">
        <v>114495</v>
      </c>
      <c r="D61" s="277">
        <v>32920000</v>
      </c>
      <c r="E61" s="47">
        <f t="shared" si="0"/>
        <v>2.056058149663401E-2</v>
      </c>
      <c r="F61" s="277">
        <v>1170000</v>
      </c>
      <c r="G61" s="47">
        <f t="shared" si="1"/>
        <v>3.4320915224405987E-2</v>
      </c>
      <c r="H61" s="63">
        <v>1.6200000000000003E-2</v>
      </c>
      <c r="I61" s="280">
        <v>1</v>
      </c>
      <c r="J61" s="281">
        <f t="shared" si="2"/>
        <v>3.2344439718592063E-2</v>
      </c>
      <c r="K61" s="282">
        <f t="shared" ref="K61" si="6">AVERAGE(J50:J61)</f>
        <v>3.2620046237457838E-2</v>
      </c>
    </row>
    <row r="62" spans="1:15">
      <c r="A62" s="33">
        <v>28491</v>
      </c>
      <c r="B62" s="279">
        <v>790188</v>
      </c>
      <c r="C62" s="279">
        <v>110904</v>
      </c>
      <c r="D62" s="277">
        <v>32770000</v>
      </c>
      <c r="E62" s="47">
        <f t="shared" si="0"/>
        <v>2.0307878638000144E-2</v>
      </c>
      <c r="F62" s="277">
        <v>1180000</v>
      </c>
      <c r="G62" s="47">
        <f t="shared" si="1"/>
        <v>3.4756995581737851E-2</v>
      </c>
      <c r="H62" s="63">
        <v>1.6E-2</v>
      </c>
      <c r="I62" s="280">
        <v>1</v>
      </c>
      <c r="J62" s="281">
        <f t="shared" si="2"/>
        <v>3.1955021330892612E-2</v>
      </c>
    </row>
    <row r="63" spans="1:15">
      <c r="A63" s="33">
        <v>28522</v>
      </c>
      <c r="B63" s="279">
        <v>823071</v>
      </c>
      <c r="C63" s="279">
        <v>111457</v>
      </c>
      <c r="D63" s="277">
        <v>32680000</v>
      </c>
      <c r="E63" s="47">
        <f t="shared" si="0"/>
        <v>2.1311159143130969E-2</v>
      </c>
      <c r="F63" s="277">
        <v>1240000</v>
      </c>
      <c r="G63" s="47">
        <f t="shared" si="1"/>
        <v>3.6556603773584904E-2</v>
      </c>
      <c r="H63" s="63">
        <v>1.6200000000000003E-2</v>
      </c>
      <c r="I63" s="280">
        <v>1</v>
      </c>
      <c r="J63" s="281">
        <f t="shared" si="2"/>
        <v>3.2344439718592063E-2</v>
      </c>
    </row>
    <row r="64" spans="1:15">
      <c r="A64" s="33">
        <v>28550</v>
      </c>
      <c r="B64" s="279">
        <v>844137</v>
      </c>
      <c r="C64" s="279">
        <v>114124</v>
      </c>
      <c r="D64" s="277">
        <v>32710000</v>
      </c>
      <c r="E64" s="47">
        <f t="shared" si="0"/>
        <v>2.183052380990402E-2</v>
      </c>
      <c r="F64" s="277">
        <v>1220000</v>
      </c>
      <c r="G64" s="47">
        <f t="shared" si="1"/>
        <v>3.5956380783966992E-2</v>
      </c>
      <c r="H64" s="63">
        <v>1.6E-2</v>
      </c>
      <c r="I64" s="280">
        <v>1</v>
      </c>
      <c r="J64" s="281">
        <f t="shared" si="2"/>
        <v>3.1955021330892612E-2</v>
      </c>
    </row>
    <row r="65" spans="1:11">
      <c r="A65" s="33">
        <v>28581</v>
      </c>
      <c r="B65" s="279">
        <v>887582</v>
      </c>
      <c r="C65" s="279">
        <v>115631</v>
      </c>
      <c r="D65" s="277">
        <v>32910000</v>
      </c>
      <c r="E65" s="47">
        <f t="shared" si="0"/>
        <v>2.2918832700635425E-2</v>
      </c>
      <c r="F65" s="277">
        <v>1190000</v>
      </c>
      <c r="G65" s="47">
        <f t="shared" si="1"/>
        <v>3.4897360703812316E-2</v>
      </c>
      <c r="H65" s="63">
        <v>1.6399999999999998E-2</v>
      </c>
      <c r="I65" s="280">
        <v>1</v>
      </c>
      <c r="J65" s="281">
        <f t="shared" si="2"/>
        <v>3.2733738255757296E-2</v>
      </c>
    </row>
    <row r="66" spans="1:11">
      <c r="A66" s="33">
        <v>28611</v>
      </c>
      <c r="B66" s="279">
        <v>857465</v>
      </c>
      <c r="C66" s="279">
        <v>111357</v>
      </c>
      <c r="D66" s="277">
        <v>32900000</v>
      </c>
      <c r="E66" s="47">
        <f t="shared" si="0"/>
        <v>2.21751651037915E-2</v>
      </c>
      <c r="F66" s="277">
        <v>1250000</v>
      </c>
      <c r="G66" s="47">
        <f t="shared" si="1"/>
        <v>3.6603221083455345E-2</v>
      </c>
      <c r="H66" s="63">
        <v>1.5800000000000002E-2</v>
      </c>
      <c r="I66" s="280">
        <v>1</v>
      </c>
      <c r="J66" s="281">
        <f t="shared" si="2"/>
        <v>3.1565481556856553E-2</v>
      </c>
    </row>
    <row r="67" spans="1:11">
      <c r="A67" s="33">
        <v>28642</v>
      </c>
      <c r="B67" s="279">
        <v>867642</v>
      </c>
      <c r="C67" s="279">
        <v>112749</v>
      </c>
      <c r="D67" s="277">
        <v>32790000</v>
      </c>
      <c r="E67" s="47">
        <f t="shared" ref="E67:E130" si="7">(B67-C67)/(B67-C67+D67)</f>
        <v>2.2503962078519672E-2</v>
      </c>
      <c r="F67" s="277">
        <v>1290000</v>
      </c>
      <c r="G67" s="47">
        <f t="shared" ref="G67:G130" si="8">F67/(D67+F67)</f>
        <v>3.7852112676056336E-2</v>
      </c>
      <c r="H67" s="63">
        <v>1.55E-2</v>
      </c>
      <c r="I67" s="280">
        <v>1</v>
      </c>
      <c r="J67" s="281">
        <f t="shared" ref="J67:J130" si="9">EXP((0.036225+LOG(H67,EXP(1))*0.056981+I67*-0.001826)/(1+0.035334-0.976896))</f>
        <v>3.0980940839579321E-2</v>
      </c>
    </row>
    <row r="68" spans="1:11">
      <c r="A68" s="33">
        <v>28672</v>
      </c>
      <c r="B68" s="279">
        <v>888869</v>
      </c>
      <c r="C68" s="279">
        <v>114203</v>
      </c>
      <c r="D68" s="277">
        <v>32790000</v>
      </c>
      <c r="E68" s="47">
        <f t="shared" si="7"/>
        <v>2.3079806603765997E-2</v>
      </c>
      <c r="F68" s="277">
        <v>1210000</v>
      </c>
      <c r="G68" s="47">
        <f t="shared" si="8"/>
        <v>3.558823529411765E-2</v>
      </c>
      <c r="H68" s="63">
        <v>1.54E-2</v>
      </c>
      <c r="I68" s="280">
        <v>1</v>
      </c>
      <c r="J68" s="281">
        <f t="shared" si="9"/>
        <v>3.0786031508161532E-2</v>
      </c>
    </row>
    <row r="69" spans="1:11">
      <c r="A69" s="33">
        <v>28703</v>
      </c>
      <c r="B69" s="279">
        <v>907686</v>
      </c>
      <c r="C69" s="279">
        <v>114503</v>
      </c>
      <c r="D69" s="277">
        <v>32970000</v>
      </c>
      <c r="E69" s="47">
        <f t="shared" si="7"/>
        <v>2.3492542157532954E-2</v>
      </c>
      <c r="F69" s="277">
        <v>1250000</v>
      </c>
      <c r="G69" s="47">
        <f t="shared" si="8"/>
        <v>3.6528345996493281E-2</v>
      </c>
      <c r="H69" s="63">
        <v>1.46E-2</v>
      </c>
      <c r="I69" s="280">
        <v>1</v>
      </c>
      <c r="J69" s="281">
        <f t="shared" si="9"/>
        <v>2.9225602634010646E-2</v>
      </c>
    </row>
    <row r="70" spans="1:11">
      <c r="A70" s="33">
        <v>28734</v>
      </c>
      <c r="B70" s="279">
        <v>921594</v>
      </c>
      <c r="C70" s="279">
        <v>113188</v>
      </c>
      <c r="D70" s="277">
        <v>33030000</v>
      </c>
      <c r="E70" s="47">
        <f t="shared" si="7"/>
        <v>2.389019151788651E-2</v>
      </c>
      <c r="F70" s="277">
        <v>1310000</v>
      </c>
      <c r="G70" s="47">
        <f t="shared" si="8"/>
        <v>3.8147932440302852E-2</v>
      </c>
      <c r="H70" s="63">
        <v>1.5600000000000001E-2</v>
      </c>
      <c r="I70" s="280">
        <v>1</v>
      </c>
      <c r="J70" s="281">
        <f t="shared" si="9"/>
        <v>3.1175818821306225E-2</v>
      </c>
    </row>
    <row r="71" spans="1:11">
      <c r="A71" s="33">
        <v>28764</v>
      </c>
      <c r="B71" s="279">
        <v>923398</v>
      </c>
      <c r="C71" s="279">
        <v>114432</v>
      </c>
      <c r="D71" s="277">
        <v>33150000</v>
      </c>
      <c r="E71" s="47">
        <f t="shared" si="7"/>
        <v>2.382186783896777E-2</v>
      </c>
      <c r="F71" s="277">
        <v>1240000</v>
      </c>
      <c r="G71" s="47">
        <f t="shared" si="8"/>
        <v>3.6056993312009303E-2</v>
      </c>
      <c r="H71" s="63">
        <v>1.55E-2</v>
      </c>
      <c r="I71" s="280">
        <v>1</v>
      </c>
      <c r="J71" s="281">
        <f t="shared" si="9"/>
        <v>3.0980940839579321E-2</v>
      </c>
    </row>
    <row r="72" spans="1:11">
      <c r="A72" s="33">
        <v>28795</v>
      </c>
      <c r="B72" s="279">
        <v>925633</v>
      </c>
      <c r="C72" s="279">
        <v>112635</v>
      </c>
      <c r="D72" s="277">
        <v>33120000</v>
      </c>
      <c r="E72" s="47">
        <f t="shared" si="7"/>
        <v>2.3958920458487045E-2</v>
      </c>
      <c r="F72" s="277">
        <v>1220000</v>
      </c>
      <c r="G72" s="47">
        <f t="shared" si="8"/>
        <v>3.5527082119976704E-2</v>
      </c>
      <c r="H72" s="63">
        <v>1.49E-2</v>
      </c>
      <c r="I72" s="280">
        <v>1</v>
      </c>
      <c r="J72" s="281">
        <f t="shared" si="9"/>
        <v>2.9811007204612317E-2</v>
      </c>
    </row>
    <row r="73" spans="1:11">
      <c r="A73" s="33">
        <v>28825</v>
      </c>
      <c r="B73" s="279">
        <v>927304</v>
      </c>
      <c r="C73" s="279">
        <v>112306</v>
      </c>
      <c r="D73" s="277">
        <v>33120000</v>
      </c>
      <c r="E73" s="47">
        <f t="shared" si="7"/>
        <v>2.4016444615673767E-2</v>
      </c>
      <c r="F73" s="277">
        <v>1220000</v>
      </c>
      <c r="G73" s="47">
        <f t="shared" si="8"/>
        <v>3.5527082119976704E-2</v>
      </c>
      <c r="H73" s="63">
        <v>1.41E-2</v>
      </c>
      <c r="I73" s="280">
        <v>1</v>
      </c>
      <c r="J73" s="281">
        <f t="shared" si="9"/>
        <v>2.8249258492641181E-2</v>
      </c>
      <c r="K73" s="282">
        <f t="shared" ref="K73" si="10">AVERAGE(J62:J73)</f>
        <v>3.0980275211073476E-2</v>
      </c>
    </row>
    <row r="74" spans="1:11">
      <c r="A74" s="33">
        <v>28856</v>
      </c>
      <c r="B74" s="279">
        <v>960138</v>
      </c>
      <c r="C74" s="279">
        <v>114553</v>
      </c>
      <c r="D74" s="277">
        <v>33100000</v>
      </c>
      <c r="E74" s="47">
        <f t="shared" si="7"/>
        <v>2.49100140710493E-2</v>
      </c>
      <c r="F74" s="277">
        <v>1210000</v>
      </c>
      <c r="G74" s="47">
        <f t="shared" si="8"/>
        <v>3.5266686097347712E-2</v>
      </c>
      <c r="H74" s="63">
        <v>1.5100000000000001E-2</v>
      </c>
      <c r="I74" s="280">
        <v>1</v>
      </c>
      <c r="J74" s="281">
        <f t="shared" si="9"/>
        <v>3.0201113315251181E-2</v>
      </c>
    </row>
    <row r="75" spans="1:11">
      <c r="A75" s="33">
        <v>28887</v>
      </c>
      <c r="B75" s="279">
        <v>984391</v>
      </c>
      <c r="C75" s="279">
        <v>120924</v>
      </c>
      <c r="D75" s="277">
        <v>33350000</v>
      </c>
      <c r="E75" s="47">
        <f t="shared" si="7"/>
        <v>2.5237635227087624E-2</v>
      </c>
      <c r="F75" s="277">
        <v>1130000</v>
      </c>
      <c r="G75" s="47">
        <f t="shared" si="8"/>
        <v>3.277262180974478E-2</v>
      </c>
      <c r="H75" s="63">
        <v>1.5300000000000001E-2</v>
      </c>
      <c r="I75" s="280">
        <v>1</v>
      </c>
      <c r="J75" s="281">
        <f t="shared" si="9"/>
        <v>3.0591090618388151E-2</v>
      </c>
    </row>
    <row r="76" spans="1:11">
      <c r="A76" s="33">
        <v>28915</v>
      </c>
      <c r="B76" s="279">
        <v>1003460</v>
      </c>
      <c r="C76" s="279">
        <v>119276</v>
      </c>
      <c r="D76" s="277">
        <v>33210000</v>
      </c>
      <c r="E76" s="47">
        <f t="shared" si="7"/>
        <v>2.5933572717270488E-2</v>
      </c>
      <c r="F76" s="277">
        <v>1180000</v>
      </c>
      <c r="G76" s="47">
        <f t="shared" si="8"/>
        <v>3.4312300087234661E-2</v>
      </c>
      <c r="H76" s="63">
        <v>1.5600000000000001E-2</v>
      </c>
      <c r="I76" s="280">
        <v>1</v>
      </c>
      <c r="J76" s="281">
        <f t="shared" si="9"/>
        <v>3.1175818821306225E-2</v>
      </c>
    </row>
    <row r="77" spans="1:11">
      <c r="A77" s="33">
        <v>28946</v>
      </c>
      <c r="B77" s="279">
        <v>1034224</v>
      </c>
      <c r="C77" s="279">
        <v>111991</v>
      </c>
      <c r="D77" s="277">
        <v>33020000</v>
      </c>
      <c r="E77" s="47">
        <f t="shared" si="7"/>
        <v>2.7170663756860076E-2</v>
      </c>
      <c r="F77" s="277">
        <v>1190000</v>
      </c>
      <c r="G77" s="47">
        <f t="shared" si="8"/>
        <v>3.4785150540777549E-2</v>
      </c>
      <c r="H77" s="63">
        <v>1.47E-2</v>
      </c>
      <c r="I77" s="280">
        <v>1</v>
      </c>
      <c r="J77" s="281">
        <f t="shared" si="9"/>
        <v>2.942077051400234E-2</v>
      </c>
    </row>
    <row r="78" spans="1:11">
      <c r="A78" s="33">
        <v>28976</v>
      </c>
      <c r="B78" s="279">
        <v>1049967</v>
      </c>
      <c r="C78" s="279">
        <v>113891</v>
      </c>
      <c r="D78" s="277">
        <v>33260000</v>
      </c>
      <c r="E78" s="47">
        <f t="shared" si="7"/>
        <v>2.7373784056392902E-2</v>
      </c>
      <c r="F78" s="277">
        <v>1120000</v>
      </c>
      <c r="G78" s="47">
        <f t="shared" si="8"/>
        <v>3.2577079697498547E-2</v>
      </c>
      <c r="H78" s="63">
        <v>1.6299999999999999E-2</v>
      </c>
      <c r="I78" s="280">
        <v>1</v>
      </c>
      <c r="J78" s="281">
        <f t="shared" si="9"/>
        <v>3.2539103874001662E-2</v>
      </c>
    </row>
    <row r="79" spans="1:11">
      <c r="A79" s="33">
        <v>29007</v>
      </c>
      <c r="B79" s="279">
        <v>1070801</v>
      </c>
      <c r="C79" s="279">
        <v>116009</v>
      </c>
      <c r="D79" s="277">
        <v>33600000</v>
      </c>
      <c r="E79" s="47">
        <f t="shared" si="7"/>
        <v>2.7631247208780768E-2</v>
      </c>
      <c r="F79" s="277">
        <v>1140000</v>
      </c>
      <c r="G79" s="47">
        <f t="shared" si="8"/>
        <v>3.281519861830743E-2</v>
      </c>
      <c r="H79" s="63">
        <v>1.6500000000000001E-2</v>
      </c>
      <c r="I79" s="280">
        <v>1</v>
      </c>
      <c r="J79" s="281">
        <f t="shared" si="9"/>
        <v>3.2928343049920206E-2</v>
      </c>
    </row>
    <row r="80" spans="1:11">
      <c r="A80" s="33">
        <v>29037</v>
      </c>
      <c r="B80" s="279">
        <v>1085649</v>
      </c>
      <c r="C80" s="279">
        <v>116276</v>
      </c>
      <c r="D80" s="277">
        <v>33880000</v>
      </c>
      <c r="E80" s="47">
        <f t="shared" si="7"/>
        <v>2.7816081511710413E-2</v>
      </c>
      <c r="F80" s="277">
        <v>1210000</v>
      </c>
      <c r="G80" s="47">
        <f t="shared" si="8"/>
        <v>3.4482758620689655E-2</v>
      </c>
      <c r="H80" s="63">
        <v>1.5800000000000002E-2</v>
      </c>
      <c r="I80" s="280">
        <v>1</v>
      </c>
      <c r="J80" s="281">
        <f t="shared" si="9"/>
        <v>3.1565481556856553E-2</v>
      </c>
    </row>
    <row r="81" spans="1:11">
      <c r="A81" s="33">
        <v>29068</v>
      </c>
      <c r="B81" s="279">
        <v>1092889</v>
      </c>
      <c r="C81" s="279">
        <v>115606</v>
      </c>
      <c r="D81" s="277">
        <v>33980000</v>
      </c>
      <c r="E81" s="47">
        <f t="shared" si="7"/>
        <v>2.7956491927590598E-2</v>
      </c>
      <c r="F81" s="277">
        <v>1210000</v>
      </c>
      <c r="G81" s="47">
        <f t="shared" si="8"/>
        <v>3.4384768400113667E-2</v>
      </c>
      <c r="H81" s="63">
        <v>1.5900000000000001E-2</v>
      </c>
      <c r="I81" s="280">
        <v>1</v>
      </c>
      <c r="J81" s="281">
        <f t="shared" si="9"/>
        <v>3.1760266714674884E-2</v>
      </c>
    </row>
    <row r="82" spans="1:11">
      <c r="A82" s="33">
        <v>29099</v>
      </c>
      <c r="B82" s="279">
        <v>1104586</v>
      </c>
      <c r="C82" s="279">
        <v>114262</v>
      </c>
      <c r="D82" s="277">
        <v>33830000</v>
      </c>
      <c r="E82" s="47">
        <f t="shared" si="7"/>
        <v>2.8440976023083531E-2</v>
      </c>
      <c r="F82" s="277">
        <v>1130000</v>
      </c>
      <c r="G82" s="47">
        <f t="shared" si="8"/>
        <v>3.2322654462242563E-2</v>
      </c>
      <c r="H82" s="63">
        <v>1.5600000000000001E-2</v>
      </c>
      <c r="I82" s="280">
        <v>1</v>
      </c>
      <c r="J82" s="281">
        <f t="shared" si="9"/>
        <v>3.1175818821306225E-2</v>
      </c>
    </row>
    <row r="83" spans="1:11">
      <c r="A83" s="33">
        <v>29129</v>
      </c>
      <c r="B83" s="279">
        <v>1126779</v>
      </c>
      <c r="C83" s="279">
        <v>115654</v>
      </c>
      <c r="D83" s="277">
        <v>33920000</v>
      </c>
      <c r="E83" s="47">
        <f t="shared" si="7"/>
        <v>2.8946247794767562E-2</v>
      </c>
      <c r="F83" s="277">
        <v>1170000</v>
      </c>
      <c r="G83" s="47">
        <f t="shared" si="8"/>
        <v>3.3342832715873467E-2</v>
      </c>
      <c r="H83" s="63">
        <v>1.61E-2</v>
      </c>
      <c r="I83" s="280">
        <v>1</v>
      </c>
      <c r="J83" s="281">
        <f t="shared" si="9"/>
        <v>3.2149745601141276E-2</v>
      </c>
    </row>
    <row r="84" spans="1:11">
      <c r="A84" s="33">
        <v>29160</v>
      </c>
      <c r="B84" s="279">
        <v>1142601</v>
      </c>
      <c r="C84" s="279">
        <v>113241</v>
      </c>
      <c r="D84" s="277">
        <v>33880000</v>
      </c>
      <c r="E84" s="47">
        <f t="shared" si="7"/>
        <v>2.9486647707090592E-2</v>
      </c>
      <c r="F84" s="277">
        <v>1160000</v>
      </c>
      <c r="G84" s="47">
        <f t="shared" si="8"/>
        <v>3.3105022831050226E-2</v>
      </c>
      <c r="H84" s="63">
        <v>1.5900000000000001E-2</v>
      </c>
      <c r="I84" s="280">
        <v>1</v>
      </c>
      <c r="J84" s="281">
        <f t="shared" si="9"/>
        <v>3.1760266714674884E-2</v>
      </c>
    </row>
    <row r="85" spans="1:11">
      <c r="A85" s="33">
        <v>29190</v>
      </c>
      <c r="B85" s="279">
        <v>1155665</v>
      </c>
      <c r="C85" s="279">
        <v>115030</v>
      </c>
      <c r="D85" s="277">
        <v>33880000</v>
      </c>
      <c r="E85" s="47">
        <f t="shared" si="7"/>
        <v>2.9800002204999995E-2</v>
      </c>
      <c r="F85" s="277">
        <v>1130000</v>
      </c>
      <c r="G85" s="47">
        <f t="shared" si="8"/>
        <v>3.2276492430734077E-2</v>
      </c>
      <c r="H85" s="63">
        <v>1.52E-2</v>
      </c>
      <c r="I85" s="280">
        <v>1</v>
      </c>
      <c r="J85" s="281">
        <f t="shared" si="9"/>
        <v>3.0396117958832555E-2</v>
      </c>
      <c r="K85" s="282">
        <f t="shared" ref="K85" si="11">AVERAGE(J74:J85)</f>
        <v>3.1305328130029675E-2</v>
      </c>
    </row>
    <row r="86" spans="1:11">
      <c r="A86" s="33">
        <v>29221</v>
      </c>
      <c r="B86" s="279">
        <v>1147224</v>
      </c>
      <c r="C86" s="279">
        <v>114863</v>
      </c>
      <c r="D86" s="277">
        <v>33940000</v>
      </c>
      <c r="E86" s="47">
        <f t="shared" si="7"/>
        <v>2.9519339572183875E-2</v>
      </c>
      <c r="F86" s="277">
        <v>1090000</v>
      </c>
      <c r="G86" s="47">
        <f t="shared" si="8"/>
        <v>3.1116186126177562E-2</v>
      </c>
      <c r="H86" s="63">
        <v>1.6399999999999998E-2</v>
      </c>
      <c r="I86" s="280">
        <v>1</v>
      </c>
      <c r="J86" s="281">
        <f t="shared" si="9"/>
        <v>3.2733738255757296E-2</v>
      </c>
    </row>
    <row r="87" spans="1:11">
      <c r="A87" s="33">
        <v>29252</v>
      </c>
      <c r="B87" s="279">
        <v>1146063</v>
      </c>
      <c r="C87" s="279">
        <v>116492</v>
      </c>
      <c r="D87" s="277">
        <v>33950000</v>
      </c>
      <c r="E87" s="47">
        <f t="shared" si="7"/>
        <v>2.9433494195797886E-2</v>
      </c>
      <c r="F87" s="277">
        <v>1050000</v>
      </c>
      <c r="G87" s="47">
        <f t="shared" si="8"/>
        <v>0.03</v>
      </c>
      <c r="H87" s="63">
        <v>1.5800000000000002E-2</v>
      </c>
      <c r="I87" s="280">
        <v>1</v>
      </c>
      <c r="J87" s="281">
        <f t="shared" si="9"/>
        <v>3.1565481556856553E-2</v>
      </c>
    </row>
    <row r="88" spans="1:11">
      <c r="A88" s="33">
        <v>29281</v>
      </c>
      <c r="B88" s="279">
        <v>1143034</v>
      </c>
      <c r="C88" s="279">
        <v>119177</v>
      </c>
      <c r="D88" s="277">
        <v>33980000</v>
      </c>
      <c r="E88" s="47">
        <f t="shared" si="7"/>
        <v>2.924983381117115E-2</v>
      </c>
      <c r="F88" s="277">
        <v>1090000</v>
      </c>
      <c r="G88" s="47">
        <f t="shared" si="8"/>
        <v>3.1080695751354435E-2</v>
      </c>
      <c r="H88" s="63">
        <v>1.5800000000000002E-2</v>
      </c>
      <c r="I88" s="280">
        <v>1</v>
      </c>
      <c r="J88" s="281">
        <f t="shared" si="9"/>
        <v>3.1565481556856553E-2</v>
      </c>
    </row>
    <row r="89" spans="1:11">
      <c r="A89" s="33">
        <v>29312</v>
      </c>
      <c r="B89" s="279">
        <v>1132276</v>
      </c>
      <c r="C89" s="279">
        <v>116741</v>
      </c>
      <c r="D89" s="277">
        <v>34010000</v>
      </c>
      <c r="E89" s="47">
        <f t="shared" si="7"/>
        <v>2.8994132423673186E-2</v>
      </c>
      <c r="F89" s="277">
        <v>1120000</v>
      </c>
      <c r="G89" s="47">
        <f t="shared" si="8"/>
        <v>3.1881582692855112E-2</v>
      </c>
      <c r="H89" s="63">
        <v>1.6299999999999999E-2</v>
      </c>
      <c r="I89" s="280">
        <v>1</v>
      </c>
      <c r="J89" s="281">
        <f t="shared" si="9"/>
        <v>3.2539103874001662E-2</v>
      </c>
    </row>
    <row r="90" spans="1:11">
      <c r="A90" s="33">
        <v>29342</v>
      </c>
      <c r="B90" s="279">
        <v>1133944</v>
      </c>
      <c r="C90" s="279">
        <v>113716</v>
      </c>
      <c r="D90" s="277">
        <v>34270000</v>
      </c>
      <c r="E90" s="47">
        <f t="shared" si="7"/>
        <v>2.8909646035724112E-2</v>
      </c>
      <c r="F90" s="277">
        <v>1100000</v>
      </c>
      <c r="G90" s="47">
        <f t="shared" si="8"/>
        <v>3.1099802092168505E-2</v>
      </c>
      <c r="H90" s="63">
        <v>1.55E-2</v>
      </c>
      <c r="I90" s="280">
        <v>1</v>
      </c>
      <c r="J90" s="281">
        <f t="shared" si="9"/>
        <v>3.0980940839579321E-2</v>
      </c>
    </row>
    <row r="91" spans="1:11">
      <c r="A91" s="33">
        <v>29373</v>
      </c>
      <c r="B91" s="279">
        <v>1141121</v>
      </c>
      <c r="C91" s="279">
        <v>112253</v>
      </c>
      <c r="D91" s="277">
        <v>34770000</v>
      </c>
      <c r="E91" s="47">
        <f t="shared" si="7"/>
        <v>2.8740238378487274E-2</v>
      </c>
      <c r="F91" s="277">
        <v>1080000</v>
      </c>
      <c r="G91" s="47">
        <f t="shared" si="8"/>
        <v>3.0125523012552301E-2</v>
      </c>
      <c r="H91" s="63">
        <v>1.54E-2</v>
      </c>
      <c r="I91" s="280">
        <v>1</v>
      </c>
      <c r="J91" s="281">
        <f t="shared" si="9"/>
        <v>3.0786031508161532E-2</v>
      </c>
    </row>
    <row r="92" spans="1:11">
      <c r="A92" s="33">
        <v>29403</v>
      </c>
      <c r="B92" s="279">
        <v>1138338</v>
      </c>
      <c r="C92" s="279">
        <v>117005</v>
      </c>
      <c r="D92" s="277">
        <v>34730000</v>
      </c>
      <c r="E92" s="47">
        <f t="shared" si="7"/>
        <v>2.8567690049487105E-2</v>
      </c>
      <c r="F92" s="277">
        <v>1160000</v>
      </c>
      <c r="G92" s="47">
        <f t="shared" si="8"/>
        <v>3.2320980774589024E-2</v>
      </c>
      <c r="H92" s="63">
        <v>1.5100000000000001E-2</v>
      </c>
      <c r="I92" s="280">
        <v>1</v>
      </c>
      <c r="J92" s="281">
        <f t="shared" si="9"/>
        <v>3.0201113315251181E-2</v>
      </c>
    </row>
    <row r="93" spans="1:11">
      <c r="A93" s="33">
        <v>29434</v>
      </c>
      <c r="B93" s="279">
        <v>1118732</v>
      </c>
      <c r="C93" s="279">
        <v>114911</v>
      </c>
      <c r="D93" s="277">
        <v>34580000</v>
      </c>
      <c r="E93" s="47">
        <f t="shared" si="7"/>
        <v>2.8210039613227596E-2</v>
      </c>
      <c r="F93" s="277">
        <v>1180000</v>
      </c>
      <c r="G93" s="47">
        <f t="shared" si="8"/>
        <v>3.2997762863534674E-2</v>
      </c>
      <c r="H93" s="63">
        <v>1.5700000000000002E-2</v>
      </c>
      <c r="I93" s="280">
        <v>1</v>
      </c>
      <c r="J93" s="281">
        <f t="shared" si="9"/>
        <v>3.1370665659298608E-2</v>
      </c>
    </row>
    <row r="94" spans="1:11">
      <c r="A94" s="33">
        <v>29465</v>
      </c>
      <c r="B94" s="279">
        <v>1106078</v>
      </c>
      <c r="C94" s="279">
        <v>118411</v>
      </c>
      <c r="D94" s="277">
        <v>34800000</v>
      </c>
      <c r="E94" s="47">
        <f t="shared" si="7"/>
        <v>2.7597971111109312E-2</v>
      </c>
      <c r="F94" s="277">
        <v>1140000</v>
      </c>
      <c r="G94" s="47">
        <f t="shared" si="8"/>
        <v>3.1719532554257093E-2</v>
      </c>
      <c r="H94" s="63">
        <v>1.5300000000000001E-2</v>
      </c>
      <c r="I94" s="280">
        <v>1</v>
      </c>
      <c r="J94" s="281">
        <f t="shared" si="9"/>
        <v>3.0591090618388151E-2</v>
      </c>
    </row>
    <row r="95" spans="1:11">
      <c r="A95" s="33">
        <v>29495</v>
      </c>
      <c r="B95" s="279">
        <v>1102011</v>
      </c>
      <c r="C95" s="279">
        <v>115132</v>
      </c>
      <c r="D95" s="277">
        <v>34840000</v>
      </c>
      <c r="E95" s="47">
        <f t="shared" si="7"/>
        <v>2.7545770872199053E-2</v>
      </c>
      <c r="F95" s="277">
        <v>1180000</v>
      </c>
      <c r="G95" s="47">
        <f t="shared" si="8"/>
        <v>3.2759578012215435E-2</v>
      </c>
      <c r="H95" s="63">
        <v>1.6E-2</v>
      </c>
      <c r="I95" s="280">
        <v>1</v>
      </c>
      <c r="J95" s="281">
        <f t="shared" si="9"/>
        <v>3.1955021330892612E-2</v>
      </c>
    </row>
    <row r="96" spans="1:11">
      <c r="A96" s="33">
        <v>29526</v>
      </c>
      <c r="B96" s="279">
        <v>1101154</v>
      </c>
      <c r="C96" s="279">
        <v>121585</v>
      </c>
      <c r="D96" s="277">
        <v>34870000</v>
      </c>
      <c r="E96" s="47">
        <f t="shared" si="7"/>
        <v>2.7324428921307254E-2</v>
      </c>
      <c r="F96" s="277">
        <v>1270000</v>
      </c>
      <c r="G96" s="47">
        <f t="shared" si="8"/>
        <v>3.5141117874930822E-2</v>
      </c>
      <c r="H96" s="63">
        <v>1.5600000000000001E-2</v>
      </c>
      <c r="I96" s="280">
        <v>1</v>
      </c>
      <c r="J96" s="281">
        <f t="shared" si="9"/>
        <v>3.1175818821306225E-2</v>
      </c>
    </row>
    <row r="97" spans="1:11">
      <c r="A97" s="33">
        <v>29556</v>
      </c>
      <c r="B97" s="279">
        <v>1101053</v>
      </c>
      <c r="C97" s="279">
        <v>135990</v>
      </c>
      <c r="D97" s="277">
        <v>34880000</v>
      </c>
      <c r="E97" s="47">
        <f t="shared" si="7"/>
        <v>2.6923177677215967E-2</v>
      </c>
      <c r="F97" s="277">
        <v>1250000</v>
      </c>
      <c r="G97" s="47">
        <f t="shared" si="8"/>
        <v>3.4597287572654303E-2</v>
      </c>
      <c r="H97" s="63">
        <v>1.61E-2</v>
      </c>
      <c r="I97" s="280">
        <v>1</v>
      </c>
      <c r="J97" s="281">
        <f t="shared" si="9"/>
        <v>3.2149745601141276E-2</v>
      </c>
      <c r="K97" s="282">
        <f t="shared" ref="K97" si="12">AVERAGE(J86:J97)</f>
        <v>3.1467852744790914E-2</v>
      </c>
    </row>
    <row r="98" spans="1:11">
      <c r="A98" s="33">
        <v>29587</v>
      </c>
      <c r="B98" s="279">
        <v>1096338</v>
      </c>
      <c r="C98" s="279">
        <v>128920</v>
      </c>
      <c r="D98" s="277">
        <v>35050000</v>
      </c>
      <c r="E98" s="47">
        <f t="shared" si="7"/>
        <v>2.6859726591173194E-2</v>
      </c>
      <c r="F98" s="277">
        <v>1190000</v>
      </c>
      <c r="G98" s="47">
        <f t="shared" si="8"/>
        <v>3.283664459161148E-2</v>
      </c>
      <c r="H98" s="63">
        <v>1.5700000000000002E-2</v>
      </c>
      <c r="I98" s="280">
        <v>1</v>
      </c>
      <c r="J98" s="281">
        <f t="shared" si="9"/>
        <v>3.1370665659298608E-2</v>
      </c>
    </row>
    <row r="99" spans="1:11">
      <c r="A99" s="33">
        <v>29618</v>
      </c>
      <c r="B99" s="279">
        <v>1083940</v>
      </c>
      <c r="C99" s="279">
        <v>123036</v>
      </c>
      <c r="D99" s="277">
        <v>34860000</v>
      </c>
      <c r="E99" s="47">
        <f t="shared" si="7"/>
        <v>2.6825230318028824E-2</v>
      </c>
      <c r="F99" s="277">
        <v>1280000</v>
      </c>
      <c r="G99" s="47">
        <f t="shared" si="8"/>
        <v>3.5417819590481459E-2</v>
      </c>
      <c r="H99" s="63">
        <v>1.5300000000000001E-2</v>
      </c>
      <c r="I99" s="280">
        <v>1</v>
      </c>
      <c r="J99" s="281">
        <f t="shared" si="9"/>
        <v>3.0591090618388151E-2</v>
      </c>
    </row>
    <row r="100" spans="1:11">
      <c r="A100" s="33">
        <v>29646</v>
      </c>
      <c r="B100" s="279">
        <v>1072703</v>
      </c>
      <c r="C100" s="279">
        <v>121444</v>
      </c>
      <c r="D100" s="277">
        <v>34800000</v>
      </c>
      <c r="E100" s="47">
        <f t="shared" si="7"/>
        <v>2.6607706318818029E-2</v>
      </c>
      <c r="F100" s="277">
        <v>1260000</v>
      </c>
      <c r="G100" s="47">
        <f t="shared" si="8"/>
        <v>3.4941763727121461E-2</v>
      </c>
      <c r="H100" s="63">
        <v>1.6E-2</v>
      </c>
      <c r="I100" s="280">
        <v>1</v>
      </c>
      <c r="J100" s="281">
        <f t="shared" si="9"/>
        <v>3.1955021330892612E-2</v>
      </c>
    </row>
    <row r="101" spans="1:11">
      <c r="A101" s="33">
        <v>29677</v>
      </c>
      <c r="B101" s="279">
        <v>1082900</v>
      </c>
      <c r="C101" s="279">
        <v>113404</v>
      </c>
      <c r="D101" s="277">
        <v>35190000</v>
      </c>
      <c r="E101" s="47">
        <f t="shared" si="7"/>
        <v>2.6811656888138042E-2</v>
      </c>
      <c r="F101" s="277">
        <v>1280000</v>
      </c>
      <c r="G101" s="47">
        <f t="shared" si="8"/>
        <v>3.5097340279681928E-2</v>
      </c>
      <c r="H101" s="63">
        <v>1.67E-2</v>
      </c>
      <c r="I101" s="280">
        <v>1</v>
      </c>
      <c r="J101" s="281">
        <f t="shared" si="9"/>
        <v>3.3317464608337982E-2</v>
      </c>
    </row>
    <row r="102" spans="1:11">
      <c r="A102" s="33">
        <v>29707</v>
      </c>
      <c r="B102" s="279">
        <v>1096612</v>
      </c>
      <c r="C102" s="279">
        <v>119836</v>
      </c>
      <c r="D102" s="277">
        <v>35090000</v>
      </c>
      <c r="E102" s="47">
        <f t="shared" si="7"/>
        <v>2.7082431764901858E-2</v>
      </c>
      <c r="F102" s="277">
        <v>1320000</v>
      </c>
      <c r="G102" s="47">
        <f t="shared" si="8"/>
        <v>3.6253776435045321E-2</v>
      </c>
      <c r="H102" s="63">
        <v>1.4800000000000001E-2</v>
      </c>
      <c r="I102" s="280">
        <v>1</v>
      </c>
      <c r="J102" s="281">
        <f t="shared" si="9"/>
        <v>2.9615905294467667E-2</v>
      </c>
    </row>
    <row r="103" spans="1:11">
      <c r="A103" s="33">
        <v>29738</v>
      </c>
      <c r="B103" s="279">
        <v>1116485</v>
      </c>
      <c r="C103" s="279">
        <v>120063</v>
      </c>
      <c r="D103" s="277">
        <v>35080000</v>
      </c>
      <c r="E103" s="47">
        <f t="shared" si="7"/>
        <v>2.7619756748604393E-2</v>
      </c>
      <c r="F103" s="277">
        <v>1290000</v>
      </c>
      <c r="G103" s="47">
        <f t="shared" si="8"/>
        <v>3.5468792961231788E-2</v>
      </c>
      <c r="H103" s="63">
        <v>1.4999999999999999E-2</v>
      </c>
      <c r="I103" s="280">
        <v>1</v>
      </c>
      <c r="J103" s="281">
        <f t="shared" si="9"/>
        <v>3.0006076470527158E-2</v>
      </c>
    </row>
    <row r="104" spans="1:11">
      <c r="A104" s="33">
        <v>29768</v>
      </c>
      <c r="B104" s="279">
        <v>1131577</v>
      </c>
      <c r="C104" s="279">
        <v>115091</v>
      </c>
      <c r="D104" s="277">
        <v>34950000</v>
      </c>
      <c r="E104" s="47">
        <f t="shared" si="7"/>
        <v>2.8262032604464055E-2</v>
      </c>
      <c r="F104" s="277">
        <v>1260000</v>
      </c>
      <c r="G104" s="47">
        <f t="shared" si="8"/>
        <v>3.4797017398508698E-2</v>
      </c>
      <c r="H104" s="63">
        <v>1.55E-2</v>
      </c>
      <c r="I104" s="280">
        <v>1</v>
      </c>
      <c r="J104" s="281">
        <f t="shared" si="9"/>
        <v>3.0980940839579321E-2</v>
      </c>
    </row>
    <row r="105" spans="1:11">
      <c r="A105" s="33">
        <v>29799</v>
      </c>
      <c r="B105" s="279">
        <v>1136150</v>
      </c>
      <c r="C105" s="279">
        <v>116139</v>
      </c>
      <c r="D105" s="277">
        <v>34860000</v>
      </c>
      <c r="E105" s="47">
        <f t="shared" si="7"/>
        <v>2.8428391507460796E-2</v>
      </c>
      <c r="F105" s="277">
        <v>1190000</v>
      </c>
      <c r="G105" s="47">
        <f t="shared" si="8"/>
        <v>3.3009708737864081E-2</v>
      </c>
      <c r="H105" s="63">
        <v>1.5300000000000001E-2</v>
      </c>
      <c r="I105" s="280">
        <v>1</v>
      </c>
      <c r="J105" s="281">
        <f t="shared" si="9"/>
        <v>3.0591090618388151E-2</v>
      </c>
    </row>
    <row r="106" spans="1:11">
      <c r="A106" s="33">
        <v>29830</v>
      </c>
      <c r="B106" s="279">
        <v>1126915</v>
      </c>
      <c r="C106" s="279">
        <v>115463</v>
      </c>
      <c r="D106" s="277">
        <v>35140000</v>
      </c>
      <c r="E106" s="47">
        <f t="shared" si="7"/>
        <v>2.797818466599903E-2</v>
      </c>
      <c r="F106" s="277">
        <v>1250000</v>
      </c>
      <c r="G106" s="47">
        <f t="shared" si="8"/>
        <v>3.4350096180269303E-2</v>
      </c>
      <c r="H106" s="63">
        <v>1.5700000000000002E-2</v>
      </c>
      <c r="I106" s="280">
        <v>1</v>
      </c>
      <c r="J106" s="281">
        <f t="shared" si="9"/>
        <v>3.1370665659298608E-2</v>
      </c>
    </row>
    <row r="107" spans="1:11">
      <c r="A107" s="33">
        <v>29860</v>
      </c>
      <c r="B107" s="279">
        <v>1113394</v>
      </c>
      <c r="C107" s="279">
        <v>113522</v>
      </c>
      <c r="D107" s="277">
        <v>35400000</v>
      </c>
      <c r="E107" s="47">
        <f t="shared" si="7"/>
        <v>2.7469107583675021E-2</v>
      </c>
      <c r="F107" s="277">
        <v>1270000</v>
      </c>
      <c r="G107" s="47">
        <f t="shared" si="8"/>
        <v>3.463321516225798E-2</v>
      </c>
      <c r="H107" s="63">
        <v>1.5300000000000001E-2</v>
      </c>
      <c r="I107" s="280">
        <v>1</v>
      </c>
      <c r="J107" s="281">
        <f t="shared" si="9"/>
        <v>3.0591090618388151E-2</v>
      </c>
    </row>
    <row r="108" spans="1:11">
      <c r="A108" s="33">
        <v>29891</v>
      </c>
      <c r="B108" s="279">
        <v>1108043</v>
      </c>
      <c r="C108" s="279">
        <v>115061</v>
      </c>
      <c r="D108" s="277">
        <v>35410000</v>
      </c>
      <c r="E108" s="47">
        <f t="shared" si="7"/>
        <v>2.7277490618763046E-2</v>
      </c>
      <c r="F108" s="277">
        <v>1250000</v>
      </c>
      <c r="G108" s="47">
        <f t="shared" si="8"/>
        <v>3.4097108565193671E-2</v>
      </c>
      <c r="H108" s="63">
        <v>1.49E-2</v>
      </c>
      <c r="I108" s="280">
        <v>1</v>
      </c>
      <c r="J108" s="281">
        <f t="shared" si="9"/>
        <v>2.9811007204612317E-2</v>
      </c>
    </row>
    <row r="109" spans="1:11">
      <c r="A109" s="33">
        <v>29921</v>
      </c>
      <c r="B109" s="279">
        <v>1131477</v>
      </c>
      <c r="C109" s="279">
        <v>113829</v>
      </c>
      <c r="D109" s="277">
        <v>35300000</v>
      </c>
      <c r="E109" s="47">
        <f t="shared" si="7"/>
        <v>2.8020757291331199E-2</v>
      </c>
      <c r="F109" s="277">
        <v>1270000</v>
      </c>
      <c r="G109" s="47">
        <f t="shared" si="8"/>
        <v>3.4727919059338253E-2</v>
      </c>
      <c r="H109" s="63">
        <v>1.5300000000000001E-2</v>
      </c>
      <c r="I109" s="280">
        <v>1</v>
      </c>
      <c r="J109" s="281">
        <f t="shared" si="9"/>
        <v>3.0591090618388151E-2</v>
      </c>
      <c r="K109" s="282">
        <f t="shared" ref="K109" si="13">AVERAGE(J98:J109)</f>
        <v>3.089934246171391E-2</v>
      </c>
    </row>
    <row r="110" spans="1:11">
      <c r="A110" s="33">
        <v>29952</v>
      </c>
      <c r="B110" s="279">
        <v>1111284</v>
      </c>
      <c r="C110" s="279">
        <v>115741</v>
      </c>
      <c r="D110" s="277">
        <v>35490000</v>
      </c>
      <c r="E110" s="47">
        <f t="shared" si="7"/>
        <v>2.7285958167047149E-2</v>
      </c>
      <c r="F110" s="277">
        <v>1270000</v>
      </c>
      <c r="G110" s="47">
        <f t="shared" si="8"/>
        <v>3.4548422198041349E-2</v>
      </c>
      <c r="H110" s="63">
        <v>1.4999999999999999E-2</v>
      </c>
      <c r="I110" s="280">
        <v>1</v>
      </c>
      <c r="J110" s="281">
        <f t="shared" si="9"/>
        <v>3.0006076470527158E-2</v>
      </c>
    </row>
    <row r="111" spans="1:11">
      <c r="A111" s="33">
        <v>29983</v>
      </c>
      <c r="B111" s="279">
        <v>1101890</v>
      </c>
      <c r="C111" s="279">
        <v>115694</v>
      </c>
      <c r="D111" s="277">
        <v>35490000</v>
      </c>
      <c r="E111" s="47">
        <f t="shared" si="7"/>
        <v>2.703670086650483E-2</v>
      </c>
      <c r="F111" s="277">
        <v>1280000</v>
      </c>
      <c r="G111" s="47">
        <f t="shared" si="8"/>
        <v>3.4810987217840629E-2</v>
      </c>
      <c r="H111" s="63">
        <v>1.5700000000000002E-2</v>
      </c>
      <c r="I111" s="280">
        <v>1</v>
      </c>
      <c r="J111" s="281">
        <f t="shared" si="9"/>
        <v>3.1370665659298608E-2</v>
      </c>
    </row>
    <row r="112" spans="1:11">
      <c r="A112" s="33">
        <v>30011</v>
      </c>
      <c r="B112" s="279">
        <v>1079287</v>
      </c>
      <c r="C112" s="279">
        <v>117178</v>
      </c>
      <c r="D112" s="277">
        <v>35500000</v>
      </c>
      <c r="E112" s="47">
        <f t="shared" si="7"/>
        <v>2.6386542808042177E-2</v>
      </c>
      <c r="F112" s="277">
        <v>1310000</v>
      </c>
      <c r="G112" s="47">
        <f t="shared" si="8"/>
        <v>3.5588155392556373E-2</v>
      </c>
      <c r="H112" s="63">
        <v>1.49E-2</v>
      </c>
      <c r="I112" s="280">
        <v>1</v>
      </c>
      <c r="J112" s="281">
        <f t="shared" si="9"/>
        <v>2.9811007204612317E-2</v>
      </c>
    </row>
    <row r="113" spans="1:11">
      <c r="A113" s="33">
        <v>30042</v>
      </c>
      <c r="B113" s="279">
        <v>1065230</v>
      </c>
      <c r="C113" s="279">
        <v>115790</v>
      </c>
      <c r="D113" s="277">
        <v>35830000</v>
      </c>
      <c r="E113" s="47">
        <f t="shared" si="7"/>
        <v>2.5814422405561369E-2</v>
      </c>
      <c r="F113" s="277">
        <v>1330000</v>
      </c>
      <c r="G113" s="47">
        <f t="shared" si="8"/>
        <v>3.579117330462863E-2</v>
      </c>
      <c r="H113" s="63">
        <v>1.4199999999999999E-2</v>
      </c>
      <c r="I113" s="280">
        <v>1</v>
      </c>
      <c r="J113" s="281">
        <f t="shared" si="9"/>
        <v>2.8444595421985828E-2</v>
      </c>
    </row>
    <row r="114" spans="1:11">
      <c r="A114" s="33">
        <v>30072</v>
      </c>
      <c r="B114" s="279">
        <v>1041356</v>
      </c>
      <c r="C114" s="279">
        <v>116884</v>
      </c>
      <c r="D114" s="277">
        <v>35740000</v>
      </c>
      <c r="E114" s="47">
        <f t="shared" si="7"/>
        <v>2.5214381922641624E-2</v>
      </c>
      <c r="F114" s="277">
        <v>1340000</v>
      </c>
      <c r="G114" s="47">
        <f t="shared" si="8"/>
        <v>3.6138079827400214E-2</v>
      </c>
      <c r="H114" s="63">
        <v>1.61E-2</v>
      </c>
      <c r="I114" s="280">
        <v>1</v>
      </c>
      <c r="J114" s="281">
        <f t="shared" si="9"/>
        <v>3.2149745601141276E-2</v>
      </c>
    </row>
    <row r="115" spans="1:11">
      <c r="A115" s="33">
        <v>30103</v>
      </c>
      <c r="B115" s="279">
        <v>1034680</v>
      </c>
      <c r="C115" s="279">
        <v>113300</v>
      </c>
      <c r="D115" s="277">
        <v>35490000</v>
      </c>
      <c r="E115" s="47">
        <f t="shared" si="7"/>
        <v>2.5304726159788505E-2</v>
      </c>
      <c r="F115" s="277">
        <v>1400000</v>
      </c>
      <c r="G115" s="47">
        <f t="shared" si="8"/>
        <v>3.7950664136622389E-2</v>
      </c>
      <c r="H115" s="63">
        <v>1.6399999999999998E-2</v>
      </c>
      <c r="I115" s="280">
        <v>1</v>
      </c>
      <c r="J115" s="281">
        <f t="shared" si="9"/>
        <v>3.2733738255757296E-2</v>
      </c>
    </row>
    <row r="116" spans="1:11">
      <c r="A116" s="33">
        <v>30133</v>
      </c>
      <c r="B116" s="279">
        <v>1033163</v>
      </c>
      <c r="C116" s="279">
        <v>110162</v>
      </c>
      <c r="D116" s="277">
        <v>35580000</v>
      </c>
      <c r="E116" s="47">
        <f t="shared" si="7"/>
        <v>2.5285619667270644E-2</v>
      </c>
      <c r="F116" s="277">
        <v>1380000</v>
      </c>
      <c r="G116" s="47">
        <f t="shared" si="8"/>
        <v>3.7337662337662336E-2</v>
      </c>
      <c r="H116" s="63">
        <v>1.5900000000000001E-2</v>
      </c>
      <c r="I116" s="280">
        <v>1</v>
      </c>
      <c r="J116" s="281">
        <f t="shared" si="9"/>
        <v>3.1760266714674884E-2</v>
      </c>
    </row>
    <row r="117" spans="1:11">
      <c r="A117" s="33">
        <v>30164</v>
      </c>
      <c r="B117" s="279">
        <v>1036461</v>
      </c>
      <c r="C117" s="279">
        <v>113487</v>
      </c>
      <c r="D117" s="277">
        <v>35700000</v>
      </c>
      <c r="E117" s="47">
        <f t="shared" si="7"/>
        <v>2.5202049402104808E-2</v>
      </c>
      <c r="F117" s="277">
        <v>1350000</v>
      </c>
      <c r="G117" s="47">
        <f t="shared" si="8"/>
        <v>3.643724696356275E-2</v>
      </c>
      <c r="H117" s="63">
        <v>1.61E-2</v>
      </c>
      <c r="I117" s="280">
        <v>1</v>
      </c>
      <c r="J117" s="281">
        <f t="shared" si="9"/>
        <v>3.2149745601141276E-2</v>
      </c>
    </row>
    <row r="118" spans="1:11">
      <c r="A118" s="33">
        <v>30195</v>
      </c>
      <c r="B118" s="279">
        <v>1037459</v>
      </c>
      <c r="C118" s="279">
        <v>110934</v>
      </c>
      <c r="D118" s="277">
        <v>35610000</v>
      </c>
      <c r="E118" s="47">
        <f t="shared" si="7"/>
        <v>2.5358870335917279E-2</v>
      </c>
      <c r="F118" s="277">
        <v>1390000</v>
      </c>
      <c r="G118" s="47">
        <f t="shared" si="8"/>
        <v>3.7567567567567565E-2</v>
      </c>
      <c r="H118" s="63">
        <v>1.6E-2</v>
      </c>
      <c r="I118" s="280">
        <v>1</v>
      </c>
      <c r="J118" s="281">
        <f t="shared" si="9"/>
        <v>3.1955021330892612E-2</v>
      </c>
    </row>
    <row r="119" spans="1:11">
      <c r="A119" s="33">
        <v>30225</v>
      </c>
      <c r="B119" s="279">
        <v>1032510</v>
      </c>
      <c r="C119" s="279">
        <v>110344</v>
      </c>
      <c r="D119" s="277">
        <v>35700000</v>
      </c>
      <c r="E119" s="47">
        <f t="shared" si="7"/>
        <v>2.5180542297798553E-2</v>
      </c>
      <c r="F119" s="277">
        <v>1440000</v>
      </c>
      <c r="G119" s="47">
        <f t="shared" si="8"/>
        <v>3.8772213247172858E-2</v>
      </c>
      <c r="H119" s="63">
        <v>1.5700000000000002E-2</v>
      </c>
      <c r="I119" s="280">
        <v>1</v>
      </c>
      <c r="J119" s="281">
        <f t="shared" si="9"/>
        <v>3.1370665659298608E-2</v>
      </c>
    </row>
    <row r="120" spans="1:11">
      <c r="A120" s="33">
        <v>30256</v>
      </c>
      <c r="B120" s="279">
        <v>1036861</v>
      </c>
      <c r="C120" s="279">
        <v>109450</v>
      </c>
      <c r="D120" s="277">
        <v>35850000</v>
      </c>
      <c r="E120" s="47">
        <f t="shared" si="7"/>
        <v>2.5216864776044186E-2</v>
      </c>
      <c r="F120" s="277">
        <v>1410000</v>
      </c>
      <c r="G120" s="47">
        <f t="shared" si="8"/>
        <v>3.7842190016103061E-2</v>
      </c>
      <c r="H120" s="63">
        <v>1.6E-2</v>
      </c>
      <c r="I120" s="280">
        <v>1</v>
      </c>
      <c r="J120" s="281">
        <f t="shared" si="9"/>
        <v>3.1955021330892612E-2</v>
      </c>
    </row>
    <row r="121" spans="1:11">
      <c r="A121" s="33">
        <v>30286</v>
      </c>
      <c r="B121" s="279">
        <v>1041860</v>
      </c>
      <c r="C121" s="279">
        <v>107662</v>
      </c>
      <c r="D121" s="277">
        <v>36140000</v>
      </c>
      <c r="E121" s="47">
        <f t="shared" si="7"/>
        <v>2.519806362365546E-2</v>
      </c>
      <c r="F121" s="277">
        <v>1460000</v>
      </c>
      <c r="G121" s="47">
        <f t="shared" si="8"/>
        <v>3.8829787234042554E-2</v>
      </c>
      <c r="H121" s="63">
        <v>1.7000000000000001E-2</v>
      </c>
      <c r="I121" s="280">
        <v>1</v>
      </c>
      <c r="J121" s="281">
        <f t="shared" si="9"/>
        <v>3.390092956145975E-2</v>
      </c>
      <c r="K121" s="282">
        <f t="shared" ref="K121" si="14">AVERAGE(J110:J121)</f>
        <v>3.1467289900973514E-2</v>
      </c>
    </row>
    <row r="122" spans="1:11">
      <c r="A122" s="33">
        <v>30317</v>
      </c>
      <c r="B122" s="279">
        <v>1040212</v>
      </c>
      <c r="C122" s="279">
        <v>107701</v>
      </c>
      <c r="D122" s="277">
        <v>36230000</v>
      </c>
      <c r="E122" s="47">
        <f t="shared" si="7"/>
        <v>2.5092787729010024E-2</v>
      </c>
      <c r="F122" s="277">
        <v>1580000</v>
      </c>
      <c r="G122" s="47">
        <f t="shared" si="8"/>
        <v>4.178788680243322E-2</v>
      </c>
      <c r="H122" s="63">
        <v>1.6299999999999999E-2</v>
      </c>
      <c r="I122" s="280">
        <v>1</v>
      </c>
      <c r="J122" s="281">
        <f t="shared" si="9"/>
        <v>3.2539103874001662E-2</v>
      </c>
    </row>
    <row r="123" spans="1:11">
      <c r="A123" s="33">
        <v>30348</v>
      </c>
      <c r="B123" s="279">
        <v>1036792</v>
      </c>
      <c r="C123" s="279">
        <v>109904</v>
      </c>
      <c r="D123" s="277">
        <v>36430000</v>
      </c>
      <c r="E123" s="47">
        <f t="shared" si="7"/>
        <v>2.4811702730698552E-2</v>
      </c>
      <c r="F123" s="277">
        <v>1560000</v>
      </c>
      <c r="G123" s="47">
        <f t="shared" si="8"/>
        <v>4.1063437746775469E-2</v>
      </c>
      <c r="H123" s="63">
        <v>1.55E-2</v>
      </c>
      <c r="I123" s="280">
        <v>1</v>
      </c>
      <c r="J123" s="281">
        <f t="shared" si="9"/>
        <v>3.0980940839579321E-2</v>
      </c>
    </row>
    <row r="124" spans="1:11">
      <c r="A124" s="33">
        <v>30376</v>
      </c>
      <c r="B124" s="279">
        <v>1042866</v>
      </c>
      <c r="C124" s="279">
        <v>116941</v>
      </c>
      <c r="D124" s="277">
        <v>36790000</v>
      </c>
      <c r="E124" s="47">
        <f t="shared" si="7"/>
        <v>2.4549974579703402E-2</v>
      </c>
      <c r="F124" s="277">
        <v>1530000</v>
      </c>
      <c r="G124" s="47">
        <f t="shared" si="8"/>
        <v>3.9926931106471816E-2</v>
      </c>
      <c r="H124" s="63">
        <v>1.52E-2</v>
      </c>
      <c r="I124" s="280">
        <v>1</v>
      </c>
      <c r="J124" s="281">
        <f t="shared" si="9"/>
        <v>3.0396117958832555E-2</v>
      </c>
    </row>
    <row r="125" spans="1:11">
      <c r="A125" s="33">
        <v>30407</v>
      </c>
      <c r="B125" s="279">
        <v>1044980</v>
      </c>
      <c r="C125" s="279">
        <v>115293</v>
      </c>
      <c r="D125" s="277">
        <v>36600000</v>
      </c>
      <c r="E125" s="47">
        <f t="shared" si="7"/>
        <v>2.4772042463343753E-2</v>
      </c>
      <c r="F125" s="277">
        <v>1590000</v>
      </c>
      <c r="G125" s="47">
        <f t="shared" si="8"/>
        <v>4.1633935585231735E-2</v>
      </c>
      <c r="H125" s="63">
        <v>1.5800000000000002E-2</v>
      </c>
      <c r="I125" s="280">
        <v>1</v>
      </c>
      <c r="J125" s="281">
        <f t="shared" si="9"/>
        <v>3.1565481556856553E-2</v>
      </c>
    </row>
    <row r="126" spans="1:11">
      <c r="A126" s="33">
        <v>30437</v>
      </c>
      <c r="B126" s="279">
        <v>1048983</v>
      </c>
      <c r="C126" s="279">
        <v>115094</v>
      </c>
      <c r="D126" s="277">
        <v>36640000</v>
      </c>
      <c r="E126" s="47">
        <f t="shared" si="7"/>
        <v>2.4854733562448113E-2</v>
      </c>
      <c r="F126" s="277">
        <v>1580000</v>
      </c>
      <c r="G126" s="47">
        <f t="shared" si="8"/>
        <v>4.1339612768184195E-2</v>
      </c>
      <c r="H126" s="63">
        <v>1.5700000000000002E-2</v>
      </c>
      <c r="I126" s="280">
        <v>1</v>
      </c>
      <c r="J126" s="281">
        <f t="shared" si="9"/>
        <v>3.1370665659298608E-2</v>
      </c>
    </row>
    <row r="127" spans="1:11">
      <c r="A127" s="33">
        <v>30468</v>
      </c>
      <c r="B127" s="279">
        <v>1053019</v>
      </c>
      <c r="C127" s="279">
        <v>117430</v>
      </c>
      <c r="D127" s="277">
        <v>36600000</v>
      </c>
      <c r="E127" s="47">
        <f t="shared" si="7"/>
        <v>2.4925384812797262E-2</v>
      </c>
      <c r="F127" s="277">
        <v>1500000</v>
      </c>
      <c r="G127" s="47">
        <f t="shared" si="8"/>
        <v>3.937007874015748E-2</v>
      </c>
      <c r="H127" s="63">
        <v>1.5300000000000001E-2</v>
      </c>
      <c r="I127" s="280">
        <v>1</v>
      </c>
      <c r="J127" s="281">
        <f t="shared" si="9"/>
        <v>3.0591090618388151E-2</v>
      </c>
    </row>
    <row r="128" spans="1:11">
      <c r="A128" s="33">
        <v>30498</v>
      </c>
      <c r="B128" s="279">
        <v>1057920</v>
      </c>
      <c r="C128" s="279">
        <v>118958</v>
      </c>
      <c r="D128" s="277">
        <v>36760000</v>
      </c>
      <c r="E128" s="47">
        <f t="shared" si="7"/>
        <v>2.4906839610066716E-2</v>
      </c>
      <c r="F128" s="277">
        <v>1510000</v>
      </c>
      <c r="G128" s="47">
        <f t="shared" si="8"/>
        <v>3.9456493336817347E-2</v>
      </c>
      <c r="H128" s="63">
        <v>1.61E-2</v>
      </c>
      <c r="I128" s="280">
        <v>1</v>
      </c>
      <c r="J128" s="281">
        <f t="shared" si="9"/>
        <v>3.2149745601141276E-2</v>
      </c>
    </row>
    <row r="129" spans="1:11">
      <c r="A129" s="33">
        <v>30529</v>
      </c>
      <c r="B129" s="279">
        <v>1076051</v>
      </c>
      <c r="C129" s="279">
        <v>118928</v>
      </c>
      <c r="D129" s="277">
        <v>37170000</v>
      </c>
      <c r="E129" s="47">
        <f t="shared" si="7"/>
        <v>2.5103467680999692E-2</v>
      </c>
      <c r="F129" s="277">
        <v>1640000</v>
      </c>
      <c r="G129" s="47">
        <f t="shared" si="8"/>
        <v>4.2257150219015716E-2</v>
      </c>
      <c r="H129" s="63">
        <v>1.52E-2</v>
      </c>
      <c r="I129" s="280">
        <v>1</v>
      </c>
      <c r="J129" s="281">
        <f t="shared" si="9"/>
        <v>3.0396117958832555E-2</v>
      </c>
    </row>
    <row r="130" spans="1:11">
      <c r="A130" s="33">
        <v>30560</v>
      </c>
      <c r="B130" s="279">
        <v>1090663</v>
      </c>
      <c r="C130" s="279">
        <v>119779</v>
      </c>
      <c r="D130" s="277">
        <v>36910000</v>
      </c>
      <c r="E130" s="47">
        <f t="shared" si="7"/>
        <v>2.5629919301777646E-2</v>
      </c>
      <c r="F130" s="277">
        <v>1610000</v>
      </c>
      <c r="G130" s="47">
        <f t="shared" si="8"/>
        <v>4.1796469366562825E-2</v>
      </c>
      <c r="H130" s="63">
        <v>1.4999999999999999E-2</v>
      </c>
      <c r="I130" s="280">
        <v>1</v>
      </c>
      <c r="J130" s="281">
        <f t="shared" si="9"/>
        <v>3.0006076470527158E-2</v>
      </c>
    </row>
    <row r="131" spans="1:11">
      <c r="A131" s="33">
        <v>30590</v>
      </c>
      <c r="B131" s="279">
        <v>1105504</v>
      </c>
      <c r="C131" s="279">
        <v>120009</v>
      </c>
      <c r="D131" s="277">
        <v>36680000</v>
      </c>
      <c r="E131" s="47">
        <f t="shared" ref="E131:E194" si="15">(B131-C131)/(B131-C131+D131)</f>
        <v>2.6164397945652913E-2</v>
      </c>
      <c r="F131" s="277">
        <v>1530000</v>
      </c>
      <c r="G131" s="47">
        <f t="shared" ref="G131:G194" si="16">F131/(D131+F131)</f>
        <v>4.0041873855011775E-2</v>
      </c>
      <c r="H131" s="63">
        <v>1.5800000000000002E-2</v>
      </c>
      <c r="I131" s="280">
        <v>1</v>
      </c>
      <c r="J131" s="281">
        <f t="shared" ref="J131:J194" si="17">EXP((0.036225+LOG(H131,EXP(1))*0.056981+I131*-0.001826)/(1+0.035334-0.976896))</f>
        <v>3.1565481556856553E-2</v>
      </c>
    </row>
    <row r="132" spans="1:11">
      <c r="A132" s="33">
        <v>30621</v>
      </c>
      <c r="B132" s="279">
        <v>1112512</v>
      </c>
      <c r="C132" s="279">
        <v>120238</v>
      </c>
      <c r="D132" s="277">
        <v>36850000</v>
      </c>
      <c r="E132" s="47">
        <f t="shared" si="15"/>
        <v>2.622131006186362E-2</v>
      </c>
      <c r="F132" s="277">
        <v>1550000</v>
      </c>
      <c r="G132" s="47">
        <f t="shared" si="16"/>
        <v>4.0364583333333336E-2</v>
      </c>
      <c r="H132" s="63">
        <v>1.66E-2</v>
      </c>
      <c r="I132" s="280">
        <v>1</v>
      </c>
      <c r="J132" s="281">
        <f t="shared" si="17"/>
        <v>3.3122918440268365E-2</v>
      </c>
    </row>
    <row r="133" spans="1:11">
      <c r="A133" s="33">
        <v>30651</v>
      </c>
      <c r="B133" s="279">
        <v>1122884</v>
      </c>
      <c r="C133" s="279">
        <v>122021</v>
      </c>
      <c r="D133" s="277">
        <v>37120000</v>
      </c>
      <c r="E133" s="47">
        <f t="shared" si="15"/>
        <v>2.6254993230347381E-2</v>
      </c>
      <c r="F133" s="277">
        <v>1550000</v>
      </c>
      <c r="G133" s="47">
        <f t="shared" si="16"/>
        <v>4.0082751486940779E-2</v>
      </c>
      <c r="H133" s="63">
        <v>1.55E-2</v>
      </c>
      <c r="I133" s="280">
        <v>1</v>
      </c>
      <c r="J133" s="281">
        <f t="shared" si="17"/>
        <v>3.0980940839579321E-2</v>
      </c>
      <c r="K133" s="282">
        <f t="shared" ref="K133" si="18">AVERAGE(J122:J133)</f>
        <v>3.1305390114513512E-2</v>
      </c>
    </row>
    <row r="134" spans="1:11">
      <c r="A134" s="33">
        <v>30682</v>
      </c>
      <c r="B134" s="279">
        <v>1127222</v>
      </c>
      <c r="C134" s="279">
        <v>119399</v>
      </c>
      <c r="D134" s="277">
        <v>36940000</v>
      </c>
      <c r="E134" s="47">
        <f t="shared" si="15"/>
        <v>2.6558124296089395E-2</v>
      </c>
      <c r="F134" s="277">
        <v>1610000</v>
      </c>
      <c r="G134" s="47">
        <f t="shared" si="16"/>
        <v>4.1763942931258104E-2</v>
      </c>
      <c r="H134" s="63">
        <v>1.5900000000000001E-2</v>
      </c>
      <c r="I134" s="280">
        <v>1</v>
      </c>
      <c r="J134" s="281">
        <f t="shared" si="17"/>
        <v>3.1760266714674884E-2</v>
      </c>
    </row>
    <row r="135" spans="1:11">
      <c r="A135" s="33">
        <v>30713</v>
      </c>
      <c r="B135" s="279">
        <v>1134104</v>
      </c>
      <c r="C135" s="279">
        <v>116593</v>
      </c>
      <c r="D135" s="277">
        <v>37030000</v>
      </c>
      <c r="E135" s="47">
        <f t="shared" si="15"/>
        <v>2.6743168561013098E-2</v>
      </c>
      <c r="F135" s="277">
        <v>1610000</v>
      </c>
      <c r="G135" s="47">
        <f t="shared" si="16"/>
        <v>4.1666666666666664E-2</v>
      </c>
      <c r="H135" s="63">
        <v>1.5800000000000002E-2</v>
      </c>
      <c r="I135" s="280">
        <v>1</v>
      </c>
      <c r="J135" s="281">
        <f t="shared" si="17"/>
        <v>3.1565481556856553E-2</v>
      </c>
    </row>
    <row r="136" spans="1:11">
      <c r="A136" s="33">
        <v>30742</v>
      </c>
      <c r="B136" s="279">
        <v>1139903</v>
      </c>
      <c r="C136" s="279">
        <v>122524</v>
      </c>
      <c r="D136" s="277">
        <v>37100000</v>
      </c>
      <c r="E136" s="47">
        <f t="shared" si="15"/>
        <v>2.6690686156569159E-2</v>
      </c>
      <c r="F136" s="277">
        <v>1590000</v>
      </c>
      <c r="G136" s="47">
        <f t="shared" si="16"/>
        <v>4.1095890410958902E-2</v>
      </c>
      <c r="H136" s="63">
        <v>1.66E-2</v>
      </c>
      <c r="I136" s="280">
        <v>1</v>
      </c>
      <c r="J136" s="281">
        <f t="shared" si="17"/>
        <v>3.3122918440268365E-2</v>
      </c>
    </row>
    <row r="137" spans="1:11">
      <c r="A137" s="33">
        <v>30773</v>
      </c>
      <c r="B137" s="279">
        <v>1153907</v>
      </c>
      <c r="C137" s="279">
        <v>124698</v>
      </c>
      <c r="D137" s="277">
        <v>36950000</v>
      </c>
      <c r="E137" s="47">
        <f t="shared" si="15"/>
        <v>2.7099274237122738E-2</v>
      </c>
      <c r="F137" s="277">
        <v>1570000</v>
      </c>
      <c r="G137" s="47">
        <f t="shared" si="16"/>
        <v>4.0758047767393564E-2</v>
      </c>
      <c r="H137" s="63">
        <v>1.6299999999999999E-2</v>
      </c>
      <c r="I137" s="280">
        <v>1</v>
      </c>
      <c r="J137" s="281">
        <f t="shared" si="17"/>
        <v>3.2539103874001662E-2</v>
      </c>
    </row>
    <row r="138" spans="1:11">
      <c r="A138" s="33">
        <v>30803</v>
      </c>
      <c r="B138" s="279">
        <v>1158282</v>
      </c>
      <c r="C138" s="279">
        <v>124545</v>
      </c>
      <c r="D138" s="277">
        <v>37200000</v>
      </c>
      <c r="E138" s="47">
        <f t="shared" si="15"/>
        <v>2.7037299545163478E-2</v>
      </c>
      <c r="F138" s="277">
        <v>1590000</v>
      </c>
      <c r="G138" s="47">
        <f t="shared" si="16"/>
        <v>4.0989945862335654E-2</v>
      </c>
      <c r="H138" s="63">
        <v>1.4800000000000001E-2</v>
      </c>
      <c r="I138" s="280">
        <v>1</v>
      </c>
      <c r="J138" s="281">
        <f t="shared" si="17"/>
        <v>2.9615905294467667E-2</v>
      </c>
    </row>
    <row r="139" spans="1:11">
      <c r="A139" s="33">
        <v>30834</v>
      </c>
      <c r="B139" s="279">
        <v>1171248</v>
      </c>
      <c r="C139" s="279">
        <v>124916</v>
      </c>
      <c r="D139" s="277">
        <v>37360000</v>
      </c>
      <c r="E139" s="47">
        <f t="shared" si="15"/>
        <v>2.7243736787985896E-2</v>
      </c>
      <c r="F139" s="277">
        <v>1650000</v>
      </c>
      <c r="G139" s="47">
        <f t="shared" si="16"/>
        <v>4.2296846962317357E-2</v>
      </c>
      <c r="H139" s="63">
        <v>1.5600000000000001E-2</v>
      </c>
      <c r="I139" s="280">
        <v>1</v>
      </c>
      <c r="J139" s="281">
        <f t="shared" si="17"/>
        <v>3.1175818821306225E-2</v>
      </c>
    </row>
    <row r="140" spans="1:11">
      <c r="A140" s="33">
        <v>30864</v>
      </c>
      <c r="B140" s="279">
        <v>1183152</v>
      </c>
      <c r="C140" s="279">
        <v>125872</v>
      </c>
      <c r="D140" s="277">
        <v>37180000</v>
      </c>
      <c r="E140" s="47">
        <f t="shared" si="15"/>
        <v>2.7650502336986314E-2</v>
      </c>
      <c r="F140" s="277">
        <v>1650000</v>
      </c>
      <c r="G140" s="47">
        <f t="shared" si="16"/>
        <v>4.2492917847025496E-2</v>
      </c>
      <c r="H140" s="63">
        <v>1.5800000000000002E-2</v>
      </c>
      <c r="I140" s="280">
        <v>1</v>
      </c>
      <c r="J140" s="281">
        <f t="shared" si="17"/>
        <v>3.1565481556856553E-2</v>
      </c>
    </row>
    <row r="141" spans="1:11">
      <c r="A141" s="33">
        <v>30895</v>
      </c>
      <c r="B141" s="279">
        <v>1183981</v>
      </c>
      <c r="C141" s="279">
        <v>126239</v>
      </c>
      <c r="D141" s="277">
        <v>37350000</v>
      </c>
      <c r="E141" s="47">
        <f t="shared" si="15"/>
        <v>2.7539812155580507E-2</v>
      </c>
      <c r="F141" s="277">
        <v>1620000</v>
      </c>
      <c r="G141" s="47">
        <f t="shared" si="16"/>
        <v>4.1570438799076209E-2</v>
      </c>
      <c r="H141" s="63">
        <v>1.5300000000000001E-2</v>
      </c>
      <c r="I141" s="280">
        <v>1</v>
      </c>
      <c r="J141" s="281">
        <f t="shared" si="17"/>
        <v>3.0591090618388151E-2</v>
      </c>
    </row>
    <row r="142" spans="1:11">
      <c r="A142" s="33">
        <v>30926</v>
      </c>
      <c r="B142" s="279">
        <v>1178097</v>
      </c>
      <c r="C142" s="279">
        <v>127633</v>
      </c>
      <c r="D142" s="277">
        <v>37540000</v>
      </c>
      <c r="E142" s="47">
        <f t="shared" si="15"/>
        <v>2.7220818075677972E-2</v>
      </c>
      <c r="F142" s="277">
        <v>1620000</v>
      </c>
      <c r="G142" s="47">
        <f t="shared" si="16"/>
        <v>4.1368743615934629E-2</v>
      </c>
      <c r="H142" s="63">
        <v>1.5300000000000001E-2</v>
      </c>
      <c r="I142" s="280">
        <v>1</v>
      </c>
      <c r="J142" s="281">
        <f t="shared" si="17"/>
        <v>3.0591090618388151E-2</v>
      </c>
    </row>
    <row r="143" spans="1:11">
      <c r="A143" s="33">
        <v>30956</v>
      </c>
      <c r="B143" s="279">
        <v>1178295</v>
      </c>
      <c r="C143" s="279">
        <v>127431</v>
      </c>
      <c r="D143" s="277">
        <v>37490000</v>
      </c>
      <c r="E143" s="47">
        <f t="shared" si="15"/>
        <v>2.7266228385539049E-2</v>
      </c>
      <c r="F143" s="277">
        <v>1640000</v>
      </c>
      <c r="G143" s="47">
        <f t="shared" si="16"/>
        <v>4.1911576795297723E-2</v>
      </c>
      <c r="H143" s="63">
        <v>1.49E-2</v>
      </c>
      <c r="I143" s="280">
        <v>1</v>
      </c>
      <c r="J143" s="281">
        <f t="shared" si="17"/>
        <v>2.9811007204612317E-2</v>
      </c>
    </row>
    <row r="144" spans="1:11">
      <c r="A144" s="33">
        <v>30987</v>
      </c>
      <c r="B144" s="279">
        <v>1176284</v>
      </c>
      <c r="C144" s="279">
        <v>127799</v>
      </c>
      <c r="D144" s="277">
        <v>37560000</v>
      </c>
      <c r="E144" s="47">
        <f t="shared" si="15"/>
        <v>2.7156854251079783E-2</v>
      </c>
      <c r="F144" s="277">
        <v>1600000</v>
      </c>
      <c r="G144" s="47">
        <f t="shared" si="16"/>
        <v>4.0858018386108273E-2</v>
      </c>
      <c r="H144" s="63">
        <v>1.55E-2</v>
      </c>
      <c r="I144" s="280">
        <v>1</v>
      </c>
      <c r="J144" s="281">
        <f t="shared" si="17"/>
        <v>3.0980940839579321E-2</v>
      </c>
    </row>
    <row r="145" spans="1:11">
      <c r="A145" s="33">
        <v>31017</v>
      </c>
      <c r="B145" s="279">
        <v>1175470</v>
      </c>
      <c r="C145" s="279">
        <v>128676</v>
      </c>
      <c r="D145" s="277">
        <v>37620000</v>
      </c>
      <c r="E145" s="47">
        <f t="shared" si="15"/>
        <v>2.7072169469235022E-2</v>
      </c>
      <c r="F145" s="277">
        <v>1540000</v>
      </c>
      <c r="G145" s="47">
        <f t="shared" si="16"/>
        <v>3.9325842696629212E-2</v>
      </c>
      <c r="H145" s="63">
        <v>1.55E-2</v>
      </c>
      <c r="I145" s="280">
        <v>1</v>
      </c>
      <c r="J145" s="281">
        <f t="shared" si="17"/>
        <v>3.0980940839579321E-2</v>
      </c>
      <c r="K145" s="282">
        <f t="shared" ref="K145" si="19">AVERAGE(J134:J145)</f>
        <v>3.1191670531581599E-2</v>
      </c>
    </row>
    <row r="146" spans="1:11">
      <c r="A146" s="33">
        <v>31048</v>
      </c>
      <c r="B146" s="279">
        <v>1169219</v>
      </c>
      <c r="C146" s="279">
        <v>127529</v>
      </c>
      <c r="D146" s="277">
        <v>37660000</v>
      </c>
      <c r="E146" s="47">
        <f t="shared" si="15"/>
        <v>2.6915878867305277E-2</v>
      </c>
      <c r="F146" s="277">
        <v>1480000</v>
      </c>
      <c r="G146" s="47">
        <f t="shared" si="16"/>
        <v>3.7812979049565661E-2</v>
      </c>
      <c r="H146" s="63">
        <v>1.5700000000000002E-2</v>
      </c>
      <c r="I146" s="280">
        <v>1</v>
      </c>
      <c r="J146" s="281">
        <f t="shared" si="17"/>
        <v>3.1370665659298608E-2</v>
      </c>
    </row>
    <row r="147" spans="1:11">
      <c r="A147" s="33">
        <v>31079</v>
      </c>
      <c r="B147" s="279">
        <v>1174883</v>
      </c>
      <c r="C147" s="279">
        <v>128245</v>
      </c>
      <c r="D147" s="277">
        <v>37660000</v>
      </c>
      <c r="E147" s="47">
        <f t="shared" si="15"/>
        <v>2.7040271490383638E-2</v>
      </c>
      <c r="F147" s="277">
        <v>1560000</v>
      </c>
      <c r="G147" s="47">
        <f t="shared" si="16"/>
        <v>3.9775624681285059E-2</v>
      </c>
      <c r="H147" s="63">
        <v>1.41E-2</v>
      </c>
      <c r="I147" s="280">
        <v>1</v>
      </c>
      <c r="J147" s="281">
        <f t="shared" si="17"/>
        <v>2.8249258492641181E-2</v>
      </c>
    </row>
    <row r="148" spans="1:11">
      <c r="A148" s="33">
        <v>31107</v>
      </c>
      <c r="B148" s="279">
        <v>1169635</v>
      </c>
      <c r="C148" s="279">
        <v>128534</v>
      </c>
      <c r="D148" s="277">
        <v>37570000</v>
      </c>
      <c r="E148" s="47">
        <f t="shared" si="15"/>
        <v>2.6963773967491889E-2</v>
      </c>
      <c r="F148" s="277">
        <v>1560000</v>
      </c>
      <c r="G148" s="47">
        <f t="shared" si="16"/>
        <v>3.9867109634551492E-2</v>
      </c>
      <c r="H148" s="63">
        <v>1.5300000000000001E-2</v>
      </c>
      <c r="I148" s="280">
        <v>1</v>
      </c>
      <c r="J148" s="281">
        <f t="shared" si="17"/>
        <v>3.0591090618388151E-2</v>
      </c>
    </row>
    <row r="149" spans="1:11">
      <c r="A149" s="33">
        <v>31138</v>
      </c>
      <c r="B149" s="279">
        <v>1176458</v>
      </c>
      <c r="C149" s="279">
        <v>127941</v>
      </c>
      <c r="D149" s="277">
        <v>37520000</v>
      </c>
      <c r="E149" s="47">
        <f t="shared" si="15"/>
        <v>2.7185826201199283E-2</v>
      </c>
      <c r="F149" s="277">
        <v>1470000</v>
      </c>
      <c r="G149" s="47">
        <f t="shared" si="16"/>
        <v>3.7701974865350089E-2</v>
      </c>
      <c r="H149" s="63">
        <v>1.47E-2</v>
      </c>
      <c r="I149" s="280">
        <v>1</v>
      </c>
      <c r="J149" s="281">
        <f t="shared" si="17"/>
        <v>2.942077051400234E-2</v>
      </c>
    </row>
    <row r="150" spans="1:11">
      <c r="A150" s="33">
        <v>31168</v>
      </c>
      <c r="B150" s="279">
        <v>1177223</v>
      </c>
      <c r="C150" s="279">
        <v>129011</v>
      </c>
      <c r="D150" s="277">
        <v>37540000</v>
      </c>
      <c r="E150" s="47">
        <f t="shared" si="15"/>
        <v>2.716404688561367E-2</v>
      </c>
      <c r="F150" s="277">
        <v>1520000</v>
      </c>
      <c r="G150" s="47">
        <f t="shared" si="16"/>
        <v>3.8914490527393757E-2</v>
      </c>
      <c r="H150" s="63">
        <v>1.5900000000000001E-2</v>
      </c>
      <c r="I150" s="280">
        <v>1</v>
      </c>
      <c r="J150" s="281">
        <f t="shared" si="17"/>
        <v>3.1760266714674884E-2</v>
      </c>
    </row>
    <row r="151" spans="1:11">
      <c r="A151" s="33">
        <v>31199</v>
      </c>
      <c r="B151" s="279">
        <v>1173670</v>
      </c>
      <c r="C151" s="279">
        <v>130480</v>
      </c>
      <c r="D151" s="277">
        <v>37490000</v>
      </c>
      <c r="E151" s="47">
        <f t="shared" si="15"/>
        <v>2.7072505546517172E-2</v>
      </c>
      <c r="F151" s="277">
        <v>1560000</v>
      </c>
      <c r="G151" s="47">
        <f t="shared" si="16"/>
        <v>3.9948783610755441E-2</v>
      </c>
      <c r="H151" s="63">
        <v>1.6200000000000003E-2</v>
      </c>
      <c r="I151" s="280">
        <v>1</v>
      </c>
      <c r="J151" s="281">
        <f t="shared" si="17"/>
        <v>3.2344439718592063E-2</v>
      </c>
    </row>
    <row r="152" spans="1:11">
      <c r="A152" s="33">
        <v>31229</v>
      </c>
      <c r="B152" s="279">
        <v>1163274</v>
      </c>
      <c r="C152" s="279">
        <v>132714</v>
      </c>
      <c r="D152" s="277">
        <v>37640000</v>
      </c>
      <c r="E152" s="47">
        <f t="shared" si="15"/>
        <v>2.6649730440934914E-2</v>
      </c>
      <c r="F152" s="277">
        <v>1520000</v>
      </c>
      <c r="G152" s="47">
        <f t="shared" si="16"/>
        <v>3.8815117466802863E-2</v>
      </c>
      <c r="H152" s="63">
        <v>1.5800000000000002E-2</v>
      </c>
      <c r="I152" s="280">
        <v>1</v>
      </c>
      <c r="J152" s="281">
        <f t="shared" si="17"/>
        <v>3.1565481556856553E-2</v>
      </c>
    </row>
    <row r="153" spans="1:11">
      <c r="A153" s="33">
        <v>31260</v>
      </c>
      <c r="B153" s="279">
        <v>1154542</v>
      </c>
      <c r="C153" s="279">
        <v>130267</v>
      </c>
      <c r="D153" s="277">
        <v>37370000</v>
      </c>
      <c r="E153" s="47">
        <f t="shared" si="15"/>
        <v>2.6677805480113899E-2</v>
      </c>
      <c r="F153" s="277">
        <v>1510000</v>
      </c>
      <c r="G153" s="47">
        <f t="shared" si="16"/>
        <v>3.8837448559670779E-2</v>
      </c>
      <c r="H153" s="63">
        <v>1.61E-2</v>
      </c>
      <c r="I153" s="280">
        <v>1</v>
      </c>
      <c r="J153" s="281">
        <f t="shared" si="17"/>
        <v>3.2149745601141276E-2</v>
      </c>
    </row>
    <row r="154" spans="1:11">
      <c r="A154" s="33">
        <v>31291</v>
      </c>
      <c r="B154" s="279">
        <v>1151098</v>
      </c>
      <c r="C154" s="279">
        <v>130760</v>
      </c>
      <c r="D154" s="277">
        <v>37840000</v>
      </c>
      <c r="E154" s="47">
        <f t="shared" si="15"/>
        <v>2.6256539508225585E-2</v>
      </c>
      <c r="F154" s="277">
        <v>1600000</v>
      </c>
      <c r="G154" s="47">
        <f t="shared" si="16"/>
        <v>4.0567951318458417E-2</v>
      </c>
      <c r="H154" s="63">
        <v>1.6500000000000001E-2</v>
      </c>
      <c r="I154" s="280">
        <v>1</v>
      </c>
      <c r="J154" s="281">
        <f t="shared" si="17"/>
        <v>3.2928343049920206E-2</v>
      </c>
    </row>
    <row r="155" spans="1:11">
      <c r="A155" s="33">
        <v>31321</v>
      </c>
      <c r="B155" s="279">
        <v>1141033</v>
      </c>
      <c r="C155" s="279">
        <v>129455</v>
      </c>
      <c r="D155" s="277">
        <v>38140000</v>
      </c>
      <c r="E155" s="47">
        <f t="shared" si="15"/>
        <v>2.5837477099901311E-2</v>
      </c>
      <c r="F155" s="277">
        <v>1640000</v>
      </c>
      <c r="G155" s="47">
        <f t="shared" si="16"/>
        <v>4.122674710910005E-2</v>
      </c>
      <c r="H155" s="63">
        <v>1.6399999999999998E-2</v>
      </c>
      <c r="I155" s="280">
        <v>1</v>
      </c>
      <c r="J155" s="281">
        <f t="shared" si="17"/>
        <v>3.2733738255757296E-2</v>
      </c>
    </row>
    <row r="156" spans="1:11">
      <c r="A156" s="33">
        <v>31352</v>
      </c>
      <c r="B156" s="279">
        <v>1138600</v>
      </c>
      <c r="C156" s="279">
        <v>129000</v>
      </c>
      <c r="D156" s="277">
        <v>38170000</v>
      </c>
      <c r="E156" s="47">
        <f t="shared" si="15"/>
        <v>2.5768512184912558E-2</v>
      </c>
      <c r="F156" s="277">
        <v>1680000</v>
      </c>
      <c r="G156" s="47">
        <f t="shared" si="16"/>
        <v>4.215809284818068E-2</v>
      </c>
      <c r="H156" s="63">
        <v>1.5300000000000001E-2</v>
      </c>
      <c r="I156" s="280">
        <v>1</v>
      </c>
      <c r="J156" s="281">
        <f t="shared" si="17"/>
        <v>3.0591090618388151E-2</v>
      </c>
    </row>
    <row r="157" spans="1:11">
      <c r="A157" s="33">
        <v>31382</v>
      </c>
      <c r="B157" s="279">
        <v>1133003</v>
      </c>
      <c r="C157" s="279">
        <v>128443</v>
      </c>
      <c r="D157" s="277">
        <v>37870000</v>
      </c>
      <c r="E157" s="47">
        <f t="shared" si="15"/>
        <v>2.5841064181819678E-2</v>
      </c>
      <c r="F157" s="277">
        <v>1670000</v>
      </c>
      <c r="G157" s="47">
        <f t="shared" si="16"/>
        <v>4.2235710672736466E-2</v>
      </c>
      <c r="H157" s="63">
        <v>1.6299999999999999E-2</v>
      </c>
      <c r="I157" s="280">
        <v>1</v>
      </c>
      <c r="J157" s="281">
        <f t="shared" si="17"/>
        <v>3.2539103874001662E-2</v>
      </c>
      <c r="K157" s="282">
        <f t="shared" ref="K157" si="20">AVERAGE(J146:J157)</f>
        <v>3.13536662228052E-2</v>
      </c>
    </row>
    <row r="158" spans="1:11">
      <c r="A158" s="33">
        <v>31413</v>
      </c>
      <c r="B158" s="279">
        <v>1137079</v>
      </c>
      <c r="C158" s="279">
        <v>129193</v>
      </c>
      <c r="D158" s="277">
        <v>38160000</v>
      </c>
      <c r="E158" s="47">
        <f t="shared" si="15"/>
        <v>2.5732458473760877E-2</v>
      </c>
      <c r="F158" s="277">
        <v>1620000</v>
      </c>
      <c r="G158" s="47">
        <f t="shared" si="16"/>
        <v>4.072398190045249E-2</v>
      </c>
      <c r="H158" s="63">
        <v>1.5600000000000001E-2</v>
      </c>
      <c r="I158" s="280">
        <v>1</v>
      </c>
      <c r="J158" s="281">
        <f t="shared" si="17"/>
        <v>3.1175818821306225E-2</v>
      </c>
    </row>
    <row r="159" spans="1:11">
      <c r="A159" s="33">
        <v>31444</v>
      </c>
      <c r="B159" s="279">
        <v>1127549</v>
      </c>
      <c r="C159" s="279">
        <v>129320</v>
      </c>
      <c r="D159" s="277">
        <v>38270000</v>
      </c>
      <c r="E159" s="47">
        <f t="shared" si="15"/>
        <v>2.5420779735189993E-2</v>
      </c>
      <c r="F159" s="277">
        <v>1560000</v>
      </c>
      <c r="G159" s="47">
        <f t="shared" si="16"/>
        <v>3.9166457444137583E-2</v>
      </c>
      <c r="H159" s="63">
        <v>1.7299999999999999E-2</v>
      </c>
      <c r="I159" s="280">
        <v>1</v>
      </c>
      <c r="J159" s="281">
        <f t="shared" si="17"/>
        <v>3.4484137842520871E-2</v>
      </c>
    </row>
    <row r="160" spans="1:11">
      <c r="A160" s="33">
        <v>31472</v>
      </c>
      <c r="B160" s="279">
        <v>1128088</v>
      </c>
      <c r="C160" s="279">
        <v>128796</v>
      </c>
      <c r="D160" s="277">
        <v>38330000</v>
      </c>
      <c r="E160" s="47">
        <f t="shared" si="15"/>
        <v>2.5408339412771531E-2</v>
      </c>
      <c r="F160" s="277">
        <v>1640000</v>
      </c>
      <c r="G160" s="47">
        <f t="shared" si="16"/>
        <v>4.103077307980986E-2</v>
      </c>
      <c r="H160" s="63">
        <v>1.6200000000000003E-2</v>
      </c>
      <c r="I160" s="280">
        <v>1</v>
      </c>
      <c r="J160" s="281">
        <f t="shared" si="17"/>
        <v>3.2344439718592063E-2</v>
      </c>
    </row>
    <row r="161" spans="1:11">
      <c r="A161" s="33">
        <v>31503</v>
      </c>
      <c r="B161" s="279">
        <v>1103926</v>
      </c>
      <c r="C161" s="279">
        <v>128383</v>
      </c>
      <c r="D161" s="277">
        <v>38560000</v>
      </c>
      <c r="E161" s="47">
        <f t="shared" si="15"/>
        <v>2.4675087932901289E-2</v>
      </c>
      <c r="F161" s="277">
        <v>1710000</v>
      </c>
      <c r="G161" s="47">
        <f t="shared" si="16"/>
        <v>4.2463372237397566E-2</v>
      </c>
      <c r="H161" s="63">
        <v>1.6200000000000003E-2</v>
      </c>
      <c r="I161" s="280">
        <v>1</v>
      </c>
      <c r="J161" s="281">
        <f t="shared" si="17"/>
        <v>3.2344439718592063E-2</v>
      </c>
    </row>
    <row r="162" spans="1:11">
      <c r="A162" s="33">
        <v>31533</v>
      </c>
      <c r="B162" s="279">
        <v>1083119</v>
      </c>
      <c r="C162" s="279">
        <v>128270</v>
      </c>
      <c r="D162" s="277">
        <v>38230000</v>
      </c>
      <c r="E162" s="47">
        <f t="shared" si="15"/>
        <v>2.4367811140474219E-2</v>
      </c>
      <c r="F162" s="277">
        <v>1600000</v>
      </c>
      <c r="G162" s="47">
        <f t="shared" si="16"/>
        <v>4.0170725583730853E-2</v>
      </c>
      <c r="H162" s="63">
        <v>1.55E-2</v>
      </c>
      <c r="I162" s="280">
        <v>1</v>
      </c>
      <c r="J162" s="281">
        <f t="shared" si="17"/>
        <v>3.0980940839579321E-2</v>
      </c>
    </row>
    <row r="163" spans="1:11">
      <c r="A163" s="33">
        <v>31564</v>
      </c>
      <c r="B163" s="279">
        <v>1052843</v>
      </c>
      <c r="C163" s="279">
        <v>125691</v>
      </c>
      <c r="D163" s="277">
        <v>38330000</v>
      </c>
      <c r="E163" s="47">
        <f t="shared" si="15"/>
        <v>2.3617403524331056E-2</v>
      </c>
      <c r="F163" s="277">
        <v>1650000</v>
      </c>
      <c r="G163" s="47">
        <f t="shared" si="16"/>
        <v>4.127063531765883E-2</v>
      </c>
      <c r="H163" s="63">
        <v>1.5600000000000001E-2</v>
      </c>
      <c r="I163" s="280">
        <v>1</v>
      </c>
      <c r="J163" s="281">
        <f t="shared" si="17"/>
        <v>3.1175818821306225E-2</v>
      </c>
    </row>
    <row r="164" spans="1:11">
      <c r="A164" s="33">
        <v>31594</v>
      </c>
      <c r="B164" s="279">
        <v>1040446</v>
      </c>
      <c r="C164" s="279">
        <v>127397</v>
      </c>
      <c r="D164" s="277">
        <v>38610000</v>
      </c>
      <c r="E164" s="47">
        <f t="shared" si="15"/>
        <v>2.3101684285541838E-2</v>
      </c>
      <c r="F164" s="277">
        <v>1760000</v>
      </c>
      <c r="G164" s="47">
        <f t="shared" si="16"/>
        <v>4.3596730245231606E-2</v>
      </c>
      <c r="H164" s="63">
        <v>1.52E-2</v>
      </c>
      <c r="I164" s="280">
        <v>1</v>
      </c>
      <c r="J164" s="281">
        <f t="shared" si="17"/>
        <v>3.0396117958832555E-2</v>
      </c>
    </row>
    <row r="165" spans="1:11">
      <c r="A165" s="33">
        <v>31625</v>
      </c>
      <c r="B165" s="279">
        <v>1060528</v>
      </c>
      <c r="C165" s="279">
        <v>126406</v>
      </c>
      <c r="D165" s="277">
        <v>38460000</v>
      </c>
      <c r="E165" s="47">
        <f t="shared" si="15"/>
        <v>2.371221777705821E-2</v>
      </c>
      <c r="F165" s="277">
        <v>1720000</v>
      </c>
      <c r="G165" s="47">
        <f t="shared" si="16"/>
        <v>4.2807366849178699E-2</v>
      </c>
      <c r="H165" s="63">
        <v>1.6E-2</v>
      </c>
      <c r="I165" s="280">
        <v>1</v>
      </c>
      <c r="J165" s="281">
        <f t="shared" si="17"/>
        <v>3.1955021330892612E-2</v>
      </c>
    </row>
    <row r="166" spans="1:11">
      <c r="A166" s="33">
        <v>31656</v>
      </c>
      <c r="B166" s="279">
        <v>1058144</v>
      </c>
      <c r="C166" s="279">
        <v>126458</v>
      </c>
      <c r="D166" s="277">
        <v>38390000</v>
      </c>
      <c r="E166" s="47">
        <f t="shared" si="15"/>
        <v>2.369394842326954E-2</v>
      </c>
      <c r="F166" s="277">
        <v>1690000</v>
      </c>
      <c r="G166" s="47">
        <f t="shared" si="16"/>
        <v>4.2165668662674648E-2</v>
      </c>
      <c r="H166" s="63">
        <v>1.6200000000000003E-2</v>
      </c>
      <c r="I166" s="280">
        <v>1</v>
      </c>
      <c r="J166" s="281">
        <f t="shared" si="17"/>
        <v>3.2344439718592063E-2</v>
      </c>
    </row>
    <row r="167" spans="1:11">
      <c r="A167" s="33">
        <v>31686</v>
      </c>
      <c r="B167" s="279">
        <v>1061553</v>
      </c>
      <c r="C167" s="279">
        <v>124840</v>
      </c>
      <c r="D167" s="277">
        <v>38530000</v>
      </c>
      <c r="E167" s="47">
        <f t="shared" si="15"/>
        <v>2.3734254230900861E-2</v>
      </c>
      <c r="F167" s="277">
        <v>1660000</v>
      </c>
      <c r="G167" s="47">
        <f t="shared" si="16"/>
        <v>4.1303806917143568E-2</v>
      </c>
      <c r="H167" s="63">
        <v>1.6200000000000003E-2</v>
      </c>
      <c r="I167" s="280">
        <v>1</v>
      </c>
      <c r="J167" s="281">
        <f t="shared" si="17"/>
        <v>3.2344439718592063E-2</v>
      </c>
    </row>
    <row r="168" spans="1:11">
      <c r="A168" s="33">
        <v>31717</v>
      </c>
      <c r="B168" s="279">
        <v>1061562</v>
      </c>
      <c r="C168" s="279">
        <v>124242</v>
      </c>
      <c r="D168" s="277">
        <v>38320000</v>
      </c>
      <c r="E168" s="47">
        <f t="shared" si="15"/>
        <v>2.3876311475159281E-2</v>
      </c>
      <c r="F168" s="277">
        <v>1670000</v>
      </c>
      <c r="G168" s="47">
        <f t="shared" si="16"/>
        <v>4.1760440110027504E-2</v>
      </c>
      <c r="H168" s="63">
        <v>1.6799999999999999E-2</v>
      </c>
      <c r="I168" s="280">
        <v>1</v>
      </c>
      <c r="J168" s="281">
        <f t="shared" si="17"/>
        <v>3.3511981733464327E-2</v>
      </c>
    </row>
    <row r="169" spans="1:11">
      <c r="A169" s="33">
        <v>31747</v>
      </c>
      <c r="B169" s="279">
        <v>1071602</v>
      </c>
      <c r="C169" s="279">
        <v>125146</v>
      </c>
      <c r="D169" s="277">
        <v>38370000</v>
      </c>
      <c r="E169" s="47">
        <f t="shared" si="15"/>
        <v>2.4072769936334039E-2</v>
      </c>
      <c r="F169" s="277">
        <v>1750000</v>
      </c>
      <c r="G169" s="47">
        <f t="shared" si="16"/>
        <v>4.3619142572283151E-2</v>
      </c>
      <c r="H169" s="63">
        <v>1.7000000000000001E-2</v>
      </c>
      <c r="I169" s="280">
        <v>1</v>
      </c>
      <c r="J169" s="281">
        <f t="shared" si="17"/>
        <v>3.390092956145975E-2</v>
      </c>
      <c r="K169" s="282">
        <f t="shared" ref="K169" si="21">AVERAGE(J158:J169)</f>
        <v>3.2246543815310842E-2</v>
      </c>
    </row>
    <row r="170" spans="1:11">
      <c r="A170" s="33">
        <v>31778</v>
      </c>
      <c r="B170" s="279">
        <v>1077990</v>
      </c>
      <c r="C170" s="279">
        <v>125276</v>
      </c>
      <c r="D170" s="277">
        <v>38440000</v>
      </c>
      <c r="E170" s="47">
        <f t="shared" si="15"/>
        <v>2.4185030764826206E-2</v>
      </c>
      <c r="F170" s="277">
        <v>1790000</v>
      </c>
      <c r="G170" s="47">
        <f t="shared" si="16"/>
        <v>4.4494158588118317E-2</v>
      </c>
      <c r="H170" s="63">
        <v>1.6E-2</v>
      </c>
      <c r="I170" s="280">
        <v>1</v>
      </c>
      <c r="J170" s="281">
        <f t="shared" si="17"/>
        <v>3.1955021330892612E-2</v>
      </c>
    </row>
    <row r="171" spans="1:11">
      <c r="A171" s="33">
        <v>31809</v>
      </c>
      <c r="B171" s="279">
        <v>1086137</v>
      </c>
      <c r="C171" s="279">
        <v>124401</v>
      </c>
      <c r="D171" s="277">
        <v>38410000</v>
      </c>
      <c r="E171" s="47">
        <f t="shared" si="15"/>
        <v>2.4427066157306349E-2</v>
      </c>
      <c r="F171" s="277">
        <v>1780000</v>
      </c>
      <c r="G171" s="47">
        <f t="shared" si="16"/>
        <v>4.4289624284647923E-2</v>
      </c>
      <c r="H171" s="63">
        <v>1.6299999999999999E-2</v>
      </c>
      <c r="I171" s="280">
        <v>1</v>
      </c>
      <c r="J171" s="281">
        <f t="shared" si="17"/>
        <v>3.2539103874001662E-2</v>
      </c>
    </row>
    <row r="172" spans="1:11">
      <c r="A172" s="33">
        <v>31837</v>
      </c>
      <c r="B172" s="279">
        <v>1110264</v>
      </c>
      <c r="C172" s="279">
        <v>125161</v>
      </c>
      <c r="D172" s="277">
        <v>38620000</v>
      </c>
      <c r="E172" s="47">
        <f t="shared" si="15"/>
        <v>2.4873133141454021E-2</v>
      </c>
      <c r="F172" s="277">
        <v>1740000</v>
      </c>
      <c r="G172" s="47">
        <f t="shared" si="16"/>
        <v>4.3111992071357783E-2</v>
      </c>
      <c r="H172" s="63">
        <v>1.6799999999999999E-2</v>
      </c>
      <c r="I172" s="280">
        <v>1</v>
      </c>
      <c r="J172" s="281">
        <f t="shared" si="17"/>
        <v>3.3511981733464327E-2</v>
      </c>
    </row>
    <row r="173" spans="1:11">
      <c r="A173" s="33">
        <v>31868</v>
      </c>
      <c r="B173" s="279">
        <v>1119969</v>
      </c>
      <c r="C173" s="279">
        <v>126376</v>
      </c>
      <c r="D173" s="277">
        <v>38790000</v>
      </c>
      <c r="E173" s="47">
        <f t="shared" si="15"/>
        <v>2.4974943816663316E-2</v>
      </c>
      <c r="F173" s="277">
        <v>1780000</v>
      </c>
      <c r="G173" s="47">
        <f t="shared" si="16"/>
        <v>4.3874784323391668E-2</v>
      </c>
      <c r="H173" s="63">
        <v>1.6E-2</v>
      </c>
      <c r="I173" s="280">
        <v>1</v>
      </c>
      <c r="J173" s="281">
        <f t="shared" si="17"/>
        <v>3.1955021330892612E-2</v>
      </c>
    </row>
    <row r="174" spans="1:11">
      <c r="A174" s="33">
        <v>31898</v>
      </c>
      <c r="B174" s="279">
        <v>1128094</v>
      </c>
      <c r="C174" s="279">
        <v>130626</v>
      </c>
      <c r="D174" s="277">
        <v>38790000</v>
      </c>
      <c r="E174" s="47">
        <f t="shared" si="15"/>
        <v>2.5069903920500798E-2</v>
      </c>
      <c r="F174" s="277">
        <v>1880000</v>
      </c>
      <c r="G174" s="47">
        <f t="shared" si="16"/>
        <v>4.6225719203343986E-2</v>
      </c>
      <c r="H174" s="63">
        <v>1.5300000000000001E-2</v>
      </c>
      <c r="I174" s="280">
        <v>1</v>
      </c>
      <c r="J174" s="281">
        <f t="shared" si="17"/>
        <v>3.0591090618388151E-2</v>
      </c>
    </row>
    <row r="175" spans="1:11">
      <c r="A175" s="33">
        <v>31929</v>
      </c>
      <c r="B175" s="279">
        <v>1151630</v>
      </c>
      <c r="C175" s="279">
        <v>132743</v>
      </c>
      <c r="D175" s="277">
        <v>38870000</v>
      </c>
      <c r="E175" s="47">
        <f t="shared" si="15"/>
        <v>2.5543129343267964E-2</v>
      </c>
      <c r="F175" s="277">
        <v>1820000</v>
      </c>
      <c r="G175" s="47">
        <f t="shared" si="16"/>
        <v>4.472843450479233E-2</v>
      </c>
      <c r="H175" s="63">
        <v>1.5300000000000001E-2</v>
      </c>
      <c r="I175" s="280">
        <v>1</v>
      </c>
      <c r="J175" s="281">
        <f t="shared" si="17"/>
        <v>3.0591090618388151E-2</v>
      </c>
    </row>
    <row r="176" spans="1:11">
      <c r="A176" s="33">
        <v>31959</v>
      </c>
      <c r="B176" s="279">
        <v>1178865</v>
      </c>
      <c r="C176" s="279">
        <v>133061</v>
      </c>
      <c r="D176" s="277">
        <v>38840000</v>
      </c>
      <c r="E176" s="47">
        <f t="shared" si="15"/>
        <v>2.6219955350530229E-2</v>
      </c>
      <c r="F176" s="277">
        <v>1670000</v>
      </c>
      <c r="G176" s="47">
        <f t="shared" si="16"/>
        <v>4.1224389039743271E-2</v>
      </c>
      <c r="H176" s="63">
        <v>1.5600000000000001E-2</v>
      </c>
      <c r="I176" s="280">
        <v>1</v>
      </c>
      <c r="J176" s="281">
        <f t="shared" si="17"/>
        <v>3.1175818821306225E-2</v>
      </c>
    </row>
    <row r="177" spans="1:11">
      <c r="A177" s="33">
        <v>31990</v>
      </c>
      <c r="B177" s="279">
        <v>1221870</v>
      </c>
      <c r="C177" s="279">
        <v>135109</v>
      </c>
      <c r="D177" s="277">
        <v>39020000</v>
      </c>
      <c r="E177" s="47">
        <f t="shared" si="15"/>
        <v>2.7096703221683744E-2</v>
      </c>
      <c r="F177" s="277">
        <v>1680000</v>
      </c>
      <c r="G177" s="47">
        <f t="shared" si="16"/>
        <v>4.1277641277641275E-2</v>
      </c>
      <c r="H177" s="63">
        <v>1.54E-2</v>
      </c>
      <c r="I177" s="280">
        <v>1</v>
      </c>
      <c r="J177" s="281">
        <f t="shared" si="17"/>
        <v>3.0786031508161532E-2</v>
      </c>
    </row>
    <row r="178" spans="1:11">
      <c r="A178" s="33">
        <v>32021</v>
      </c>
      <c r="B178" s="279">
        <v>1262853</v>
      </c>
      <c r="C178" s="279">
        <v>134387</v>
      </c>
      <c r="D178" s="277">
        <v>38830000</v>
      </c>
      <c r="E178" s="47">
        <f t="shared" si="15"/>
        <v>2.8240974015368858E-2</v>
      </c>
      <c r="F178" s="277">
        <v>1670000</v>
      </c>
      <c r="G178" s="47">
        <f t="shared" si="16"/>
        <v>4.1234567901234566E-2</v>
      </c>
      <c r="H178" s="63">
        <v>1.46E-2</v>
      </c>
      <c r="I178" s="280">
        <v>1</v>
      </c>
      <c r="J178" s="281">
        <f t="shared" si="17"/>
        <v>2.9225602634010646E-2</v>
      </c>
    </row>
    <row r="179" spans="1:11">
      <c r="A179" s="33">
        <v>32051</v>
      </c>
      <c r="B179" s="279">
        <v>1296346</v>
      </c>
      <c r="C179" s="279">
        <v>134192</v>
      </c>
      <c r="D179" s="277">
        <v>38970000</v>
      </c>
      <c r="E179" s="47">
        <f t="shared" si="15"/>
        <v>2.8958176528476393E-2</v>
      </c>
      <c r="F179" s="277">
        <v>1660000</v>
      </c>
      <c r="G179" s="47">
        <f t="shared" si="16"/>
        <v>4.085650996800394E-2</v>
      </c>
      <c r="H179" s="63">
        <v>1.6299999999999999E-2</v>
      </c>
      <c r="I179" s="280">
        <v>1</v>
      </c>
      <c r="J179" s="281">
        <f t="shared" si="17"/>
        <v>3.2539103874001662E-2</v>
      </c>
    </row>
    <row r="180" spans="1:11">
      <c r="A180" s="33">
        <v>32082</v>
      </c>
      <c r="B180" s="279">
        <v>1334114</v>
      </c>
      <c r="C180" s="279">
        <v>135960</v>
      </c>
      <c r="D180" s="277">
        <v>39240000</v>
      </c>
      <c r="E180" s="47">
        <f t="shared" si="15"/>
        <v>2.9629295145371867E-2</v>
      </c>
      <c r="F180" s="277">
        <v>1640000</v>
      </c>
      <c r="G180" s="47">
        <f t="shared" si="16"/>
        <v>4.0117416829745595E-2</v>
      </c>
      <c r="H180" s="63">
        <v>1.5100000000000001E-2</v>
      </c>
      <c r="I180" s="280">
        <v>1</v>
      </c>
      <c r="J180" s="281">
        <f t="shared" si="17"/>
        <v>3.0201113315251181E-2</v>
      </c>
    </row>
    <row r="181" spans="1:11">
      <c r="A181" s="33">
        <v>32112</v>
      </c>
      <c r="B181" s="279">
        <v>1355740</v>
      </c>
      <c r="C181" s="279">
        <v>135292</v>
      </c>
      <c r="D181" s="277">
        <v>39550000</v>
      </c>
      <c r="E181" s="47">
        <f t="shared" si="15"/>
        <v>2.9934623234947038E-2</v>
      </c>
      <c r="F181" s="277">
        <v>1640000</v>
      </c>
      <c r="G181" s="47">
        <f t="shared" si="16"/>
        <v>3.9815489196406893E-2</v>
      </c>
      <c r="H181" s="63">
        <v>1.54E-2</v>
      </c>
      <c r="I181" s="280">
        <v>1</v>
      </c>
      <c r="J181" s="281">
        <f t="shared" si="17"/>
        <v>3.0786031508161532E-2</v>
      </c>
      <c r="K181" s="282">
        <f t="shared" ref="K181" si="22">AVERAGE(J170:J181)</f>
        <v>3.1321417597243356E-2</v>
      </c>
    </row>
    <row r="182" spans="1:11">
      <c r="A182" s="33">
        <v>32143</v>
      </c>
      <c r="B182" s="279">
        <v>1387120</v>
      </c>
      <c r="C182" s="279">
        <v>135414</v>
      </c>
      <c r="D182" s="277">
        <v>39650000</v>
      </c>
      <c r="E182" s="47">
        <f t="shared" si="15"/>
        <v>3.060278219201908E-2</v>
      </c>
      <c r="F182" s="277">
        <v>1650000</v>
      </c>
      <c r="G182" s="47">
        <f t="shared" si="16"/>
        <v>3.9951573849878935E-2</v>
      </c>
      <c r="H182" s="63">
        <v>1.37E-2</v>
      </c>
      <c r="I182" s="280">
        <v>1</v>
      </c>
      <c r="J182" s="281">
        <f t="shared" si="17"/>
        <v>2.7467562788414321E-2</v>
      </c>
    </row>
    <row r="183" spans="1:11">
      <c r="A183" s="33">
        <v>32174</v>
      </c>
      <c r="B183" s="279">
        <v>1415870</v>
      </c>
      <c r="C183" s="279">
        <v>133708</v>
      </c>
      <c r="D183" s="277">
        <v>39550000</v>
      </c>
      <c r="E183" s="47">
        <f t="shared" si="15"/>
        <v>3.140078646827469E-2</v>
      </c>
      <c r="F183" s="277">
        <v>1660000</v>
      </c>
      <c r="G183" s="47">
        <f t="shared" si="16"/>
        <v>4.0281485076437758E-2</v>
      </c>
      <c r="H183" s="63">
        <v>1.6200000000000003E-2</v>
      </c>
      <c r="I183" s="280">
        <v>1</v>
      </c>
      <c r="J183" s="281">
        <f t="shared" si="17"/>
        <v>3.2344439718592063E-2</v>
      </c>
    </row>
    <row r="184" spans="1:11">
      <c r="A184" s="33">
        <v>32203</v>
      </c>
      <c r="B184" s="279">
        <v>1437736</v>
      </c>
      <c r="C184" s="279">
        <v>127943</v>
      </c>
      <c r="D184" s="277">
        <v>39590000</v>
      </c>
      <c r="E184" s="47">
        <f t="shared" si="15"/>
        <v>3.2024440808294558E-2</v>
      </c>
      <c r="F184" s="277">
        <v>1620000</v>
      </c>
      <c r="G184" s="47">
        <f t="shared" si="16"/>
        <v>3.9310846881824797E-2</v>
      </c>
      <c r="H184" s="63">
        <v>1.6E-2</v>
      </c>
      <c r="I184" s="280">
        <v>1</v>
      </c>
      <c r="J184" s="281">
        <f t="shared" si="17"/>
        <v>3.1955021330892612E-2</v>
      </c>
    </row>
    <row r="185" spans="1:11">
      <c r="A185" s="33">
        <v>32234</v>
      </c>
      <c r="B185" s="279">
        <v>1472400</v>
      </c>
      <c r="C185" s="279">
        <v>133200</v>
      </c>
      <c r="D185" s="277">
        <v>39560000</v>
      </c>
      <c r="E185" s="47">
        <f t="shared" si="15"/>
        <v>3.2743916751427904E-2</v>
      </c>
      <c r="F185" s="277">
        <v>1560000</v>
      </c>
      <c r="G185" s="47">
        <f t="shared" si="16"/>
        <v>3.7937743190661476E-2</v>
      </c>
      <c r="H185" s="63">
        <v>1.72E-2</v>
      </c>
      <c r="I185" s="280">
        <v>1</v>
      </c>
      <c r="J185" s="281">
        <f t="shared" si="17"/>
        <v>3.4289763316397617E-2</v>
      </c>
    </row>
    <row r="186" spans="1:11">
      <c r="A186" s="33">
        <v>32264</v>
      </c>
      <c r="B186" s="279">
        <v>1508626</v>
      </c>
      <c r="C186" s="279">
        <v>132718</v>
      </c>
      <c r="D186" s="277">
        <v>39780000</v>
      </c>
      <c r="E186" s="47">
        <f t="shared" si="15"/>
        <v>3.3431603550090547E-2</v>
      </c>
      <c r="F186" s="277">
        <v>1530000</v>
      </c>
      <c r="G186" s="47">
        <f t="shared" si="16"/>
        <v>3.7037037037037035E-2</v>
      </c>
      <c r="H186" s="63">
        <v>1.6200000000000003E-2</v>
      </c>
      <c r="I186" s="280">
        <v>1</v>
      </c>
      <c r="J186" s="281">
        <f t="shared" si="17"/>
        <v>3.2344439718592063E-2</v>
      </c>
    </row>
    <row r="187" spans="1:11">
      <c r="A187" s="33">
        <v>32295</v>
      </c>
      <c r="B187" s="279">
        <v>1539197</v>
      </c>
      <c r="C187" s="279">
        <v>135543</v>
      </c>
      <c r="D187" s="277">
        <v>39970000</v>
      </c>
      <c r="E187" s="47">
        <f t="shared" si="15"/>
        <v>3.3926275885615517E-2</v>
      </c>
      <c r="F187" s="277">
        <v>1490000</v>
      </c>
      <c r="G187" s="47">
        <f t="shared" si="16"/>
        <v>3.5938253738543174E-2</v>
      </c>
      <c r="H187" s="63">
        <v>1.66E-2</v>
      </c>
      <c r="I187" s="280">
        <v>1</v>
      </c>
      <c r="J187" s="281">
        <f t="shared" si="17"/>
        <v>3.3122918440268365E-2</v>
      </c>
    </row>
    <row r="188" spans="1:11">
      <c r="A188" s="33">
        <v>32325</v>
      </c>
      <c r="B188" s="279">
        <v>1575226</v>
      </c>
      <c r="C188" s="279">
        <v>137057</v>
      </c>
      <c r="D188" s="277">
        <v>40110000</v>
      </c>
      <c r="E188" s="47">
        <f t="shared" si="15"/>
        <v>3.4614497693027095E-2</v>
      </c>
      <c r="F188" s="277">
        <v>1560000</v>
      </c>
      <c r="G188" s="47">
        <f t="shared" si="16"/>
        <v>3.7437005039596835E-2</v>
      </c>
      <c r="H188" s="63">
        <v>1.5900000000000001E-2</v>
      </c>
      <c r="I188" s="280">
        <v>1</v>
      </c>
      <c r="J188" s="281">
        <f t="shared" si="17"/>
        <v>3.1760266714674884E-2</v>
      </c>
    </row>
    <row r="189" spans="1:11">
      <c r="A189" s="33">
        <v>32356</v>
      </c>
      <c r="B189" s="279">
        <v>1585075</v>
      </c>
      <c r="C189" s="279">
        <v>136663</v>
      </c>
      <c r="D189" s="277">
        <v>40230000</v>
      </c>
      <c r="E189" s="47">
        <f t="shared" si="15"/>
        <v>3.4752091802346022E-2</v>
      </c>
      <c r="F189" s="277">
        <v>1580000</v>
      </c>
      <c r="G189" s="47">
        <f t="shared" si="16"/>
        <v>3.7790002391772305E-2</v>
      </c>
      <c r="H189" s="63">
        <v>1.6200000000000003E-2</v>
      </c>
      <c r="I189" s="280">
        <v>1</v>
      </c>
      <c r="J189" s="281">
        <f t="shared" si="17"/>
        <v>3.2344439718592063E-2</v>
      </c>
    </row>
    <row r="190" spans="1:11">
      <c r="A190" s="33">
        <v>32387</v>
      </c>
      <c r="B190" s="279">
        <v>1603253</v>
      </c>
      <c r="C190" s="279">
        <v>136916</v>
      </c>
      <c r="D190" s="277">
        <v>40190000</v>
      </c>
      <c r="E190" s="47">
        <f t="shared" si="15"/>
        <v>3.5200814704374993E-2</v>
      </c>
      <c r="F190" s="277">
        <v>1510000</v>
      </c>
      <c r="G190" s="47">
        <f t="shared" si="16"/>
        <v>3.621103117505995E-2</v>
      </c>
      <c r="H190" s="63">
        <v>1.6E-2</v>
      </c>
      <c r="I190" s="280">
        <v>1</v>
      </c>
      <c r="J190" s="281">
        <f t="shared" si="17"/>
        <v>3.1955021330892612E-2</v>
      </c>
    </row>
    <row r="191" spans="1:11">
      <c r="A191" s="33">
        <v>32417</v>
      </c>
      <c r="B191" s="279">
        <v>1626825</v>
      </c>
      <c r="C191" s="279">
        <v>136183</v>
      </c>
      <c r="D191" s="277">
        <v>40110000</v>
      </c>
      <c r="E191" s="47">
        <f t="shared" si="15"/>
        <v>3.5832187397492568E-2</v>
      </c>
      <c r="F191" s="277">
        <v>1490000</v>
      </c>
      <c r="G191" s="47">
        <f t="shared" si="16"/>
        <v>3.581730769230769E-2</v>
      </c>
      <c r="H191" s="63">
        <v>1.61E-2</v>
      </c>
      <c r="I191" s="280">
        <v>1</v>
      </c>
      <c r="J191" s="281">
        <f t="shared" si="17"/>
        <v>3.2149745601141276E-2</v>
      </c>
    </row>
    <row r="192" spans="1:11">
      <c r="A192" s="33">
        <v>32448</v>
      </c>
      <c r="B192" s="279">
        <v>1633095</v>
      </c>
      <c r="C192" s="279">
        <v>133908</v>
      </c>
      <c r="D192" s="277">
        <v>40270000</v>
      </c>
      <c r="E192" s="47">
        <f t="shared" si="15"/>
        <v>3.589217573231674E-2</v>
      </c>
      <c r="F192" s="277">
        <v>1480000</v>
      </c>
      <c r="G192" s="47">
        <f t="shared" si="16"/>
        <v>3.5449101796407187E-2</v>
      </c>
      <c r="H192" s="63">
        <v>1.72E-2</v>
      </c>
      <c r="I192" s="280">
        <v>1</v>
      </c>
      <c r="J192" s="281">
        <f t="shared" si="17"/>
        <v>3.4289763316397617E-2</v>
      </c>
    </row>
    <row r="193" spans="1:11">
      <c r="A193" s="33">
        <v>32478</v>
      </c>
      <c r="B193" s="279">
        <v>1654987</v>
      </c>
      <c r="C193" s="279">
        <v>132166</v>
      </c>
      <c r="D193" s="277">
        <v>40430000</v>
      </c>
      <c r="E193" s="47">
        <f t="shared" si="15"/>
        <v>3.6298417214899563E-2</v>
      </c>
      <c r="F193" s="277">
        <v>1470000</v>
      </c>
      <c r="G193" s="47">
        <f t="shared" si="16"/>
        <v>3.5083532219570404E-2</v>
      </c>
      <c r="H193" s="63">
        <v>1.83E-2</v>
      </c>
      <c r="I193" s="280">
        <v>1</v>
      </c>
      <c r="J193" s="281">
        <f t="shared" si="17"/>
        <v>3.6426369106405301E-2</v>
      </c>
      <c r="K193" s="282">
        <f t="shared" ref="K193" si="23">AVERAGE(J182:J193)</f>
        <v>3.2537479258438397E-2</v>
      </c>
    </row>
    <row r="194" spans="1:11">
      <c r="A194" s="33">
        <v>32509</v>
      </c>
      <c r="B194" s="279">
        <v>1665861</v>
      </c>
      <c r="C194" s="279">
        <v>133039</v>
      </c>
      <c r="D194" s="277">
        <v>40500000</v>
      </c>
      <c r="E194" s="47">
        <f t="shared" si="15"/>
        <v>3.646726360652159E-2</v>
      </c>
      <c r="F194" s="277">
        <v>1430000</v>
      </c>
      <c r="G194" s="47">
        <f t="shared" si="16"/>
        <v>3.4104459813975675E-2</v>
      </c>
      <c r="H194" s="63">
        <v>1.6899999999999998E-2</v>
      </c>
      <c r="I194" s="280">
        <v>1</v>
      </c>
      <c r="J194" s="281">
        <f t="shared" si="17"/>
        <v>3.3706469992821245E-2</v>
      </c>
    </row>
    <row r="195" spans="1:11">
      <c r="A195" s="33">
        <v>32540</v>
      </c>
      <c r="B195" s="279">
        <v>1674593</v>
      </c>
      <c r="C195" s="279">
        <v>131943</v>
      </c>
      <c r="D195" s="277">
        <v>41030000</v>
      </c>
      <c r="E195" s="47">
        <f t="shared" ref="E195:E258" si="24">(B195-C195)/(B195-C195+D195)</f>
        <v>3.623570531785078E-2</v>
      </c>
      <c r="F195" s="277">
        <v>1450000</v>
      </c>
      <c r="G195" s="47">
        <f t="shared" ref="G195:G258" si="25">F195/(D195+F195)</f>
        <v>3.4133709981167611E-2</v>
      </c>
      <c r="H195" s="63">
        <v>1.67E-2</v>
      </c>
      <c r="I195" s="280">
        <v>1</v>
      </c>
      <c r="J195" s="281">
        <f t="shared" ref="J195:J258" si="26">EXP((0.036225+LOG(H195,EXP(1))*0.056981+I195*-0.001826)/(1+0.035334-0.976896))</f>
        <v>3.3317464608337982E-2</v>
      </c>
    </row>
    <row r="196" spans="1:11">
      <c r="A196" s="33">
        <v>32568</v>
      </c>
      <c r="B196" s="279">
        <v>1681705</v>
      </c>
      <c r="C196" s="279">
        <v>129724</v>
      </c>
      <c r="D196" s="277">
        <v>41030000</v>
      </c>
      <c r="E196" s="47">
        <f t="shared" si="24"/>
        <v>3.6446895225471072E-2</v>
      </c>
      <c r="F196" s="277">
        <v>1480000</v>
      </c>
      <c r="G196" s="47">
        <f t="shared" si="25"/>
        <v>3.4815337567631145E-2</v>
      </c>
      <c r="H196" s="63">
        <v>1.5300000000000001E-2</v>
      </c>
      <c r="I196" s="280">
        <v>1</v>
      </c>
      <c r="J196" s="281">
        <f t="shared" si="26"/>
        <v>3.0591090618388151E-2</v>
      </c>
    </row>
    <row r="197" spans="1:11">
      <c r="A197" s="33">
        <v>32599</v>
      </c>
      <c r="B197" s="279">
        <v>1683003</v>
      </c>
      <c r="C197" s="279">
        <v>128063</v>
      </c>
      <c r="D197" s="277">
        <v>41080000</v>
      </c>
      <c r="E197" s="47">
        <f t="shared" si="24"/>
        <v>3.6471025876898149E-2</v>
      </c>
      <c r="F197" s="277">
        <v>1470000</v>
      </c>
      <c r="G197" s="47">
        <f t="shared" si="25"/>
        <v>3.4547591069330197E-2</v>
      </c>
      <c r="H197" s="63">
        <v>1.6299999999999999E-2</v>
      </c>
      <c r="I197" s="280">
        <v>1</v>
      </c>
      <c r="J197" s="281">
        <f t="shared" si="26"/>
        <v>3.2539103874001662E-2</v>
      </c>
    </row>
    <row r="198" spans="1:11">
      <c r="A198" s="33">
        <v>32629</v>
      </c>
      <c r="B198" s="279">
        <v>1739336</v>
      </c>
      <c r="C198" s="279">
        <v>123303</v>
      </c>
      <c r="D198" s="277">
        <v>41220000</v>
      </c>
      <c r="E198" s="47">
        <f t="shared" si="24"/>
        <v>3.7726019120398004E-2</v>
      </c>
      <c r="F198" s="277">
        <v>1470000</v>
      </c>
      <c r="G198" s="47">
        <f t="shared" si="25"/>
        <v>3.4434293745607872E-2</v>
      </c>
      <c r="H198" s="63">
        <v>1.7399999999999999E-2</v>
      </c>
      <c r="I198" s="280">
        <v>1</v>
      </c>
      <c r="J198" s="281">
        <f t="shared" si="26"/>
        <v>3.4678484357644569E-2</v>
      </c>
    </row>
    <row r="199" spans="1:11">
      <c r="A199" s="33">
        <v>32660</v>
      </c>
      <c r="B199" s="279">
        <v>1750358</v>
      </c>
      <c r="C199" s="279">
        <v>124664</v>
      </c>
      <c r="D199" s="277">
        <v>41410000</v>
      </c>
      <c r="E199" s="47">
        <f t="shared" si="24"/>
        <v>3.7775480046865283E-2</v>
      </c>
      <c r="F199" s="277">
        <v>1400000</v>
      </c>
      <c r="G199" s="47">
        <f t="shared" si="25"/>
        <v>3.2702639570193877E-2</v>
      </c>
      <c r="H199" s="63">
        <v>1.66E-2</v>
      </c>
      <c r="I199" s="280">
        <v>1</v>
      </c>
      <c r="J199" s="281">
        <f t="shared" si="26"/>
        <v>3.3122918440268365E-2</v>
      </c>
    </row>
    <row r="200" spans="1:11">
      <c r="A200" s="33">
        <v>32690</v>
      </c>
      <c r="B200" s="279">
        <v>1764836</v>
      </c>
      <c r="C200" s="279">
        <v>122761</v>
      </c>
      <c r="D200" s="277">
        <v>41530000</v>
      </c>
      <c r="E200" s="47">
        <f t="shared" si="24"/>
        <v>3.8035582028429257E-2</v>
      </c>
      <c r="F200" s="277">
        <v>1390000</v>
      </c>
      <c r="G200" s="47">
        <f t="shared" si="25"/>
        <v>3.2385834109972041E-2</v>
      </c>
      <c r="H200" s="63">
        <v>1.7600000000000001E-2</v>
      </c>
      <c r="I200" s="280">
        <v>1</v>
      </c>
      <c r="J200" s="281">
        <f t="shared" si="26"/>
        <v>3.5067094012930289E-2</v>
      </c>
    </row>
    <row r="201" spans="1:11">
      <c r="A201" s="33">
        <v>32721</v>
      </c>
      <c r="B201" s="279">
        <v>1752329</v>
      </c>
      <c r="C201" s="279">
        <v>123160</v>
      </c>
      <c r="D201" s="277">
        <v>41690000</v>
      </c>
      <c r="E201" s="47">
        <f t="shared" si="24"/>
        <v>3.7608500754019544E-2</v>
      </c>
      <c r="F201" s="277">
        <v>1400000</v>
      </c>
      <c r="G201" s="47">
        <f t="shared" si="25"/>
        <v>3.2490136922719889E-2</v>
      </c>
      <c r="H201" s="63">
        <v>1.6500000000000001E-2</v>
      </c>
      <c r="I201" s="280">
        <v>1</v>
      </c>
      <c r="J201" s="281">
        <f t="shared" si="26"/>
        <v>3.2928343049920206E-2</v>
      </c>
    </row>
    <row r="202" spans="1:11">
      <c r="A202" s="33">
        <v>32752</v>
      </c>
      <c r="B202" s="279">
        <v>1751567</v>
      </c>
      <c r="C202" s="279">
        <v>123932</v>
      </c>
      <c r="D202" s="277">
        <v>41610000</v>
      </c>
      <c r="E202" s="47">
        <f t="shared" si="24"/>
        <v>3.7643941441292982E-2</v>
      </c>
      <c r="F202" s="277">
        <v>1370000</v>
      </c>
      <c r="G202" s="47">
        <f t="shared" si="25"/>
        <v>3.1875290832945553E-2</v>
      </c>
      <c r="H202" s="63">
        <v>1.72E-2</v>
      </c>
      <c r="I202" s="280">
        <v>1</v>
      </c>
      <c r="J202" s="281">
        <f t="shared" si="26"/>
        <v>3.4289763316397617E-2</v>
      </c>
    </row>
    <row r="203" spans="1:11">
      <c r="A203" s="33">
        <v>32782</v>
      </c>
      <c r="B203" s="279">
        <v>1748970</v>
      </c>
      <c r="C203" s="279">
        <v>121438</v>
      </c>
      <c r="D203" s="277">
        <v>41620000</v>
      </c>
      <c r="E203" s="47">
        <f t="shared" si="24"/>
        <v>3.7632945158581538E-2</v>
      </c>
      <c r="F203" s="277">
        <v>1390000</v>
      </c>
      <c r="G203" s="47">
        <f t="shared" si="25"/>
        <v>3.2318065566147407E-2</v>
      </c>
      <c r="H203" s="63">
        <v>1.7399999999999999E-2</v>
      </c>
      <c r="I203" s="280">
        <v>1</v>
      </c>
      <c r="J203" s="281">
        <f t="shared" si="26"/>
        <v>3.4678484357644569E-2</v>
      </c>
    </row>
    <row r="204" spans="1:11">
      <c r="A204" s="33">
        <v>32813</v>
      </c>
      <c r="B204" s="279">
        <v>1761398</v>
      </c>
      <c r="C204" s="279">
        <v>119770</v>
      </c>
      <c r="D204" s="277">
        <v>41760000</v>
      </c>
      <c r="E204" s="47">
        <f t="shared" si="24"/>
        <v>3.7824111113988625E-2</v>
      </c>
      <c r="F204" s="277">
        <v>1390000</v>
      </c>
      <c r="G204" s="47">
        <f t="shared" si="25"/>
        <v>3.2213209733487833E-2</v>
      </c>
      <c r="H204" s="63">
        <v>1.6799999999999999E-2</v>
      </c>
      <c r="I204" s="280">
        <v>1</v>
      </c>
      <c r="J204" s="281">
        <f t="shared" si="26"/>
        <v>3.3511981733464327E-2</v>
      </c>
    </row>
    <row r="205" spans="1:11">
      <c r="A205" s="33">
        <v>32843</v>
      </c>
      <c r="B205" s="279">
        <v>1761950</v>
      </c>
      <c r="C205" s="279">
        <v>117916</v>
      </c>
      <c r="D205" s="277">
        <v>41790000</v>
      </c>
      <c r="E205" s="47">
        <f t="shared" si="24"/>
        <v>3.785128500843371E-2</v>
      </c>
      <c r="F205" s="277">
        <v>1340000</v>
      </c>
      <c r="G205" s="47">
        <f t="shared" si="25"/>
        <v>3.1068861581265941E-2</v>
      </c>
      <c r="H205" s="63">
        <v>1.7500000000000002E-2</v>
      </c>
      <c r="I205" s="280">
        <v>1</v>
      </c>
      <c r="J205" s="281">
        <f t="shared" si="26"/>
        <v>3.4872803026755231E-2</v>
      </c>
      <c r="K205" s="282">
        <f t="shared" ref="K205" si="27">AVERAGE(J194:J205)</f>
        <v>3.3608666782381183E-2</v>
      </c>
    </row>
    <row r="206" spans="1:11">
      <c r="A206" s="33">
        <v>32874</v>
      </c>
      <c r="B206" s="279">
        <v>1750302</v>
      </c>
      <c r="C206" s="279">
        <v>116062</v>
      </c>
      <c r="D206" s="277">
        <v>41980000</v>
      </c>
      <c r="E206" s="47">
        <f t="shared" si="24"/>
        <v>3.7470330791044393E-2</v>
      </c>
      <c r="F206" s="277">
        <v>1390000</v>
      </c>
      <c r="G206" s="47">
        <f t="shared" si="25"/>
        <v>3.2049804011989855E-2</v>
      </c>
      <c r="H206" s="63">
        <v>1.7600000000000001E-2</v>
      </c>
      <c r="I206" s="280">
        <v>1</v>
      </c>
      <c r="J206" s="281">
        <f t="shared" si="26"/>
        <v>3.5067094012930289E-2</v>
      </c>
    </row>
    <row r="207" spans="1:11">
      <c r="A207" s="33">
        <v>32905</v>
      </c>
      <c r="B207" s="279">
        <v>1782939</v>
      </c>
      <c r="C207" s="279">
        <v>115681</v>
      </c>
      <c r="D207" s="277">
        <v>41990000</v>
      </c>
      <c r="E207" s="47">
        <f t="shared" si="24"/>
        <v>3.8189709486564638E-2</v>
      </c>
      <c r="F207" s="277">
        <v>1370000</v>
      </c>
      <c r="G207" s="47">
        <f t="shared" si="25"/>
        <v>3.1595940959409596E-2</v>
      </c>
      <c r="H207" s="63">
        <v>1.5900000000000001E-2</v>
      </c>
      <c r="I207" s="280">
        <v>1</v>
      </c>
      <c r="J207" s="281">
        <f t="shared" si="26"/>
        <v>3.1760266714674884E-2</v>
      </c>
    </row>
    <row r="208" spans="1:11">
      <c r="A208" s="33">
        <v>32933</v>
      </c>
      <c r="B208" s="279">
        <v>1784482</v>
      </c>
      <c r="C208" s="279">
        <v>119035</v>
      </c>
      <c r="D208" s="277">
        <v>42240000</v>
      </c>
      <c r="E208" s="47">
        <f t="shared" si="24"/>
        <v>3.7932582715761894E-2</v>
      </c>
      <c r="F208" s="277">
        <v>1280000</v>
      </c>
      <c r="G208" s="47">
        <f t="shared" si="25"/>
        <v>2.9411764705882353E-2</v>
      </c>
      <c r="H208" s="63">
        <v>1.7100000000000001E-2</v>
      </c>
      <c r="I208" s="280">
        <v>1</v>
      </c>
      <c r="J208" s="281">
        <f t="shared" si="26"/>
        <v>3.4095360612345894E-2</v>
      </c>
    </row>
    <row r="209" spans="1:11">
      <c r="A209" s="33">
        <v>32964</v>
      </c>
      <c r="B209" s="279">
        <v>1750968</v>
      </c>
      <c r="C209" s="279">
        <v>115290</v>
      </c>
      <c r="D209" s="277">
        <v>42570000</v>
      </c>
      <c r="E209" s="47">
        <f t="shared" si="24"/>
        <v>3.7001536318479265E-2</v>
      </c>
      <c r="F209" s="277">
        <v>1340000</v>
      </c>
      <c r="G209" s="47">
        <f t="shared" si="25"/>
        <v>3.0516966522432246E-2</v>
      </c>
      <c r="H209" s="63">
        <v>1.6399999999999998E-2</v>
      </c>
      <c r="I209" s="280">
        <v>1</v>
      </c>
      <c r="J209" s="281">
        <f t="shared" si="26"/>
        <v>3.2733738255757296E-2</v>
      </c>
    </row>
    <row r="210" spans="1:11">
      <c r="A210" s="33">
        <v>32994</v>
      </c>
      <c r="B210" s="279">
        <v>1809710</v>
      </c>
      <c r="C210" s="279">
        <v>114331</v>
      </c>
      <c r="D210" s="277">
        <v>42920000</v>
      </c>
      <c r="E210" s="47">
        <f t="shared" si="24"/>
        <v>3.7999878920674413E-2</v>
      </c>
      <c r="F210" s="277">
        <v>1330000</v>
      </c>
      <c r="G210" s="47">
        <f t="shared" si="25"/>
        <v>3.0056497175141243E-2</v>
      </c>
      <c r="H210" s="63">
        <v>1.7299999999999999E-2</v>
      </c>
      <c r="I210" s="280">
        <v>1</v>
      </c>
      <c r="J210" s="281">
        <f t="shared" si="26"/>
        <v>3.4484137842520871E-2</v>
      </c>
    </row>
    <row r="211" spans="1:11">
      <c r="A211" s="33">
        <v>33025</v>
      </c>
      <c r="B211" s="279">
        <v>1826389</v>
      </c>
      <c r="C211" s="279">
        <v>111502</v>
      </c>
      <c r="D211" s="277">
        <v>42730000</v>
      </c>
      <c r="E211" s="47">
        <f t="shared" si="24"/>
        <v>3.8584573294111427E-2</v>
      </c>
      <c r="F211" s="277">
        <v>1380000</v>
      </c>
      <c r="G211" s="47">
        <f t="shared" si="25"/>
        <v>3.1285422806619813E-2</v>
      </c>
      <c r="H211" s="63">
        <v>1.6799999999999999E-2</v>
      </c>
      <c r="I211" s="280">
        <v>1</v>
      </c>
      <c r="J211" s="281">
        <f t="shared" si="26"/>
        <v>3.3511981733464327E-2</v>
      </c>
    </row>
    <row r="212" spans="1:11">
      <c r="A212" s="33">
        <v>33055</v>
      </c>
      <c r="B212" s="279">
        <v>1865357</v>
      </c>
      <c r="C212" s="279">
        <v>110078</v>
      </c>
      <c r="D212" s="277">
        <v>42570000</v>
      </c>
      <c r="E212" s="47">
        <f t="shared" si="24"/>
        <v>3.9599953787092912E-2</v>
      </c>
      <c r="F212" s="277">
        <v>1330000</v>
      </c>
      <c r="G212" s="47">
        <f t="shared" si="25"/>
        <v>3.0296127562642369E-2</v>
      </c>
      <c r="H212" s="63">
        <v>1.72E-2</v>
      </c>
      <c r="I212" s="280">
        <v>1</v>
      </c>
      <c r="J212" s="281">
        <f t="shared" si="26"/>
        <v>3.4289763316397617E-2</v>
      </c>
    </row>
    <row r="213" spans="1:11">
      <c r="A213" s="33">
        <v>33086</v>
      </c>
      <c r="B213" s="279">
        <v>1840213</v>
      </c>
      <c r="C213" s="279">
        <v>108738</v>
      </c>
      <c r="D213" s="277">
        <v>42720000</v>
      </c>
      <c r="E213" s="47">
        <f t="shared" si="24"/>
        <v>3.895202577642249E-2</v>
      </c>
      <c r="F213" s="277">
        <v>1300000</v>
      </c>
      <c r="G213" s="47">
        <f t="shared" si="25"/>
        <v>2.9532030895047707E-2</v>
      </c>
      <c r="H213" s="63">
        <v>1.7100000000000001E-2</v>
      </c>
      <c r="I213" s="280">
        <v>1</v>
      </c>
      <c r="J213" s="281">
        <f t="shared" si="26"/>
        <v>3.4095360612345894E-2</v>
      </c>
    </row>
    <row r="214" spans="1:11">
      <c r="A214" s="33">
        <v>33117</v>
      </c>
      <c r="B214" s="279">
        <v>1835673</v>
      </c>
      <c r="C214" s="279">
        <v>108320</v>
      </c>
      <c r="D214" s="277">
        <v>43410000</v>
      </c>
      <c r="E214" s="47">
        <f t="shared" si="24"/>
        <v>3.8268814744187592E-2</v>
      </c>
      <c r="F214" s="277">
        <v>1370000</v>
      </c>
      <c r="G214" s="47">
        <f t="shared" si="25"/>
        <v>3.0594015185350602E-2</v>
      </c>
      <c r="H214" s="63">
        <v>1.7299999999999999E-2</v>
      </c>
      <c r="I214" s="280">
        <v>1</v>
      </c>
      <c r="J214" s="281">
        <f t="shared" si="26"/>
        <v>3.4484137842520871E-2</v>
      </c>
    </row>
    <row r="215" spans="1:11">
      <c r="A215" s="33">
        <v>33147</v>
      </c>
      <c r="B215" s="279">
        <v>1838139</v>
      </c>
      <c r="C215" s="279">
        <v>108608</v>
      </c>
      <c r="D215" s="277">
        <v>43590000</v>
      </c>
      <c r="E215" s="47">
        <f t="shared" si="24"/>
        <v>3.8163038359774727E-2</v>
      </c>
      <c r="F215" s="277">
        <v>1400000</v>
      </c>
      <c r="G215" s="47">
        <f t="shared" si="25"/>
        <v>3.1118026228050679E-2</v>
      </c>
      <c r="H215" s="63">
        <v>1.6799999999999999E-2</v>
      </c>
      <c r="I215" s="280">
        <v>1</v>
      </c>
      <c r="J215" s="281">
        <f t="shared" si="26"/>
        <v>3.3511981733464327E-2</v>
      </c>
    </row>
    <row r="216" spans="1:11">
      <c r="A216" s="33">
        <v>33178</v>
      </c>
      <c r="B216" s="279">
        <v>1845163</v>
      </c>
      <c r="C216" s="279">
        <v>108026</v>
      </c>
      <c r="D216" s="277">
        <v>43550000</v>
      </c>
      <c r="E216" s="47">
        <f t="shared" si="24"/>
        <v>3.8358287034130682E-2</v>
      </c>
      <c r="F216" s="277">
        <v>1310000</v>
      </c>
      <c r="G216" s="47">
        <f t="shared" si="25"/>
        <v>2.9201961658493088E-2</v>
      </c>
      <c r="H216" s="63">
        <v>1.6399999999999998E-2</v>
      </c>
      <c r="I216" s="280">
        <v>1</v>
      </c>
      <c r="J216" s="281">
        <f t="shared" si="26"/>
        <v>3.2733738255757296E-2</v>
      </c>
    </row>
    <row r="217" spans="1:11">
      <c r="A217" s="33">
        <v>33208</v>
      </c>
      <c r="B217" s="279">
        <v>1852593</v>
      </c>
      <c r="C217" s="279">
        <v>109769</v>
      </c>
      <c r="D217" s="277">
        <v>43630000</v>
      </c>
      <c r="E217" s="47">
        <f t="shared" si="24"/>
        <v>3.8411186396509062E-2</v>
      </c>
      <c r="F217" s="277">
        <v>1300000</v>
      </c>
      <c r="G217" s="47">
        <f t="shared" si="25"/>
        <v>2.8933897173380813E-2</v>
      </c>
      <c r="H217" s="63">
        <v>1.5900000000000001E-2</v>
      </c>
      <c r="I217" s="280">
        <v>1</v>
      </c>
      <c r="J217" s="281">
        <f t="shared" si="26"/>
        <v>3.1760266714674884E-2</v>
      </c>
      <c r="K217" s="282">
        <f t="shared" ref="K217" si="28">AVERAGE(J206:J217)</f>
        <v>3.3543985637237872E-2</v>
      </c>
    </row>
    <row r="218" spans="1:11">
      <c r="A218" s="33">
        <v>33239</v>
      </c>
      <c r="B218" s="279">
        <v>1856324</v>
      </c>
      <c r="C218" s="279">
        <v>109528</v>
      </c>
      <c r="D218" s="277">
        <v>43820000</v>
      </c>
      <c r="E218" s="47">
        <f t="shared" si="24"/>
        <v>3.8334843643603997E-2</v>
      </c>
      <c r="F218" s="277">
        <v>1310000</v>
      </c>
      <c r="G218" s="47">
        <f t="shared" si="25"/>
        <v>2.9027254597828494E-2</v>
      </c>
      <c r="H218" s="63">
        <v>1.5800000000000002E-2</v>
      </c>
      <c r="I218" s="280">
        <v>1</v>
      </c>
      <c r="J218" s="281">
        <f t="shared" si="26"/>
        <v>3.1565481556856553E-2</v>
      </c>
    </row>
    <row r="219" spans="1:11">
      <c r="A219" s="33">
        <v>33270</v>
      </c>
      <c r="B219" s="279">
        <v>1845403</v>
      </c>
      <c r="C219" s="279">
        <v>109430</v>
      </c>
      <c r="D219" s="277">
        <v>43770000</v>
      </c>
      <c r="E219" s="47">
        <f t="shared" si="24"/>
        <v>3.8148244846890757E-2</v>
      </c>
      <c r="F219" s="277">
        <v>1320000</v>
      </c>
      <c r="G219" s="47">
        <f t="shared" si="25"/>
        <v>2.927478376580173E-2</v>
      </c>
      <c r="H219" s="63">
        <v>1.6899999999999998E-2</v>
      </c>
      <c r="I219" s="280">
        <v>1</v>
      </c>
      <c r="J219" s="281">
        <f t="shared" si="26"/>
        <v>3.3706469992821245E-2</v>
      </c>
    </row>
    <row r="220" spans="1:11">
      <c r="A220" s="33">
        <v>33298</v>
      </c>
      <c r="B220" s="279">
        <v>1835863</v>
      </c>
      <c r="C220" s="279">
        <v>108004</v>
      </c>
      <c r="D220" s="277">
        <v>44010000</v>
      </c>
      <c r="E220" s="47">
        <f t="shared" si="24"/>
        <v>3.7777435100318099E-2</v>
      </c>
      <c r="F220" s="277">
        <v>1400000</v>
      </c>
      <c r="G220" s="47">
        <f t="shared" si="25"/>
        <v>3.0830213609337149E-2</v>
      </c>
      <c r="H220" s="63">
        <v>1.6500000000000001E-2</v>
      </c>
      <c r="I220" s="280">
        <v>1</v>
      </c>
      <c r="J220" s="281">
        <f t="shared" si="26"/>
        <v>3.2928343049920206E-2</v>
      </c>
    </row>
    <row r="221" spans="1:11">
      <c r="A221" s="33">
        <v>33329</v>
      </c>
      <c r="B221" s="279">
        <v>1792850</v>
      </c>
      <c r="C221" s="279">
        <v>106468</v>
      </c>
      <c r="D221" s="277">
        <v>44170000</v>
      </c>
      <c r="E221" s="47">
        <f t="shared" si="24"/>
        <v>3.6775295530292816E-2</v>
      </c>
      <c r="F221" s="277">
        <v>1390000</v>
      </c>
      <c r="G221" s="47">
        <f t="shared" si="25"/>
        <v>3.0509218612818263E-2</v>
      </c>
      <c r="H221" s="63">
        <v>1.7399999999999999E-2</v>
      </c>
      <c r="I221" s="280">
        <v>1</v>
      </c>
      <c r="J221" s="281">
        <f t="shared" si="26"/>
        <v>3.4678484357644569E-2</v>
      </c>
    </row>
    <row r="222" spans="1:11">
      <c r="A222" s="33">
        <v>33359</v>
      </c>
      <c r="B222" s="279">
        <v>1833767</v>
      </c>
      <c r="C222" s="279">
        <v>108793</v>
      </c>
      <c r="D222" s="277">
        <v>44340000</v>
      </c>
      <c r="E222" s="47">
        <f t="shared" si="24"/>
        <v>3.7446542355586698E-2</v>
      </c>
      <c r="F222" s="277">
        <v>1330000</v>
      </c>
      <c r="G222" s="47">
        <f t="shared" si="25"/>
        <v>2.9121961900591197E-2</v>
      </c>
      <c r="H222" s="63">
        <v>1.7000000000000001E-2</v>
      </c>
      <c r="I222" s="280">
        <v>1</v>
      </c>
      <c r="J222" s="281">
        <f t="shared" si="26"/>
        <v>3.390092956145975E-2</v>
      </c>
    </row>
    <row r="223" spans="1:11">
      <c r="A223" s="33">
        <v>33390</v>
      </c>
      <c r="B223" s="279">
        <v>1832269</v>
      </c>
      <c r="C223" s="279">
        <v>105184</v>
      </c>
      <c r="D223" s="277">
        <v>44580000</v>
      </c>
      <c r="E223" s="47">
        <f t="shared" si="24"/>
        <v>3.729634460903769E-2</v>
      </c>
      <c r="F223" s="277">
        <v>1380000</v>
      </c>
      <c r="G223" s="47">
        <f t="shared" si="25"/>
        <v>3.0026109660574413E-2</v>
      </c>
      <c r="H223" s="63">
        <v>1.7899999999999999E-2</v>
      </c>
      <c r="I223" s="280">
        <v>1</v>
      </c>
      <c r="J223" s="281">
        <f t="shared" si="26"/>
        <v>3.564980247666602E-2</v>
      </c>
    </row>
    <row r="224" spans="1:11">
      <c r="A224" s="33">
        <v>33420</v>
      </c>
      <c r="B224" s="279">
        <v>1843007</v>
      </c>
      <c r="C224" s="279">
        <v>106066</v>
      </c>
      <c r="D224" s="277">
        <v>44540000</v>
      </c>
      <c r="E224" s="47">
        <f t="shared" si="24"/>
        <v>3.7533617444592979E-2</v>
      </c>
      <c r="F224" s="277">
        <v>1400000</v>
      </c>
      <c r="G224" s="47">
        <f t="shared" si="25"/>
        <v>3.0474531998258596E-2</v>
      </c>
      <c r="H224" s="63">
        <v>1.67E-2</v>
      </c>
      <c r="I224" s="280">
        <v>1</v>
      </c>
      <c r="J224" s="281">
        <f t="shared" si="26"/>
        <v>3.3317464608337982E-2</v>
      </c>
    </row>
    <row r="225" spans="1:11">
      <c r="A225" s="33">
        <v>33451</v>
      </c>
      <c r="B225" s="279">
        <v>1799330</v>
      </c>
      <c r="C225" s="279">
        <v>103254</v>
      </c>
      <c r="D225" s="277">
        <v>44460000</v>
      </c>
      <c r="E225" s="47">
        <f t="shared" si="24"/>
        <v>3.6746537985594789E-2</v>
      </c>
      <c r="F225" s="277">
        <v>1390000</v>
      </c>
      <c r="G225" s="47">
        <f t="shared" si="25"/>
        <v>3.0316248636859323E-2</v>
      </c>
      <c r="H225" s="63">
        <v>1.72E-2</v>
      </c>
      <c r="I225" s="280">
        <v>1</v>
      </c>
      <c r="J225" s="281">
        <f t="shared" si="26"/>
        <v>3.4289763316397617E-2</v>
      </c>
    </row>
    <row r="226" spans="1:11">
      <c r="A226" s="33">
        <v>33482</v>
      </c>
      <c r="B226" s="279">
        <v>1775771</v>
      </c>
      <c r="C226" s="279">
        <v>105550</v>
      </c>
      <c r="D226" s="277">
        <v>44580000</v>
      </c>
      <c r="E226" s="47">
        <f t="shared" si="24"/>
        <v>3.6112713926275075E-2</v>
      </c>
      <c r="F226" s="277">
        <v>1390000</v>
      </c>
      <c r="G226" s="47">
        <f t="shared" si="25"/>
        <v>3.0237111159451817E-2</v>
      </c>
      <c r="H226" s="63">
        <v>1.77E-2</v>
      </c>
      <c r="I226" s="280">
        <v>1</v>
      </c>
      <c r="J226" s="281">
        <f t="shared" si="26"/>
        <v>3.5261357477371032E-2</v>
      </c>
    </row>
    <row r="227" spans="1:11">
      <c r="A227" s="33">
        <v>33512</v>
      </c>
      <c r="B227" s="279">
        <v>1762814</v>
      </c>
      <c r="C227" s="279">
        <v>106761</v>
      </c>
      <c r="D227" s="277">
        <v>44720000</v>
      </c>
      <c r="E227" s="47">
        <f t="shared" si="24"/>
        <v>3.5709226915020126E-2</v>
      </c>
      <c r="F227" s="277">
        <v>1320000</v>
      </c>
      <c r="G227" s="47">
        <f t="shared" si="25"/>
        <v>2.8670721112076455E-2</v>
      </c>
      <c r="H227" s="63">
        <v>1.7299999999999999E-2</v>
      </c>
      <c r="I227" s="280">
        <v>1</v>
      </c>
      <c r="J227" s="281">
        <f t="shared" si="26"/>
        <v>3.4484137842520871E-2</v>
      </c>
    </row>
    <row r="228" spans="1:11">
      <c r="A228" s="33">
        <v>33543</v>
      </c>
      <c r="B228" s="279">
        <v>1745903</v>
      </c>
      <c r="C228" s="279">
        <v>103499</v>
      </c>
      <c r="D228" s="277">
        <v>44870000</v>
      </c>
      <c r="E228" s="47">
        <f t="shared" si="24"/>
        <v>3.5311096799038814E-2</v>
      </c>
      <c r="F228" s="277">
        <v>1360000</v>
      </c>
      <c r="G228" s="47">
        <f t="shared" si="25"/>
        <v>2.9418126757516764E-2</v>
      </c>
      <c r="H228" s="63">
        <v>1.6799999999999999E-2</v>
      </c>
      <c r="I228" s="280">
        <v>1</v>
      </c>
      <c r="J228" s="281">
        <f t="shared" si="26"/>
        <v>3.3511981733464327E-2</v>
      </c>
    </row>
    <row r="229" spans="1:11">
      <c r="A229" s="33">
        <v>33573</v>
      </c>
      <c r="B229" s="279">
        <v>1734393</v>
      </c>
      <c r="C229" s="279">
        <v>103603</v>
      </c>
      <c r="D229" s="277">
        <v>45170000</v>
      </c>
      <c r="E229" s="47">
        <f t="shared" si="24"/>
        <v>3.4845351969485988E-2</v>
      </c>
      <c r="F229" s="277">
        <v>1370000</v>
      </c>
      <c r="G229" s="47">
        <f t="shared" si="25"/>
        <v>2.9437043403523849E-2</v>
      </c>
      <c r="H229" s="63">
        <v>1.7100000000000001E-2</v>
      </c>
      <c r="I229" s="280">
        <v>1</v>
      </c>
      <c r="J229" s="281">
        <f t="shared" si="26"/>
        <v>3.4095360612345894E-2</v>
      </c>
      <c r="K229" s="282">
        <f t="shared" ref="K229" si="29">AVERAGE(J218:J229)</f>
        <v>3.3949131382150506E-2</v>
      </c>
    </row>
    <row r="230" spans="1:11">
      <c r="A230" s="33">
        <v>33604</v>
      </c>
      <c r="B230" s="279">
        <v>1711221</v>
      </c>
      <c r="C230" s="279">
        <v>108786</v>
      </c>
      <c r="D230" s="277">
        <v>45020000</v>
      </c>
      <c r="E230" s="47">
        <f t="shared" si="24"/>
        <v>3.4370469925047886E-2</v>
      </c>
      <c r="F230" s="277">
        <v>1400000</v>
      </c>
      <c r="G230" s="47">
        <f t="shared" si="25"/>
        <v>3.015941404566997E-2</v>
      </c>
      <c r="H230" s="63">
        <v>1.8600000000000002E-2</v>
      </c>
      <c r="I230" s="280">
        <v>1</v>
      </c>
      <c r="J230" s="281">
        <f t="shared" si="26"/>
        <v>3.7008515888874084E-2</v>
      </c>
    </row>
    <row r="231" spans="1:11">
      <c r="A231" s="33">
        <v>33635</v>
      </c>
      <c r="B231" s="279">
        <v>1678160</v>
      </c>
      <c r="C231" s="279">
        <v>106930</v>
      </c>
      <c r="D231" s="277">
        <v>45240000</v>
      </c>
      <c r="E231" s="47">
        <f t="shared" si="24"/>
        <v>3.3565236375972175E-2</v>
      </c>
      <c r="F231" s="277">
        <v>1340000</v>
      </c>
      <c r="G231" s="47">
        <f t="shared" si="25"/>
        <v>2.8767711464147704E-2</v>
      </c>
      <c r="H231" s="63">
        <v>1.7299999999999999E-2</v>
      </c>
      <c r="I231" s="280">
        <v>1</v>
      </c>
      <c r="J231" s="281">
        <f t="shared" si="26"/>
        <v>3.4484137842520871E-2</v>
      </c>
    </row>
    <row r="232" spans="1:11">
      <c r="A232" s="33">
        <v>33664</v>
      </c>
      <c r="B232" s="279">
        <v>1634726</v>
      </c>
      <c r="C232" s="279">
        <v>107704</v>
      </c>
      <c r="D232" s="277">
        <v>45160000</v>
      </c>
      <c r="E232" s="47">
        <f t="shared" si="24"/>
        <v>3.2707633397563891E-2</v>
      </c>
      <c r="F232" s="277">
        <v>1380000</v>
      </c>
      <c r="G232" s="47">
        <f t="shared" si="25"/>
        <v>2.9651912333476579E-2</v>
      </c>
      <c r="H232" s="63">
        <v>1.61E-2</v>
      </c>
      <c r="I232" s="280">
        <v>1</v>
      </c>
      <c r="J232" s="281">
        <f t="shared" si="26"/>
        <v>3.2149745601141276E-2</v>
      </c>
    </row>
    <row r="233" spans="1:11">
      <c r="A233" s="33">
        <v>33695</v>
      </c>
      <c r="B233" s="279">
        <v>1579763</v>
      </c>
      <c r="C233" s="279">
        <v>107499</v>
      </c>
      <c r="D233" s="277">
        <v>45040000</v>
      </c>
      <c r="E233" s="47">
        <f t="shared" si="24"/>
        <v>3.1653243110247226E-2</v>
      </c>
      <c r="F233" s="277">
        <v>1360000</v>
      </c>
      <c r="G233" s="47">
        <f t="shared" si="25"/>
        <v>2.9310344827586206E-2</v>
      </c>
      <c r="H233" s="63">
        <v>1.6399999999999998E-2</v>
      </c>
      <c r="I233" s="280">
        <v>1</v>
      </c>
      <c r="J233" s="281">
        <f t="shared" si="26"/>
        <v>3.2733738255757296E-2</v>
      </c>
    </row>
    <row r="234" spans="1:11">
      <c r="A234" s="33">
        <v>33725</v>
      </c>
      <c r="B234" s="279">
        <v>1575648</v>
      </c>
      <c r="C234" s="279">
        <v>109771</v>
      </c>
      <c r="D234" s="277">
        <v>45350000</v>
      </c>
      <c r="E234" s="47">
        <f t="shared" si="24"/>
        <v>3.1311535614295977E-2</v>
      </c>
      <c r="F234" s="277">
        <v>1390000</v>
      </c>
      <c r="G234" s="47">
        <f t="shared" si="25"/>
        <v>2.9738981600342319E-2</v>
      </c>
      <c r="H234" s="63">
        <v>1.6299999999999999E-2</v>
      </c>
      <c r="I234" s="280">
        <v>1</v>
      </c>
      <c r="J234" s="281">
        <f t="shared" si="26"/>
        <v>3.2539103874001662E-2</v>
      </c>
    </row>
    <row r="235" spans="1:11">
      <c r="A235" s="33">
        <v>33756</v>
      </c>
      <c r="B235" s="279">
        <v>1556634</v>
      </c>
      <c r="C235" s="279">
        <v>106542</v>
      </c>
      <c r="D235" s="277">
        <v>45500000</v>
      </c>
      <c r="E235" s="47">
        <f t="shared" si="24"/>
        <v>3.0885818072518365E-2</v>
      </c>
      <c r="F235" s="277">
        <v>1380000</v>
      </c>
      <c r="G235" s="47">
        <f t="shared" si="25"/>
        <v>2.9436860068259386E-2</v>
      </c>
      <c r="H235" s="63">
        <v>1.66E-2</v>
      </c>
      <c r="I235" s="280">
        <v>1</v>
      </c>
      <c r="J235" s="281">
        <f t="shared" si="26"/>
        <v>3.3122918440268365E-2</v>
      </c>
    </row>
    <row r="236" spans="1:11">
      <c r="A236" s="33">
        <v>33786</v>
      </c>
      <c r="B236" s="279">
        <v>1538720</v>
      </c>
      <c r="C236" s="279">
        <v>105378</v>
      </c>
      <c r="D236" s="277">
        <v>45630000</v>
      </c>
      <c r="E236" s="47">
        <f t="shared" si="24"/>
        <v>3.045559323007703E-2</v>
      </c>
      <c r="F236" s="277">
        <v>1400000</v>
      </c>
      <c r="G236" s="47">
        <f t="shared" si="25"/>
        <v>2.9768233042738679E-2</v>
      </c>
      <c r="H236" s="63">
        <v>1.67E-2</v>
      </c>
      <c r="I236" s="280">
        <v>1</v>
      </c>
      <c r="J236" s="281">
        <f t="shared" si="26"/>
        <v>3.3317464608337982E-2</v>
      </c>
    </row>
    <row r="237" spans="1:11">
      <c r="A237" s="33">
        <v>33817</v>
      </c>
      <c r="B237" s="279">
        <v>1511942</v>
      </c>
      <c r="C237" s="279">
        <v>105414</v>
      </c>
      <c r="D237" s="277">
        <v>45770000</v>
      </c>
      <c r="E237" s="47">
        <f t="shared" si="24"/>
        <v>2.981414825609888E-2</v>
      </c>
      <c r="F237" s="277">
        <v>1440000</v>
      </c>
      <c r="G237" s="47">
        <f t="shared" si="25"/>
        <v>3.0502012285532724E-2</v>
      </c>
      <c r="H237" s="63">
        <v>1.67E-2</v>
      </c>
      <c r="I237" s="280">
        <v>1</v>
      </c>
      <c r="J237" s="281">
        <f t="shared" si="26"/>
        <v>3.3317464608337982E-2</v>
      </c>
    </row>
    <row r="238" spans="1:11">
      <c r="A238" s="33">
        <v>33848</v>
      </c>
      <c r="B238" s="279">
        <v>1493897</v>
      </c>
      <c r="C238" s="279">
        <v>107358</v>
      </c>
      <c r="D238" s="277">
        <v>45660000</v>
      </c>
      <c r="E238" s="47">
        <f t="shared" si="24"/>
        <v>2.9471647212986275E-2</v>
      </c>
      <c r="F238" s="277">
        <v>1450000</v>
      </c>
      <c r="G238" s="47">
        <f t="shared" si="25"/>
        <v>3.0779027807259607E-2</v>
      </c>
      <c r="H238" s="63">
        <v>1.6200000000000003E-2</v>
      </c>
      <c r="I238" s="280">
        <v>1</v>
      </c>
      <c r="J238" s="281">
        <f t="shared" si="26"/>
        <v>3.2344439718592063E-2</v>
      </c>
    </row>
    <row r="239" spans="1:11">
      <c r="A239" s="33">
        <v>33878</v>
      </c>
      <c r="B239" s="279">
        <v>1467765</v>
      </c>
      <c r="C239" s="279">
        <v>105493</v>
      </c>
      <c r="D239" s="277">
        <v>45890000</v>
      </c>
      <c r="E239" s="47">
        <f t="shared" si="24"/>
        <v>2.8829767169714082E-2</v>
      </c>
      <c r="F239" s="277">
        <v>1450000</v>
      </c>
      <c r="G239" s="47">
        <f t="shared" si="25"/>
        <v>3.0629488804393746E-2</v>
      </c>
      <c r="H239" s="63">
        <v>1.7399999999999999E-2</v>
      </c>
      <c r="I239" s="280">
        <v>1</v>
      </c>
      <c r="J239" s="281">
        <f t="shared" si="26"/>
        <v>3.4678484357644569E-2</v>
      </c>
    </row>
    <row r="240" spans="1:11">
      <c r="A240" s="33">
        <v>33909</v>
      </c>
      <c r="B240" s="279">
        <v>1447254</v>
      </c>
      <c r="C240" s="279">
        <v>106037</v>
      </c>
      <c r="D240" s="277">
        <v>46100000</v>
      </c>
      <c r="E240" s="47">
        <f t="shared" si="24"/>
        <v>2.8271133938237714E-2</v>
      </c>
      <c r="F240" s="277">
        <v>1510000</v>
      </c>
      <c r="G240" s="47">
        <f t="shared" si="25"/>
        <v>3.1716026044948539E-2</v>
      </c>
      <c r="H240" s="63">
        <v>1.6E-2</v>
      </c>
      <c r="I240" s="280">
        <v>1</v>
      </c>
      <c r="J240" s="281">
        <f t="shared" si="26"/>
        <v>3.1955021330892612E-2</v>
      </c>
    </row>
    <row r="241" spans="1:11">
      <c r="A241" s="33">
        <v>33939</v>
      </c>
      <c r="B241" s="279">
        <v>1424196</v>
      </c>
      <c r="C241" s="279">
        <v>105176</v>
      </c>
      <c r="D241" s="277">
        <v>45960000</v>
      </c>
      <c r="E241" s="47">
        <f t="shared" si="24"/>
        <v>2.7898632416661767E-2</v>
      </c>
      <c r="F241" s="277">
        <v>1550000</v>
      </c>
      <c r="G241" s="47">
        <f t="shared" si="25"/>
        <v>3.2624710587244789E-2</v>
      </c>
      <c r="H241" s="63">
        <v>1.52E-2</v>
      </c>
      <c r="I241" s="280">
        <v>1</v>
      </c>
      <c r="J241" s="281">
        <f t="shared" si="26"/>
        <v>3.0396117958832555E-2</v>
      </c>
      <c r="K241" s="282">
        <f t="shared" ref="K241" si="30">AVERAGE(J230:J241)</f>
        <v>3.3170596040433452E-2</v>
      </c>
    </row>
    <row r="242" spans="1:11">
      <c r="A242" s="33">
        <v>33970</v>
      </c>
      <c r="B242" s="279">
        <v>1400148</v>
      </c>
      <c r="C242" s="279">
        <v>106546</v>
      </c>
      <c r="D242" s="277">
        <v>46000000</v>
      </c>
      <c r="E242" s="47">
        <f t="shared" si="24"/>
        <v>2.7352579319291435E-2</v>
      </c>
      <c r="F242" s="277">
        <v>1510000</v>
      </c>
      <c r="G242" s="47">
        <f t="shared" si="25"/>
        <v>3.1782782572090086E-2</v>
      </c>
      <c r="H242" s="63">
        <v>1.47E-2</v>
      </c>
      <c r="I242" s="280">
        <v>1</v>
      </c>
      <c r="J242" s="281">
        <f t="shared" si="26"/>
        <v>2.942077051400234E-2</v>
      </c>
    </row>
    <row r="243" spans="1:11">
      <c r="A243" s="33">
        <v>34001</v>
      </c>
      <c r="B243" s="279">
        <v>1385721</v>
      </c>
      <c r="C243" s="279">
        <v>108493</v>
      </c>
      <c r="D243" s="277">
        <v>46240000</v>
      </c>
      <c r="E243" s="47">
        <f t="shared" si="24"/>
        <v>2.6879261559617913E-2</v>
      </c>
      <c r="F243" s="277">
        <v>1550000</v>
      </c>
      <c r="G243" s="47">
        <f t="shared" si="25"/>
        <v>3.2433563507009835E-2</v>
      </c>
      <c r="H243" s="63">
        <v>1.7100000000000001E-2</v>
      </c>
      <c r="I243" s="280">
        <v>1</v>
      </c>
      <c r="J243" s="281">
        <f t="shared" si="26"/>
        <v>3.4095360612345894E-2</v>
      </c>
    </row>
    <row r="244" spans="1:11">
      <c r="A244" s="33">
        <v>34029</v>
      </c>
      <c r="B244" s="279">
        <v>1361114</v>
      </c>
      <c r="C244" s="279">
        <v>109589</v>
      </c>
      <c r="D244" s="277">
        <v>46040000</v>
      </c>
      <c r="E244" s="47">
        <f t="shared" si="24"/>
        <v>2.6464044033259658E-2</v>
      </c>
      <c r="F244" s="277">
        <v>1540000</v>
      </c>
      <c r="G244" s="47">
        <f t="shared" si="25"/>
        <v>3.2366540563261874E-2</v>
      </c>
      <c r="H244" s="63">
        <v>1.7500000000000002E-2</v>
      </c>
      <c r="I244" s="280">
        <v>1</v>
      </c>
      <c r="J244" s="281">
        <f t="shared" si="26"/>
        <v>3.4872803026755231E-2</v>
      </c>
    </row>
    <row r="245" spans="1:11">
      <c r="A245" s="33">
        <v>34060</v>
      </c>
      <c r="B245" s="279">
        <v>1339469</v>
      </c>
      <c r="C245" s="279">
        <v>109872</v>
      </c>
      <c r="D245" s="277">
        <v>46060000</v>
      </c>
      <c r="E245" s="47">
        <f t="shared" si="24"/>
        <v>2.6001426910024206E-2</v>
      </c>
      <c r="F245" s="277">
        <v>1530000</v>
      </c>
      <c r="G245" s="47">
        <f t="shared" si="25"/>
        <v>3.2149611262870352E-2</v>
      </c>
      <c r="H245" s="63">
        <v>1.7100000000000001E-2</v>
      </c>
      <c r="I245" s="280">
        <v>1</v>
      </c>
      <c r="J245" s="281">
        <f t="shared" si="26"/>
        <v>3.4095360612345894E-2</v>
      </c>
    </row>
    <row r="246" spans="1:11">
      <c r="A246" s="33">
        <v>34090</v>
      </c>
      <c r="B246" s="279">
        <v>1310471</v>
      </c>
      <c r="C246" s="279">
        <v>111595</v>
      </c>
      <c r="D246" s="277">
        <v>45940000</v>
      </c>
      <c r="E246" s="47">
        <f t="shared" si="24"/>
        <v>2.5432850796018133E-2</v>
      </c>
      <c r="F246" s="277">
        <v>1660000</v>
      </c>
      <c r="G246" s="47">
        <f t="shared" si="25"/>
        <v>3.4873949579831934E-2</v>
      </c>
      <c r="H246" s="63">
        <v>1.7899999999999999E-2</v>
      </c>
      <c r="I246" s="280">
        <v>1</v>
      </c>
      <c r="J246" s="281">
        <f t="shared" si="26"/>
        <v>3.564980247666602E-2</v>
      </c>
    </row>
    <row r="247" spans="1:11">
      <c r="A247" s="33">
        <v>34121</v>
      </c>
      <c r="B247" s="279">
        <v>1271660</v>
      </c>
      <c r="C247" s="279">
        <v>110583</v>
      </c>
      <c r="D247" s="277">
        <v>46000000</v>
      </c>
      <c r="E247" s="47">
        <f t="shared" si="24"/>
        <v>2.461939111356596E-2</v>
      </c>
      <c r="F247" s="277">
        <v>1650000</v>
      </c>
      <c r="G247" s="47">
        <f t="shared" si="25"/>
        <v>3.4627492130115428E-2</v>
      </c>
      <c r="H247" s="63">
        <v>1.7100000000000001E-2</v>
      </c>
      <c r="I247" s="280">
        <v>1</v>
      </c>
      <c r="J247" s="281">
        <f t="shared" si="26"/>
        <v>3.4095360612345894E-2</v>
      </c>
    </row>
    <row r="248" spans="1:11">
      <c r="A248" s="33">
        <v>34151</v>
      </c>
      <c r="B248" s="279">
        <v>1243622</v>
      </c>
      <c r="C248" s="279">
        <v>111633</v>
      </c>
      <c r="D248" s="277">
        <v>46480000</v>
      </c>
      <c r="E248" s="47">
        <f t="shared" si="24"/>
        <v>2.3775293235491591E-2</v>
      </c>
      <c r="F248" s="277">
        <v>1660000</v>
      </c>
      <c r="G248" s="47">
        <f t="shared" si="25"/>
        <v>3.4482758620689655E-2</v>
      </c>
      <c r="H248" s="63">
        <v>1.78E-2</v>
      </c>
      <c r="I248" s="280">
        <v>1</v>
      </c>
      <c r="J248" s="281">
        <f t="shared" si="26"/>
        <v>3.5455593579434772E-2</v>
      </c>
    </row>
    <row r="249" spans="1:11">
      <c r="A249" s="33">
        <v>34182</v>
      </c>
      <c r="B249" s="279">
        <v>1224560</v>
      </c>
      <c r="C249" s="279">
        <v>114423</v>
      </c>
      <c r="D249" s="277">
        <v>46670000</v>
      </c>
      <c r="E249" s="47">
        <f t="shared" si="24"/>
        <v>2.3234278294346457E-2</v>
      </c>
      <c r="F249" s="277">
        <v>1660000</v>
      </c>
      <c r="G249" s="47">
        <f t="shared" si="25"/>
        <v>3.4347196358369546E-2</v>
      </c>
      <c r="H249" s="63">
        <v>1.7600000000000001E-2</v>
      </c>
      <c r="I249" s="280">
        <v>1</v>
      </c>
      <c r="J249" s="281">
        <f t="shared" si="26"/>
        <v>3.5067094012930289E-2</v>
      </c>
    </row>
    <row r="250" spans="1:11">
      <c r="A250" s="33">
        <v>34213</v>
      </c>
      <c r="B250" s="279">
        <v>1205503</v>
      </c>
      <c r="C250" s="279">
        <v>110483</v>
      </c>
      <c r="D250" s="277">
        <v>46510000</v>
      </c>
      <c r="E250" s="47">
        <f t="shared" si="24"/>
        <v>2.300219598689382E-2</v>
      </c>
      <c r="F250" s="277">
        <v>1690000</v>
      </c>
      <c r="G250" s="47">
        <f t="shared" si="25"/>
        <v>3.5062240663900415E-2</v>
      </c>
      <c r="H250" s="63">
        <v>1.6500000000000001E-2</v>
      </c>
      <c r="I250" s="280">
        <v>1</v>
      </c>
      <c r="J250" s="281">
        <f t="shared" si="26"/>
        <v>3.2928343049920206E-2</v>
      </c>
    </row>
    <row r="251" spans="1:11">
      <c r="A251" s="33">
        <v>34243</v>
      </c>
      <c r="B251" s="279">
        <v>1188504</v>
      </c>
      <c r="C251" s="279">
        <v>111363</v>
      </c>
      <c r="D251" s="277">
        <v>46450000</v>
      </c>
      <c r="E251" s="47">
        <f t="shared" si="24"/>
        <v>2.266370283034698E-2</v>
      </c>
      <c r="F251" s="277">
        <v>1760000</v>
      </c>
      <c r="G251" s="47">
        <f t="shared" si="25"/>
        <v>3.650694876581622E-2</v>
      </c>
      <c r="H251" s="63">
        <v>1.7299999999999999E-2</v>
      </c>
      <c r="I251" s="280">
        <v>1</v>
      </c>
      <c r="J251" s="281">
        <f t="shared" si="26"/>
        <v>3.4484137842520871E-2</v>
      </c>
    </row>
    <row r="252" spans="1:11">
      <c r="A252" s="33">
        <v>34274</v>
      </c>
      <c r="B252" s="279">
        <v>1180935</v>
      </c>
      <c r="C252" s="279">
        <v>112696</v>
      </c>
      <c r="D252" s="277">
        <v>46320000</v>
      </c>
      <c r="E252" s="47">
        <f t="shared" si="24"/>
        <v>2.2542281007741184E-2</v>
      </c>
      <c r="F252" s="277">
        <v>1820000</v>
      </c>
      <c r="G252" s="47">
        <f t="shared" si="25"/>
        <v>3.7806398005816366E-2</v>
      </c>
      <c r="H252" s="63">
        <v>1.8100000000000002E-2</v>
      </c>
      <c r="I252" s="280">
        <v>1</v>
      </c>
      <c r="J252" s="281">
        <f t="shared" si="26"/>
        <v>3.6038139277928129E-2</v>
      </c>
    </row>
    <row r="253" spans="1:11">
      <c r="A253" s="33">
        <v>34304</v>
      </c>
      <c r="B253" s="279">
        <v>1171283</v>
      </c>
      <c r="C253" s="279">
        <v>113769</v>
      </c>
      <c r="D253" s="277">
        <v>46270000</v>
      </c>
      <c r="E253" s="47">
        <f t="shared" si="24"/>
        <v>2.2344592196412428E-2</v>
      </c>
      <c r="F253" s="277">
        <v>1870000</v>
      </c>
      <c r="G253" s="47">
        <f t="shared" si="25"/>
        <v>3.8845035313668466E-2</v>
      </c>
      <c r="H253" s="63">
        <v>1.83E-2</v>
      </c>
      <c r="I253" s="280">
        <v>1</v>
      </c>
      <c r="J253" s="281">
        <f t="shared" si="26"/>
        <v>3.6426369106405301E-2</v>
      </c>
      <c r="K253" s="282">
        <f t="shared" ref="K253" si="31">AVERAGE(J242:J253)</f>
        <v>3.4385761226966738E-2</v>
      </c>
    </row>
    <row r="254" spans="1:11">
      <c r="A254" s="33">
        <v>34335</v>
      </c>
      <c r="B254" s="279">
        <v>1165051</v>
      </c>
      <c r="C254" s="279">
        <v>114246</v>
      </c>
      <c r="D254" s="277">
        <v>46250000</v>
      </c>
      <c r="E254" s="47">
        <f t="shared" si="24"/>
        <v>2.2215372444507022E-2</v>
      </c>
      <c r="F254" s="277">
        <v>1840000</v>
      </c>
      <c r="G254" s="47">
        <f t="shared" si="25"/>
        <v>3.8261592846745685E-2</v>
      </c>
      <c r="H254" s="63">
        <v>1.78E-2</v>
      </c>
      <c r="I254" s="280">
        <v>1</v>
      </c>
      <c r="J254" s="281">
        <f t="shared" si="26"/>
        <v>3.5455593579434772E-2</v>
      </c>
    </row>
    <row r="255" spans="1:11">
      <c r="A255" s="33">
        <v>34366</v>
      </c>
      <c r="B255" s="279">
        <v>1156122</v>
      </c>
      <c r="C255" s="279">
        <v>111037</v>
      </c>
      <c r="D255" s="277">
        <v>46240000</v>
      </c>
      <c r="E255" s="47">
        <f t="shared" si="24"/>
        <v>2.2101789602366157E-2</v>
      </c>
      <c r="F255" s="277">
        <v>1920000</v>
      </c>
      <c r="G255" s="47">
        <f t="shared" si="25"/>
        <v>3.9867109634551492E-2</v>
      </c>
      <c r="H255" s="63">
        <v>1.7600000000000001E-2</v>
      </c>
      <c r="I255" s="280">
        <v>1</v>
      </c>
      <c r="J255" s="281">
        <f t="shared" si="26"/>
        <v>3.5067094012930289E-2</v>
      </c>
    </row>
    <row r="256" spans="1:11">
      <c r="A256" s="33">
        <v>34394</v>
      </c>
      <c r="B256" s="279">
        <v>1184303</v>
      </c>
      <c r="C256" s="279">
        <v>116375</v>
      </c>
      <c r="D256" s="277">
        <v>46520000</v>
      </c>
      <c r="E256" s="47">
        <f t="shared" si="24"/>
        <v>2.244115356314736E-2</v>
      </c>
      <c r="F256" s="277">
        <v>1930000</v>
      </c>
      <c r="G256" s="47">
        <f t="shared" si="25"/>
        <v>3.9834881320949429E-2</v>
      </c>
      <c r="H256" s="63">
        <v>1.72E-2</v>
      </c>
      <c r="I256" s="280">
        <v>1</v>
      </c>
      <c r="J256" s="281">
        <f t="shared" si="26"/>
        <v>3.4289763316397617E-2</v>
      </c>
    </row>
    <row r="257" spans="1:11">
      <c r="A257" s="33">
        <v>34425</v>
      </c>
      <c r="B257" s="279">
        <v>1183982</v>
      </c>
      <c r="C257" s="279">
        <v>117924</v>
      </c>
      <c r="D257" s="277">
        <v>47020000</v>
      </c>
      <c r="E257" s="47">
        <f t="shared" si="24"/>
        <v>2.2169793997253839E-2</v>
      </c>
      <c r="F257" s="277">
        <v>1890000</v>
      </c>
      <c r="G257" s="47">
        <f t="shared" si="25"/>
        <v>3.8642404416274791E-2</v>
      </c>
      <c r="H257" s="63">
        <v>1.7399999999999999E-2</v>
      </c>
      <c r="I257" s="280">
        <v>1</v>
      </c>
      <c r="J257" s="281">
        <f t="shared" si="26"/>
        <v>3.4678484357644569E-2</v>
      </c>
    </row>
    <row r="258" spans="1:11">
      <c r="A258" s="33">
        <v>34455</v>
      </c>
      <c r="B258" s="279">
        <v>1175952</v>
      </c>
      <c r="C258" s="279">
        <v>119375</v>
      </c>
      <c r="D258" s="277">
        <v>46760000</v>
      </c>
      <c r="E258" s="47">
        <f t="shared" si="24"/>
        <v>2.2096458305662491E-2</v>
      </c>
      <c r="F258" s="277">
        <v>1860000</v>
      </c>
      <c r="G258" s="47">
        <f t="shared" si="25"/>
        <v>3.825586178527355E-2</v>
      </c>
      <c r="H258" s="63">
        <v>1.78E-2</v>
      </c>
      <c r="I258" s="280">
        <v>1</v>
      </c>
      <c r="J258" s="281">
        <f t="shared" si="26"/>
        <v>3.5455593579434772E-2</v>
      </c>
    </row>
    <row r="259" spans="1:11">
      <c r="A259" s="33">
        <v>34486</v>
      </c>
      <c r="B259" s="279">
        <v>1180003</v>
      </c>
      <c r="C259" s="279">
        <v>122835</v>
      </c>
      <c r="D259" s="277">
        <v>46460000</v>
      </c>
      <c r="E259" s="47">
        <f t="shared" ref="E259:E322" si="32">(B259-C259)/(B259-C259+D259)</f>
        <v>2.2248127245293743E-2</v>
      </c>
      <c r="F259" s="277">
        <v>1880000</v>
      </c>
      <c r="G259" s="47">
        <f t="shared" ref="G259:G322" si="33">F259/(D259+F259)</f>
        <v>3.8891187422424492E-2</v>
      </c>
      <c r="H259" s="63">
        <v>1.72E-2</v>
      </c>
      <c r="I259" s="280">
        <v>1</v>
      </c>
      <c r="J259" s="281">
        <f t="shared" ref="J259:J322" si="34">EXP((0.036225+LOG(H259,EXP(1))*0.056981+I259*-0.001826)/(1+0.035334-0.976896))</f>
        <v>3.4289763316397617E-2</v>
      </c>
    </row>
    <row r="260" spans="1:11">
      <c r="A260" s="33">
        <v>34516</v>
      </c>
      <c r="B260" s="279">
        <v>1185283</v>
      </c>
      <c r="C260" s="279">
        <v>123366</v>
      </c>
      <c r="D260" s="277">
        <v>46350000</v>
      </c>
      <c r="E260" s="47">
        <f t="shared" si="32"/>
        <v>2.2397681156828147E-2</v>
      </c>
      <c r="F260" s="277">
        <v>1950000</v>
      </c>
      <c r="G260" s="47">
        <f t="shared" si="33"/>
        <v>4.0372670807453416E-2</v>
      </c>
      <c r="H260" s="63">
        <v>1.7100000000000001E-2</v>
      </c>
      <c r="I260" s="280">
        <v>1</v>
      </c>
      <c r="J260" s="281">
        <f t="shared" si="34"/>
        <v>3.4095360612345894E-2</v>
      </c>
    </row>
    <row r="261" spans="1:11">
      <c r="A261" s="33">
        <v>34547</v>
      </c>
      <c r="B261" s="279">
        <v>1194210</v>
      </c>
      <c r="C261" s="279">
        <v>124781</v>
      </c>
      <c r="D261" s="277">
        <v>46510000</v>
      </c>
      <c r="E261" s="47">
        <f t="shared" si="32"/>
        <v>2.2476709419947012E-2</v>
      </c>
      <c r="F261" s="277">
        <v>1980000</v>
      </c>
      <c r="G261" s="47">
        <f t="shared" si="33"/>
        <v>4.0833161476593112E-2</v>
      </c>
      <c r="H261" s="63">
        <v>1.66E-2</v>
      </c>
      <c r="I261" s="280">
        <v>1</v>
      </c>
      <c r="J261" s="281">
        <f t="shared" si="34"/>
        <v>3.3122918440268365E-2</v>
      </c>
    </row>
    <row r="262" spans="1:11">
      <c r="A262" s="33">
        <v>34578</v>
      </c>
      <c r="B262" s="279">
        <v>1208335</v>
      </c>
      <c r="C262" s="279">
        <v>124146</v>
      </c>
      <c r="D262" s="277">
        <v>46470000</v>
      </c>
      <c r="E262" s="47">
        <f t="shared" si="32"/>
        <v>2.2799021974699223E-2</v>
      </c>
      <c r="F262" s="277">
        <v>1980000</v>
      </c>
      <c r="G262" s="47">
        <f t="shared" si="33"/>
        <v>4.0866873065015477E-2</v>
      </c>
      <c r="H262" s="63">
        <v>1.6899999999999998E-2</v>
      </c>
      <c r="I262" s="280">
        <v>1</v>
      </c>
      <c r="J262" s="281">
        <f t="shared" si="34"/>
        <v>3.3706469992821245E-2</v>
      </c>
    </row>
    <row r="263" spans="1:11">
      <c r="A263" s="33">
        <v>34608</v>
      </c>
      <c r="B263" s="279">
        <v>1206589</v>
      </c>
      <c r="C263" s="279">
        <v>123844</v>
      </c>
      <c r="D263" s="277">
        <v>46400000</v>
      </c>
      <c r="E263" s="47">
        <f t="shared" si="32"/>
        <v>2.2802915037873232E-2</v>
      </c>
      <c r="F263" s="277">
        <v>1990000</v>
      </c>
      <c r="G263" s="47">
        <f t="shared" si="33"/>
        <v>4.1124199214713782E-2</v>
      </c>
      <c r="H263" s="63">
        <v>1.7000000000000001E-2</v>
      </c>
      <c r="I263" s="280">
        <v>1</v>
      </c>
      <c r="J263" s="281">
        <f t="shared" si="34"/>
        <v>3.390092956145975E-2</v>
      </c>
    </row>
    <row r="264" spans="1:11">
      <c r="A264" s="33">
        <v>34639</v>
      </c>
      <c r="B264" s="279">
        <v>1196656</v>
      </c>
      <c r="C264" s="279">
        <v>124598</v>
      </c>
      <c r="D264" s="277">
        <v>46490000</v>
      </c>
      <c r="E264" s="47">
        <f t="shared" si="32"/>
        <v>2.2540193698094391E-2</v>
      </c>
      <c r="F264" s="277">
        <v>1910000</v>
      </c>
      <c r="G264" s="47">
        <f t="shared" si="33"/>
        <v>3.9462809917355374E-2</v>
      </c>
      <c r="H264" s="63">
        <v>1.7000000000000001E-2</v>
      </c>
      <c r="I264" s="280">
        <v>1</v>
      </c>
      <c r="J264" s="281">
        <f t="shared" si="34"/>
        <v>3.390092956145975E-2</v>
      </c>
    </row>
    <row r="265" spans="1:11">
      <c r="A265" s="33">
        <v>34669</v>
      </c>
      <c r="B265" s="279">
        <v>1184731</v>
      </c>
      <c r="C265" s="279">
        <v>124725</v>
      </c>
      <c r="D265" s="277">
        <v>46390000</v>
      </c>
      <c r="E265" s="47">
        <f t="shared" si="32"/>
        <v>2.2339428155182951E-2</v>
      </c>
      <c r="F265" s="277">
        <v>1900000</v>
      </c>
      <c r="G265" s="47">
        <f t="shared" si="33"/>
        <v>3.9345620211223856E-2</v>
      </c>
      <c r="H265" s="63">
        <v>1.72E-2</v>
      </c>
      <c r="I265" s="280">
        <v>1</v>
      </c>
      <c r="J265" s="281">
        <f t="shared" si="34"/>
        <v>3.4289763316397617E-2</v>
      </c>
      <c r="K265" s="282">
        <f t="shared" ref="K265" si="35">AVERAGE(J254:J265)</f>
        <v>3.4354388637249343E-2</v>
      </c>
    </row>
    <row r="266" spans="1:11">
      <c r="A266" s="33">
        <v>34700</v>
      </c>
      <c r="B266" s="279">
        <v>1188548</v>
      </c>
      <c r="C266" s="279">
        <v>122647</v>
      </c>
      <c r="D266" s="277">
        <v>46320000</v>
      </c>
      <c r="E266" s="47">
        <f t="shared" si="32"/>
        <v>2.2494053663768047E-2</v>
      </c>
      <c r="F266" s="277">
        <v>1960000</v>
      </c>
      <c r="G266" s="47">
        <f t="shared" si="33"/>
        <v>4.059652029826015E-2</v>
      </c>
      <c r="H266" s="63">
        <v>1.77E-2</v>
      </c>
      <c r="I266" s="280">
        <v>1</v>
      </c>
      <c r="J266" s="281">
        <f t="shared" si="34"/>
        <v>3.5261357477371032E-2</v>
      </c>
    </row>
    <row r="267" spans="1:11">
      <c r="A267" s="33">
        <v>34731</v>
      </c>
      <c r="B267" s="279">
        <v>1231282</v>
      </c>
      <c r="C267" s="279">
        <v>126155</v>
      </c>
      <c r="D267" s="277">
        <v>46400000</v>
      </c>
      <c r="E267" s="47">
        <f t="shared" si="32"/>
        <v>2.3263320609583887E-2</v>
      </c>
      <c r="F267" s="277">
        <v>1980000</v>
      </c>
      <c r="G267" s="47">
        <f t="shared" si="33"/>
        <v>4.0926002480363786E-2</v>
      </c>
      <c r="H267" s="63">
        <v>1.7399999999999999E-2</v>
      </c>
      <c r="I267" s="280">
        <v>1</v>
      </c>
      <c r="J267" s="281">
        <f t="shared" si="34"/>
        <v>3.4678484357644569E-2</v>
      </c>
    </row>
    <row r="268" spans="1:11">
      <c r="A268" s="33">
        <v>34759</v>
      </c>
      <c r="B268" s="279">
        <v>1253088</v>
      </c>
      <c r="C268" s="279">
        <v>125725</v>
      </c>
      <c r="D268" s="277">
        <v>46670000</v>
      </c>
      <c r="E268" s="47">
        <f t="shared" si="32"/>
        <v>2.3586301194063783E-2</v>
      </c>
      <c r="F268" s="277">
        <v>2060000</v>
      </c>
      <c r="G268" s="47">
        <f t="shared" si="33"/>
        <v>4.2273753334701417E-2</v>
      </c>
      <c r="H268" s="63">
        <v>1.77E-2</v>
      </c>
      <c r="I268" s="280">
        <v>1</v>
      </c>
      <c r="J268" s="281">
        <f t="shared" si="34"/>
        <v>3.5261357477371032E-2</v>
      </c>
    </row>
    <row r="269" spans="1:11">
      <c r="A269" s="33">
        <v>34790</v>
      </c>
      <c r="B269" s="279">
        <v>1258571</v>
      </c>
      <c r="C269" s="279">
        <v>125128</v>
      </c>
      <c r="D269" s="277">
        <v>46530000</v>
      </c>
      <c r="E269" s="47">
        <f t="shared" si="32"/>
        <v>2.37801327109332E-2</v>
      </c>
      <c r="F269" s="277">
        <v>2080000</v>
      </c>
      <c r="G269" s="47">
        <f t="shared" si="33"/>
        <v>4.2789549475416584E-2</v>
      </c>
      <c r="H269" s="63">
        <v>1.72E-2</v>
      </c>
      <c r="I269" s="280">
        <v>1</v>
      </c>
      <c r="J269" s="281">
        <f t="shared" si="34"/>
        <v>3.4289763316397617E-2</v>
      </c>
    </row>
    <row r="270" spans="1:11">
      <c r="A270" s="33">
        <v>34820</v>
      </c>
      <c r="B270" s="279">
        <v>1225504</v>
      </c>
      <c r="C270" s="279">
        <v>125128</v>
      </c>
      <c r="D270" s="277">
        <v>46780000</v>
      </c>
      <c r="E270" s="47">
        <f t="shared" si="32"/>
        <v>2.2981774412130763E-2</v>
      </c>
      <c r="F270" s="277">
        <v>2000000</v>
      </c>
      <c r="G270" s="47">
        <f t="shared" si="33"/>
        <v>4.1000410004100041E-2</v>
      </c>
      <c r="H270" s="63">
        <v>1.6299999999999999E-2</v>
      </c>
      <c r="I270" s="280">
        <v>1</v>
      </c>
      <c r="J270" s="281">
        <f t="shared" si="34"/>
        <v>3.2539103874001662E-2</v>
      </c>
    </row>
    <row r="271" spans="1:11">
      <c r="A271" s="33">
        <v>34851</v>
      </c>
      <c r="B271" s="279">
        <v>1216768</v>
      </c>
      <c r="C271" s="279">
        <v>128024</v>
      </c>
      <c r="D271" s="277">
        <v>46960000</v>
      </c>
      <c r="E271" s="47">
        <f t="shared" si="32"/>
        <v>2.2659156293450666E-2</v>
      </c>
      <c r="F271" s="277">
        <v>2060000</v>
      </c>
      <c r="G271" s="47">
        <f t="shared" si="33"/>
        <v>4.2023663810689511E-2</v>
      </c>
      <c r="H271" s="63">
        <v>1.7000000000000001E-2</v>
      </c>
      <c r="I271" s="280">
        <v>1</v>
      </c>
      <c r="J271" s="281">
        <f t="shared" si="34"/>
        <v>3.390092956145975E-2</v>
      </c>
    </row>
    <row r="272" spans="1:11">
      <c r="A272" s="33">
        <v>34881</v>
      </c>
      <c r="B272" s="279">
        <v>1212784</v>
      </c>
      <c r="C272" s="279">
        <v>126338</v>
      </c>
      <c r="D272" s="277">
        <v>46900000</v>
      </c>
      <c r="E272" s="47">
        <f t="shared" si="32"/>
        <v>2.2640684830045551E-2</v>
      </c>
      <c r="F272" s="277">
        <v>2090000</v>
      </c>
      <c r="G272" s="47">
        <f t="shared" si="33"/>
        <v>4.2661767707695447E-2</v>
      </c>
      <c r="H272" s="63">
        <v>1.6299999999999999E-2</v>
      </c>
      <c r="I272" s="280">
        <v>1</v>
      </c>
      <c r="J272" s="281">
        <f t="shared" si="34"/>
        <v>3.2539103874001662E-2</v>
      </c>
    </row>
    <row r="273" spans="1:11">
      <c r="A273" s="33">
        <v>34912</v>
      </c>
      <c r="B273" s="279">
        <v>1221767</v>
      </c>
      <c r="C273" s="279">
        <v>125123</v>
      </c>
      <c r="D273" s="277">
        <v>46600000</v>
      </c>
      <c r="E273" s="47">
        <f t="shared" si="32"/>
        <v>2.2992057889859085E-2</v>
      </c>
      <c r="F273" s="277">
        <v>2140000</v>
      </c>
      <c r="G273" s="47">
        <f t="shared" si="33"/>
        <v>4.3906442347148134E-2</v>
      </c>
      <c r="H273" s="63">
        <v>1.5700000000000002E-2</v>
      </c>
      <c r="I273" s="280">
        <v>1</v>
      </c>
      <c r="J273" s="281">
        <f t="shared" si="34"/>
        <v>3.1370665659298608E-2</v>
      </c>
    </row>
    <row r="274" spans="1:11">
      <c r="A274" s="33">
        <v>34943</v>
      </c>
      <c r="B274" s="279">
        <v>1222955</v>
      </c>
      <c r="C274" s="279">
        <v>125486</v>
      </c>
      <c r="D274" s="277">
        <v>46960000</v>
      </c>
      <c r="E274" s="47">
        <f t="shared" si="32"/>
        <v>2.2836595909784596E-2</v>
      </c>
      <c r="F274" s="277">
        <v>2160000</v>
      </c>
      <c r="G274" s="47">
        <f t="shared" si="33"/>
        <v>4.3973941368078175E-2</v>
      </c>
      <c r="H274" s="63">
        <v>1.8000000000000002E-2</v>
      </c>
      <c r="I274" s="280">
        <v>1</v>
      </c>
      <c r="J274" s="281">
        <f t="shared" si="34"/>
        <v>3.5843984324827056E-2</v>
      </c>
    </row>
    <row r="275" spans="1:11">
      <c r="A275" s="33">
        <v>34973</v>
      </c>
      <c r="B275" s="279">
        <v>1233181</v>
      </c>
      <c r="C275" s="279">
        <v>124815</v>
      </c>
      <c r="D275" s="277">
        <v>47150000</v>
      </c>
      <c r="E275" s="47">
        <f t="shared" si="32"/>
        <v>2.296733378830108E-2</v>
      </c>
      <c r="F275" s="277">
        <v>2140000</v>
      </c>
      <c r="G275" s="47">
        <f t="shared" si="33"/>
        <v>4.3416514505984986E-2</v>
      </c>
      <c r="H275" s="63">
        <v>1.7500000000000002E-2</v>
      </c>
      <c r="I275" s="280">
        <v>1</v>
      </c>
      <c r="J275" s="281">
        <f t="shared" si="34"/>
        <v>3.4872803026755231E-2</v>
      </c>
    </row>
    <row r="276" spans="1:11">
      <c r="A276" s="33">
        <v>35004</v>
      </c>
      <c r="B276" s="279">
        <v>1237539</v>
      </c>
      <c r="C276" s="279">
        <v>124875</v>
      </c>
      <c r="D276" s="277">
        <v>47080000</v>
      </c>
      <c r="E276" s="47">
        <f t="shared" si="32"/>
        <v>2.3087829301156708E-2</v>
      </c>
      <c r="F276" s="277">
        <v>2260000</v>
      </c>
      <c r="G276" s="47">
        <f t="shared" si="33"/>
        <v>4.5804620997162544E-2</v>
      </c>
      <c r="H276" s="63">
        <v>1.7100000000000001E-2</v>
      </c>
      <c r="I276" s="280">
        <v>1</v>
      </c>
      <c r="J276" s="281">
        <f t="shared" si="34"/>
        <v>3.4095360612345894E-2</v>
      </c>
    </row>
    <row r="277" spans="1:11">
      <c r="A277" s="33">
        <v>35034</v>
      </c>
      <c r="B277" s="279">
        <v>1247985</v>
      </c>
      <c r="C277" s="279">
        <v>124388</v>
      </c>
      <c r="D277" s="277">
        <v>47140000</v>
      </c>
      <c r="E277" s="47">
        <f t="shared" si="32"/>
        <v>2.3280423960112213E-2</v>
      </c>
      <c r="F277" s="277">
        <v>2280000</v>
      </c>
      <c r="G277" s="47">
        <f t="shared" si="33"/>
        <v>4.6135167948199107E-2</v>
      </c>
      <c r="H277" s="63">
        <v>1.7100000000000001E-2</v>
      </c>
      <c r="I277" s="280">
        <v>1</v>
      </c>
      <c r="J277" s="281">
        <f t="shared" si="34"/>
        <v>3.4095360612345894E-2</v>
      </c>
      <c r="K277" s="282">
        <f t="shared" ref="K277" si="36">AVERAGE(J266:J277)</f>
        <v>3.4062356181151665E-2</v>
      </c>
    </row>
    <row r="278" spans="1:11">
      <c r="A278" s="33">
        <v>35065</v>
      </c>
      <c r="B278" s="279">
        <v>1266748</v>
      </c>
      <c r="C278" s="279">
        <v>123033</v>
      </c>
      <c r="D278" s="277">
        <v>47190000</v>
      </c>
      <c r="E278" s="47">
        <f t="shared" si="32"/>
        <v>2.3662882110344716E-2</v>
      </c>
      <c r="F278" s="277">
        <v>2320000</v>
      </c>
      <c r="G278" s="47">
        <f t="shared" si="33"/>
        <v>4.6859220359523328E-2</v>
      </c>
      <c r="H278" s="63">
        <v>1.32E-2</v>
      </c>
      <c r="I278" s="280">
        <v>0</v>
      </c>
      <c r="J278" s="281">
        <f t="shared" si="34"/>
        <v>2.7330424269757531E-2</v>
      </c>
    </row>
    <row r="279" spans="1:11">
      <c r="A279" s="33">
        <v>35096</v>
      </c>
      <c r="B279" s="279">
        <v>1293580</v>
      </c>
      <c r="C279" s="279">
        <v>124470</v>
      </c>
      <c r="D279" s="277">
        <v>47070000</v>
      </c>
      <c r="E279" s="47">
        <f t="shared" si="32"/>
        <v>2.4235729058848722E-2</v>
      </c>
      <c r="F279" s="277">
        <v>2230000</v>
      </c>
      <c r="G279" s="47">
        <f t="shared" si="33"/>
        <v>4.5233265720081135E-2</v>
      </c>
      <c r="H279" s="63">
        <v>1.61E-2</v>
      </c>
      <c r="I279" s="280">
        <v>0</v>
      </c>
      <c r="J279" s="281">
        <f t="shared" si="34"/>
        <v>3.317018164910035E-2</v>
      </c>
    </row>
    <row r="280" spans="1:11">
      <c r="A280" s="33">
        <v>35125</v>
      </c>
      <c r="B280" s="279">
        <v>1319318</v>
      </c>
      <c r="C280" s="279">
        <v>125249</v>
      </c>
      <c r="D280" s="277">
        <v>47120000</v>
      </c>
      <c r="E280" s="47">
        <f t="shared" si="32"/>
        <v>2.4714726470254453E-2</v>
      </c>
      <c r="F280" s="277">
        <v>2160000</v>
      </c>
      <c r="G280" s="47">
        <f t="shared" si="33"/>
        <v>4.3831168831168832E-2</v>
      </c>
      <c r="H280" s="63">
        <v>1.78E-2</v>
      </c>
      <c r="I280" s="280">
        <v>0</v>
      </c>
      <c r="J280" s="281">
        <f t="shared" si="34"/>
        <v>3.6580957563308938E-2</v>
      </c>
    </row>
    <row r="281" spans="1:11">
      <c r="A281" s="33">
        <v>35156</v>
      </c>
      <c r="B281" s="279">
        <v>1349255</v>
      </c>
      <c r="C281" s="279">
        <v>127137</v>
      </c>
      <c r="D281" s="277">
        <v>47060000</v>
      </c>
      <c r="E281" s="47">
        <f t="shared" si="32"/>
        <v>2.5312021316049142E-2</v>
      </c>
      <c r="F281" s="277">
        <v>2260000</v>
      </c>
      <c r="G281" s="47">
        <f t="shared" si="33"/>
        <v>4.5823195458231956E-2</v>
      </c>
      <c r="H281" s="63">
        <v>1.77E-2</v>
      </c>
      <c r="I281" s="280">
        <v>0</v>
      </c>
      <c r="J281" s="281">
        <f t="shared" si="34"/>
        <v>3.6380556388500289E-2</v>
      </c>
    </row>
    <row r="282" spans="1:11">
      <c r="A282" s="33">
        <v>35186</v>
      </c>
      <c r="B282" s="279">
        <v>1365634</v>
      </c>
      <c r="C282" s="279">
        <v>127262</v>
      </c>
      <c r="D282" s="277">
        <v>47080000</v>
      </c>
      <c r="E282" s="47">
        <f t="shared" si="32"/>
        <v>2.5629423110530295E-2</v>
      </c>
      <c r="F282" s="277">
        <v>2290000</v>
      </c>
      <c r="G282" s="47">
        <f t="shared" si="33"/>
        <v>4.6384443994328541E-2</v>
      </c>
      <c r="H282" s="63">
        <v>1.61E-2</v>
      </c>
      <c r="I282" s="280">
        <v>0</v>
      </c>
      <c r="J282" s="281">
        <f t="shared" si="34"/>
        <v>3.317018164910035E-2</v>
      </c>
    </row>
    <row r="283" spans="1:11">
      <c r="A283" s="33">
        <v>35217</v>
      </c>
      <c r="B283" s="279">
        <v>1392409</v>
      </c>
      <c r="C283" s="279">
        <v>129126</v>
      </c>
      <c r="D283" s="277">
        <v>47510000</v>
      </c>
      <c r="E283" s="47">
        <f t="shared" si="32"/>
        <v>2.5901127057614718E-2</v>
      </c>
      <c r="F283" s="277">
        <v>2280000</v>
      </c>
      <c r="G283" s="47">
        <f t="shared" si="33"/>
        <v>4.5792327776661979E-2</v>
      </c>
      <c r="H283" s="63">
        <v>1.7000000000000001E-2</v>
      </c>
      <c r="I283" s="280">
        <v>0</v>
      </c>
      <c r="J283" s="281">
        <f t="shared" si="34"/>
        <v>3.4976948358404959E-2</v>
      </c>
    </row>
    <row r="284" spans="1:11">
      <c r="A284" s="33">
        <v>35247</v>
      </c>
      <c r="B284" s="279">
        <v>1418293</v>
      </c>
      <c r="C284" s="279">
        <v>127748</v>
      </c>
      <c r="D284" s="277">
        <v>47540000</v>
      </c>
      <c r="E284" s="47">
        <f t="shared" si="32"/>
        <v>2.6429051733909584E-2</v>
      </c>
      <c r="F284" s="277">
        <v>2280000</v>
      </c>
      <c r="G284" s="47">
        <f t="shared" si="33"/>
        <v>4.5764753111200318E-2</v>
      </c>
      <c r="H284" s="63">
        <v>1.6200000000000003E-2</v>
      </c>
      <c r="I284" s="280">
        <v>0</v>
      </c>
      <c r="J284" s="281">
        <f t="shared" si="34"/>
        <v>3.3371055376748879E-2</v>
      </c>
    </row>
    <row r="285" spans="1:11">
      <c r="A285" s="33">
        <v>35278</v>
      </c>
      <c r="B285" s="279">
        <v>1428129</v>
      </c>
      <c r="C285" s="279">
        <v>127970</v>
      </c>
      <c r="D285" s="277">
        <v>47530000</v>
      </c>
      <c r="E285" s="47">
        <f t="shared" si="32"/>
        <v>2.6626147172693009E-2</v>
      </c>
      <c r="F285" s="277">
        <v>2220000</v>
      </c>
      <c r="G285" s="47">
        <f t="shared" si="33"/>
        <v>4.4623115577889449E-2</v>
      </c>
      <c r="H285" s="63">
        <v>1.6899999999999998E-2</v>
      </c>
      <c r="I285" s="280">
        <v>0</v>
      </c>
      <c r="J285" s="281">
        <f t="shared" si="34"/>
        <v>3.4776316624170779E-2</v>
      </c>
    </row>
    <row r="286" spans="1:11">
      <c r="A286" s="33">
        <v>35309</v>
      </c>
      <c r="B286" s="279">
        <v>1444970</v>
      </c>
      <c r="C286" s="279">
        <v>134126</v>
      </c>
      <c r="D286" s="277">
        <v>47630000</v>
      </c>
      <c r="E286" s="47">
        <f t="shared" si="32"/>
        <v>2.6784254068033645E-2</v>
      </c>
      <c r="F286" s="277">
        <v>2220000</v>
      </c>
      <c r="G286" s="47">
        <f t="shared" si="33"/>
        <v>4.4533600802407224E-2</v>
      </c>
      <c r="H286" s="63">
        <v>1.7100000000000001E-2</v>
      </c>
      <c r="I286" s="280">
        <v>0</v>
      </c>
      <c r="J286" s="281">
        <f t="shared" si="34"/>
        <v>3.5177550669730551E-2</v>
      </c>
    </row>
    <row r="287" spans="1:11">
      <c r="A287" s="33">
        <v>35339</v>
      </c>
      <c r="B287" s="279">
        <v>1463325</v>
      </c>
      <c r="C287" s="279">
        <v>129190</v>
      </c>
      <c r="D287" s="277">
        <v>47320000</v>
      </c>
      <c r="E287" s="47">
        <f t="shared" si="32"/>
        <v>2.7420793731098087E-2</v>
      </c>
      <c r="F287" s="277">
        <v>2280000</v>
      </c>
      <c r="G287" s="47">
        <f t="shared" si="33"/>
        <v>4.596774193548387E-2</v>
      </c>
      <c r="H287" s="63">
        <v>1.6299999999999999E-2</v>
      </c>
      <c r="I287" s="280">
        <v>0</v>
      </c>
      <c r="J287" s="281">
        <f t="shared" si="34"/>
        <v>3.3571898191358168E-2</v>
      </c>
    </row>
    <row r="288" spans="1:11">
      <c r="A288" s="33">
        <v>35370</v>
      </c>
      <c r="B288" s="279">
        <v>1481399</v>
      </c>
      <c r="C288" s="279">
        <v>128872</v>
      </c>
      <c r="D288" s="277">
        <v>47520000</v>
      </c>
      <c r="E288" s="47">
        <f t="shared" si="32"/>
        <v>2.7674586992401683E-2</v>
      </c>
      <c r="F288" s="277">
        <v>2210000</v>
      </c>
      <c r="G288" s="47">
        <f t="shared" si="33"/>
        <v>4.4439975869696363E-2</v>
      </c>
      <c r="H288" s="63">
        <v>1.7299999999999999E-2</v>
      </c>
      <c r="I288" s="280">
        <v>0</v>
      </c>
      <c r="J288" s="281">
        <f t="shared" si="34"/>
        <v>3.5578667726951702E-2</v>
      </c>
    </row>
    <row r="289" spans="1:11">
      <c r="A289" s="33">
        <v>35400</v>
      </c>
      <c r="B289" s="279">
        <v>1496579</v>
      </c>
      <c r="C289" s="279">
        <v>130951</v>
      </c>
      <c r="D289" s="277">
        <v>47760000</v>
      </c>
      <c r="E289" s="47">
        <f t="shared" si="32"/>
        <v>2.7798687886493787E-2</v>
      </c>
      <c r="F289" s="277">
        <v>2270000</v>
      </c>
      <c r="G289" s="47">
        <f t="shared" si="33"/>
        <v>4.5372776334199477E-2</v>
      </c>
      <c r="H289" s="63">
        <v>1.66E-2</v>
      </c>
      <c r="I289" s="280">
        <v>0</v>
      </c>
      <c r="J289" s="281">
        <f t="shared" si="34"/>
        <v>3.4174243088661779E-2</v>
      </c>
      <c r="K289" s="282">
        <f t="shared" ref="K289" si="37">AVERAGE(J278:J289)</f>
        <v>3.4021581796316196E-2</v>
      </c>
    </row>
    <row r="290" spans="1:11">
      <c r="A290" s="33">
        <v>35431</v>
      </c>
      <c r="B290" s="279">
        <v>1499457</v>
      </c>
      <c r="C290" s="279">
        <v>131418</v>
      </c>
      <c r="D290" s="277">
        <v>47890000</v>
      </c>
      <c r="E290" s="47">
        <f t="shared" si="32"/>
        <v>2.7772908296247848E-2</v>
      </c>
      <c r="F290" s="277">
        <v>2260000</v>
      </c>
      <c r="G290" s="47">
        <f t="shared" si="33"/>
        <v>4.5064805583250246E-2</v>
      </c>
      <c r="H290" s="63">
        <v>1.7899999999999999E-2</v>
      </c>
      <c r="I290" s="280">
        <v>0</v>
      </c>
      <c r="J290" s="281">
        <f t="shared" si="34"/>
        <v>3.6781330669801035E-2</v>
      </c>
    </row>
    <row r="291" spans="1:11">
      <c r="A291" s="33">
        <v>35462</v>
      </c>
      <c r="B291" s="279">
        <v>1496622</v>
      </c>
      <c r="C291" s="279">
        <v>132200</v>
      </c>
      <c r="D291" s="277">
        <v>48120000</v>
      </c>
      <c r="E291" s="47">
        <f t="shared" si="32"/>
        <v>2.7572758150029519E-2</v>
      </c>
      <c r="F291" s="277">
        <v>2300000</v>
      </c>
      <c r="G291" s="47">
        <f t="shared" si="33"/>
        <v>4.5616818722729074E-2</v>
      </c>
      <c r="H291" s="63">
        <v>1.7100000000000001E-2</v>
      </c>
      <c r="I291" s="280">
        <v>0</v>
      </c>
      <c r="J291" s="281">
        <f t="shared" si="34"/>
        <v>3.5177550669730551E-2</v>
      </c>
    </row>
    <row r="292" spans="1:11">
      <c r="A292" s="33">
        <v>35490</v>
      </c>
      <c r="B292" s="279">
        <v>1502436</v>
      </c>
      <c r="C292" s="279">
        <v>132894</v>
      </c>
      <c r="D292" s="277">
        <v>47920000</v>
      </c>
      <c r="E292" s="47">
        <f t="shared" si="32"/>
        <v>2.7785650757314807E-2</v>
      </c>
      <c r="F292" s="277">
        <v>2210000</v>
      </c>
      <c r="G292" s="47">
        <f t="shared" si="33"/>
        <v>4.4085378017155397E-2</v>
      </c>
      <c r="H292" s="63">
        <v>1.6899999999999998E-2</v>
      </c>
      <c r="I292" s="280">
        <v>0</v>
      </c>
      <c r="J292" s="281">
        <f t="shared" si="34"/>
        <v>3.4776316624170779E-2</v>
      </c>
    </row>
    <row r="293" spans="1:11">
      <c r="A293" s="33">
        <v>35521</v>
      </c>
      <c r="B293" s="279">
        <v>1502173</v>
      </c>
      <c r="C293" s="279">
        <v>132069</v>
      </c>
      <c r="D293" s="277">
        <v>47880000</v>
      </c>
      <c r="E293" s="47">
        <f t="shared" si="32"/>
        <v>2.7819311813026833E-2</v>
      </c>
      <c r="F293" s="277">
        <v>2190000</v>
      </c>
      <c r="G293" s="47">
        <f t="shared" si="33"/>
        <v>4.3738765727980827E-2</v>
      </c>
      <c r="H293" s="63">
        <v>1.7399999999999999E-2</v>
      </c>
      <c r="I293" s="280">
        <v>0</v>
      </c>
      <c r="J293" s="281">
        <f t="shared" si="34"/>
        <v>3.5779182819341546E-2</v>
      </c>
    </row>
    <row r="294" spans="1:11">
      <c r="A294" s="33">
        <v>35551</v>
      </c>
      <c r="B294" s="279">
        <v>1505626</v>
      </c>
      <c r="C294" s="279">
        <v>131691</v>
      </c>
      <c r="D294" s="277">
        <v>47870000</v>
      </c>
      <c r="E294" s="47">
        <f t="shared" si="32"/>
        <v>2.7900593240568611E-2</v>
      </c>
      <c r="F294" s="277">
        <v>2320000</v>
      </c>
      <c r="G294" s="47">
        <f t="shared" si="33"/>
        <v>4.6224347479577606E-2</v>
      </c>
      <c r="H294" s="63">
        <v>1.7399999999999999E-2</v>
      </c>
      <c r="I294" s="280">
        <v>0</v>
      </c>
      <c r="J294" s="281">
        <f t="shared" si="34"/>
        <v>3.5779182819341546E-2</v>
      </c>
    </row>
    <row r="295" spans="1:11">
      <c r="A295" s="33">
        <v>35582</v>
      </c>
      <c r="B295" s="279">
        <v>1522916</v>
      </c>
      <c r="C295" s="279">
        <v>131589</v>
      </c>
      <c r="D295" s="277">
        <v>47950000</v>
      </c>
      <c r="E295" s="47">
        <f t="shared" si="32"/>
        <v>2.8198005294831248E-2</v>
      </c>
      <c r="F295" s="277">
        <v>2280000</v>
      </c>
      <c r="G295" s="47">
        <f t="shared" si="33"/>
        <v>4.539120047780211E-2</v>
      </c>
      <c r="H295" s="63">
        <v>1.6799999999999999E-2</v>
      </c>
      <c r="I295" s="280">
        <v>0</v>
      </c>
      <c r="J295" s="281">
        <f t="shared" si="34"/>
        <v>3.4575655288571989E-2</v>
      </c>
    </row>
    <row r="296" spans="1:11">
      <c r="A296" s="33">
        <v>35612</v>
      </c>
      <c r="B296" s="279">
        <v>1519663</v>
      </c>
      <c r="C296" s="279">
        <v>130654</v>
      </c>
      <c r="D296" s="277">
        <v>48000000</v>
      </c>
      <c r="E296" s="47">
        <f t="shared" si="32"/>
        <v>2.8123848364724223E-2</v>
      </c>
      <c r="F296" s="277">
        <v>2300000</v>
      </c>
      <c r="G296" s="47">
        <f t="shared" si="33"/>
        <v>4.5725646123260438E-2</v>
      </c>
      <c r="H296" s="63">
        <v>1.84E-2</v>
      </c>
      <c r="I296" s="280">
        <v>0</v>
      </c>
      <c r="J296" s="281">
        <f t="shared" si="34"/>
        <v>3.7782780739589968E-2</v>
      </c>
    </row>
    <row r="297" spans="1:11">
      <c r="A297" s="33">
        <v>35643</v>
      </c>
      <c r="B297" s="279">
        <v>1504111</v>
      </c>
      <c r="C297" s="279">
        <v>130891</v>
      </c>
      <c r="D297" s="277">
        <v>47920000</v>
      </c>
      <c r="E297" s="47">
        <f t="shared" si="32"/>
        <v>2.785819226254645E-2</v>
      </c>
      <c r="F297" s="277">
        <v>2290000</v>
      </c>
      <c r="G297" s="47">
        <f t="shared" si="33"/>
        <v>4.5608444532961562E-2</v>
      </c>
      <c r="H297" s="63">
        <v>1.8200000000000001E-2</v>
      </c>
      <c r="I297" s="280">
        <v>0</v>
      </c>
      <c r="J297" s="281">
        <f t="shared" si="34"/>
        <v>3.738228317743196E-2</v>
      </c>
    </row>
    <row r="298" spans="1:11">
      <c r="A298" s="33">
        <v>35674</v>
      </c>
      <c r="B298" s="279">
        <v>1492793</v>
      </c>
      <c r="C298" s="279">
        <v>135917</v>
      </c>
      <c r="D298" s="277">
        <v>47960000</v>
      </c>
      <c r="E298" s="47">
        <f t="shared" si="32"/>
        <v>2.7513421571958453E-2</v>
      </c>
      <c r="F298" s="277">
        <v>2340000</v>
      </c>
      <c r="G298" s="47">
        <f t="shared" si="33"/>
        <v>4.6520874751491054E-2</v>
      </c>
      <c r="H298" s="63">
        <v>1.6399999999999998E-2</v>
      </c>
      <c r="I298" s="280">
        <v>0</v>
      </c>
      <c r="J298" s="281">
        <f t="shared" si="34"/>
        <v>3.3772710287294797E-2</v>
      </c>
    </row>
    <row r="299" spans="1:11">
      <c r="A299" s="33">
        <v>35704</v>
      </c>
      <c r="B299" s="279">
        <v>1477319</v>
      </c>
      <c r="C299" s="279">
        <v>131571</v>
      </c>
      <c r="D299" s="277">
        <v>47860000</v>
      </c>
      <c r="E299" s="47">
        <f t="shared" si="32"/>
        <v>2.734940641487657E-2</v>
      </c>
      <c r="F299" s="277">
        <v>2380000</v>
      </c>
      <c r="G299" s="47">
        <f t="shared" si="33"/>
        <v>4.7372611464968156E-2</v>
      </c>
      <c r="H299" s="63">
        <v>1.7899999999999999E-2</v>
      </c>
      <c r="I299" s="280">
        <v>0</v>
      </c>
      <c r="J299" s="281">
        <f t="shared" si="34"/>
        <v>3.6781330669801035E-2</v>
      </c>
    </row>
    <row r="300" spans="1:11">
      <c r="A300" s="33">
        <v>35735</v>
      </c>
      <c r="B300" s="279">
        <v>1456091</v>
      </c>
      <c r="C300" s="279">
        <v>128854</v>
      </c>
      <c r="D300" s="277">
        <v>47890000</v>
      </c>
      <c r="E300" s="47">
        <f t="shared" si="32"/>
        <v>2.6966914050863929E-2</v>
      </c>
      <c r="F300" s="277">
        <v>2390000</v>
      </c>
      <c r="G300" s="47">
        <f t="shared" si="33"/>
        <v>4.7533810660302309E-2</v>
      </c>
      <c r="H300" s="63">
        <v>1.7299999999999999E-2</v>
      </c>
      <c r="I300" s="280">
        <v>0</v>
      </c>
      <c r="J300" s="281">
        <f t="shared" si="34"/>
        <v>3.5578667726951702E-2</v>
      </c>
    </row>
    <row r="301" spans="1:11">
      <c r="A301" s="33">
        <v>35765</v>
      </c>
      <c r="B301" s="279">
        <v>1441206</v>
      </c>
      <c r="C301" s="279">
        <v>129980</v>
      </c>
      <c r="D301" s="277">
        <v>47970000</v>
      </c>
      <c r="E301" s="47">
        <f t="shared" si="32"/>
        <v>2.6607008518822157E-2</v>
      </c>
      <c r="F301" s="277">
        <v>2390000</v>
      </c>
      <c r="G301" s="47">
        <f t="shared" si="33"/>
        <v>4.7458300238284352E-2</v>
      </c>
      <c r="H301" s="63">
        <v>1.8100000000000002E-2</v>
      </c>
      <c r="I301" s="280">
        <v>0</v>
      </c>
      <c r="J301" s="281">
        <f t="shared" si="34"/>
        <v>3.7181993318852857E-2</v>
      </c>
      <c r="K301" s="282">
        <f t="shared" ref="K301" si="38">AVERAGE(J290:J301)</f>
        <v>3.5945748734239981E-2</v>
      </c>
    </row>
    <row r="302" spans="1:11">
      <c r="A302" s="33">
        <v>35796</v>
      </c>
      <c r="B302" s="279">
        <v>1389532</v>
      </c>
      <c r="C302" s="279">
        <v>131523</v>
      </c>
      <c r="D302" s="277">
        <v>47920000</v>
      </c>
      <c r="E302" s="47">
        <f t="shared" si="32"/>
        <v>2.5580722472924838E-2</v>
      </c>
      <c r="F302" s="277">
        <v>2430000</v>
      </c>
      <c r="G302" s="47">
        <f t="shared" si="33"/>
        <v>4.8262164846077454E-2</v>
      </c>
      <c r="H302" s="63">
        <v>1.7899999999999999E-2</v>
      </c>
      <c r="I302" s="280">
        <v>0</v>
      </c>
      <c r="J302" s="281">
        <f t="shared" si="34"/>
        <v>3.6781330669801035E-2</v>
      </c>
    </row>
    <row r="303" spans="1:11">
      <c r="A303" s="33">
        <v>35827</v>
      </c>
      <c r="B303" s="279">
        <v>1354214</v>
      </c>
      <c r="C303" s="279">
        <v>131270</v>
      </c>
      <c r="D303" s="277">
        <v>47890000</v>
      </c>
      <c r="E303" s="47">
        <f t="shared" si="32"/>
        <v>2.4900645337001179E-2</v>
      </c>
      <c r="F303" s="277">
        <v>2460000</v>
      </c>
      <c r="G303" s="47">
        <f t="shared" si="33"/>
        <v>4.8857994041708042E-2</v>
      </c>
      <c r="H303" s="63">
        <v>1.7100000000000001E-2</v>
      </c>
      <c r="I303" s="280">
        <v>0</v>
      </c>
      <c r="J303" s="281">
        <f t="shared" si="34"/>
        <v>3.5177550669730551E-2</v>
      </c>
    </row>
    <row r="304" spans="1:11">
      <c r="A304" s="33">
        <v>35855</v>
      </c>
      <c r="B304" s="279">
        <v>1311934</v>
      </c>
      <c r="C304" s="279">
        <v>126726</v>
      </c>
      <c r="D304" s="277">
        <v>47950000</v>
      </c>
      <c r="E304" s="47">
        <f t="shared" si="32"/>
        <v>2.41213591687655E-2</v>
      </c>
      <c r="F304" s="277">
        <v>2620000</v>
      </c>
      <c r="G304" s="47">
        <f t="shared" si="33"/>
        <v>5.1809373146134069E-2</v>
      </c>
      <c r="H304" s="63">
        <v>1.7100000000000001E-2</v>
      </c>
      <c r="I304" s="280">
        <v>0</v>
      </c>
      <c r="J304" s="281">
        <f t="shared" si="34"/>
        <v>3.5177550669730551E-2</v>
      </c>
    </row>
    <row r="305" spans="1:11">
      <c r="A305" s="33">
        <v>35886</v>
      </c>
      <c r="B305" s="279">
        <v>1300748</v>
      </c>
      <c r="C305" s="279">
        <v>136187</v>
      </c>
      <c r="D305" s="277">
        <v>47890000</v>
      </c>
      <c r="E305" s="47">
        <f t="shared" si="32"/>
        <v>2.3740116642772525E-2</v>
      </c>
      <c r="F305" s="277">
        <v>2730000</v>
      </c>
      <c r="G305" s="47">
        <f t="shared" si="33"/>
        <v>5.3931252469379694E-2</v>
      </c>
      <c r="H305" s="63">
        <v>1.7100000000000001E-2</v>
      </c>
      <c r="I305" s="280">
        <v>0</v>
      </c>
      <c r="J305" s="281">
        <f t="shared" si="34"/>
        <v>3.5177550669730551E-2</v>
      </c>
    </row>
    <row r="306" spans="1:11">
      <c r="A306" s="33">
        <v>35916</v>
      </c>
      <c r="B306" s="279">
        <v>1280354</v>
      </c>
      <c r="C306" s="279">
        <v>135520</v>
      </c>
      <c r="D306" s="277">
        <v>47670000</v>
      </c>
      <c r="E306" s="47">
        <f t="shared" si="32"/>
        <v>2.3452584105888796E-2</v>
      </c>
      <c r="F306" s="277">
        <v>2780000</v>
      </c>
      <c r="G306" s="47">
        <f t="shared" si="33"/>
        <v>5.5104063429137762E-2</v>
      </c>
      <c r="H306" s="63">
        <v>1.7100000000000001E-2</v>
      </c>
      <c r="I306" s="280">
        <v>0</v>
      </c>
      <c r="J306" s="281">
        <f t="shared" si="34"/>
        <v>3.5177550669730551E-2</v>
      </c>
    </row>
    <row r="307" spans="1:11">
      <c r="A307" s="33">
        <v>35947</v>
      </c>
      <c r="B307" s="279">
        <v>1253738</v>
      </c>
      <c r="C307" s="279">
        <v>134663</v>
      </c>
      <c r="D307" s="277">
        <v>47580000</v>
      </c>
      <c r="E307" s="47">
        <f t="shared" si="32"/>
        <v>2.2979389238912649E-2</v>
      </c>
      <c r="F307" s="277">
        <v>2810000</v>
      </c>
      <c r="G307" s="47">
        <f t="shared" si="33"/>
        <v>5.5765032744592179E-2</v>
      </c>
      <c r="H307" s="63">
        <v>1.6500000000000001E-2</v>
      </c>
      <c r="I307" s="280">
        <v>0</v>
      </c>
      <c r="J307" s="281">
        <f t="shared" si="34"/>
        <v>3.3973491856525637E-2</v>
      </c>
    </row>
    <row r="308" spans="1:11">
      <c r="A308" s="33">
        <v>35977</v>
      </c>
      <c r="B308" s="279">
        <v>1231069</v>
      </c>
      <c r="C308" s="279">
        <v>138088</v>
      </c>
      <c r="D308" s="277">
        <v>47530000</v>
      </c>
      <c r="E308" s="47">
        <f t="shared" si="32"/>
        <v>2.2478691711641456E-2</v>
      </c>
      <c r="F308" s="277">
        <v>2770000</v>
      </c>
      <c r="G308" s="47">
        <f t="shared" si="33"/>
        <v>5.5069582504970176E-2</v>
      </c>
      <c r="H308" s="63">
        <v>1.72E-2</v>
      </c>
      <c r="I308" s="280">
        <v>0</v>
      </c>
      <c r="J308" s="281">
        <f t="shared" si="34"/>
        <v>3.5378123734490445E-2</v>
      </c>
    </row>
    <row r="309" spans="1:11">
      <c r="A309" s="33">
        <v>36008</v>
      </c>
      <c r="B309" s="279">
        <v>1227165</v>
      </c>
      <c r="C309" s="279">
        <v>144696</v>
      </c>
      <c r="D309" s="277">
        <v>47630000</v>
      </c>
      <c r="E309" s="47">
        <f t="shared" si="32"/>
        <v>2.2221599976794442E-2</v>
      </c>
      <c r="F309" s="277">
        <v>2960000</v>
      </c>
      <c r="G309" s="47">
        <f t="shared" si="33"/>
        <v>5.8509586874876458E-2</v>
      </c>
      <c r="H309" s="63">
        <v>1.7399999999999999E-2</v>
      </c>
      <c r="I309" s="280">
        <v>0</v>
      </c>
      <c r="J309" s="281">
        <f t="shared" si="34"/>
        <v>3.5779182819341546E-2</v>
      </c>
    </row>
    <row r="310" spans="1:11">
      <c r="A310" s="33">
        <v>36039</v>
      </c>
      <c r="B310" s="279">
        <v>1209307</v>
      </c>
      <c r="C310" s="279">
        <v>136281</v>
      </c>
      <c r="D310" s="277">
        <v>47360000</v>
      </c>
      <c r="E310" s="47">
        <f t="shared" si="32"/>
        <v>2.2154841202777626E-2</v>
      </c>
      <c r="F310" s="277">
        <v>2930000</v>
      </c>
      <c r="G310" s="47">
        <f t="shared" si="33"/>
        <v>5.826207993636906E-2</v>
      </c>
      <c r="H310" s="63">
        <v>1.6399999999999998E-2</v>
      </c>
      <c r="I310" s="280">
        <v>0</v>
      </c>
      <c r="J310" s="281">
        <f t="shared" si="34"/>
        <v>3.3772710287294797E-2</v>
      </c>
    </row>
    <row r="311" spans="1:11">
      <c r="A311" s="33">
        <v>36069</v>
      </c>
      <c r="B311" s="279">
        <v>1197533</v>
      </c>
      <c r="C311" s="279">
        <v>136209</v>
      </c>
      <c r="D311" s="277">
        <v>47610000</v>
      </c>
      <c r="E311" s="47">
        <f t="shared" si="32"/>
        <v>2.1805940598616139E-2</v>
      </c>
      <c r="F311" s="277">
        <v>2930000</v>
      </c>
      <c r="G311" s="47">
        <f t="shared" si="33"/>
        <v>5.7973882073605064E-2</v>
      </c>
      <c r="H311" s="63">
        <v>1.66E-2</v>
      </c>
      <c r="I311" s="280">
        <v>0</v>
      </c>
      <c r="J311" s="281">
        <f t="shared" si="34"/>
        <v>3.4174243088661779E-2</v>
      </c>
    </row>
    <row r="312" spans="1:11">
      <c r="A312" s="33">
        <v>36100</v>
      </c>
      <c r="B312" s="279">
        <v>1192889</v>
      </c>
      <c r="C312" s="279">
        <v>138822</v>
      </c>
      <c r="D312" s="277">
        <v>47530000</v>
      </c>
      <c r="E312" s="47">
        <f t="shared" si="32"/>
        <v>2.1695734117936235E-2</v>
      </c>
      <c r="F312" s="277">
        <v>3050000</v>
      </c>
      <c r="G312" s="47">
        <f t="shared" si="33"/>
        <v>6.0300514037168844E-2</v>
      </c>
      <c r="H312" s="63">
        <v>1.77E-2</v>
      </c>
      <c r="I312" s="280">
        <v>0</v>
      </c>
      <c r="J312" s="281">
        <f t="shared" si="34"/>
        <v>3.6380556388500289E-2</v>
      </c>
    </row>
    <row r="313" spans="1:11">
      <c r="A313" s="33">
        <v>36130</v>
      </c>
      <c r="B313" s="279">
        <v>1193483</v>
      </c>
      <c r="C313" s="279">
        <v>143968</v>
      </c>
      <c r="D313" s="277">
        <v>47620000</v>
      </c>
      <c r="E313" s="47">
        <f t="shared" si="32"/>
        <v>2.1564114620825789E-2</v>
      </c>
      <c r="F313" s="277">
        <v>3000000</v>
      </c>
      <c r="G313" s="47">
        <f t="shared" si="33"/>
        <v>5.9265112603713949E-2</v>
      </c>
      <c r="H313" s="63">
        <v>1.6399999999999998E-2</v>
      </c>
      <c r="I313" s="280">
        <v>0</v>
      </c>
      <c r="J313" s="281">
        <f t="shared" si="34"/>
        <v>3.3772710287294797E-2</v>
      </c>
      <c r="K313" s="282">
        <f t="shared" ref="K313" si="39">AVERAGE(J302:J313)</f>
        <v>3.5060212650902714E-2</v>
      </c>
    </row>
    <row r="314" spans="1:11">
      <c r="A314" s="33">
        <v>36161</v>
      </c>
      <c r="B314" s="279">
        <v>1193355</v>
      </c>
      <c r="C314" s="279">
        <v>138619</v>
      </c>
      <c r="D314" s="277">
        <v>47730000</v>
      </c>
      <c r="E314" s="47">
        <f t="shared" si="32"/>
        <v>2.1620205139574803E-2</v>
      </c>
      <c r="F314" s="277">
        <v>3060000</v>
      </c>
      <c r="G314" s="47">
        <f t="shared" si="33"/>
        <v>6.0248080330773772E-2</v>
      </c>
      <c r="H314" s="63">
        <v>1.6500000000000001E-2</v>
      </c>
      <c r="I314" s="280">
        <v>0</v>
      </c>
      <c r="J314" s="281">
        <f t="shared" si="34"/>
        <v>3.3973491856525637E-2</v>
      </c>
    </row>
    <row r="315" spans="1:11">
      <c r="A315" s="33">
        <v>36192</v>
      </c>
      <c r="B315" s="279">
        <v>1196566</v>
      </c>
      <c r="C315" s="279">
        <v>140779</v>
      </c>
      <c r="D315" s="277">
        <v>47360000</v>
      </c>
      <c r="E315" s="47">
        <f t="shared" si="32"/>
        <v>2.1806668143182304E-2</v>
      </c>
      <c r="F315" s="277">
        <v>3140000</v>
      </c>
      <c r="G315" s="47">
        <f t="shared" si="33"/>
        <v>6.2178217821782178E-2</v>
      </c>
      <c r="H315" s="63">
        <v>2.0099999999999996E-2</v>
      </c>
      <c r="I315" s="280">
        <v>0</v>
      </c>
      <c r="J315" s="281">
        <f t="shared" si="34"/>
        <v>4.1182744988586768E-2</v>
      </c>
    </row>
    <row r="316" spans="1:11">
      <c r="A316" s="33">
        <v>36220</v>
      </c>
      <c r="B316" s="279">
        <v>1211505</v>
      </c>
      <c r="C316" s="279">
        <v>137267</v>
      </c>
      <c r="D316" s="277">
        <v>47340000</v>
      </c>
      <c r="E316" s="47">
        <f t="shared" si="32"/>
        <v>2.2188472738123029E-2</v>
      </c>
      <c r="F316" s="277">
        <v>3190000</v>
      </c>
      <c r="G316" s="47">
        <f t="shared" si="33"/>
        <v>6.3130813378191167E-2</v>
      </c>
      <c r="H316" s="63">
        <v>1.9299999999999998E-2</v>
      </c>
      <c r="I316" s="280">
        <v>0</v>
      </c>
      <c r="J316" s="281">
        <f t="shared" si="34"/>
        <v>3.9583693819606629E-2</v>
      </c>
    </row>
    <row r="317" spans="1:11">
      <c r="A317" s="33">
        <v>36251</v>
      </c>
      <c r="B317" s="279">
        <v>1192216</v>
      </c>
      <c r="C317" s="279">
        <v>140259</v>
      </c>
      <c r="D317" s="277">
        <v>47470000</v>
      </c>
      <c r="E317" s="47">
        <f t="shared" si="32"/>
        <v>2.168002003711433E-2</v>
      </c>
      <c r="F317" s="277">
        <v>3210000</v>
      </c>
      <c r="G317" s="47">
        <f t="shared" si="33"/>
        <v>6.3338595106550905E-2</v>
      </c>
      <c r="H317" s="63">
        <v>1.83E-2</v>
      </c>
      <c r="I317" s="280">
        <v>0</v>
      </c>
      <c r="J317" s="281">
        <f t="shared" si="34"/>
        <v>3.758254559979312E-2</v>
      </c>
    </row>
    <row r="318" spans="1:11">
      <c r="A318" s="33">
        <v>36281</v>
      </c>
      <c r="B318" s="279">
        <v>1173364</v>
      </c>
      <c r="C318" s="279">
        <v>142131</v>
      </c>
      <c r="D318" s="277">
        <v>47410000</v>
      </c>
      <c r="E318" s="47">
        <f t="shared" si="32"/>
        <v>2.1288330955572497E-2</v>
      </c>
      <c r="F318" s="277">
        <v>3170000</v>
      </c>
      <c r="G318" s="47">
        <f t="shared" si="33"/>
        <v>6.2672993277975486E-2</v>
      </c>
      <c r="H318" s="63">
        <v>1.95E-2</v>
      </c>
      <c r="I318" s="280">
        <v>0</v>
      </c>
      <c r="J318" s="281">
        <f t="shared" si="34"/>
        <v>3.9983608934117225E-2</v>
      </c>
    </row>
    <row r="319" spans="1:11">
      <c r="A319" s="33">
        <v>36312</v>
      </c>
      <c r="B319" s="279">
        <v>1174307</v>
      </c>
      <c r="C319" s="279">
        <v>144290</v>
      </c>
      <c r="D319" s="277">
        <v>47000000</v>
      </c>
      <c r="E319" s="47">
        <f t="shared" si="32"/>
        <v>2.1445276606918546E-2</v>
      </c>
      <c r="F319" s="277">
        <v>3240000</v>
      </c>
      <c r="G319" s="47">
        <f t="shared" si="33"/>
        <v>6.4490445859872611E-2</v>
      </c>
      <c r="H319" s="63">
        <v>1.9699999999999999E-2</v>
      </c>
      <c r="I319" s="280">
        <v>0</v>
      </c>
      <c r="J319" s="281">
        <f t="shared" si="34"/>
        <v>4.0383421794795996E-2</v>
      </c>
    </row>
    <row r="320" spans="1:11">
      <c r="A320" s="33">
        <v>36342</v>
      </c>
      <c r="B320" s="279">
        <v>1185454</v>
      </c>
      <c r="C320" s="279">
        <v>144377</v>
      </c>
      <c r="D320" s="277">
        <v>47020000</v>
      </c>
      <c r="E320" s="47">
        <f t="shared" si="32"/>
        <v>2.1661541209324127E-2</v>
      </c>
      <c r="F320" s="277">
        <v>3280000</v>
      </c>
      <c r="G320" s="47">
        <f t="shared" si="33"/>
        <v>6.5208747514910542E-2</v>
      </c>
      <c r="H320" s="63">
        <v>1.9099999999999999E-2</v>
      </c>
      <c r="I320" s="280">
        <v>0</v>
      </c>
      <c r="J320" s="281">
        <f t="shared" si="34"/>
        <v>3.9183675365040992E-2</v>
      </c>
    </row>
    <row r="321" spans="1:11">
      <c r="A321" s="33">
        <v>36373</v>
      </c>
      <c r="B321" s="279">
        <v>1196199</v>
      </c>
      <c r="C321" s="279">
        <v>150901</v>
      </c>
      <c r="D321" s="277">
        <v>47420000</v>
      </c>
      <c r="E321" s="47">
        <f t="shared" si="32"/>
        <v>2.1567968074806845E-2</v>
      </c>
      <c r="F321" s="277">
        <v>3210000</v>
      </c>
      <c r="G321" s="47">
        <f t="shared" si="33"/>
        <v>6.3401145565870037E-2</v>
      </c>
      <c r="H321" s="63">
        <v>1.78E-2</v>
      </c>
      <c r="I321" s="280">
        <v>0</v>
      </c>
      <c r="J321" s="281">
        <f t="shared" si="34"/>
        <v>3.6580957563308938E-2</v>
      </c>
    </row>
    <row r="322" spans="1:11">
      <c r="A322" s="33">
        <v>36404</v>
      </c>
      <c r="B322" s="279">
        <v>1217234</v>
      </c>
      <c r="C322" s="279">
        <v>146484</v>
      </c>
      <c r="D322" s="277">
        <v>47340000</v>
      </c>
      <c r="E322" s="47">
        <f t="shared" si="32"/>
        <v>2.2118021307250973E-2</v>
      </c>
      <c r="F322" s="277">
        <v>3150000</v>
      </c>
      <c r="G322" s="47">
        <f t="shared" si="33"/>
        <v>6.2388591800356503E-2</v>
      </c>
      <c r="H322" s="63">
        <v>1.8600000000000002E-2</v>
      </c>
      <c r="I322" s="280">
        <v>0</v>
      </c>
      <c r="J322" s="281">
        <f t="shared" si="34"/>
        <v>3.8183169777679118E-2</v>
      </c>
    </row>
    <row r="323" spans="1:11">
      <c r="A323" s="33">
        <v>36434</v>
      </c>
      <c r="B323" s="279">
        <v>1232553</v>
      </c>
      <c r="C323" s="279">
        <v>146541</v>
      </c>
      <c r="D323" s="277">
        <v>47330000</v>
      </c>
      <c r="E323" s="47">
        <f t="shared" ref="E323:E386" si="40">(B323-C323)/(B323-C323+D323)</f>
        <v>2.2430843746486184E-2</v>
      </c>
      <c r="F323" s="277">
        <v>3150000</v>
      </c>
      <c r="G323" s="47">
        <f t="shared" ref="G323:G386" si="41">F323/(D323+F323)</f>
        <v>6.2400950871632332E-2</v>
      </c>
      <c r="H323" s="63">
        <v>1.9699999999999999E-2</v>
      </c>
      <c r="I323" s="280">
        <v>0</v>
      </c>
      <c r="J323" s="281">
        <f t="shared" ref="J323:J386" si="42">EXP((0.036225+LOG(H323,EXP(1))*0.056981+I323*-0.001826)/(1+0.035334-0.976896))</f>
        <v>4.0383421794795996E-2</v>
      </c>
    </row>
    <row r="324" spans="1:11">
      <c r="A324" s="33">
        <v>36465</v>
      </c>
      <c r="B324" s="279">
        <v>1245081</v>
      </c>
      <c r="C324" s="279">
        <v>147974</v>
      </c>
      <c r="D324" s="277">
        <v>47210000</v>
      </c>
      <c r="E324" s="47">
        <f t="shared" si="40"/>
        <v>2.2711088867317184E-2</v>
      </c>
      <c r="F324" s="277">
        <v>3090000</v>
      </c>
      <c r="G324" s="47">
        <f t="shared" si="41"/>
        <v>6.1431411530815112E-2</v>
      </c>
      <c r="H324" s="63">
        <v>1.8500000000000003E-2</v>
      </c>
      <c r="I324" s="280">
        <v>0</v>
      </c>
      <c r="J324" s="281">
        <f t="shared" si="42"/>
        <v>3.7982988748785432E-2</v>
      </c>
    </row>
    <row r="325" spans="1:11">
      <c r="A325" s="33">
        <v>36495</v>
      </c>
      <c r="B325" s="279">
        <v>1267445</v>
      </c>
      <c r="C325" s="279">
        <v>147375</v>
      </c>
      <c r="D325" s="277">
        <v>47040000</v>
      </c>
      <c r="E325" s="47">
        <f t="shared" si="40"/>
        <v>2.3257233637741806E-2</v>
      </c>
      <c r="F325" s="277">
        <v>3150000</v>
      </c>
      <c r="G325" s="47">
        <f t="shared" si="41"/>
        <v>6.2761506276150625E-2</v>
      </c>
      <c r="H325" s="63">
        <v>1.83E-2</v>
      </c>
      <c r="I325" s="280">
        <v>0</v>
      </c>
      <c r="J325" s="281">
        <f t="shared" si="42"/>
        <v>3.758254559979312E-2</v>
      </c>
      <c r="K325" s="282">
        <f t="shared" ref="K325" si="43">AVERAGE(J314:J325)</f>
        <v>3.8548855486902407E-2</v>
      </c>
    </row>
    <row r="326" spans="1:11">
      <c r="A326" s="33">
        <v>36526</v>
      </c>
      <c r="B326" s="279">
        <v>1297010</v>
      </c>
      <c r="C326" s="279">
        <v>149222</v>
      </c>
      <c r="D326" s="277">
        <v>47320000</v>
      </c>
      <c r="E326" s="47">
        <f t="shared" si="40"/>
        <v>2.3681460354658644E-2</v>
      </c>
      <c r="F326" s="277">
        <v>3180000</v>
      </c>
      <c r="G326" s="47">
        <f t="shared" si="41"/>
        <v>6.2970297029702971E-2</v>
      </c>
      <c r="H326" s="63">
        <v>2.0400000000000001E-2</v>
      </c>
      <c r="I326" s="280">
        <v>1</v>
      </c>
      <c r="J326" s="281">
        <f t="shared" si="42"/>
        <v>4.0496610377953914E-2</v>
      </c>
    </row>
    <row r="327" spans="1:11">
      <c r="A327" s="33">
        <v>36557</v>
      </c>
      <c r="B327" s="279">
        <v>1330749</v>
      </c>
      <c r="C327" s="279">
        <v>147568</v>
      </c>
      <c r="D327" s="277">
        <v>47230000</v>
      </c>
      <c r="E327" s="47">
        <f t="shared" si="40"/>
        <v>2.4439232778362571E-2</v>
      </c>
      <c r="F327" s="277">
        <v>3280000</v>
      </c>
      <c r="G327" s="47">
        <f t="shared" si="41"/>
        <v>6.4937636111661062E-2</v>
      </c>
      <c r="H327" s="63">
        <v>1.8799999999999997E-2</v>
      </c>
      <c r="I327" s="280">
        <v>1</v>
      </c>
      <c r="J327" s="281">
        <f t="shared" si="42"/>
        <v>3.7396483470090586E-2</v>
      </c>
    </row>
    <row r="328" spans="1:11">
      <c r="A328" s="33">
        <v>36586</v>
      </c>
      <c r="B328" s="279">
        <v>1362181</v>
      </c>
      <c r="C328" s="279">
        <v>149625</v>
      </c>
      <c r="D328" s="277">
        <v>47060000</v>
      </c>
      <c r="E328" s="47">
        <f t="shared" si="40"/>
        <v>2.511895164614859E-2</v>
      </c>
      <c r="F328" s="277">
        <v>3270000</v>
      </c>
      <c r="G328" s="47">
        <f t="shared" si="41"/>
        <v>6.4971190145042712E-2</v>
      </c>
      <c r="H328" s="63">
        <v>1.7600000000000001E-2</v>
      </c>
      <c r="I328" s="280">
        <v>1</v>
      </c>
      <c r="J328" s="281">
        <f t="shared" si="42"/>
        <v>3.5067094012930289E-2</v>
      </c>
    </row>
    <row r="329" spans="1:11">
      <c r="A329" s="33">
        <v>36617</v>
      </c>
      <c r="B329" s="279">
        <v>1390536</v>
      </c>
      <c r="C329" s="279">
        <v>152345</v>
      </c>
      <c r="D329" s="277">
        <v>47000000</v>
      </c>
      <c r="E329" s="47">
        <f t="shared" si="40"/>
        <v>2.5668271847093103E-2</v>
      </c>
      <c r="F329" s="277">
        <v>3240000</v>
      </c>
      <c r="G329" s="47">
        <f t="shared" si="41"/>
        <v>6.4490445859872611E-2</v>
      </c>
      <c r="H329" s="63">
        <v>1.83E-2</v>
      </c>
      <c r="I329" s="280">
        <v>1</v>
      </c>
      <c r="J329" s="281">
        <f t="shared" si="42"/>
        <v>3.6426369106405301E-2</v>
      </c>
    </row>
    <row r="330" spans="1:11">
      <c r="A330" s="33">
        <v>36647</v>
      </c>
      <c r="B330" s="279">
        <v>1406397</v>
      </c>
      <c r="C330" s="279">
        <v>151291</v>
      </c>
      <c r="D330" s="277">
        <v>47470000</v>
      </c>
      <c r="E330" s="47">
        <f t="shared" si="40"/>
        <v>2.5758917794863289E-2</v>
      </c>
      <c r="F330" s="277">
        <v>3130000</v>
      </c>
      <c r="G330" s="47">
        <f t="shared" si="41"/>
        <v>6.185770750988142E-2</v>
      </c>
      <c r="H330" s="63">
        <v>1.8500000000000003E-2</v>
      </c>
      <c r="I330" s="280">
        <v>1</v>
      </c>
      <c r="J330" s="281">
        <f t="shared" si="42"/>
        <v>3.6814493160232165E-2</v>
      </c>
    </row>
    <row r="331" spans="1:11">
      <c r="A331" s="33">
        <v>36678</v>
      </c>
      <c r="B331" s="279">
        <v>1456672</v>
      </c>
      <c r="C331" s="279">
        <v>154372</v>
      </c>
      <c r="D331" s="277">
        <v>47450000</v>
      </c>
      <c r="E331" s="47">
        <f t="shared" si="40"/>
        <v>2.6712585867743676E-2</v>
      </c>
      <c r="F331" s="277">
        <v>3160000</v>
      </c>
      <c r="G331" s="47">
        <f t="shared" si="41"/>
        <v>6.2438253309622604E-2</v>
      </c>
      <c r="H331" s="63">
        <v>1.84E-2</v>
      </c>
      <c r="I331" s="280">
        <v>1</v>
      </c>
      <c r="J331" s="281">
        <f t="shared" si="42"/>
        <v>3.6620444281301193E-2</v>
      </c>
    </row>
    <row r="332" spans="1:11">
      <c r="A332" s="33">
        <v>36708</v>
      </c>
      <c r="B332" s="279">
        <v>1501451</v>
      </c>
      <c r="C332" s="279">
        <v>156517</v>
      </c>
      <c r="D332" s="277">
        <v>47430000</v>
      </c>
      <c r="E332" s="47">
        <f t="shared" si="40"/>
        <v>2.7574286415231235E-2</v>
      </c>
      <c r="F332" s="277">
        <v>3150000</v>
      </c>
      <c r="G332" s="47">
        <f t="shared" si="41"/>
        <v>6.2277580071174378E-2</v>
      </c>
      <c r="H332" s="63">
        <v>1.83E-2</v>
      </c>
      <c r="I332" s="280">
        <v>1</v>
      </c>
      <c r="J332" s="281">
        <f t="shared" si="42"/>
        <v>3.6426369106405301E-2</v>
      </c>
    </row>
    <row r="333" spans="1:11">
      <c r="A333" s="33">
        <v>36739</v>
      </c>
      <c r="B333" s="279">
        <v>1532455</v>
      </c>
      <c r="C333" s="279">
        <v>161098</v>
      </c>
      <c r="D333" s="277">
        <v>47450000</v>
      </c>
      <c r="E333" s="47">
        <f t="shared" si="40"/>
        <v>2.8089284777561591E-2</v>
      </c>
      <c r="F333" s="277">
        <v>3130000</v>
      </c>
      <c r="G333" s="47">
        <f t="shared" si="41"/>
        <v>6.188216686437327E-2</v>
      </c>
      <c r="H333" s="63">
        <v>1.84E-2</v>
      </c>
      <c r="I333" s="280">
        <v>1</v>
      </c>
      <c r="J333" s="281">
        <f t="shared" si="42"/>
        <v>3.6620444281301193E-2</v>
      </c>
    </row>
    <row r="334" spans="1:11">
      <c r="A334" s="33">
        <v>36770</v>
      </c>
      <c r="B334" s="279">
        <v>1557116</v>
      </c>
      <c r="C334" s="279">
        <v>158479</v>
      </c>
      <c r="D334" s="277">
        <v>47800000</v>
      </c>
      <c r="E334" s="47">
        <f t="shared" si="40"/>
        <v>2.8428368859080386E-2</v>
      </c>
      <c r="F334" s="277">
        <v>3170000</v>
      </c>
      <c r="G334" s="47">
        <f t="shared" si="41"/>
        <v>6.2193447125760248E-2</v>
      </c>
      <c r="H334" s="63">
        <v>1.9599999999999999E-2</v>
      </c>
      <c r="I334" s="280">
        <v>1</v>
      </c>
      <c r="J334" s="281">
        <f t="shared" si="42"/>
        <v>3.8947335856295957E-2</v>
      </c>
    </row>
    <row r="335" spans="1:11">
      <c r="A335" s="33">
        <v>36800</v>
      </c>
      <c r="B335" s="279">
        <v>1583772</v>
      </c>
      <c r="C335" s="279">
        <v>156991</v>
      </c>
      <c r="D335" s="277">
        <v>47950000</v>
      </c>
      <c r="E335" s="47">
        <f t="shared" si="40"/>
        <v>2.8895788083066816E-2</v>
      </c>
      <c r="F335" s="277">
        <v>3170000</v>
      </c>
      <c r="G335" s="47">
        <f t="shared" si="41"/>
        <v>6.2010954616588419E-2</v>
      </c>
      <c r="H335" s="63">
        <v>1.9E-2</v>
      </c>
      <c r="I335" s="280">
        <v>1</v>
      </c>
      <c r="J335" s="281">
        <f t="shared" si="42"/>
        <v>3.7784348159098369E-2</v>
      </c>
    </row>
    <row r="336" spans="1:11">
      <c r="A336" s="33">
        <v>36831</v>
      </c>
      <c r="B336" s="279">
        <v>1609205</v>
      </c>
      <c r="C336" s="279">
        <v>155774</v>
      </c>
      <c r="D336" s="277">
        <v>47880000</v>
      </c>
      <c r="E336" s="47">
        <f t="shared" si="40"/>
        <v>2.9461380863617614E-2</v>
      </c>
      <c r="F336" s="277">
        <v>3220000</v>
      </c>
      <c r="G336" s="47">
        <f t="shared" si="41"/>
        <v>6.3013698630136991E-2</v>
      </c>
      <c r="H336" s="63">
        <v>1.9E-2</v>
      </c>
      <c r="I336" s="280">
        <v>1</v>
      </c>
      <c r="J336" s="281">
        <f t="shared" si="42"/>
        <v>3.7784348159098369E-2</v>
      </c>
    </row>
    <row r="337" spans="1:11">
      <c r="A337" s="33">
        <v>36861</v>
      </c>
      <c r="B337" s="279">
        <v>1624821</v>
      </c>
      <c r="C337" s="279">
        <v>156514</v>
      </c>
      <c r="D337" s="277">
        <v>47730000</v>
      </c>
      <c r="E337" s="47">
        <f t="shared" si="40"/>
        <v>2.984466518329584E-2</v>
      </c>
      <c r="F337" s="277">
        <v>3250000</v>
      </c>
      <c r="G337" s="47">
        <f t="shared" si="41"/>
        <v>6.3750490388387607E-2</v>
      </c>
      <c r="H337" s="63">
        <v>1.9900000000000001E-2</v>
      </c>
      <c r="I337" s="280">
        <v>1</v>
      </c>
      <c r="J337" s="281">
        <f t="shared" si="42"/>
        <v>3.952849518899109E-2</v>
      </c>
      <c r="K337" s="282">
        <f t="shared" ref="K337" si="44">AVERAGE(J326:J337)</f>
        <v>3.7492736263341972E-2</v>
      </c>
    </row>
    <row r="338" spans="1:11">
      <c r="A338" s="33">
        <v>36892</v>
      </c>
      <c r="B338" s="279">
        <v>1616633</v>
      </c>
      <c r="C338" s="279">
        <v>150303</v>
      </c>
      <c r="D338" s="277">
        <v>47620000</v>
      </c>
      <c r="E338" s="47">
        <f t="shared" si="40"/>
        <v>2.9872471622954904E-2</v>
      </c>
      <c r="F338" s="277">
        <v>3260000</v>
      </c>
      <c r="G338" s="47">
        <f t="shared" si="41"/>
        <v>6.4072327044025157E-2</v>
      </c>
      <c r="H338" s="63">
        <v>2.0899999999999998E-2</v>
      </c>
      <c r="I338" s="280">
        <v>1</v>
      </c>
      <c r="J338" s="281">
        <f t="shared" si="42"/>
        <v>4.1464134083723958E-2</v>
      </c>
    </row>
    <row r="339" spans="1:11">
      <c r="A339" s="33">
        <v>36923</v>
      </c>
      <c r="B339" s="279">
        <v>1607752</v>
      </c>
      <c r="C339" s="279">
        <v>157094</v>
      </c>
      <c r="D339" s="277">
        <v>47860000</v>
      </c>
      <c r="E339" s="47">
        <f t="shared" si="40"/>
        <v>2.9418751621606835E-2</v>
      </c>
      <c r="F339" s="277">
        <v>3200000</v>
      </c>
      <c r="G339" s="47">
        <f t="shared" si="41"/>
        <v>6.2671367019193111E-2</v>
      </c>
      <c r="H339" s="63">
        <v>1.9699999999999999E-2</v>
      </c>
      <c r="I339" s="280">
        <v>1</v>
      </c>
      <c r="J339" s="281">
        <f t="shared" si="42"/>
        <v>3.9141080110469899E-2</v>
      </c>
    </row>
    <row r="340" spans="1:11">
      <c r="A340" s="33">
        <v>36951</v>
      </c>
      <c r="B340" s="279">
        <v>1586939</v>
      </c>
      <c r="C340" s="279">
        <v>154617</v>
      </c>
      <c r="D340" s="277">
        <v>47720000</v>
      </c>
      <c r="E340" s="47">
        <f t="shared" si="40"/>
        <v>2.9140474787742478E-2</v>
      </c>
      <c r="F340" s="277">
        <v>3220000</v>
      </c>
      <c r="G340" s="47">
        <f t="shared" si="41"/>
        <v>6.3211621515508437E-2</v>
      </c>
      <c r="H340" s="63">
        <v>1.9199999999999998E-2</v>
      </c>
      <c r="I340" s="280">
        <v>1</v>
      </c>
      <c r="J340" s="281">
        <f t="shared" si="42"/>
        <v>3.8172111065872608E-2</v>
      </c>
    </row>
    <row r="341" spans="1:11">
      <c r="A341" s="33">
        <v>36982</v>
      </c>
      <c r="B341" s="279">
        <v>1581693</v>
      </c>
      <c r="C341" s="279">
        <v>156058</v>
      </c>
      <c r="D341" s="277">
        <v>47730000</v>
      </c>
      <c r="E341" s="47">
        <f t="shared" si="40"/>
        <v>2.900247347023388E-2</v>
      </c>
      <c r="F341" s="277">
        <v>3260000</v>
      </c>
      <c r="G341" s="47">
        <f t="shared" si="41"/>
        <v>6.3934104726416946E-2</v>
      </c>
      <c r="H341" s="63">
        <v>1.9099999999999999E-2</v>
      </c>
      <c r="I341" s="280">
        <v>1</v>
      </c>
      <c r="J341" s="281">
        <f t="shared" si="42"/>
        <v>3.7978242266814427E-2</v>
      </c>
    </row>
    <row r="342" spans="1:11">
      <c r="A342" s="33">
        <v>37012</v>
      </c>
      <c r="B342" s="279">
        <v>1569565</v>
      </c>
      <c r="C342" s="279">
        <v>157658</v>
      </c>
      <c r="D342" s="277">
        <v>47870000</v>
      </c>
      <c r="E342" s="47">
        <f t="shared" si="40"/>
        <v>2.8649601566757554E-2</v>
      </c>
      <c r="F342" s="277">
        <v>3340000</v>
      </c>
      <c r="G342" s="47">
        <f t="shared" si="41"/>
        <v>6.5221636399140789E-2</v>
      </c>
      <c r="H342" s="63">
        <v>1.9299999999999998E-2</v>
      </c>
      <c r="I342" s="280">
        <v>1</v>
      </c>
      <c r="J342" s="281">
        <f t="shared" si="42"/>
        <v>3.8365954691367748E-2</v>
      </c>
    </row>
    <row r="343" spans="1:11">
      <c r="A343" s="33">
        <v>37043</v>
      </c>
      <c r="B343" s="279">
        <v>1559246</v>
      </c>
      <c r="C343" s="279">
        <v>157899</v>
      </c>
      <c r="D343" s="277">
        <v>47870000</v>
      </c>
      <c r="E343" s="47">
        <f t="shared" si="40"/>
        <v>2.8441418498260256E-2</v>
      </c>
      <c r="F343" s="277">
        <v>3340000</v>
      </c>
      <c r="G343" s="47">
        <f t="shared" si="41"/>
        <v>6.5221636399140789E-2</v>
      </c>
      <c r="H343" s="63">
        <v>1.9199999999999998E-2</v>
      </c>
      <c r="I343" s="280">
        <v>1</v>
      </c>
      <c r="J343" s="281">
        <f t="shared" si="42"/>
        <v>3.8172111065872608E-2</v>
      </c>
    </row>
    <row r="344" spans="1:11">
      <c r="A344" s="33">
        <v>37073</v>
      </c>
      <c r="B344" s="279">
        <v>1536501</v>
      </c>
      <c r="C344" s="279">
        <v>157060</v>
      </c>
      <c r="D344" s="277">
        <v>47690000</v>
      </c>
      <c r="E344" s="47">
        <f t="shared" si="40"/>
        <v>2.8112017823883503E-2</v>
      </c>
      <c r="F344" s="277">
        <v>3380000</v>
      </c>
      <c r="G344" s="47">
        <f t="shared" si="41"/>
        <v>6.6183669473271978E-2</v>
      </c>
      <c r="H344" s="63">
        <v>1.8700000000000001E-2</v>
      </c>
      <c r="I344" s="280">
        <v>1</v>
      </c>
      <c r="J344" s="281">
        <f t="shared" si="42"/>
        <v>3.7202512611316969E-2</v>
      </c>
    </row>
    <row r="345" spans="1:11">
      <c r="A345" s="33">
        <v>37104</v>
      </c>
      <c r="B345" s="279">
        <v>1518017</v>
      </c>
      <c r="C345" s="279">
        <v>156453</v>
      </c>
      <c r="D345" s="277">
        <v>47550000</v>
      </c>
      <c r="E345" s="47">
        <f t="shared" si="40"/>
        <v>2.7837261552298757E-2</v>
      </c>
      <c r="F345" s="277">
        <v>3410000</v>
      </c>
      <c r="G345" s="47">
        <f t="shared" si="41"/>
        <v>6.6915227629513338E-2</v>
      </c>
      <c r="H345" s="63">
        <v>1.8700000000000001E-2</v>
      </c>
      <c r="I345" s="280">
        <v>1</v>
      </c>
      <c r="J345" s="281">
        <f t="shared" si="42"/>
        <v>3.7202512611316969E-2</v>
      </c>
    </row>
    <row r="346" spans="1:11">
      <c r="A346" s="33">
        <v>37135</v>
      </c>
      <c r="B346" s="279">
        <v>1494955</v>
      </c>
      <c r="C346" s="279">
        <v>155363</v>
      </c>
      <c r="D346" s="277">
        <v>47270000</v>
      </c>
      <c r="E346" s="47">
        <f t="shared" si="40"/>
        <v>2.7558182343929156E-2</v>
      </c>
      <c r="F346" s="277">
        <v>3540000</v>
      </c>
      <c r="G346" s="47">
        <f t="shared" si="41"/>
        <v>6.9671324542412913E-2</v>
      </c>
      <c r="H346" s="63">
        <v>1.9900000000000001E-2</v>
      </c>
      <c r="I346" s="280">
        <v>1</v>
      </c>
      <c r="J346" s="281">
        <f t="shared" si="42"/>
        <v>3.952849518899109E-2</v>
      </c>
    </row>
    <row r="347" spans="1:11">
      <c r="A347" s="33">
        <v>37165</v>
      </c>
      <c r="B347" s="279">
        <v>1456183</v>
      </c>
      <c r="C347" s="279">
        <v>156947</v>
      </c>
      <c r="D347" s="277">
        <v>47300000</v>
      </c>
      <c r="E347" s="47">
        <f t="shared" si="40"/>
        <v>2.6733671286519812E-2</v>
      </c>
      <c r="F347" s="277">
        <v>3540000</v>
      </c>
      <c r="G347" s="47">
        <f t="shared" si="41"/>
        <v>6.9630212431156566E-2</v>
      </c>
      <c r="H347" s="63">
        <v>1.9099999999999999E-2</v>
      </c>
      <c r="I347" s="280">
        <v>1</v>
      </c>
      <c r="J347" s="281">
        <f t="shared" si="42"/>
        <v>3.7978242266814427E-2</v>
      </c>
    </row>
    <row r="348" spans="1:11">
      <c r="A348" s="33">
        <v>37196</v>
      </c>
      <c r="B348" s="279">
        <v>1428901</v>
      </c>
      <c r="C348" s="279">
        <v>155893</v>
      </c>
      <c r="D348" s="277">
        <v>47350000</v>
      </c>
      <c r="E348" s="47">
        <f t="shared" si="40"/>
        <v>2.6181185664202428E-2</v>
      </c>
      <c r="F348" s="277">
        <v>3640000</v>
      </c>
      <c r="G348" s="47">
        <f t="shared" si="41"/>
        <v>7.1386546381643462E-2</v>
      </c>
      <c r="H348" s="63">
        <v>1.9699999999999999E-2</v>
      </c>
      <c r="I348" s="280">
        <v>1</v>
      </c>
      <c r="J348" s="281">
        <f t="shared" si="42"/>
        <v>3.9141080110469899E-2</v>
      </c>
    </row>
    <row r="349" spans="1:11">
      <c r="A349" s="33">
        <v>37226</v>
      </c>
      <c r="B349" s="279">
        <v>1410495</v>
      </c>
      <c r="C349" s="279">
        <v>157387</v>
      </c>
      <c r="D349" s="277">
        <v>47340000</v>
      </c>
      <c r="E349" s="47">
        <f t="shared" si="40"/>
        <v>2.5787772208355143E-2</v>
      </c>
      <c r="F349" s="277">
        <v>3660000</v>
      </c>
      <c r="G349" s="47">
        <f t="shared" si="41"/>
        <v>7.1764705882352939E-2</v>
      </c>
      <c r="H349" s="63">
        <v>1.9900000000000001E-2</v>
      </c>
      <c r="I349" s="280">
        <v>1</v>
      </c>
      <c r="J349" s="281">
        <f t="shared" si="42"/>
        <v>3.952849518899109E-2</v>
      </c>
      <c r="K349" s="282">
        <f t="shared" ref="K349" si="45">AVERAGE(J338:J349)</f>
        <v>3.8656247605168483E-2</v>
      </c>
    </row>
    <row r="350" spans="1:11">
      <c r="A350" s="33">
        <v>37257</v>
      </c>
      <c r="B350" s="277">
        <v>1417250</v>
      </c>
      <c r="C350" s="277">
        <v>160547</v>
      </c>
      <c r="D350" s="277">
        <v>47160000</v>
      </c>
      <c r="E350" s="47">
        <f t="shared" si="40"/>
        <v>2.5955980521845941E-2</v>
      </c>
      <c r="F350" s="277">
        <v>3510000</v>
      </c>
      <c r="G350" s="47">
        <f t="shared" si="41"/>
        <v>6.9271758436944941E-2</v>
      </c>
      <c r="H350" s="63">
        <v>1.7500000000000002E-2</v>
      </c>
      <c r="I350" s="280">
        <v>1</v>
      </c>
      <c r="J350" s="281">
        <f t="shared" si="42"/>
        <v>3.4872803026755231E-2</v>
      </c>
    </row>
    <row r="351" spans="1:11">
      <c r="A351" s="33">
        <v>37288</v>
      </c>
      <c r="B351" s="277">
        <v>1418030</v>
      </c>
      <c r="C351" s="277">
        <v>163047</v>
      </c>
      <c r="D351" s="277">
        <v>47160000</v>
      </c>
      <c r="E351" s="47">
        <f t="shared" si="40"/>
        <v>2.5921376446626038E-2</v>
      </c>
      <c r="F351" s="277">
        <v>3570000</v>
      </c>
      <c r="G351" s="47">
        <f t="shared" si="41"/>
        <v>7.0372560615020702E-2</v>
      </c>
      <c r="H351" s="63">
        <v>2.0299999999999999E-2</v>
      </c>
      <c r="I351" s="280">
        <v>1</v>
      </c>
      <c r="J351" s="281">
        <f t="shared" si="42"/>
        <v>4.0303035135513185E-2</v>
      </c>
    </row>
    <row r="352" spans="1:11">
      <c r="A352" s="33">
        <v>37316</v>
      </c>
      <c r="B352" s="277">
        <v>1438476</v>
      </c>
      <c r="C352" s="277">
        <v>163206</v>
      </c>
      <c r="D352" s="277">
        <v>47290000</v>
      </c>
      <c r="E352" s="47">
        <f t="shared" si="40"/>
        <v>2.6258888296101308E-2</v>
      </c>
      <c r="F352" s="277">
        <v>3570000</v>
      </c>
      <c r="G352" s="47">
        <f t="shared" si="41"/>
        <v>7.0192685804168306E-2</v>
      </c>
      <c r="H352" s="63">
        <v>2.2200000000000001E-2</v>
      </c>
      <c r="I352" s="280">
        <v>1</v>
      </c>
      <c r="J352" s="281">
        <f t="shared" si="42"/>
        <v>4.3977029687901473E-2</v>
      </c>
    </row>
    <row r="353" spans="1:11">
      <c r="A353" s="33">
        <v>37347</v>
      </c>
      <c r="B353" s="277">
        <v>1454844</v>
      </c>
      <c r="C353" s="277">
        <v>166633</v>
      </c>
      <c r="D353" s="277">
        <v>47260000</v>
      </c>
      <c r="E353" s="47">
        <f t="shared" si="40"/>
        <v>2.653467498524302E-2</v>
      </c>
      <c r="F353" s="277">
        <v>3530000</v>
      </c>
      <c r="G353" s="47">
        <f t="shared" si="41"/>
        <v>6.9501870446938369E-2</v>
      </c>
      <c r="H353" s="63">
        <v>0.02</v>
      </c>
      <c r="I353" s="280">
        <v>1</v>
      </c>
      <c r="J353" s="281">
        <f t="shared" si="42"/>
        <v>3.9722166265873868E-2</v>
      </c>
    </row>
    <row r="354" spans="1:11">
      <c r="A354" s="33">
        <v>37377</v>
      </c>
      <c r="B354" s="277">
        <v>1469544</v>
      </c>
      <c r="C354" s="277">
        <v>168243</v>
      </c>
      <c r="D354" s="277">
        <v>46810000</v>
      </c>
      <c r="E354" s="47">
        <f t="shared" si="40"/>
        <v>2.7047720035673115E-2</v>
      </c>
      <c r="F354" s="277">
        <v>3610000</v>
      </c>
      <c r="G354" s="47">
        <f t="shared" si="41"/>
        <v>7.1598571995239987E-2</v>
      </c>
      <c r="H354" s="63">
        <v>2.0799999999999999E-2</v>
      </c>
      <c r="I354" s="280">
        <v>1</v>
      </c>
      <c r="J354" s="281">
        <f t="shared" si="42"/>
        <v>4.1270675954953671E-2</v>
      </c>
    </row>
    <row r="355" spans="1:11">
      <c r="A355" s="33">
        <v>37408</v>
      </c>
      <c r="B355" s="277">
        <v>1482944</v>
      </c>
      <c r="C355" s="277">
        <v>168162</v>
      </c>
      <c r="D355" s="277">
        <v>47100000</v>
      </c>
      <c r="E355" s="47">
        <f t="shared" si="40"/>
        <v>2.7156623363500842E-2</v>
      </c>
      <c r="F355" s="277">
        <v>3660000</v>
      </c>
      <c r="G355" s="47">
        <f t="shared" si="41"/>
        <v>7.2104018912529558E-2</v>
      </c>
      <c r="H355" s="63">
        <v>2.06E-2</v>
      </c>
      <c r="I355" s="280">
        <v>1</v>
      </c>
      <c r="J355" s="281">
        <f t="shared" si="42"/>
        <v>4.088369001020354E-2</v>
      </c>
    </row>
    <row r="356" spans="1:11">
      <c r="A356" s="33">
        <v>37438</v>
      </c>
      <c r="B356" s="277">
        <v>1497940</v>
      </c>
      <c r="C356" s="277">
        <v>168440</v>
      </c>
      <c r="D356" s="277">
        <v>47320000</v>
      </c>
      <c r="E356" s="47">
        <f t="shared" si="40"/>
        <v>2.7328132868785906E-2</v>
      </c>
      <c r="F356" s="277">
        <v>3590000</v>
      </c>
      <c r="G356" s="47">
        <f t="shared" si="41"/>
        <v>7.0516597917894316E-2</v>
      </c>
      <c r="H356" s="63">
        <v>2.0899999999999998E-2</v>
      </c>
      <c r="I356" s="280">
        <v>1</v>
      </c>
      <c r="J356" s="281">
        <f t="shared" si="42"/>
        <v>4.1464134083723958E-2</v>
      </c>
    </row>
    <row r="357" spans="1:11">
      <c r="A357" s="33">
        <v>37469</v>
      </c>
      <c r="B357" s="277">
        <v>1508949</v>
      </c>
      <c r="C357" s="277">
        <v>169708</v>
      </c>
      <c r="D357" s="277">
        <v>47030000</v>
      </c>
      <c r="E357" s="47">
        <f t="shared" si="40"/>
        <v>2.7687864690702921E-2</v>
      </c>
      <c r="F357" s="277">
        <v>3680000</v>
      </c>
      <c r="G357" s="47">
        <f t="shared" si="41"/>
        <v>7.2569512916584505E-2</v>
      </c>
      <c r="H357" s="63">
        <v>2.0899999999999998E-2</v>
      </c>
      <c r="I357" s="280">
        <v>1</v>
      </c>
      <c r="J357" s="281">
        <f t="shared" si="42"/>
        <v>4.1464134083723958E-2</v>
      </c>
    </row>
    <row r="358" spans="1:11">
      <c r="A358" s="33">
        <v>37500</v>
      </c>
      <c r="B358" s="277">
        <v>1525275</v>
      </c>
      <c r="C358" s="277">
        <v>171060</v>
      </c>
      <c r="D358" s="277">
        <v>47120000</v>
      </c>
      <c r="E358" s="47">
        <f t="shared" si="40"/>
        <v>2.7936811354242662E-2</v>
      </c>
      <c r="F358" s="277">
        <v>3620000</v>
      </c>
      <c r="G358" s="47">
        <f t="shared" si="41"/>
        <v>7.1344107213243996E-2</v>
      </c>
      <c r="H358" s="63">
        <v>1.9699999999999999E-2</v>
      </c>
      <c r="I358" s="280">
        <v>1</v>
      </c>
      <c r="J358" s="281">
        <f t="shared" si="42"/>
        <v>3.9141080110469899E-2</v>
      </c>
    </row>
    <row r="359" spans="1:11">
      <c r="A359" s="33">
        <v>37530</v>
      </c>
      <c r="B359" s="277">
        <v>1531529</v>
      </c>
      <c r="C359" s="277">
        <v>171425</v>
      </c>
      <c r="D359" s="277">
        <v>47080000</v>
      </c>
      <c r="E359" s="47">
        <f t="shared" si="40"/>
        <v>2.8078056975269914E-2</v>
      </c>
      <c r="F359" s="277">
        <v>3600000</v>
      </c>
      <c r="G359" s="47">
        <f t="shared" si="41"/>
        <v>7.1033938437253349E-2</v>
      </c>
      <c r="H359" s="63">
        <v>2.07E-2</v>
      </c>
      <c r="I359" s="280">
        <v>1</v>
      </c>
      <c r="J359" s="281">
        <f t="shared" si="42"/>
        <v>4.1077194635391473E-2</v>
      </c>
    </row>
    <row r="360" spans="1:11">
      <c r="A360" s="33">
        <v>37561</v>
      </c>
      <c r="B360" s="277">
        <v>1538416</v>
      </c>
      <c r="C360" s="277">
        <v>170399</v>
      </c>
      <c r="D360" s="277">
        <v>47080000</v>
      </c>
      <c r="E360" s="47">
        <f t="shared" si="40"/>
        <v>2.8236800692998436E-2</v>
      </c>
      <c r="F360" s="277">
        <v>3490000</v>
      </c>
      <c r="G360" s="47">
        <f t="shared" si="41"/>
        <v>6.9013248961835083E-2</v>
      </c>
      <c r="H360" s="63">
        <v>2.12E-2</v>
      </c>
      <c r="I360" s="280">
        <v>1</v>
      </c>
      <c r="J360" s="281">
        <f t="shared" si="42"/>
        <v>4.2044370457030023E-2</v>
      </c>
    </row>
    <row r="361" spans="1:11">
      <c r="A361" s="33">
        <v>37591</v>
      </c>
      <c r="B361" s="277">
        <v>1543149</v>
      </c>
      <c r="C361" s="277">
        <v>171785</v>
      </c>
      <c r="D361" s="277">
        <v>46980000</v>
      </c>
      <c r="E361" s="47">
        <f t="shared" si="40"/>
        <v>2.8362467706185081E-2</v>
      </c>
      <c r="F361" s="277">
        <v>3600000</v>
      </c>
      <c r="G361" s="47">
        <f t="shared" si="41"/>
        <v>7.1174377224199295E-2</v>
      </c>
      <c r="H361" s="63">
        <v>2.0299999999999999E-2</v>
      </c>
      <c r="I361" s="280">
        <v>1</v>
      </c>
      <c r="J361" s="281">
        <f t="shared" si="42"/>
        <v>4.0303035135513185E-2</v>
      </c>
      <c r="K361" s="282">
        <f t="shared" ref="K361" si="46">AVERAGE(J350:J361)</f>
        <v>4.0543612382254464E-2</v>
      </c>
    </row>
    <row r="362" spans="1:11">
      <c r="A362" s="33">
        <v>37622</v>
      </c>
      <c r="B362" s="277">
        <v>1562011</v>
      </c>
      <c r="C362" s="277">
        <v>170975</v>
      </c>
      <c r="D362" s="277">
        <v>47090000</v>
      </c>
      <c r="E362" s="47">
        <f t="shared" si="40"/>
        <v>2.8692373653071274E-2</v>
      </c>
      <c r="F362" s="277">
        <v>3620000</v>
      </c>
      <c r="G362" s="47">
        <f t="shared" si="41"/>
        <v>7.1386314336422799E-2</v>
      </c>
      <c r="H362" s="63">
        <v>2.07E-2</v>
      </c>
      <c r="I362" s="280">
        <v>1</v>
      </c>
      <c r="J362" s="281">
        <f t="shared" si="42"/>
        <v>4.1077194635391473E-2</v>
      </c>
    </row>
    <row r="363" spans="1:11">
      <c r="A363" s="33">
        <v>37653</v>
      </c>
      <c r="B363" s="277">
        <v>1580390</v>
      </c>
      <c r="C363" s="277">
        <v>170214</v>
      </c>
      <c r="D363" s="277">
        <v>47230000</v>
      </c>
      <c r="E363" s="47">
        <f t="shared" si="40"/>
        <v>2.8992000357893441E-2</v>
      </c>
      <c r="F363" s="277">
        <v>3490000</v>
      </c>
      <c r="G363" s="47">
        <f t="shared" si="41"/>
        <v>6.880914826498423E-2</v>
      </c>
      <c r="H363" s="63">
        <v>1.9699999999999999E-2</v>
      </c>
      <c r="I363" s="280">
        <v>1</v>
      </c>
      <c r="J363" s="281">
        <f t="shared" si="42"/>
        <v>3.9141080110469899E-2</v>
      </c>
    </row>
    <row r="364" spans="1:11">
      <c r="A364" s="33">
        <v>37681</v>
      </c>
      <c r="B364" s="277">
        <v>1596187</v>
      </c>
      <c r="C364" s="277">
        <v>172565</v>
      </c>
      <c r="D364" s="277">
        <v>47230000</v>
      </c>
      <c r="E364" s="47">
        <f t="shared" si="40"/>
        <v>2.9260349825548444E-2</v>
      </c>
      <c r="F364" s="277">
        <v>3640000</v>
      </c>
      <c r="G364" s="47">
        <f t="shared" si="41"/>
        <v>7.1554943974837817E-2</v>
      </c>
      <c r="H364" s="63">
        <v>2.0400000000000001E-2</v>
      </c>
      <c r="I364" s="280">
        <v>1</v>
      </c>
      <c r="J364" s="281">
        <f t="shared" si="42"/>
        <v>4.0496610377953914E-2</v>
      </c>
    </row>
    <row r="365" spans="1:11">
      <c r="A365" s="33">
        <v>37712</v>
      </c>
      <c r="B365" s="277">
        <v>1599118</v>
      </c>
      <c r="C365" s="277">
        <v>171688</v>
      </c>
      <c r="D365" s="277">
        <v>46950000</v>
      </c>
      <c r="E365" s="47">
        <f t="shared" si="40"/>
        <v>2.9506114731601078E-2</v>
      </c>
      <c r="F365" s="277">
        <v>3650000</v>
      </c>
      <c r="G365" s="47">
        <f t="shared" si="41"/>
        <v>7.2134387351778656E-2</v>
      </c>
      <c r="H365" s="63">
        <v>1.9599999999999999E-2</v>
      </c>
      <c r="I365" s="280">
        <v>1</v>
      </c>
      <c r="J365" s="281">
        <f t="shared" si="42"/>
        <v>3.8947335856295957E-2</v>
      </c>
    </row>
    <row r="366" spans="1:11">
      <c r="A366" s="33">
        <v>37742</v>
      </c>
      <c r="B366" s="277">
        <v>1608458</v>
      </c>
      <c r="C366" s="277">
        <v>172260</v>
      </c>
      <c r="D366" s="277">
        <v>46930000</v>
      </c>
      <c r="E366" s="47">
        <f t="shared" si="40"/>
        <v>2.9694250517685927E-2</v>
      </c>
      <c r="F366" s="277">
        <v>3630000</v>
      </c>
      <c r="G366" s="47">
        <f t="shared" si="41"/>
        <v>7.1795886075949361E-2</v>
      </c>
      <c r="H366" s="63">
        <v>1.9E-2</v>
      </c>
      <c r="I366" s="280">
        <v>1</v>
      </c>
      <c r="J366" s="281">
        <f t="shared" si="42"/>
        <v>3.7784348159098369E-2</v>
      </c>
    </row>
    <row r="367" spans="1:11">
      <c r="A367" s="33">
        <v>37773</v>
      </c>
      <c r="B367" s="277">
        <v>1626840</v>
      </c>
      <c r="C367" s="277">
        <v>175321</v>
      </c>
      <c r="D367" s="277">
        <v>47030000</v>
      </c>
      <c r="E367" s="47">
        <f t="shared" si="40"/>
        <v>2.993963534847165E-2</v>
      </c>
      <c r="F367" s="277">
        <v>3610000</v>
      </c>
      <c r="G367" s="47">
        <f t="shared" si="41"/>
        <v>7.1287519747235392E-2</v>
      </c>
      <c r="H367" s="63">
        <v>2.0099999999999996E-2</v>
      </c>
      <c r="I367" s="280">
        <v>1</v>
      </c>
      <c r="J367" s="281">
        <f t="shared" si="42"/>
        <v>3.9915813200729081E-2</v>
      </c>
    </row>
    <row r="368" spans="1:11">
      <c r="A368" s="33">
        <v>37803</v>
      </c>
      <c r="B368" s="277">
        <v>1659185</v>
      </c>
      <c r="C368" s="277">
        <v>178377</v>
      </c>
      <c r="D368" s="277">
        <v>47000000</v>
      </c>
      <c r="E368" s="47">
        <f t="shared" si="40"/>
        <v>3.0544210401773832E-2</v>
      </c>
      <c r="F368" s="277">
        <v>3480000</v>
      </c>
      <c r="G368" s="47">
        <f t="shared" si="41"/>
        <v>6.8938193343898571E-2</v>
      </c>
      <c r="H368" s="63">
        <v>1.9900000000000001E-2</v>
      </c>
      <c r="I368" s="280">
        <v>1</v>
      </c>
      <c r="J368" s="281">
        <f t="shared" si="42"/>
        <v>3.952849518899109E-2</v>
      </c>
    </row>
    <row r="369" spans="1:11">
      <c r="A369" s="33">
        <v>37834</v>
      </c>
      <c r="B369" s="277">
        <v>1678747</v>
      </c>
      <c r="C369" s="277">
        <v>177132</v>
      </c>
      <c r="D369" s="277">
        <v>46940000</v>
      </c>
      <c r="E369" s="47">
        <f t="shared" si="40"/>
        <v>3.0998450402613537E-2</v>
      </c>
      <c r="F369" s="277">
        <v>3390000</v>
      </c>
      <c r="G369" s="47">
        <f t="shared" si="41"/>
        <v>6.7355454003576398E-2</v>
      </c>
      <c r="H369" s="63">
        <v>2.0299999999999999E-2</v>
      </c>
      <c r="I369" s="280">
        <v>1</v>
      </c>
      <c r="J369" s="281">
        <f t="shared" si="42"/>
        <v>4.0303035135513185E-2</v>
      </c>
    </row>
    <row r="370" spans="1:11">
      <c r="A370" s="33">
        <v>37865</v>
      </c>
      <c r="B370" s="277">
        <v>1724285</v>
      </c>
      <c r="C370" s="277">
        <v>181529</v>
      </c>
      <c r="D370" s="277">
        <v>47060000</v>
      </c>
      <c r="E370" s="47">
        <f t="shared" si="40"/>
        <v>3.1742150589155887E-2</v>
      </c>
      <c r="F370" s="277">
        <v>3440000</v>
      </c>
      <c r="G370" s="47">
        <f t="shared" si="41"/>
        <v>6.8118811881188124E-2</v>
      </c>
      <c r="H370" s="63">
        <v>1.9699999999999999E-2</v>
      </c>
      <c r="I370" s="280">
        <v>1</v>
      </c>
      <c r="J370" s="281">
        <f t="shared" si="42"/>
        <v>3.9141080110469899E-2</v>
      </c>
    </row>
    <row r="371" spans="1:11">
      <c r="A371" s="33">
        <v>37895</v>
      </c>
      <c r="B371" s="277">
        <v>1767154</v>
      </c>
      <c r="C371" s="277">
        <v>180469</v>
      </c>
      <c r="D371" s="277">
        <v>46980000</v>
      </c>
      <c r="E371" s="47">
        <f t="shared" si="40"/>
        <v>3.2670234750426144E-2</v>
      </c>
      <c r="F371" s="277">
        <v>3380000</v>
      </c>
      <c r="G371" s="47">
        <f t="shared" si="41"/>
        <v>6.711675933280381E-2</v>
      </c>
      <c r="H371" s="63">
        <v>1.95E-2</v>
      </c>
      <c r="I371" s="280">
        <v>1</v>
      </c>
      <c r="J371" s="281">
        <f t="shared" si="42"/>
        <v>3.8753566954983894E-2</v>
      </c>
    </row>
    <row r="372" spans="1:11">
      <c r="A372" s="33">
        <v>37926</v>
      </c>
      <c r="B372" s="277">
        <v>1805005</v>
      </c>
      <c r="C372" s="277">
        <v>180174</v>
      </c>
      <c r="D372" s="277">
        <v>47180000</v>
      </c>
      <c r="E372" s="47">
        <f t="shared" si="40"/>
        <v>3.3292421399840517E-2</v>
      </c>
      <c r="F372" s="277">
        <v>3400000</v>
      </c>
      <c r="G372" s="47">
        <f t="shared" si="41"/>
        <v>6.7220245156188213E-2</v>
      </c>
      <c r="H372" s="63">
        <v>1.8799999999999997E-2</v>
      </c>
      <c r="I372" s="280">
        <v>1</v>
      </c>
      <c r="J372" s="281">
        <f t="shared" si="42"/>
        <v>3.7396483470090586E-2</v>
      </c>
    </row>
    <row r="373" spans="1:11">
      <c r="A373" s="33">
        <v>37956</v>
      </c>
      <c r="B373" s="277">
        <v>1843136</v>
      </c>
      <c r="C373" s="277">
        <v>182328</v>
      </c>
      <c r="D373" s="277">
        <v>47330000</v>
      </c>
      <c r="E373" s="47">
        <f t="shared" si="40"/>
        <v>3.3900400254676347E-2</v>
      </c>
      <c r="F373" s="277">
        <v>3270000</v>
      </c>
      <c r="G373" s="47">
        <f t="shared" si="41"/>
        <v>6.4624505928853757E-2</v>
      </c>
      <c r="H373" s="63">
        <v>1.9400000000000001E-2</v>
      </c>
      <c r="I373" s="280">
        <v>1</v>
      </c>
      <c r="J373" s="281">
        <f t="shared" si="42"/>
        <v>3.8559773276977412E-2</v>
      </c>
      <c r="K373" s="282">
        <f t="shared" ref="K373" si="47">AVERAGE(J362:J373)</f>
        <v>3.9253734706413732E-2</v>
      </c>
    </row>
    <row r="374" spans="1:11">
      <c r="A374" s="33">
        <v>37987</v>
      </c>
      <c r="B374" s="277">
        <v>1847063</v>
      </c>
      <c r="C374" s="277">
        <v>180322</v>
      </c>
      <c r="D374" s="277">
        <v>47210000</v>
      </c>
      <c r="E374" s="47">
        <f t="shared" si="40"/>
        <v>3.4100902922312271E-2</v>
      </c>
      <c r="F374" s="277">
        <v>3260000</v>
      </c>
      <c r="G374" s="47">
        <f t="shared" si="41"/>
        <v>6.4592827422231033E-2</v>
      </c>
      <c r="H374" s="63">
        <v>1.46E-2</v>
      </c>
      <c r="I374" s="280">
        <v>1</v>
      </c>
      <c r="J374" s="281">
        <f t="shared" si="42"/>
        <v>2.9225602634010646E-2</v>
      </c>
    </row>
    <row r="375" spans="1:11">
      <c r="A375" s="33">
        <v>38018</v>
      </c>
      <c r="B375" s="277">
        <v>1861047</v>
      </c>
      <c r="C375" s="277">
        <v>174455</v>
      </c>
      <c r="D375" s="277">
        <v>47070000</v>
      </c>
      <c r="E375" s="47">
        <f t="shared" si="40"/>
        <v>3.4592081415370457E-2</v>
      </c>
      <c r="F375" s="277">
        <v>3290000</v>
      </c>
      <c r="G375" s="47">
        <f t="shared" si="41"/>
        <v>6.5329626687847503E-2</v>
      </c>
      <c r="H375" s="63">
        <v>1.9599999999999999E-2</v>
      </c>
      <c r="I375" s="280">
        <v>1</v>
      </c>
      <c r="J375" s="281">
        <f t="shared" si="42"/>
        <v>3.8947335856295957E-2</v>
      </c>
    </row>
    <row r="376" spans="1:11">
      <c r="A376" s="33">
        <v>38047</v>
      </c>
      <c r="B376" s="277">
        <v>1870690</v>
      </c>
      <c r="C376" s="277">
        <v>177404</v>
      </c>
      <c r="D376" s="277">
        <v>47010000</v>
      </c>
      <c r="E376" s="47">
        <f t="shared" si="40"/>
        <v>3.4767387153302139E-2</v>
      </c>
      <c r="F376" s="277">
        <v>3160000</v>
      </c>
      <c r="G376" s="47">
        <f t="shared" si="41"/>
        <v>6.2985848116404231E-2</v>
      </c>
      <c r="H376" s="63">
        <v>1.9299999999999998E-2</v>
      </c>
      <c r="I376" s="280">
        <v>1</v>
      </c>
      <c r="J376" s="281">
        <f t="shared" si="42"/>
        <v>3.8365954691367748E-2</v>
      </c>
    </row>
    <row r="377" spans="1:11">
      <c r="A377" s="33">
        <v>38078</v>
      </c>
      <c r="B377" s="277">
        <v>1894342</v>
      </c>
      <c r="C377" s="277">
        <v>176892</v>
      </c>
      <c r="D377" s="277">
        <v>47150000</v>
      </c>
      <c r="E377" s="47">
        <f t="shared" si="40"/>
        <v>3.5145071003295648E-2</v>
      </c>
      <c r="F377" s="277">
        <v>3190000</v>
      </c>
      <c r="G377" s="47">
        <f t="shared" si="41"/>
        <v>6.3369090186730231E-2</v>
      </c>
      <c r="H377" s="63">
        <v>2.0299999999999999E-2</v>
      </c>
      <c r="I377" s="280">
        <v>1</v>
      </c>
      <c r="J377" s="281">
        <f t="shared" si="42"/>
        <v>4.0303035135513185E-2</v>
      </c>
    </row>
    <row r="378" spans="1:11">
      <c r="A378" s="33">
        <v>38108</v>
      </c>
      <c r="B378" s="277">
        <v>1914093</v>
      </c>
      <c r="C378" s="277">
        <v>177918</v>
      </c>
      <c r="D378" s="277">
        <v>47210000</v>
      </c>
      <c r="E378" s="47">
        <f t="shared" si="40"/>
        <v>3.5471106782092782E-2</v>
      </c>
      <c r="F378" s="277">
        <v>3100000</v>
      </c>
      <c r="G378" s="47">
        <f t="shared" si="41"/>
        <v>6.1617968594712781E-2</v>
      </c>
      <c r="H378" s="63">
        <v>2.0299999999999999E-2</v>
      </c>
      <c r="I378" s="280">
        <v>1</v>
      </c>
      <c r="J378" s="281">
        <f t="shared" si="42"/>
        <v>4.0303035135513185E-2</v>
      </c>
    </row>
    <row r="379" spans="1:11">
      <c r="A379" s="33">
        <v>38139</v>
      </c>
      <c r="B379" s="277">
        <v>1941397</v>
      </c>
      <c r="C379" s="277">
        <v>176927</v>
      </c>
      <c r="D379" s="277">
        <v>47030000</v>
      </c>
      <c r="E379" s="47">
        <f t="shared" si="40"/>
        <v>3.6161269914398088E-2</v>
      </c>
      <c r="F379" s="277">
        <v>3120000</v>
      </c>
      <c r="G379" s="47">
        <f t="shared" si="41"/>
        <v>6.2213359920239283E-2</v>
      </c>
      <c r="H379" s="63">
        <v>1.9699999999999999E-2</v>
      </c>
      <c r="I379" s="280">
        <v>1</v>
      </c>
      <c r="J379" s="281">
        <f t="shared" si="42"/>
        <v>3.9141080110469899E-2</v>
      </c>
    </row>
    <row r="380" spans="1:11">
      <c r="A380" s="33">
        <v>38169</v>
      </c>
      <c r="B380" s="277">
        <v>1956756</v>
      </c>
      <c r="C380" s="277">
        <v>178317</v>
      </c>
      <c r="D380" s="277">
        <v>47130000</v>
      </c>
      <c r="E380" s="47">
        <f t="shared" si="40"/>
        <v>3.6362620364964009E-2</v>
      </c>
      <c r="F380" s="277">
        <v>3240000</v>
      </c>
      <c r="G380" s="47">
        <f t="shared" si="41"/>
        <v>6.432400238237046E-2</v>
      </c>
      <c r="H380" s="63">
        <v>1.8100000000000002E-2</v>
      </c>
      <c r="I380" s="280">
        <v>1</v>
      </c>
      <c r="J380" s="281">
        <f t="shared" si="42"/>
        <v>3.6038139277928129E-2</v>
      </c>
    </row>
    <row r="381" spans="1:11">
      <c r="A381" s="33">
        <v>38200</v>
      </c>
      <c r="B381" s="277">
        <v>1977315</v>
      </c>
      <c r="C381" s="277">
        <v>179847</v>
      </c>
      <c r="D381" s="277">
        <v>47300000</v>
      </c>
      <c r="E381" s="47">
        <f t="shared" si="40"/>
        <v>3.6610197495316868E-2</v>
      </c>
      <c r="F381" s="277">
        <v>3190000</v>
      </c>
      <c r="G381" s="47">
        <f t="shared" si="41"/>
        <v>6.3180827886710242E-2</v>
      </c>
      <c r="H381" s="63">
        <v>1.9299999999999998E-2</v>
      </c>
      <c r="I381" s="280">
        <v>1</v>
      </c>
      <c r="J381" s="281">
        <f t="shared" si="42"/>
        <v>3.8365954691367748E-2</v>
      </c>
    </row>
    <row r="382" spans="1:11">
      <c r="A382" s="33">
        <v>38231</v>
      </c>
      <c r="B382" s="277">
        <v>1994226</v>
      </c>
      <c r="C382" s="277">
        <v>178321</v>
      </c>
      <c r="D382" s="277">
        <v>47110000</v>
      </c>
      <c r="E382" s="47">
        <f t="shared" si="40"/>
        <v>3.7115409515674776E-2</v>
      </c>
      <c r="F382" s="277">
        <v>3060000</v>
      </c>
      <c r="G382" s="47">
        <f t="shared" si="41"/>
        <v>6.0992625074745864E-2</v>
      </c>
      <c r="H382" s="63">
        <v>1.9299999999999998E-2</v>
      </c>
      <c r="I382" s="280">
        <v>1</v>
      </c>
      <c r="J382" s="281">
        <f t="shared" si="42"/>
        <v>3.8365954691367748E-2</v>
      </c>
    </row>
    <row r="383" spans="1:11">
      <c r="A383" s="33">
        <v>38261</v>
      </c>
      <c r="B383" s="277">
        <v>2024127</v>
      </c>
      <c r="C383" s="277">
        <v>175097</v>
      </c>
      <c r="D383" s="277">
        <v>47190000</v>
      </c>
      <c r="E383" s="47">
        <f t="shared" si="40"/>
        <v>3.7705272718485665E-2</v>
      </c>
      <c r="F383" s="277">
        <v>3040000</v>
      </c>
      <c r="G383" s="47">
        <f t="shared" si="41"/>
        <v>6.0521600637069482E-2</v>
      </c>
      <c r="H383" s="63">
        <v>0.02</v>
      </c>
      <c r="I383" s="280">
        <v>1</v>
      </c>
      <c r="J383" s="281">
        <f t="shared" si="42"/>
        <v>3.9722166265873868E-2</v>
      </c>
    </row>
    <row r="384" spans="1:11">
      <c r="A384" s="33">
        <v>38292</v>
      </c>
      <c r="B384" s="277">
        <v>2086059</v>
      </c>
      <c r="C384" s="277">
        <v>177898</v>
      </c>
      <c r="D384" s="277">
        <v>47290000</v>
      </c>
      <c r="E384" s="47">
        <f t="shared" si="40"/>
        <v>3.8785209878068411E-2</v>
      </c>
      <c r="F384" s="277">
        <v>2980000</v>
      </c>
      <c r="G384" s="47">
        <f t="shared" si="41"/>
        <v>5.9279888601551624E-2</v>
      </c>
      <c r="H384" s="63">
        <v>1.9199999999999998E-2</v>
      </c>
      <c r="I384" s="280">
        <v>1</v>
      </c>
      <c r="J384" s="281">
        <f t="shared" si="42"/>
        <v>3.8172111065872608E-2</v>
      </c>
    </row>
    <row r="385" spans="1:11">
      <c r="A385" s="33">
        <v>38322</v>
      </c>
      <c r="B385" s="277">
        <v>2110285</v>
      </c>
      <c r="C385" s="277">
        <v>179515</v>
      </c>
      <c r="D385" s="277">
        <v>47320000</v>
      </c>
      <c r="E385" s="47">
        <f t="shared" si="40"/>
        <v>3.9202838859169108E-2</v>
      </c>
      <c r="F385" s="277">
        <v>2960000</v>
      </c>
      <c r="G385" s="47">
        <f t="shared" si="41"/>
        <v>5.88703261734288E-2</v>
      </c>
      <c r="H385" s="63">
        <v>1.9199999999999998E-2</v>
      </c>
      <c r="I385" s="280">
        <v>1</v>
      </c>
      <c r="J385" s="281">
        <f t="shared" si="42"/>
        <v>3.8172111065872608E-2</v>
      </c>
      <c r="K385" s="282">
        <f t="shared" ref="K385" si="48">AVERAGE(J374:J385)</f>
        <v>3.7926873385121108E-2</v>
      </c>
    </row>
    <row r="386" spans="1:11">
      <c r="A386" s="33">
        <v>38353</v>
      </c>
      <c r="B386" s="277">
        <v>2094093</v>
      </c>
      <c r="C386" s="277">
        <v>176207</v>
      </c>
      <c r="D386" s="277">
        <v>47180000</v>
      </c>
      <c r="E386" s="47">
        <f t="shared" si="40"/>
        <v>3.9062496499340113E-2</v>
      </c>
      <c r="F386" s="277">
        <v>2970000</v>
      </c>
      <c r="G386" s="47">
        <f t="shared" si="41"/>
        <v>5.922233300099701E-2</v>
      </c>
      <c r="H386" s="63">
        <v>1.95E-2</v>
      </c>
      <c r="I386" s="280">
        <v>1</v>
      </c>
      <c r="J386" s="281">
        <f t="shared" si="42"/>
        <v>3.8753566954983894E-2</v>
      </c>
    </row>
    <row r="387" spans="1:11">
      <c r="A387" s="33">
        <v>38384</v>
      </c>
      <c r="B387" s="277">
        <v>2081978</v>
      </c>
      <c r="C387" s="277">
        <v>172773</v>
      </c>
      <c r="D387" s="277">
        <v>46920000</v>
      </c>
      <c r="E387" s="47">
        <f t="shared" ref="E387:E450" si="49">(B387-C387)/(B387-C387+D387)</f>
        <v>3.9099653578222295E-2</v>
      </c>
      <c r="F387" s="277">
        <v>3060000</v>
      </c>
      <c r="G387" s="47">
        <f t="shared" ref="G387:G450" si="50">F387/(D387+F387)</f>
        <v>6.1224489795918366E-2</v>
      </c>
      <c r="H387" s="63">
        <v>1.9400000000000001E-2</v>
      </c>
      <c r="I387" s="280">
        <v>1</v>
      </c>
      <c r="J387" s="281">
        <f t="shared" ref="J387:J450" si="51">EXP((0.036225+LOG(H387,EXP(1))*0.056981+I387*-0.001826)/(1+0.035334-0.976896))</f>
        <v>3.8559773276977412E-2</v>
      </c>
    </row>
    <row r="388" spans="1:11">
      <c r="A388" s="33">
        <v>38412</v>
      </c>
      <c r="B388" s="277">
        <v>2115381</v>
      </c>
      <c r="C388" s="277">
        <v>175920</v>
      </c>
      <c r="D388" s="277">
        <v>47220000</v>
      </c>
      <c r="E388" s="47">
        <f t="shared" si="49"/>
        <v>3.9452446396839057E-2</v>
      </c>
      <c r="F388" s="277">
        <v>2980000</v>
      </c>
      <c r="G388" s="47">
        <f t="shared" si="50"/>
        <v>5.9362549800796811E-2</v>
      </c>
      <c r="H388" s="63">
        <v>1.95E-2</v>
      </c>
      <c r="I388" s="280">
        <v>1</v>
      </c>
      <c r="J388" s="281">
        <f t="shared" si="51"/>
        <v>3.8753566954983894E-2</v>
      </c>
    </row>
    <row r="389" spans="1:11">
      <c r="A389" s="33">
        <v>38443</v>
      </c>
      <c r="B389" s="277">
        <v>2147268</v>
      </c>
      <c r="C389" s="277">
        <v>178427</v>
      </c>
      <c r="D389" s="277">
        <v>47470000</v>
      </c>
      <c r="E389" s="47">
        <f t="shared" si="49"/>
        <v>3.9823769331485744E-2</v>
      </c>
      <c r="F389" s="277">
        <v>2970000</v>
      </c>
      <c r="G389" s="47">
        <f t="shared" si="50"/>
        <v>5.888183980967486E-2</v>
      </c>
      <c r="H389" s="63">
        <v>2.0199999999999999E-2</v>
      </c>
      <c r="I389" s="280">
        <v>1</v>
      </c>
      <c r="J389" s="281">
        <f t="shared" si="51"/>
        <v>4.0109436116654289E-2</v>
      </c>
    </row>
    <row r="390" spans="1:11">
      <c r="A390" s="33">
        <v>38473</v>
      </c>
      <c r="B390" s="277">
        <v>2169837</v>
      </c>
      <c r="C390" s="277">
        <v>178673</v>
      </c>
      <c r="D390" s="277">
        <v>47620000</v>
      </c>
      <c r="E390" s="47">
        <f t="shared" si="49"/>
        <v>4.0135401781744122E-2</v>
      </c>
      <c r="F390" s="277">
        <v>3000000</v>
      </c>
      <c r="G390" s="47">
        <f t="shared" si="50"/>
        <v>5.9265112603713949E-2</v>
      </c>
      <c r="H390" s="63">
        <v>1.83E-2</v>
      </c>
      <c r="I390" s="280">
        <v>1</v>
      </c>
      <c r="J390" s="281">
        <f t="shared" si="51"/>
        <v>3.6426369106405301E-2</v>
      </c>
    </row>
    <row r="391" spans="1:11">
      <c r="A391" s="33">
        <v>38504</v>
      </c>
      <c r="B391" s="277">
        <v>2176190</v>
      </c>
      <c r="C391" s="277">
        <v>178758</v>
      </c>
      <c r="D391" s="277">
        <v>47660000</v>
      </c>
      <c r="E391" s="47">
        <f t="shared" si="49"/>
        <v>4.0224230685146987E-2</v>
      </c>
      <c r="F391" s="277">
        <v>2840000</v>
      </c>
      <c r="G391" s="47">
        <f t="shared" si="50"/>
        <v>5.6237623762376239E-2</v>
      </c>
      <c r="H391" s="63">
        <v>1.9199999999999998E-2</v>
      </c>
      <c r="I391" s="280">
        <v>1</v>
      </c>
      <c r="J391" s="281">
        <f t="shared" si="51"/>
        <v>3.8172111065872608E-2</v>
      </c>
    </row>
    <row r="392" spans="1:11">
      <c r="A392" s="33">
        <v>38534</v>
      </c>
      <c r="B392" s="277">
        <v>2177460</v>
      </c>
      <c r="C392" s="277">
        <v>178056</v>
      </c>
      <c r="D392" s="277">
        <v>47710000</v>
      </c>
      <c r="E392" s="47">
        <f t="shared" si="49"/>
        <v>4.0221846152088243E-2</v>
      </c>
      <c r="F392" s="277">
        <v>2950000</v>
      </c>
      <c r="G392" s="47">
        <f t="shared" si="50"/>
        <v>5.8231346229767077E-2</v>
      </c>
      <c r="H392" s="63">
        <v>0.02</v>
      </c>
      <c r="I392" s="280">
        <v>1</v>
      </c>
      <c r="J392" s="281">
        <f t="shared" si="51"/>
        <v>3.9722166265873868E-2</v>
      </c>
    </row>
    <row r="393" spans="1:11">
      <c r="A393" s="33">
        <v>38565</v>
      </c>
      <c r="B393" s="277">
        <v>2184931</v>
      </c>
      <c r="C393" s="277">
        <v>178574</v>
      </c>
      <c r="D393" s="277">
        <v>47750000</v>
      </c>
      <c r="E393" s="47">
        <f t="shared" si="49"/>
        <v>4.0323631410555241E-2</v>
      </c>
      <c r="F393" s="277">
        <v>2870000</v>
      </c>
      <c r="G393" s="47">
        <f t="shared" si="50"/>
        <v>5.6696957724219676E-2</v>
      </c>
      <c r="H393" s="63">
        <v>1.9400000000000001E-2</v>
      </c>
      <c r="I393" s="280">
        <v>1</v>
      </c>
      <c r="J393" s="281">
        <f t="shared" si="51"/>
        <v>3.8559773276977412E-2</v>
      </c>
    </row>
    <row r="394" spans="1:11">
      <c r="A394" s="33">
        <v>38596</v>
      </c>
      <c r="B394" s="277">
        <v>2172213</v>
      </c>
      <c r="C394" s="277">
        <v>175403</v>
      </c>
      <c r="D394" s="277">
        <v>48170000</v>
      </c>
      <c r="E394" s="47">
        <f t="shared" si="49"/>
        <v>3.9803407870661896E-2</v>
      </c>
      <c r="F394" s="277">
        <v>2810000</v>
      </c>
      <c r="G394" s="47">
        <f t="shared" si="50"/>
        <v>5.5119654766575127E-2</v>
      </c>
      <c r="H394" s="63">
        <v>1.9900000000000001E-2</v>
      </c>
      <c r="I394" s="280">
        <v>1</v>
      </c>
      <c r="J394" s="281">
        <f t="shared" si="51"/>
        <v>3.952849518899109E-2</v>
      </c>
    </row>
    <row r="395" spans="1:11">
      <c r="A395" s="33">
        <v>38626</v>
      </c>
      <c r="B395" s="277">
        <v>2202128</v>
      </c>
      <c r="C395" s="277">
        <v>177312</v>
      </c>
      <c r="D395" s="277">
        <v>48130000</v>
      </c>
      <c r="E395" s="47">
        <f t="shared" si="49"/>
        <v>4.0371317482253352E-2</v>
      </c>
      <c r="F395" s="277">
        <v>2950000</v>
      </c>
      <c r="G395" s="47">
        <f t="shared" si="50"/>
        <v>5.7752545027407988E-2</v>
      </c>
      <c r="H395" s="63">
        <v>1.9E-2</v>
      </c>
      <c r="I395" s="280">
        <v>1</v>
      </c>
      <c r="J395" s="281">
        <f t="shared" si="51"/>
        <v>3.7784348159098369E-2</v>
      </c>
    </row>
    <row r="396" spans="1:11">
      <c r="A396" s="33">
        <v>38657</v>
      </c>
      <c r="B396" s="277">
        <v>2211903</v>
      </c>
      <c r="C396" s="277">
        <v>177818</v>
      </c>
      <c r="D396" s="277">
        <v>47820000</v>
      </c>
      <c r="E396" s="47">
        <f t="shared" si="49"/>
        <v>4.0800768883833695E-2</v>
      </c>
      <c r="F396" s="277">
        <v>3010000</v>
      </c>
      <c r="G396" s="47">
        <f t="shared" si="50"/>
        <v>5.9216997835923664E-2</v>
      </c>
      <c r="H396" s="63">
        <v>2.0199999999999999E-2</v>
      </c>
      <c r="I396" s="280">
        <v>1</v>
      </c>
      <c r="J396" s="281">
        <f t="shared" si="51"/>
        <v>4.0109436116654289E-2</v>
      </c>
    </row>
    <row r="397" spans="1:11">
      <c r="A397" s="33">
        <v>38687</v>
      </c>
      <c r="B397" s="277">
        <v>2232602</v>
      </c>
      <c r="C397" s="277">
        <v>173123</v>
      </c>
      <c r="D397" s="277">
        <v>48130000</v>
      </c>
      <c r="E397" s="47">
        <f t="shared" si="49"/>
        <v>4.1034078078395674E-2</v>
      </c>
      <c r="F397" s="277">
        <v>2910000</v>
      </c>
      <c r="G397" s="47">
        <f t="shared" si="50"/>
        <v>5.7014106583072099E-2</v>
      </c>
      <c r="H397" s="63">
        <v>1.9400000000000001E-2</v>
      </c>
      <c r="I397" s="280">
        <v>1</v>
      </c>
      <c r="J397" s="281">
        <f t="shared" si="51"/>
        <v>3.8559773276977412E-2</v>
      </c>
      <c r="K397" s="282">
        <f t="shared" ref="K397" si="52">AVERAGE(J386:J397)</f>
        <v>3.8753234646704153E-2</v>
      </c>
    </row>
    <row r="398" spans="1:11">
      <c r="A398" s="33">
        <v>38718</v>
      </c>
      <c r="B398" s="277">
        <v>2245747</v>
      </c>
      <c r="C398" s="277">
        <v>174108</v>
      </c>
      <c r="D398" s="277">
        <v>48210000</v>
      </c>
      <c r="E398" s="47">
        <f t="shared" si="49"/>
        <v>4.1200705490129309E-2</v>
      </c>
      <c r="F398" s="277">
        <v>2940000</v>
      </c>
      <c r="G398" s="47">
        <f t="shared" si="50"/>
        <v>5.7478005865102641E-2</v>
      </c>
      <c r="H398" s="63">
        <v>1.9400000000000001E-2</v>
      </c>
      <c r="I398" s="280">
        <v>1</v>
      </c>
      <c r="J398" s="281">
        <f t="shared" si="51"/>
        <v>3.8559773276977412E-2</v>
      </c>
    </row>
    <row r="399" spans="1:11">
      <c r="A399" s="33">
        <v>38749</v>
      </c>
      <c r="B399" s="277">
        <v>2266931</v>
      </c>
      <c r="C399" s="277">
        <v>175993</v>
      </c>
      <c r="D399" s="277">
        <v>48490000</v>
      </c>
      <c r="E399" s="47">
        <f t="shared" si="49"/>
        <v>4.1338458373389599E-2</v>
      </c>
      <c r="F399" s="277">
        <v>2740000</v>
      </c>
      <c r="G399" s="47">
        <f t="shared" si="50"/>
        <v>5.3484286550849115E-2</v>
      </c>
      <c r="H399" s="63">
        <v>1.9E-2</v>
      </c>
      <c r="I399" s="280">
        <v>1</v>
      </c>
      <c r="J399" s="281">
        <f t="shared" si="51"/>
        <v>3.7784348159098369E-2</v>
      </c>
    </row>
    <row r="400" spans="1:11">
      <c r="A400" s="33">
        <v>38777</v>
      </c>
      <c r="B400" s="277">
        <v>2295562</v>
      </c>
      <c r="C400" s="277">
        <v>179647</v>
      </c>
      <c r="D400" s="277">
        <v>48480000</v>
      </c>
      <c r="E400" s="47">
        <f t="shared" si="49"/>
        <v>4.1819878146289083E-2</v>
      </c>
      <c r="F400" s="277">
        <v>2750000</v>
      </c>
      <c r="G400" s="47">
        <f t="shared" si="50"/>
        <v>5.3679484676947102E-2</v>
      </c>
      <c r="H400" s="63">
        <v>1.84E-2</v>
      </c>
      <c r="I400" s="280">
        <v>1</v>
      </c>
      <c r="J400" s="281">
        <f t="shared" si="51"/>
        <v>3.6620444281301193E-2</v>
      </c>
    </row>
    <row r="401" spans="1:11">
      <c r="A401" s="33">
        <v>38808</v>
      </c>
      <c r="B401" s="277">
        <v>2300986</v>
      </c>
      <c r="C401" s="277">
        <v>179083</v>
      </c>
      <c r="D401" s="277">
        <v>48450000</v>
      </c>
      <c r="E401" s="47">
        <f t="shared" si="49"/>
        <v>4.1958140274056921E-2</v>
      </c>
      <c r="F401" s="277">
        <v>2720000</v>
      </c>
      <c r="G401" s="47">
        <f t="shared" si="50"/>
        <v>5.3156146179401995E-2</v>
      </c>
      <c r="H401" s="63">
        <v>1.9199999999999998E-2</v>
      </c>
      <c r="I401" s="280">
        <v>1</v>
      </c>
      <c r="J401" s="281">
        <f t="shared" si="51"/>
        <v>3.8172111065872608E-2</v>
      </c>
    </row>
    <row r="402" spans="1:11">
      <c r="A402" s="33">
        <v>38838</v>
      </c>
      <c r="B402" s="277">
        <v>2303655</v>
      </c>
      <c r="C402" s="277">
        <v>177070</v>
      </c>
      <c r="D402" s="277">
        <v>48590000</v>
      </c>
      <c r="E402" s="47">
        <f t="shared" si="49"/>
        <v>4.1930760913811524E-2</v>
      </c>
      <c r="F402" s="277">
        <v>2710000</v>
      </c>
      <c r="G402" s="47">
        <f t="shared" si="50"/>
        <v>5.2826510721247562E-2</v>
      </c>
      <c r="H402" s="63">
        <v>1.9199999999999998E-2</v>
      </c>
      <c r="I402" s="280">
        <v>1</v>
      </c>
      <c r="J402" s="281">
        <f t="shared" si="51"/>
        <v>3.8172111065872608E-2</v>
      </c>
    </row>
    <row r="403" spans="1:11">
      <c r="A403" s="33">
        <v>38869</v>
      </c>
      <c r="B403" s="277">
        <v>2305454</v>
      </c>
      <c r="C403" s="277">
        <v>177936</v>
      </c>
      <c r="D403" s="277">
        <v>48600000</v>
      </c>
      <c r="E403" s="47">
        <f t="shared" si="49"/>
        <v>4.1940116210692588E-2</v>
      </c>
      <c r="F403" s="277">
        <v>2830000</v>
      </c>
      <c r="G403" s="47">
        <f t="shared" si="50"/>
        <v>5.5026249270853589E-2</v>
      </c>
      <c r="H403" s="63">
        <v>1.89E-2</v>
      </c>
      <c r="I403" s="280">
        <v>1</v>
      </c>
      <c r="J403" s="281">
        <f t="shared" si="51"/>
        <v>3.7590428606189656E-2</v>
      </c>
    </row>
    <row r="404" spans="1:11">
      <c r="A404" s="33">
        <v>38899</v>
      </c>
      <c r="B404" s="277">
        <v>2325930</v>
      </c>
      <c r="C404" s="277">
        <v>177234</v>
      </c>
      <c r="D404" s="277">
        <v>48700000</v>
      </c>
      <c r="E404" s="47">
        <f t="shared" si="49"/>
        <v>4.2256658853159185E-2</v>
      </c>
      <c r="F404" s="277">
        <v>2750000</v>
      </c>
      <c r="G404" s="47">
        <f t="shared" si="50"/>
        <v>5.3449951409135082E-2</v>
      </c>
      <c r="H404" s="63">
        <v>1.9099999999999999E-2</v>
      </c>
      <c r="I404" s="280">
        <v>1</v>
      </c>
      <c r="J404" s="281">
        <f t="shared" si="51"/>
        <v>3.7978242266814427E-2</v>
      </c>
    </row>
    <row r="405" spans="1:11">
      <c r="A405" s="33">
        <v>38930</v>
      </c>
      <c r="B405" s="277">
        <v>2307396</v>
      </c>
      <c r="C405" s="277">
        <v>176745</v>
      </c>
      <c r="D405" s="277">
        <v>48750000</v>
      </c>
      <c r="E405" s="47">
        <f t="shared" si="49"/>
        <v>4.1875466569796835E-2</v>
      </c>
      <c r="F405" s="277">
        <v>2730000</v>
      </c>
      <c r="G405" s="47">
        <f t="shared" si="50"/>
        <v>5.3030303030303032E-2</v>
      </c>
      <c r="H405" s="63">
        <v>1.8700000000000001E-2</v>
      </c>
      <c r="I405" s="280">
        <v>1</v>
      </c>
      <c r="J405" s="281">
        <f t="shared" si="51"/>
        <v>3.7202512611316969E-2</v>
      </c>
    </row>
    <row r="406" spans="1:11">
      <c r="A406" s="33">
        <v>38961</v>
      </c>
      <c r="B406" s="277">
        <v>2298455</v>
      </c>
      <c r="C406" s="277">
        <v>175831</v>
      </c>
      <c r="D406" s="277">
        <v>48780000</v>
      </c>
      <c r="E406" s="47">
        <f t="shared" si="49"/>
        <v>4.1699697052945642E-2</v>
      </c>
      <c r="F406" s="277">
        <v>2740000</v>
      </c>
      <c r="G406" s="47">
        <f t="shared" si="50"/>
        <v>5.31832298136646E-2</v>
      </c>
      <c r="H406" s="63">
        <v>1.9E-2</v>
      </c>
      <c r="I406" s="280">
        <v>1</v>
      </c>
      <c r="J406" s="281">
        <f t="shared" si="51"/>
        <v>3.7784348159098369E-2</v>
      </c>
    </row>
    <row r="407" spans="1:11">
      <c r="A407" s="33">
        <v>38991</v>
      </c>
      <c r="B407" s="277">
        <v>2272303</v>
      </c>
      <c r="C407" s="277">
        <v>173470</v>
      </c>
      <c r="D407" s="277">
        <v>48490000</v>
      </c>
      <c r="E407" s="47">
        <f t="shared" si="49"/>
        <v>4.1488069115964782E-2</v>
      </c>
      <c r="F407" s="277">
        <v>2730000</v>
      </c>
      <c r="G407" s="47">
        <f t="shared" si="50"/>
        <v>5.3299492385786802E-2</v>
      </c>
      <c r="H407" s="63">
        <v>1.9900000000000001E-2</v>
      </c>
      <c r="I407" s="280">
        <v>1</v>
      </c>
      <c r="J407" s="281">
        <f t="shared" si="51"/>
        <v>3.952849518899109E-2</v>
      </c>
    </row>
    <row r="408" spans="1:11">
      <c r="A408" s="33">
        <v>39022</v>
      </c>
      <c r="B408" s="277">
        <v>2272720</v>
      </c>
      <c r="C408" s="277">
        <v>173189</v>
      </c>
      <c r="D408" s="277">
        <v>48590000</v>
      </c>
      <c r="E408" s="47">
        <f t="shared" si="49"/>
        <v>4.1419420511111062E-2</v>
      </c>
      <c r="F408" s="277">
        <v>2670000</v>
      </c>
      <c r="G408" s="47">
        <f t="shared" si="50"/>
        <v>5.2087397580959816E-2</v>
      </c>
      <c r="H408" s="63">
        <v>2.0099999999999996E-2</v>
      </c>
      <c r="I408" s="280">
        <v>1</v>
      </c>
      <c r="J408" s="281">
        <f t="shared" si="51"/>
        <v>3.9915813200729081E-2</v>
      </c>
    </row>
    <row r="409" spans="1:11">
      <c r="A409" s="33">
        <v>39052</v>
      </c>
      <c r="B409" s="277">
        <v>2257131</v>
      </c>
      <c r="C409" s="277">
        <v>172080</v>
      </c>
      <c r="D409" s="277">
        <v>48600000</v>
      </c>
      <c r="E409" s="47">
        <f t="shared" si="49"/>
        <v>4.1137395718512743E-2</v>
      </c>
      <c r="F409" s="277">
        <v>2660000</v>
      </c>
      <c r="G409" s="47">
        <f t="shared" si="50"/>
        <v>5.1892313694888802E-2</v>
      </c>
      <c r="H409" s="63">
        <v>1.8700000000000001E-2</v>
      </c>
      <c r="I409" s="280">
        <v>1</v>
      </c>
      <c r="J409" s="281">
        <f t="shared" si="51"/>
        <v>3.7202512611316969E-2</v>
      </c>
      <c r="K409" s="282">
        <f t="shared" ref="K409" si="53">AVERAGE(J398:J409)</f>
        <v>3.8042595041131562E-2</v>
      </c>
    </row>
    <row r="410" spans="1:11">
      <c r="A410" s="33">
        <v>39083</v>
      </c>
      <c r="B410" s="277">
        <v>2252231</v>
      </c>
      <c r="C410" s="277">
        <v>174333</v>
      </c>
      <c r="D410" s="277">
        <v>48750000</v>
      </c>
      <c r="E410" s="47">
        <f t="shared" si="49"/>
        <v>4.0881053157067401E-2</v>
      </c>
      <c r="F410" s="277">
        <v>2670000</v>
      </c>
      <c r="G410" s="47">
        <f t="shared" si="50"/>
        <v>5.1925320886814466E-2</v>
      </c>
      <c r="H410" s="63">
        <v>1.5900000000000001E-2</v>
      </c>
      <c r="I410" s="280">
        <v>1</v>
      </c>
      <c r="J410" s="281">
        <f t="shared" si="51"/>
        <v>3.1760266714674884E-2</v>
      </c>
    </row>
    <row r="411" spans="1:11">
      <c r="A411" s="33">
        <v>39114</v>
      </c>
      <c r="B411" s="277">
        <v>2240034</v>
      </c>
      <c r="C411" s="277">
        <v>179340</v>
      </c>
      <c r="D411" s="277">
        <v>49080000</v>
      </c>
      <c r="E411" s="47">
        <f t="shared" si="49"/>
        <v>4.0294603745502554E-2</v>
      </c>
      <c r="F411" s="277">
        <v>2680000</v>
      </c>
      <c r="G411" s="47">
        <f t="shared" si="50"/>
        <v>5.1777434312210199E-2</v>
      </c>
      <c r="H411" s="63">
        <v>2.0400000000000001E-2</v>
      </c>
      <c r="I411" s="280">
        <v>1</v>
      </c>
      <c r="J411" s="281">
        <f t="shared" si="51"/>
        <v>4.0496610377953914E-2</v>
      </c>
    </row>
    <row r="412" spans="1:11">
      <c r="A412" s="33">
        <v>39142</v>
      </c>
      <c r="B412" s="277">
        <v>2232815</v>
      </c>
      <c r="C412" s="277">
        <v>174975</v>
      </c>
      <c r="D412" s="277">
        <v>49100000</v>
      </c>
      <c r="E412" s="47">
        <f t="shared" si="49"/>
        <v>4.0225310529138837E-2</v>
      </c>
      <c r="F412" s="277">
        <v>2680000</v>
      </c>
      <c r="G412" s="47">
        <f t="shared" si="50"/>
        <v>5.1757435303205868E-2</v>
      </c>
      <c r="H412" s="63">
        <v>1.9199999999999998E-2</v>
      </c>
      <c r="I412" s="280">
        <v>1</v>
      </c>
      <c r="J412" s="281">
        <f t="shared" si="51"/>
        <v>3.8172111065872608E-2</v>
      </c>
    </row>
    <row r="413" spans="1:11">
      <c r="A413" s="33">
        <v>39173</v>
      </c>
      <c r="B413" s="277">
        <v>2237602</v>
      </c>
      <c r="C413" s="277">
        <v>175122</v>
      </c>
      <c r="D413" s="277">
        <v>49180000</v>
      </c>
      <c r="E413" s="47">
        <f t="shared" si="49"/>
        <v>4.0249418060952551E-2</v>
      </c>
      <c r="F413" s="277">
        <v>2570000</v>
      </c>
      <c r="G413" s="47">
        <f t="shared" si="50"/>
        <v>4.9661835748792273E-2</v>
      </c>
      <c r="H413" s="63">
        <v>1.8500000000000003E-2</v>
      </c>
      <c r="I413" s="280">
        <v>1</v>
      </c>
      <c r="J413" s="281">
        <f t="shared" si="51"/>
        <v>3.6814493160232165E-2</v>
      </c>
    </row>
    <row r="414" spans="1:11">
      <c r="A414" s="33">
        <v>39203</v>
      </c>
      <c r="B414" s="277">
        <v>2232406</v>
      </c>
      <c r="C414" s="277">
        <v>175002</v>
      </c>
      <c r="D414" s="277">
        <v>49020000</v>
      </c>
      <c r="E414" s="47">
        <f t="shared" si="49"/>
        <v>4.0280120735971627E-2</v>
      </c>
      <c r="F414" s="277">
        <v>2530000</v>
      </c>
      <c r="G414" s="47">
        <f t="shared" si="50"/>
        <v>4.9078564500484964E-2</v>
      </c>
      <c r="H414" s="63">
        <v>1.8500000000000003E-2</v>
      </c>
      <c r="I414" s="280">
        <v>1</v>
      </c>
      <c r="J414" s="281">
        <f t="shared" si="51"/>
        <v>3.6814493160232165E-2</v>
      </c>
    </row>
    <row r="415" spans="1:11">
      <c r="A415" s="33">
        <v>39234</v>
      </c>
      <c r="B415" s="277">
        <v>2227944</v>
      </c>
      <c r="C415" s="277">
        <v>170512</v>
      </c>
      <c r="D415" s="277">
        <v>49000000</v>
      </c>
      <c r="E415" s="47">
        <f t="shared" si="49"/>
        <v>4.0296425405805761E-2</v>
      </c>
      <c r="F415" s="277">
        <v>2440000</v>
      </c>
      <c r="G415" s="47">
        <f t="shared" si="50"/>
        <v>4.7433903576982892E-2</v>
      </c>
      <c r="H415" s="63">
        <v>1.9099999999999999E-2</v>
      </c>
      <c r="I415" s="280">
        <v>1</v>
      </c>
      <c r="J415" s="281">
        <f t="shared" si="51"/>
        <v>3.7978242266814427E-2</v>
      </c>
    </row>
    <row r="416" spans="1:11">
      <c r="A416" s="33">
        <v>39264</v>
      </c>
      <c r="B416" s="277">
        <v>2206764</v>
      </c>
      <c r="C416" s="277">
        <v>167273</v>
      </c>
      <c r="D416" s="277">
        <v>48980000</v>
      </c>
      <c r="E416" s="47">
        <f t="shared" si="49"/>
        <v>3.9974742201955717E-2</v>
      </c>
      <c r="F416" s="277">
        <v>2400000</v>
      </c>
      <c r="G416" s="47">
        <f t="shared" si="50"/>
        <v>4.6710782405605292E-2</v>
      </c>
      <c r="H416" s="63">
        <v>1.8600000000000002E-2</v>
      </c>
      <c r="I416" s="280">
        <v>1</v>
      </c>
      <c r="J416" s="281">
        <f t="shared" si="51"/>
        <v>3.7008515888874084E-2</v>
      </c>
    </row>
    <row r="417" spans="1:11">
      <c r="A417" s="33">
        <v>39295</v>
      </c>
      <c r="B417" s="277">
        <v>2179180</v>
      </c>
      <c r="C417" s="277">
        <v>166523</v>
      </c>
      <c r="D417" s="277">
        <v>49160000</v>
      </c>
      <c r="E417" s="47">
        <f t="shared" si="49"/>
        <v>3.933071132108696E-2</v>
      </c>
      <c r="F417" s="277">
        <v>2480000</v>
      </c>
      <c r="G417" s="47">
        <f t="shared" si="50"/>
        <v>4.8024786986831915E-2</v>
      </c>
      <c r="H417" s="63">
        <v>1.8500000000000003E-2</v>
      </c>
      <c r="I417" s="280">
        <v>1</v>
      </c>
      <c r="J417" s="281">
        <f t="shared" si="51"/>
        <v>3.6814493160232165E-2</v>
      </c>
    </row>
    <row r="418" spans="1:11">
      <c r="A418" s="33">
        <v>39326</v>
      </c>
      <c r="B418" s="277">
        <v>2144207</v>
      </c>
      <c r="C418" s="277">
        <v>166442</v>
      </c>
      <c r="D418" s="277">
        <v>48830000</v>
      </c>
      <c r="E418" s="47">
        <f t="shared" si="49"/>
        <v>3.8926431816081658E-2</v>
      </c>
      <c r="F418" s="277">
        <v>2620000</v>
      </c>
      <c r="G418" s="47">
        <f t="shared" si="50"/>
        <v>5.0923226433430516E-2</v>
      </c>
      <c r="H418" s="63">
        <v>1.9400000000000001E-2</v>
      </c>
      <c r="I418" s="280">
        <v>1</v>
      </c>
      <c r="J418" s="281">
        <f t="shared" si="51"/>
        <v>3.8559773276977412E-2</v>
      </c>
    </row>
    <row r="419" spans="1:11">
      <c r="A419" s="33">
        <v>39356</v>
      </c>
      <c r="B419" s="277">
        <v>2098918</v>
      </c>
      <c r="C419" s="277">
        <v>164759</v>
      </c>
      <c r="D419" s="277">
        <v>49370000</v>
      </c>
      <c r="E419" s="47">
        <f t="shared" si="49"/>
        <v>3.7699848076644234E-2</v>
      </c>
      <c r="F419" s="277">
        <v>2650000</v>
      </c>
      <c r="G419" s="47">
        <f t="shared" si="50"/>
        <v>5.0941945405613226E-2</v>
      </c>
      <c r="H419" s="63">
        <v>1.8500000000000003E-2</v>
      </c>
      <c r="I419" s="280">
        <v>1</v>
      </c>
      <c r="J419" s="281">
        <f t="shared" si="51"/>
        <v>3.6814493160232165E-2</v>
      </c>
    </row>
    <row r="420" spans="1:11">
      <c r="A420" s="33">
        <v>39387</v>
      </c>
      <c r="B420" s="277">
        <v>2044983</v>
      </c>
      <c r="C420" s="277">
        <v>161011</v>
      </c>
      <c r="D420" s="277">
        <v>49630000</v>
      </c>
      <c r="E420" s="47">
        <f t="shared" si="49"/>
        <v>3.6572058547533474E-2</v>
      </c>
      <c r="F420" s="277">
        <v>2550000</v>
      </c>
      <c r="G420" s="47">
        <f t="shared" si="50"/>
        <v>4.8869298581832123E-2</v>
      </c>
      <c r="H420" s="63">
        <v>1.7399999999999999E-2</v>
      </c>
      <c r="I420" s="280">
        <v>1</v>
      </c>
      <c r="J420" s="281">
        <f t="shared" si="51"/>
        <v>3.4678484357644569E-2</v>
      </c>
    </row>
    <row r="421" spans="1:11">
      <c r="A421" s="33">
        <v>39417</v>
      </c>
      <c r="B421" s="277">
        <v>2024273</v>
      </c>
      <c r="C421" s="277">
        <v>159001</v>
      </c>
      <c r="D421" s="277">
        <v>49400000</v>
      </c>
      <c r="E421" s="47">
        <f t="shared" si="49"/>
        <v>3.6384708931223461E-2</v>
      </c>
      <c r="F421" s="277">
        <v>2510000</v>
      </c>
      <c r="G421" s="47">
        <f t="shared" si="50"/>
        <v>4.8352918512810636E-2</v>
      </c>
      <c r="H421" s="63">
        <v>1.9799999999999998E-2</v>
      </c>
      <c r="I421" s="280">
        <v>1</v>
      </c>
      <c r="J421" s="281">
        <f t="shared" si="51"/>
        <v>3.9334799845730468E-2</v>
      </c>
      <c r="K421" s="282">
        <f t="shared" ref="K421" si="54">AVERAGE(J410:J421)</f>
        <v>3.7103898036289253E-2</v>
      </c>
    </row>
    <row r="422" spans="1:11">
      <c r="A422" s="33">
        <v>39448</v>
      </c>
      <c r="B422" s="277">
        <v>1992321</v>
      </c>
      <c r="C422" s="277">
        <v>161775</v>
      </c>
      <c r="D422" s="277">
        <v>49350000</v>
      </c>
      <c r="E422" s="47">
        <f t="shared" si="49"/>
        <v>3.5766441413110361E-2</v>
      </c>
      <c r="F422" s="277">
        <v>2610000</v>
      </c>
      <c r="G422" s="47">
        <f t="shared" si="50"/>
        <v>5.023094688221709E-2</v>
      </c>
      <c r="H422" s="63">
        <v>1.8600000000000002E-2</v>
      </c>
      <c r="I422" s="280">
        <v>1</v>
      </c>
      <c r="J422" s="281">
        <f t="shared" si="51"/>
        <v>3.7008515888874084E-2</v>
      </c>
    </row>
    <row r="423" spans="1:11">
      <c r="A423" s="33">
        <v>39479</v>
      </c>
      <c r="B423" s="277">
        <v>1979420</v>
      </c>
      <c r="C423" s="277">
        <v>170400</v>
      </c>
      <c r="D423" s="277">
        <v>49250000</v>
      </c>
      <c r="E423" s="47">
        <f t="shared" si="49"/>
        <v>3.5429978875426905E-2</v>
      </c>
      <c r="F423" s="277">
        <v>2670000</v>
      </c>
      <c r="G423" s="47">
        <f t="shared" si="50"/>
        <v>5.1425269645608632E-2</v>
      </c>
      <c r="H423" s="63">
        <v>1.9099999999999999E-2</v>
      </c>
      <c r="I423" s="280">
        <v>1</v>
      </c>
      <c r="J423" s="281">
        <f t="shared" si="51"/>
        <v>3.7978242266814427E-2</v>
      </c>
    </row>
    <row r="424" spans="1:11">
      <c r="A424" s="33">
        <v>39508</v>
      </c>
      <c r="B424" s="277">
        <v>1931098</v>
      </c>
      <c r="C424" s="277">
        <v>160095</v>
      </c>
      <c r="D424" s="277">
        <v>49540000</v>
      </c>
      <c r="E424" s="47">
        <f t="shared" si="49"/>
        <v>3.4515072722316499E-2</v>
      </c>
      <c r="F424" s="277">
        <v>2560000</v>
      </c>
      <c r="G424" s="47">
        <f t="shared" si="50"/>
        <v>4.9136276391554705E-2</v>
      </c>
      <c r="H424" s="63">
        <v>1.8000000000000002E-2</v>
      </c>
      <c r="I424" s="280">
        <v>1</v>
      </c>
      <c r="J424" s="281">
        <f t="shared" si="51"/>
        <v>3.5843984324827056E-2</v>
      </c>
    </row>
    <row r="425" spans="1:11">
      <c r="A425" s="33">
        <v>39539</v>
      </c>
      <c r="B425" s="277">
        <v>1917256</v>
      </c>
      <c r="C425" s="277">
        <v>153560</v>
      </c>
      <c r="D425" s="277">
        <v>49590000</v>
      </c>
      <c r="E425" s="47">
        <f t="shared" si="49"/>
        <v>3.434409083233269E-2</v>
      </c>
      <c r="F425" s="277">
        <v>2630000</v>
      </c>
      <c r="G425" s="47">
        <f t="shared" si="50"/>
        <v>5.036384527001149E-2</v>
      </c>
      <c r="H425" s="63">
        <v>1.7600000000000001E-2</v>
      </c>
      <c r="I425" s="280">
        <v>1</v>
      </c>
      <c r="J425" s="281">
        <f t="shared" si="51"/>
        <v>3.5067094012930289E-2</v>
      </c>
    </row>
    <row r="426" spans="1:11">
      <c r="A426" s="33">
        <v>39569</v>
      </c>
      <c r="B426" s="277">
        <v>1916741</v>
      </c>
      <c r="C426" s="277">
        <v>157242</v>
      </c>
      <c r="D426" s="277">
        <v>49770000</v>
      </c>
      <c r="E426" s="47">
        <f t="shared" si="49"/>
        <v>3.4145470733181395E-2</v>
      </c>
      <c r="F426" s="277">
        <v>2640000</v>
      </c>
      <c r="G426" s="47">
        <f t="shared" si="50"/>
        <v>5.0372066399542073E-2</v>
      </c>
      <c r="H426" s="63">
        <v>1.78E-2</v>
      </c>
      <c r="I426" s="280">
        <v>1</v>
      </c>
      <c r="J426" s="281">
        <f t="shared" si="51"/>
        <v>3.5455593579434772E-2</v>
      </c>
    </row>
    <row r="427" spans="1:11">
      <c r="A427" s="33">
        <v>39600</v>
      </c>
      <c r="B427" s="277">
        <v>1884525</v>
      </c>
      <c r="C427" s="277">
        <v>159653</v>
      </c>
      <c r="D427" s="277">
        <v>49840000</v>
      </c>
      <c r="E427" s="47">
        <f t="shared" si="49"/>
        <v>3.3450524225096499E-2</v>
      </c>
      <c r="F427" s="277">
        <v>2660000</v>
      </c>
      <c r="G427" s="47">
        <f t="shared" si="50"/>
        <v>5.0666666666666665E-2</v>
      </c>
      <c r="H427" s="63">
        <v>1.8600000000000002E-2</v>
      </c>
      <c r="I427" s="280">
        <v>1</v>
      </c>
      <c r="J427" s="281">
        <f t="shared" si="51"/>
        <v>3.7008515888874084E-2</v>
      </c>
    </row>
    <row r="428" spans="1:11">
      <c r="A428" s="33">
        <v>39630</v>
      </c>
      <c r="B428" s="277">
        <v>1842536</v>
      </c>
      <c r="C428" s="277">
        <v>159039</v>
      </c>
      <c r="D428" s="277">
        <v>49620000</v>
      </c>
      <c r="E428" s="47">
        <f t="shared" si="49"/>
        <v>3.2814468768084172E-2</v>
      </c>
      <c r="F428" s="277">
        <v>2620000</v>
      </c>
      <c r="G428" s="47">
        <f t="shared" si="50"/>
        <v>5.0153139356814702E-2</v>
      </c>
      <c r="H428" s="63">
        <v>1.83E-2</v>
      </c>
      <c r="I428" s="280">
        <v>1</v>
      </c>
      <c r="J428" s="281">
        <f t="shared" si="51"/>
        <v>3.6426369106405301E-2</v>
      </c>
    </row>
    <row r="429" spans="1:11">
      <c r="A429" s="33">
        <v>39661</v>
      </c>
      <c r="B429" s="277">
        <v>1798183</v>
      </c>
      <c r="C429" s="277">
        <v>156876</v>
      </c>
      <c r="D429" s="277">
        <v>49680000</v>
      </c>
      <c r="E429" s="47">
        <f t="shared" si="49"/>
        <v>3.1981005472054715E-2</v>
      </c>
      <c r="F429" s="277">
        <v>2700000</v>
      </c>
      <c r="G429" s="47">
        <f t="shared" si="50"/>
        <v>5.1546391752577317E-2</v>
      </c>
      <c r="H429" s="63">
        <v>1.8799999999999997E-2</v>
      </c>
      <c r="I429" s="280">
        <v>1</v>
      </c>
      <c r="J429" s="281">
        <f t="shared" si="51"/>
        <v>3.7396483470090586E-2</v>
      </c>
    </row>
    <row r="430" spans="1:11">
      <c r="A430" s="33">
        <v>39692</v>
      </c>
      <c r="B430" s="277">
        <v>1743106</v>
      </c>
      <c r="C430" s="277">
        <v>157254</v>
      </c>
      <c r="D430" s="277">
        <v>49620000</v>
      </c>
      <c r="E430" s="47">
        <f t="shared" si="49"/>
        <v>3.097013208568427E-2</v>
      </c>
      <c r="F430" s="277">
        <v>2640000</v>
      </c>
      <c r="G430" s="47">
        <f t="shared" si="50"/>
        <v>5.0516647531572902E-2</v>
      </c>
      <c r="H430" s="63">
        <v>1.84E-2</v>
      </c>
      <c r="I430" s="280">
        <v>1</v>
      </c>
      <c r="J430" s="281">
        <f t="shared" si="51"/>
        <v>3.6620444281301193E-2</v>
      </c>
    </row>
    <row r="431" spans="1:11">
      <c r="A431" s="33">
        <v>39722</v>
      </c>
      <c r="B431" s="277">
        <v>1698829</v>
      </c>
      <c r="C431" s="277">
        <v>158256</v>
      </c>
      <c r="D431" s="277">
        <v>49650000</v>
      </c>
      <c r="E431" s="47">
        <f t="shared" si="49"/>
        <v>3.0094857504329948E-2</v>
      </c>
      <c r="F431" s="277">
        <v>2510000</v>
      </c>
      <c r="G431" s="47">
        <f t="shared" si="50"/>
        <v>4.8121165644171779E-2</v>
      </c>
      <c r="H431" s="63">
        <v>1.7899999999999999E-2</v>
      </c>
      <c r="I431" s="280">
        <v>1</v>
      </c>
      <c r="J431" s="281">
        <f t="shared" si="51"/>
        <v>3.564980247666602E-2</v>
      </c>
    </row>
    <row r="432" spans="1:11">
      <c r="A432" s="33">
        <v>39753</v>
      </c>
      <c r="B432" s="277">
        <v>1660703</v>
      </c>
      <c r="C432" s="277">
        <v>156845</v>
      </c>
      <c r="D432" s="277">
        <v>49600000</v>
      </c>
      <c r="E432" s="47">
        <f t="shared" si="49"/>
        <v>2.9427484711623923E-2</v>
      </c>
      <c r="F432" s="277">
        <v>2660000</v>
      </c>
      <c r="G432" s="47">
        <f t="shared" si="50"/>
        <v>5.0899349406812094E-2</v>
      </c>
      <c r="H432" s="63">
        <v>1.84E-2</v>
      </c>
      <c r="I432" s="280">
        <v>1</v>
      </c>
      <c r="J432" s="281">
        <f t="shared" si="51"/>
        <v>3.6620444281301193E-2</v>
      </c>
    </row>
    <row r="433" spans="1:11">
      <c r="A433" s="33">
        <v>39783</v>
      </c>
      <c r="B433" s="277">
        <v>1632549</v>
      </c>
      <c r="C433" s="277">
        <v>158152</v>
      </c>
      <c r="D433" s="277">
        <v>49510000</v>
      </c>
      <c r="E433" s="47">
        <f t="shared" si="49"/>
        <v>2.8918592486246331E-2</v>
      </c>
      <c r="F433" s="277">
        <v>2920000</v>
      </c>
      <c r="G433" s="47">
        <f t="shared" si="50"/>
        <v>5.569330535952699E-2</v>
      </c>
      <c r="H433" s="63">
        <v>1.9900000000000001E-2</v>
      </c>
      <c r="I433" s="280">
        <v>1</v>
      </c>
      <c r="J433" s="281">
        <f t="shared" si="51"/>
        <v>3.952849518899109E-2</v>
      </c>
      <c r="K433" s="282">
        <f t="shared" ref="K433" si="55">AVERAGE(J422:J433)</f>
        <v>3.6716998730542509E-2</v>
      </c>
    </row>
    <row r="434" spans="1:11">
      <c r="A434" s="33">
        <v>39814</v>
      </c>
      <c r="B434" s="277">
        <v>1573556</v>
      </c>
      <c r="C434" s="277">
        <v>169709</v>
      </c>
      <c r="D434" s="277">
        <v>49340000</v>
      </c>
      <c r="E434" s="47">
        <f t="shared" si="49"/>
        <v>2.7665364039111972E-2</v>
      </c>
      <c r="F434" s="277">
        <v>2850000</v>
      </c>
      <c r="G434" s="47">
        <f t="shared" si="50"/>
        <v>5.4608162483234336E-2</v>
      </c>
      <c r="H434" s="63">
        <v>1.7399999999999999E-2</v>
      </c>
      <c r="I434" s="280">
        <v>1</v>
      </c>
      <c r="J434" s="281">
        <f t="shared" si="51"/>
        <v>3.4678484357644569E-2</v>
      </c>
    </row>
    <row r="435" spans="1:11">
      <c r="A435" s="33">
        <v>39845</v>
      </c>
      <c r="B435" s="277">
        <v>1478657</v>
      </c>
      <c r="C435" s="277">
        <v>168096</v>
      </c>
      <c r="D435" s="277">
        <v>49220000</v>
      </c>
      <c r="E435" s="47">
        <f t="shared" si="49"/>
        <v>2.5936007320401609E-2</v>
      </c>
      <c r="F435" s="277">
        <v>3030000</v>
      </c>
      <c r="G435" s="47">
        <f t="shared" si="50"/>
        <v>5.7990430622009571E-2</v>
      </c>
      <c r="H435" s="63">
        <v>2.2799999999999997E-2</v>
      </c>
      <c r="I435" s="280">
        <v>1</v>
      </c>
      <c r="J435" s="281">
        <f t="shared" si="51"/>
        <v>4.513557727111718E-2</v>
      </c>
    </row>
    <row r="436" spans="1:11">
      <c r="A436" s="33">
        <v>39873</v>
      </c>
      <c r="B436" s="277">
        <v>1385425</v>
      </c>
      <c r="C436" s="277">
        <v>161450</v>
      </c>
      <c r="D436" s="277">
        <v>48990000</v>
      </c>
      <c r="E436" s="47">
        <f t="shared" si="49"/>
        <v>2.437518638984466E-2</v>
      </c>
      <c r="F436" s="277">
        <v>3210000</v>
      </c>
      <c r="G436" s="47">
        <f t="shared" si="50"/>
        <v>6.1494252873563221E-2</v>
      </c>
      <c r="H436" s="63">
        <v>2.12E-2</v>
      </c>
      <c r="I436" s="280">
        <v>1</v>
      </c>
      <c r="J436" s="281">
        <f t="shared" si="51"/>
        <v>4.2044370457030023E-2</v>
      </c>
    </row>
    <row r="437" spans="1:11">
      <c r="A437" s="33">
        <v>39904</v>
      </c>
      <c r="B437" s="277">
        <v>1322538</v>
      </c>
      <c r="C437" s="277">
        <v>155909</v>
      </c>
      <c r="D437" s="277">
        <v>49140000</v>
      </c>
      <c r="E437" s="47">
        <f t="shared" si="49"/>
        <v>2.3190363242188223E-2</v>
      </c>
      <c r="F437" s="277">
        <v>3280000</v>
      </c>
      <c r="G437" s="47">
        <f t="shared" si="50"/>
        <v>6.257153758107592E-2</v>
      </c>
      <c r="H437" s="63">
        <v>2.0400000000000001E-2</v>
      </c>
      <c r="I437" s="280">
        <v>1</v>
      </c>
      <c r="J437" s="281">
        <f t="shared" si="51"/>
        <v>4.0496610377953914E-2</v>
      </c>
    </row>
    <row r="438" spans="1:11">
      <c r="A438" s="33">
        <v>39934</v>
      </c>
      <c r="B438" s="277">
        <v>1265807</v>
      </c>
      <c r="C438" s="277">
        <v>157607</v>
      </c>
      <c r="D438" s="277">
        <v>48970000</v>
      </c>
      <c r="E438" s="47">
        <f t="shared" si="49"/>
        <v>2.2129389634611467E-2</v>
      </c>
      <c r="F438" s="277">
        <v>3390000</v>
      </c>
      <c r="G438" s="47">
        <f t="shared" si="50"/>
        <v>6.47440794499618E-2</v>
      </c>
      <c r="H438" s="63">
        <v>2.1899999999999999E-2</v>
      </c>
      <c r="I438" s="280">
        <v>1</v>
      </c>
      <c r="J438" s="281">
        <f t="shared" si="51"/>
        <v>4.33974643659732E-2</v>
      </c>
    </row>
    <row r="439" spans="1:11">
      <c r="A439" s="33">
        <v>39965</v>
      </c>
      <c r="B439" s="277">
        <v>1253045</v>
      </c>
      <c r="C439" s="277">
        <v>166506</v>
      </c>
      <c r="D439" s="277">
        <v>48930000</v>
      </c>
      <c r="E439" s="47">
        <f t="shared" si="49"/>
        <v>2.1723594269487539E-2</v>
      </c>
      <c r="F439" s="277">
        <v>3460000</v>
      </c>
      <c r="G439" s="47">
        <f t="shared" si="50"/>
        <v>6.6043138003435767E-2</v>
      </c>
      <c r="H439" s="63">
        <v>1.9599999999999999E-2</v>
      </c>
      <c r="I439" s="280">
        <v>1</v>
      </c>
      <c r="J439" s="281">
        <f t="shared" si="51"/>
        <v>3.8947335856295957E-2</v>
      </c>
    </row>
    <row r="440" spans="1:11">
      <c r="A440" s="33">
        <v>39995</v>
      </c>
      <c r="B440" s="277">
        <v>1239506</v>
      </c>
      <c r="C440" s="277">
        <v>171626</v>
      </c>
      <c r="D440" s="277">
        <v>49020000</v>
      </c>
      <c r="E440" s="47">
        <f t="shared" si="49"/>
        <v>2.1320127743478062E-2</v>
      </c>
      <c r="F440" s="277">
        <v>3640000</v>
      </c>
      <c r="G440" s="47">
        <f t="shared" si="50"/>
        <v>6.9122673756171663E-2</v>
      </c>
      <c r="H440" s="63">
        <v>1.9799999999999998E-2</v>
      </c>
      <c r="I440" s="280">
        <v>1</v>
      </c>
      <c r="J440" s="281">
        <f t="shared" si="51"/>
        <v>3.9334799845730468E-2</v>
      </c>
    </row>
    <row r="441" spans="1:11">
      <c r="A441" s="33">
        <v>40026</v>
      </c>
      <c r="B441" s="277">
        <v>1234348</v>
      </c>
      <c r="C441" s="277">
        <v>178720</v>
      </c>
      <c r="D441" s="277">
        <v>49020000</v>
      </c>
      <c r="E441" s="47">
        <f t="shared" si="49"/>
        <v>2.108067421540874E-2</v>
      </c>
      <c r="F441" s="277">
        <v>3580000</v>
      </c>
      <c r="G441" s="47">
        <f t="shared" si="50"/>
        <v>6.8060836501901145E-2</v>
      </c>
      <c r="H441" s="63">
        <v>1.95E-2</v>
      </c>
      <c r="I441" s="280">
        <v>1</v>
      </c>
      <c r="J441" s="281">
        <f t="shared" si="51"/>
        <v>3.8753566954983894E-2</v>
      </c>
    </row>
    <row r="442" spans="1:11">
      <c r="A442" s="33">
        <v>40057</v>
      </c>
      <c r="B442" s="277">
        <v>1245315</v>
      </c>
      <c r="C442" s="277">
        <v>177750</v>
      </c>
      <c r="D442" s="277">
        <v>49040000</v>
      </c>
      <c r="E442" s="47">
        <f t="shared" si="49"/>
        <v>2.1305465551958072E-2</v>
      </c>
      <c r="F442" s="277">
        <v>3560000</v>
      </c>
      <c r="G442" s="47">
        <f t="shared" si="50"/>
        <v>6.7680608365019018E-2</v>
      </c>
      <c r="H442" s="63">
        <v>1.9099999999999999E-2</v>
      </c>
      <c r="I442" s="280">
        <v>1</v>
      </c>
      <c r="J442" s="281">
        <f t="shared" si="51"/>
        <v>3.7978242266814427E-2</v>
      </c>
    </row>
    <row r="443" spans="1:11">
      <c r="A443" s="33">
        <v>40087</v>
      </c>
      <c r="B443" s="277">
        <v>1243142</v>
      </c>
      <c r="C443" s="277">
        <v>176665</v>
      </c>
      <c r="D443" s="277">
        <v>48760000</v>
      </c>
      <c r="E443" s="47">
        <f t="shared" si="49"/>
        <v>2.1403821104992029E-2</v>
      </c>
      <c r="F443" s="277">
        <v>3430000</v>
      </c>
      <c r="G443" s="47">
        <f t="shared" si="50"/>
        <v>6.5721402567541679E-2</v>
      </c>
      <c r="H443" s="63">
        <v>1.95E-2</v>
      </c>
      <c r="I443" s="280">
        <v>1</v>
      </c>
      <c r="J443" s="281">
        <f t="shared" si="51"/>
        <v>3.8753566954983894E-2</v>
      </c>
    </row>
    <row r="444" spans="1:11">
      <c r="A444" s="33">
        <v>40118</v>
      </c>
      <c r="B444" s="277">
        <v>1242961</v>
      </c>
      <c r="C444" s="277">
        <v>181471</v>
      </c>
      <c r="D444" s="277">
        <v>48770000</v>
      </c>
      <c r="E444" s="47">
        <f t="shared" si="49"/>
        <v>2.1301590620709916E-2</v>
      </c>
      <c r="F444" s="277">
        <v>3450000</v>
      </c>
      <c r="G444" s="47">
        <f t="shared" si="50"/>
        <v>6.6066641133665269E-2</v>
      </c>
      <c r="H444" s="63">
        <v>2.0199999999999999E-2</v>
      </c>
      <c r="I444" s="280">
        <v>1</v>
      </c>
      <c r="J444" s="281">
        <f t="shared" si="51"/>
        <v>4.0109436116654289E-2</v>
      </c>
    </row>
    <row r="445" spans="1:11">
      <c r="A445" s="33">
        <v>40148</v>
      </c>
      <c r="B445" s="277">
        <v>1250072</v>
      </c>
      <c r="C445" s="277">
        <v>185351</v>
      </c>
      <c r="D445" s="277">
        <v>48930000</v>
      </c>
      <c r="E445" s="47">
        <f t="shared" si="49"/>
        <v>2.1296668502260467E-2</v>
      </c>
      <c r="F445" s="277">
        <v>3400000</v>
      </c>
      <c r="G445" s="47">
        <f t="shared" si="50"/>
        <v>6.4972291228740681E-2</v>
      </c>
      <c r="H445" s="63">
        <v>1.8600000000000002E-2</v>
      </c>
      <c r="I445" s="280">
        <v>1</v>
      </c>
      <c r="J445" s="281">
        <f t="shared" si="51"/>
        <v>3.7008515888874084E-2</v>
      </c>
      <c r="K445" s="282">
        <f t="shared" ref="K445" si="56">AVERAGE(J434:J445)</f>
        <v>3.9719830892837989E-2</v>
      </c>
    </row>
    <row r="446" spans="1:11">
      <c r="A446" s="33">
        <v>40179</v>
      </c>
      <c r="B446" s="277">
        <v>1264503</v>
      </c>
      <c r="C446" s="277">
        <v>180537</v>
      </c>
      <c r="D446" s="277">
        <v>49020000</v>
      </c>
      <c r="E446" s="47">
        <f t="shared" si="49"/>
        <v>2.1634335293936612E-2</v>
      </c>
      <c r="F446" s="277">
        <v>3330000</v>
      </c>
      <c r="G446" s="47">
        <f t="shared" si="50"/>
        <v>6.3610315186246422E-2</v>
      </c>
      <c r="H446" s="63">
        <v>1.89E-2</v>
      </c>
      <c r="I446" s="280">
        <v>1</v>
      </c>
      <c r="J446" s="281">
        <f t="shared" si="51"/>
        <v>3.7590428606189656E-2</v>
      </c>
    </row>
    <row r="447" spans="1:11">
      <c r="A447" s="33">
        <v>40210</v>
      </c>
      <c r="B447" s="277">
        <v>1284646</v>
      </c>
      <c r="C447" s="277">
        <v>177005</v>
      </c>
      <c r="D447" s="277">
        <v>48980000</v>
      </c>
      <c r="E447" s="47">
        <f t="shared" si="49"/>
        <v>2.211405803679195E-2</v>
      </c>
      <c r="F447" s="277">
        <v>3300000</v>
      </c>
      <c r="G447" s="47">
        <f t="shared" si="50"/>
        <v>6.312165263963275E-2</v>
      </c>
      <c r="H447" s="63">
        <v>1.7899999999999999E-2</v>
      </c>
      <c r="I447" s="280">
        <v>1</v>
      </c>
      <c r="J447" s="281">
        <f t="shared" si="51"/>
        <v>3.564980247666602E-2</v>
      </c>
    </row>
    <row r="448" spans="1:11">
      <c r="A448" s="33">
        <v>40238</v>
      </c>
      <c r="B448" s="277">
        <v>1313036</v>
      </c>
      <c r="C448" s="277">
        <v>179556</v>
      </c>
      <c r="D448" s="277">
        <v>49300000</v>
      </c>
      <c r="E448" s="47">
        <f t="shared" si="49"/>
        <v>2.2474752882410652E-2</v>
      </c>
      <c r="F448" s="277">
        <v>3350000</v>
      </c>
      <c r="G448" s="47">
        <f t="shared" si="50"/>
        <v>6.3627730294396959E-2</v>
      </c>
      <c r="H448" s="63">
        <v>1.8600000000000002E-2</v>
      </c>
      <c r="I448" s="280">
        <v>1</v>
      </c>
      <c r="J448" s="281">
        <f t="shared" si="51"/>
        <v>3.7008515888874084E-2</v>
      </c>
    </row>
    <row r="449" spans="1:11">
      <c r="A449" s="33">
        <v>40269</v>
      </c>
      <c r="B449" s="277">
        <v>1339155</v>
      </c>
      <c r="C449" s="277">
        <v>178635</v>
      </c>
      <c r="D449" s="277">
        <v>49130000</v>
      </c>
      <c r="E449" s="47">
        <f t="shared" si="49"/>
        <v>2.3076317365579038E-2</v>
      </c>
      <c r="F449" s="277">
        <v>3350000</v>
      </c>
      <c r="G449" s="47">
        <f t="shared" si="50"/>
        <v>6.3833841463414628E-2</v>
      </c>
      <c r="H449" s="63">
        <v>1.8500000000000003E-2</v>
      </c>
      <c r="I449" s="280">
        <v>1</v>
      </c>
      <c r="J449" s="281">
        <f t="shared" si="51"/>
        <v>3.6814493160232165E-2</v>
      </c>
    </row>
    <row r="450" spans="1:11">
      <c r="A450" s="33">
        <v>40299</v>
      </c>
      <c r="B450" s="277">
        <v>1358197</v>
      </c>
      <c r="C450" s="277">
        <v>180129</v>
      </c>
      <c r="D450" s="277">
        <v>49070000</v>
      </c>
      <c r="E450" s="47">
        <f t="shared" si="49"/>
        <v>2.3445040712809097E-2</v>
      </c>
      <c r="F450" s="277">
        <v>3370000</v>
      </c>
      <c r="G450" s="47">
        <f t="shared" si="50"/>
        <v>6.4263920671243327E-2</v>
      </c>
      <c r="H450" s="63">
        <v>1.8100000000000002E-2</v>
      </c>
      <c r="I450" s="280">
        <v>1</v>
      </c>
      <c r="J450" s="281">
        <f t="shared" si="51"/>
        <v>3.6038139277928129E-2</v>
      </c>
    </row>
    <row r="451" spans="1:11">
      <c r="A451" s="33">
        <v>40330</v>
      </c>
      <c r="B451" s="277">
        <v>1389704</v>
      </c>
      <c r="C451" s="277">
        <v>181925</v>
      </c>
      <c r="D451" s="277">
        <v>49030000</v>
      </c>
      <c r="E451" s="47">
        <f t="shared" ref="E451:E514" si="57">(B451-C451)/(B451-C451+D451)</f>
        <v>2.4041249912739971E-2</v>
      </c>
      <c r="F451" s="277">
        <v>3410000</v>
      </c>
      <c r="G451" s="47">
        <f t="shared" ref="G451:G514" si="58">F451/(D451+F451)</f>
        <v>6.5026697177726925E-2</v>
      </c>
      <c r="H451" s="63">
        <v>1.83E-2</v>
      </c>
      <c r="I451" s="280">
        <v>1</v>
      </c>
      <c r="J451" s="281">
        <f t="shared" ref="J451:J514" si="59">EXP((0.036225+LOG(H451,EXP(1))*0.056981+I451*-0.001826)/(1+0.035334-0.976896))</f>
        <v>3.6426369106405301E-2</v>
      </c>
    </row>
    <row r="452" spans="1:11">
      <c r="A452" s="33">
        <v>40360</v>
      </c>
      <c r="B452" s="277">
        <v>1416435</v>
      </c>
      <c r="C452" s="277">
        <v>183700</v>
      </c>
      <c r="D452" s="277">
        <v>49210000</v>
      </c>
      <c r="E452" s="47">
        <f t="shared" si="57"/>
        <v>2.4438306130704451E-2</v>
      </c>
      <c r="F452" s="277">
        <v>3320000</v>
      </c>
      <c r="G452" s="47">
        <f t="shared" si="58"/>
        <v>6.3201979821054632E-2</v>
      </c>
      <c r="H452" s="63">
        <v>1.7899999999999999E-2</v>
      </c>
      <c r="I452" s="280">
        <v>1</v>
      </c>
      <c r="J452" s="281">
        <f t="shared" si="59"/>
        <v>3.564980247666602E-2</v>
      </c>
    </row>
    <row r="453" spans="1:11">
      <c r="A453" s="33">
        <v>40391</v>
      </c>
      <c r="B453" s="277">
        <v>1446050</v>
      </c>
      <c r="C453" s="277">
        <v>185665</v>
      </c>
      <c r="D453" s="277">
        <v>49230000</v>
      </c>
      <c r="E453" s="47">
        <f t="shared" si="57"/>
        <v>2.4962871643779305E-2</v>
      </c>
      <c r="F453" s="277">
        <v>3340000</v>
      </c>
      <c r="G453" s="47">
        <f t="shared" si="58"/>
        <v>6.3534335172151415E-2</v>
      </c>
      <c r="H453" s="63">
        <v>1.8500000000000003E-2</v>
      </c>
      <c r="I453" s="280">
        <v>1</v>
      </c>
      <c r="J453" s="281">
        <f t="shared" si="59"/>
        <v>3.6814493160232165E-2</v>
      </c>
    </row>
    <row r="454" spans="1:11">
      <c r="A454" s="33">
        <v>40422</v>
      </c>
      <c r="B454" s="277">
        <v>1468529</v>
      </c>
      <c r="C454" s="277">
        <v>184328</v>
      </c>
      <c r="D454" s="277">
        <v>49450000</v>
      </c>
      <c r="E454" s="47">
        <f t="shared" si="57"/>
        <v>2.5312333193145194E-2</v>
      </c>
      <c r="F454" s="277">
        <v>3380000</v>
      </c>
      <c r="G454" s="47">
        <f t="shared" si="58"/>
        <v>6.3978799924285443E-2</v>
      </c>
      <c r="H454" s="63">
        <v>1.83E-2</v>
      </c>
      <c r="I454" s="280">
        <v>1</v>
      </c>
      <c r="J454" s="281">
        <f t="shared" si="59"/>
        <v>3.6426369106405301E-2</v>
      </c>
    </row>
    <row r="455" spans="1:11">
      <c r="A455" s="33">
        <v>40452</v>
      </c>
      <c r="B455" s="277">
        <v>1499634</v>
      </c>
      <c r="C455" s="277">
        <v>185590</v>
      </c>
      <c r="D455" s="277">
        <v>49270000</v>
      </c>
      <c r="E455" s="47">
        <f t="shared" si="57"/>
        <v>2.5977440633255813E-2</v>
      </c>
      <c r="F455" s="277">
        <v>3350000</v>
      </c>
      <c r="G455" s="47">
        <f t="shared" si="58"/>
        <v>6.366400608133789E-2</v>
      </c>
      <c r="H455" s="63">
        <v>1.8600000000000002E-2</v>
      </c>
      <c r="I455" s="280">
        <v>1</v>
      </c>
      <c r="J455" s="281">
        <f t="shared" si="59"/>
        <v>3.7008515888874084E-2</v>
      </c>
    </row>
    <row r="456" spans="1:11">
      <c r="A456" s="33">
        <v>40483</v>
      </c>
      <c r="B456" s="277">
        <v>1527674</v>
      </c>
      <c r="C456" s="277">
        <v>184128</v>
      </c>
      <c r="D456" s="277">
        <v>48960000</v>
      </c>
      <c r="E456" s="47">
        <f t="shared" si="57"/>
        <v>2.6708773174757897E-2</v>
      </c>
      <c r="F456" s="277">
        <v>3310000</v>
      </c>
      <c r="G456" s="47">
        <f t="shared" si="58"/>
        <v>6.332504304572413E-2</v>
      </c>
      <c r="H456" s="63">
        <v>1.8500000000000003E-2</v>
      </c>
      <c r="I456" s="280">
        <v>1</v>
      </c>
      <c r="J456" s="281">
        <f t="shared" si="59"/>
        <v>3.6814493160232165E-2</v>
      </c>
    </row>
    <row r="457" spans="1:11">
      <c r="A457" s="33">
        <v>40513</v>
      </c>
      <c r="B457" s="277">
        <v>1542830</v>
      </c>
      <c r="C457" s="277">
        <v>184310</v>
      </c>
      <c r="D457" s="277">
        <v>49230000</v>
      </c>
      <c r="E457" s="47">
        <f t="shared" si="57"/>
        <v>2.6854313982698053E-2</v>
      </c>
      <c r="F457" s="277">
        <v>3210000</v>
      </c>
      <c r="G457" s="47">
        <f t="shared" si="58"/>
        <v>6.1212814645308922E-2</v>
      </c>
      <c r="H457" s="63">
        <v>1.7899999999999999E-2</v>
      </c>
      <c r="I457" s="280">
        <v>1</v>
      </c>
      <c r="J457" s="281">
        <f t="shared" si="59"/>
        <v>3.564980247666602E-2</v>
      </c>
      <c r="K457" s="282">
        <f t="shared" ref="K457" si="60">AVERAGE(J446:J457)</f>
        <v>3.6490935398780927E-2</v>
      </c>
    </row>
    <row r="458" spans="1:11">
      <c r="A458" s="33">
        <v>40544</v>
      </c>
      <c r="B458" s="277">
        <v>1568885</v>
      </c>
      <c r="C458" s="277">
        <v>179566</v>
      </c>
      <c r="D458" s="277">
        <v>49610000</v>
      </c>
      <c r="E458" s="47">
        <f t="shared" si="57"/>
        <v>2.7241912779266721E-2</v>
      </c>
      <c r="F458" s="277">
        <v>3190000</v>
      </c>
      <c r="G458" s="47">
        <f t="shared" si="58"/>
        <v>6.0416666666666667E-2</v>
      </c>
      <c r="H458" s="63">
        <v>1.7899999999999999E-2</v>
      </c>
      <c r="I458" s="280">
        <v>1</v>
      </c>
      <c r="J458" s="281">
        <f t="shared" si="59"/>
        <v>3.564980247666602E-2</v>
      </c>
    </row>
    <row r="459" spans="1:11">
      <c r="A459" s="33">
        <v>40575</v>
      </c>
      <c r="B459" s="277">
        <v>1603238</v>
      </c>
      <c r="C459" s="277">
        <v>177684</v>
      </c>
      <c r="D459" s="277">
        <v>49700000</v>
      </c>
      <c r="E459" s="47">
        <f t="shared" si="57"/>
        <v>2.7883394671869961E-2</v>
      </c>
      <c r="F459" s="277">
        <v>3100000</v>
      </c>
      <c r="G459" s="47">
        <f>F459/(D459+F459)</f>
        <v>5.8712121212121215E-2</v>
      </c>
      <c r="H459" s="63">
        <v>1.7899999999999999E-2</v>
      </c>
      <c r="I459" s="280">
        <v>1</v>
      </c>
      <c r="J459" s="281">
        <f t="shared" si="59"/>
        <v>3.564980247666602E-2</v>
      </c>
    </row>
    <row r="460" spans="1:11">
      <c r="A460" s="33">
        <v>40603</v>
      </c>
      <c r="B460" s="277">
        <v>1606821</v>
      </c>
      <c r="C460" s="277">
        <v>176541</v>
      </c>
      <c r="D460" s="277">
        <v>49120000</v>
      </c>
      <c r="E460" s="47">
        <f t="shared" si="57"/>
        <v>2.8294205294214E-2</v>
      </c>
      <c r="F460" s="277" t="e">
        <v>#VALUE!</v>
      </c>
      <c r="G460" s="47" t="e">
        <f t="shared" si="58"/>
        <v>#VALUE!</v>
      </c>
      <c r="H460" s="63">
        <v>1.6799999999999999E-2</v>
      </c>
      <c r="I460" s="280">
        <v>1</v>
      </c>
      <c r="J460" s="281">
        <f t="shared" si="59"/>
        <v>3.3511981733464327E-2</v>
      </c>
    </row>
    <row r="461" spans="1:11">
      <c r="A461" s="33">
        <v>40634</v>
      </c>
      <c r="B461" s="277">
        <v>1611058</v>
      </c>
      <c r="C461" s="277">
        <v>179158</v>
      </c>
      <c r="D461" s="277">
        <v>49030000</v>
      </c>
      <c r="E461" s="47">
        <f t="shared" si="57"/>
        <v>2.837586377048823E-2</v>
      </c>
      <c r="F461" s="277" t="e">
        <v>#VALUE!</v>
      </c>
      <c r="G461" s="47" t="e">
        <f t="shared" si="58"/>
        <v>#VALUE!</v>
      </c>
      <c r="H461" s="63">
        <v>1.8500000000000003E-2</v>
      </c>
      <c r="I461" s="280">
        <v>1</v>
      </c>
      <c r="J461" s="281">
        <f t="shared" si="59"/>
        <v>3.6814493160232165E-2</v>
      </c>
    </row>
    <row r="462" spans="1:11">
      <c r="A462" s="33">
        <v>40664</v>
      </c>
      <c r="B462" s="277">
        <v>1594735</v>
      </c>
      <c r="C462" s="277">
        <v>180944</v>
      </c>
      <c r="D462" s="277">
        <v>49370000</v>
      </c>
      <c r="E462" s="47">
        <f t="shared" si="57"/>
        <v>2.7839414351717065E-2</v>
      </c>
      <c r="F462" s="277" t="e">
        <v>#VALUE!</v>
      </c>
      <c r="G462" s="47" t="e">
        <f t="shared" si="58"/>
        <v>#VALUE!</v>
      </c>
      <c r="H462" s="63">
        <v>1.8600000000000002E-2</v>
      </c>
      <c r="I462" s="280">
        <v>1</v>
      </c>
      <c r="J462" s="281">
        <f>EXP((0.036225+LOG(H462,EXP(1))*0.056981+I462*-0.001826)/(1+0.035334-0.976896))</f>
        <v>3.7008515888874084E-2</v>
      </c>
    </row>
    <row r="463" spans="1:11">
      <c r="A463" s="33">
        <v>40695</v>
      </c>
      <c r="B463" s="277">
        <v>1631485</v>
      </c>
      <c r="C463" s="277">
        <v>183597</v>
      </c>
      <c r="D463" s="277">
        <v>49310000</v>
      </c>
      <c r="E463" s="47">
        <f t="shared" si="57"/>
        <v>2.8525379148951195E-2</v>
      </c>
      <c r="F463" s="277" t="e">
        <v>#VALUE!</v>
      </c>
      <c r="G463" s="47" t="e">
        <f t="shared" si="58"/>
        <v>#VALUE!</v>
      </c>
      <c r="H463" s="63">
        <v>1.8700000000000001E-2</v>
      </c>
      <c r="I463" s="280">
        <v>1</v>
      </c>
      <c r="J463" s="281">
        <f t="shared" si="59"/>
        <v>3.7202512611316969E-2</v>
      </c>
    </row>
    <row r="464" spans="1:11">
      <c r="A464" s="33">
        <v>40725</v>
      </c>
      <c r="B464" s="277">
        <v>1670166</v>
      </c>
      <c r="C464" s="277">
        <v>184715</v>
      </c>
      <c r="D464" s="277">
        <v>49070000</v>
      </c>
      <c r="E464" s="47">
        <f t="shared" si="57"/>
        <v>2.9382608019855268E-2</v>
      </c>
      <c r="F464" s="277" t="e">
        <v>#VALUE!</v>
      </c>
      <c r="G464" s="47" t="e">
        <f t="shared" si="58"/>
        <v>#VALUE!</v>
      </c>
      <c r="H464" s="63">
        <v>1.66E-2</v>
      </c>
      <c r="I464" s="280">
        <v>1</v>
      </c>
      <c r="J464" s="281">
        <f t="shared" si="59"/>
        <v>3.3122918440268365E-2</v>
      </c>
    </row>
    <row r="465" spans="1:11">
      <c r="A465" s="33">
        <v>40756</v>
      </c>
      <c r="B465" s="277">
        <v>1707263</v>
      </c>
      <c r="C465" s="277">
        <v>186302</v>
      </c>
      <c r="D465" s="277">
        <v>48910000</v>
      </c>
      <c r="E465" s="47">
        <f t="shared" si="57"/>
        <v>3.0159270611559433E-2</v>
      </c>
      <c r="F465" s="277" t="e">
        <v>#VALUE!</v>
      </c>
      <c r="G465" s="47" t="e">
        <f t="shared" si="58"/>
        <v>#VALUE!</v>
      </c>
      <c r="H465" s="63">
        <v>1.83E-2</v>
      </c>
      <c r="I465" s="280">
        <v>1</v>
      </c>
      <c r="J465" s="281">
        <f t="shared" si="59"/>
        <v>3.6426369106405301E-2</v>
      </c>
    </row>
    <row r="466" spans="1:11">
      <c r="A466" s="33">
        <v>40787</v>
      </c>
      <c r="B466" s="277">
        <v>1734221</v>
      </c>
      <c r="C466" s="277">
        <v>184778</v>
      </c>
      <c r="D466" s="277">
        <v>48970000</v>
      </c>
      <c r="E466" s="47">
        <f t="shared" si="57"/>
        <v>3.0670231261259156E-2</v>
      </c>
      <c r="F466" s="277">
        <v>2780000</v>
      </c>
      <c r="G466" s="47">
        <f t="shared" si="58"/>
        <v>5.3719806763285027E-2</v>
      </c>
      <c r="H466" s="63">
        <v>1.78E-2</v>
      </c>
      <c r="I466" s="280">
        <v>1</v>
      </c>
      <c r="J466" s="281">
        <f t="shared" si="59"/>
        <v>3.5455593579434772E-2</v>
      </c>
    </row>
    <row r="467" spans="1:11">
      <c r="A467" s="33">
        <v>40817</v>
      </c>
      <c r="B467" s="277">
        <v>1760777</v>
      </c>
      <c r="C467" s="277">
        <v>185559</v>
      </c>
      <c r="D467" s="277">
        <v>49060000</v>
      </c>
      <c r="E467" s="47">
        <f t="shared" si="57"/>
        <v>3.1109138307649827E-2</v>
      </c>
      <c r="F467" s="277">
        <v>2900000</v>
      </c>
      <c r="G467" s="47">
        <f t="shared" si="58"/>
        <v>5.5812163202463433E-2</v>
      </c>
      <c r="H467" s="63">
        <v>1.8700000000000001E-2</v>
      </c>
      <c r="I467" s="280">
        <v>1</v>
      </c>
      <c r="J467" s="281">
        <f t="shared" si="59"/>
        <v>3.7202512611316969E-2</v>
      </c>
    </row>
    <row r="468" spans="1:11">
      <c r="A468" s="33">
        <v>40848</v>
      </c>
      <c r="B468" s="277">
        <v>1783199</v>
      </c>
      <c r="C468" s="277">
        <v>185816</v>
      </c>
      <c r="D468" s="277">
        <v>49390000</v>
      </c>
      <c r="E468" s="47">
        <f t="shared" si="57"/>
        <v>3.1328985839496802E-2</v>
      </c>
      <c r="F468" s="277">
        <v>2930000</v>
      </c>
      <c r="G468" s="47">
        <f t="shared" si="58"/>
        <v>5.600152905198777E-2</v>
      </c>
      <c r="H468" s="63">
        <v>1.7299999999999999E-2</v>
      </c>
      <c r="I468" s="280">
        <v>1</v>
      </c>
      <c r="J468" s="281">
        <f t="shared" si="59"/>
        <v>3.4484137842520871E-2</v>
      </c>
    </row>
    <row r="469" spans="1:11">
      <c r="A469" s="33">
        <v>40878</v>
      </c>
      <c r="B469" s="277">
        <v>1806783</v>
      </c>
      <c r="C469" s="277">
        <v>186584</v>
      </c>
      <c r="D469" s="277">
        <v>49450000</v>
      </c>
      <c r="E469" s="47">
        <f t="shared" si="57"/>
        <v>3.1724940018346123E-2</v>
      </c>
      <c r="F469" s="277">
        <v>2970000</v>
      </c>
      <c r="G469" s="47">
        <f t="shared" si="58"/>
        <v>5.6657764212132776E-2</v>
      </c>
      <c r="H469" s="63">
        <v>1.8799999999999997E-2</v>
      </c>
      <c r="I469" s="280">
        <v>1</v>
      </c>
      <c r="J469" s="281">
        <f t="shared" si="59"/>
        <v>3.7396483470090586E-2</v>
      </c>
      <c r="K469" s="282">
        <f t="shared" ref="K469" si="61">AVERAGE(J458:J469)</f>
        <v>3.5827093616438037E-2</v>
      </c>
    </row>
    <row r="470" spans="1:11">
      <c r="A470" s="33">
        <v>40909</v>
      </c>
      <c r="B470" s="277">
        <v>1829768</v>
      </c>
      <c r="C470" s="277">
        <v>187250</v>
      </c>
      <c r="D470" s="277">
        <v>49190000</v>
      </c>
      <c r="E470" s="47">
        <f t="shared" si="57"/>
        <v>3.2312347777066638E-2</v>
      </c>
      <c r="F470" s="277">
        <v>2970000</v>
      </c>
      <c r="G470" s="47">
        <f t="shared" si="58"/>
        <v>5.6940184049079752E-2</v>
      </c>
      <c r="H470" s="63">
        <v>1.41E-2</v>
      </c>
      <c r="I470" s="280">
        <v>1</v>
      </c>
      <c r="J470" s="281">
        <f t="shared" si="59"/>
        <v>2.8249258492641181E-2</v>
      </c>
    </row>
    <row r="471" spans="1:11">
      <c r="A471" s="33">
        <v>40940</v>
      </c>
      <c r="B471" s="277">
        <v>1855017</v>
      </c>
      <c r="C471" s="277">
        <v>183547</v>
      </c>
      <c r="D471" s="277">
        <v>49150000</v>
      </c>
      <c r="E471" s="47">
        <f t="shared" si="57"/>
        <v>3.2889052599226275E-2</v>
      </c>
      <c r="F471" s="277">
        <v>2950000</v>
      </c>
      <c r="G471" s="47">
        <f t="shared" si="58"/>
        <v>5.6621880998080618E-2</v>
      </c>
      <c r="H471" s="63">
        <v>1.83E-2</v>
      </c>
      <c r="I471" s="280">
        <v>1</v>
      </c>
      <c r="J471" s="281">
        <f t="shared" si="59"/>
        <v>3.6426369106405301E-2</v>
      </c>
    </row>
    <row r="472" spans="1:11">
      <c r="A472" s="33">
        <v>40969</v>
      </c>
      <c r="B472" s="277">
        <v>1885474</v>
      </c>
      <c r="C472" s="277">
        <v>187209</v>
      </c>
      <c r="D472" s="277">
        <v>49150000</v>
      </c>
      <c r="E472" s="47">
        <f t="shared" si="57"/>
        <v>3.3398681351271275E-2</v>
      </c>
      <c r="F472" s="277">
        <v>2960000</v>
      </c>
      <c r="G472" s="47">
        <f t="shared" si="58"/>
        <v>5.6802916906543849E-2</v>
      </c>
      <c r="H472" s="63">
        <v>1.9099999999999999E-2</v>
      </c>
      <c r="I472" s="280">
        <v>1</v>
      </c>
      <c r="J472" s="281">
        <f t="shared" si="59"/>
        <v>3.7978242266814427E-2</v>
      </c>
    </row>
    <row r="473" spans="1:11">
      <c r="A473" s="33">
        <v>41000</v>
      </c>
      <c r="B473" s="277">
        <v>1917479</v>
      </c>
      <c r="C473" s="277">
        <v>186433</v>
      </c>
      <c r="D473" s="277">
        <v>49100000</v>
      </c>
      <c r="E473" s="47">
        <f t="shared" si="57"/>
        <v>3.4054896293104021E-2</v>
      </c>
      <c r="F473" s="277">
        <v>2950000</v>
      </c>
      <c r="G473" s="47">
        <f t="shared" si="58"/>
        <v>5.6676272814601344E-2</v>
      </c>
      <c r="H473" s="63">
        <v>1.9E-2</v>
      </c>
      <c r="I473" s="280">
        <v>1</v>
      </c>
      <c r="J473" s="281">
        <f t="shared" si="59"/>
        <v>3.7784348159098369E-2</v>
      </c>
    </row>
    <row r="474" spans="1:11">
      <c r="A474" s="33">
        <v>41030</v>
      </c>
      <c r="B474" s="277">
        <v>1929060</v>
      </c>
      <c r="C474" s="277">
        <v>183041</v>
      </c>
      <c r="D474" s="277">
        <v>49000000</v>
      </c>
      <c r="E474" s="47">
        <f t="shared" si="57"/>
        <v>3.4407014272390513E-2</v>
      </c>
      <c r="F474" s="277">
        <v>2890000</v>
      </c>
      <c r="G474" s="47">
        <f t="shared" si="58"/>
        <v>5.5694738870687995E-2</v>
      </c>
      <c r="H474" s="63">
        <v>1.89E-2</v>
      </c>
      <c r="I474" s="280">
        <v>1</v>
      </c>
      <c r="J474" s="281">
        <f t="shared" si="59"/>
        <v>3.7590428606189656E-2</v>
      </c>
    </row>
    <row r="475" spans="1:11">
      <c r="A475" s="33">
        <v>41061</v>
      </c>
      <c r="B475" s="277">
        <v>1955644</v>
      </c>
      <c r="C475" s="277">
        <v>183462</v>
      </c>
      <c r="D475" s="277">
        <v>49110000</v>
      </c>
      <c r="E475" s="47">
        <f t="shared" si="57"/>
        <v>3.4829127414386436E-2</v>
      </c>
      <c r="F475" s="277">
        <v>2840000</v>
      </c>
      <c r="G475" s="47">
        <f t="shared" si="58"/>
        <v>5.4667949951876807E-2</v>
      </c>
      <c r="H475" s="63">
        <v>1.9599999999999999E-2</v>
      </c>
      <c r="I475" s="280">
        <v>1</v>
      </c>
      <c r="J475" s="281">
        <f t="shared" si="59"/>
        <v>3.8947335856295957E-2</v>
      </c>
    </row>
    <row r="476" spans="1:11">
      <c r="A476" s="33">
        <v>41091</v>
      </c>
      <c r="B476" s="277">
        <v>1962348</v>
      </c>
      <c r="C476" s="277">
        <v>181461</v>
      </c>
      <c r="D476" s="277">
        <v>49190000</v>
      </c>
      <c r="E476" s="47">
        <f t="shared" si="57"/>
        <v>3.4939297799545847E-2</v>
      </c>
      <c r="F476" s="277">
        <v>2850000</v>
      </c>
      <c r="G476" s="47">
        <f t="shared" si="58"/>
        <v>5.4765564950038433E-2</v>
      </c>
      <c r="H476" s="63">
        <v>1.9099999999999999E-2</v>
      </c>
      <c r="I476" s="280">
        <v>1</v>
      </c>
      <c r="J476" s="281">
        <f t="shared" si="59"/>
        <v>3.7978242266814427E-2</v>
      </c>
    </row>
    <row r="477" spans="1:11">
      <c r="A477" s="33">
        <v>41122</v>
      </c>
      <c r="B477" s="277">
        <v>1964226</v>
      </c>
      <c r="C477" s="277">
        <v>179211</v>
      </c>
      <c r="D477" s="277">
        <v>49340000</v>
      </c>
      <c r="E477" s="47">
        <f t="shared" si="57"/>
        <v>3.4914708582481586E-2</v>
      </c>
      <c r="F477" s="277">
        <v>2760000</v>
      </c>
      <c r="G477" s="47">
        <f t="shared" si="58"/>
        <v>5.2975047984644912E-2</v>
      </c>
      <c r="H477" s="63">
        <v>1.8799999999999997E-2</v>
      </c>
      <c r="I477" s="280">
        <v>1</v>
      </c>
      <c r="J477" s="281">
        <f t="shared" si="59"/>
        <v>3.7396483470090586E-2</v>
      </c>
    </row>
    <row r="478" spans="1:11">
      <c r="A478" s="33">
        <v>41153</v>
      </c>
      <c r="B478" s="277">
        <v>1961789</v>
      </c>
      <c r="C478" s="277">
        <v>179092</v>
      </c>
      <c r="D478" s="277">
        <v>49210000</v>
      </c>
      <c r="E478" s="47">
        <f t="shared" si="57"/>
        <v>3.4959849250570135E-2</v>
      </c>
      <c r="F478" s="277">
        <v>2770000</v>
      </c>
      <c r="G478" s="47">
        <f t="shared" si="58"/>
        <v>5.3289726818006929E-2</v>
      </c>
      <c r="H478" s="63">
        <v>1.9E-2</v>
      </c>
      <c r="I478" s="280">
        <v>1</v>
      </c>
      <c r="J478" s="281">
        <f t="shared" si="59"/>
        <v>3.7784348159098369E-2</v>
      </c>
    </row>
    <row r="479" spans="1:11">
      <c r="A479" s="33">
        <v>41183</v>
      </c>
      <c r="B479" s="277">
        <v>1973279</v>
      </c>
      <c r="C479" s="277">
        <v>179295</v>
      </c>
      <c r="D479" s="277">
        <v>49430000</v>
      </c>
      <c r="E479" s="47">
        <f t="shared" si="57"/>
        <v>3.5022344220629151E-2</v>
      </c>
      <c r="F479" s="277">
        <v>2720000</v>
      </c>
      <c r="G479" s="47">
        <f t="shared" si="58"/>
        <v>5.2157238734419943E-2</v>
      </c>
      <c r="H479" s="63">
        <v>1.89E-2</v>
      </c>
      <c r="I479" s="280">
        <v>1</v>
      </c>
      <c r="J479" s="281">
        <f t="shared" si="59"/>
        <v>3.7590428606189656E-2</v>
      </c>
    </row>
    <row r="480" spans="1:11">
      <c r="A480" s="33">
        <v>41214</v>
      </c>
      <c r="B480" s="277">
        <v>1976040</v>
      </c>
      <c r="C480" s="277">
        <v>180142</v>
      </c>
      <c r="D480" s="277">
        <v>49400000</v>
      </c>
      <c r="E480" s="47">
        <f t="shared" si="57"/>
        <v>3.507894323877276E-2</v>
      </c>
      <c r="F480" s="277">
        <v>2700000</v>
      </c>
      <c r="G480" s="47">
        <f t="shared" si="58"/>
        <v>5.1823416506717852E-2</v>
      </c>
      <c r="H480" s="63">
        <v>2.0099999999999996E-2</v>
      </c>
      <c r="I480" s="280">
        <v>1</v>
      </c>
      <c r="J480" s="281">
        <f t="shared" si="59"/>
        <v>3.9915813200729081E-2</v>
      </c>
    </row>
    <row r="481" spans="1:11">
      <c r="A481" s="33">
        <v>41244</v>
      </c>
      <c r="B481" s="277">
        <v>1993901</v>
      </c>
      <c r="C481" s="277">
        <v>179771</v>
      </c>
      <c r="D481" s="277">
        <v>48840000</v>
      </c>
      <c r="E481" s="47">
        <f t="shared" si="57"/>
        <v>3.5814058991833438E-2</v>
      </c>
      <c r="F481" s="277">
        <v>2790000</v>
      </c>
      <c r="G481" s="47">
        <f t="shared" si="58"/>
        <v>5.4038349796629866E-2</v>
      </c>
      <c r="H481" s="63">
        <v>1.8700000000000001E-2</v>
      </c>
      <c r="I481" s="280">
        <v>1</v>
      </c>
      <c r="J481" s="281">
        <f t="shared" si="59"/>
        <v>3.7202512611316969E-2</v>
      </c>
      <c r="K481" s="282">
        <f t="shared" ref="K481" si="62">AVERAGE(J470:J481)</f>
        <v>3.7070317566807003E-2</v>
      </c>
    </row>
    <row r="482" spans="1:11">
      <c r="A482" s="33">
        <v>41275</v>
      </c>
      <c r="B482" s="277">
        <v>2006160</v>
      </c>
      <c r="C482" s="277">
        <v>178642</v>
      </c>
      <c r="D482" s="277">
        <v>49070000</v>
      </c>
      <c r="E482" s="47">
        <f t="shared" si="57"/>
        <v>3.5905837294462964E-2</v>
      </c>
      <c r="F482" s="277">
        <v>2770000</v>
      </c>
      <c r="G482" s="47">
        <f t="shared" si="58"/>
        <v>5.3433641975308643E-2</v>
      </c>
      <c r="H482" s="63">
        <v>2.0199999999999999E-2</v>
      </c>
      <c r="I482" s="280">
        <v>1</v>
      </c>
      <c r="J482" s="281">
        <f t="shared" si="59"/>
        <v>4.0109436116654289E-2</v>
      </c>
    </row>
    <row r="483" spans="1:11">
      <c r="A483" s="33">
        <v>41306</v>
      </c>
      <c r="B483" s="277">
        <v>2028014</v>
      </c>
      <c r="C483" s="277">
        <v>180948</v>
      </c>
      <c r="D483" s="277">
        <v>49200000</v>
      </c>
      <c r="E483" s="47">
        <f t="shared" si="57"/>
        <v>3.6183587906893612E-2</v>
      </c>
      <c r="F483" s="277">
        <v>2820000</v>
      </c>
      <c r="G483" s="47">
        <f t="shared" si="58"/>
        <v>5.4209919261822379E-2</v>
      </c>
      <c r="H483" s="63">
        <v>1.9099999999999999E-2</v>
      </c>
      <c r="I483" s="280">
        <v>1</v>
      </c>
      <c r="J483" s="281">
        <f t="shared" si="59"/>
        <v>3.7978242266814427E-2</v>
      </c>
    </row>
    <row r="484" spans="1:11">
      <c r="A484" s="33">
        <v>41334</v>
      </c>
      <c r="B484" s="277">
        <v>2051864</v>
      </c>
      <c r="C484" s="277">
        <v>183711</v>
      </c>
      <c r="D484" s="277">
        <v>49200000</v>
      </c>
      <c r="E484" s="47">
        <f t="shared" si="57"/>
        <v>3.6581565814608571E-2</v>
      </c>
      <c r="F484" s="277">
        <v>2720000</v>
      </c>
      <c r="G484" s="47">
        <f t="shared" si="58"/>
        <v>5.2388289676425268E-2</v>
      </c>
      <c r="H484" s="63">
        <v>1.8799999999999997E-2</v>
      </c>
      <c r="I484" s="280">
        <v>1</v>
      </c>
      <c r="J484" s="281">
        <f t="shared" si="59"/>
        <v>3.7396483470090586E-2</v>
      </c>
    </row>
    <row r="485" spans="1:11">
      <c r="A485" s="33">
        <v>41365</v>
      </c>
      <c r="B485" s="277">
        <v>2067233</v>
      </c>
      <c r="C485" s="277">
        <v>179765</v>
      </c>
      <c r="D485" s="277">
        <v>49600000</v>
      </c>
      <c r="E485" s="47">
        <f t="shared" si="57"/>
        <v>3.6658784619200926E-2</v>
      </c>
      <c r="F485" s="277">
        <v>2730000</v>
      </c>
      <c r="G485" s="47">
        <f t="shared" si="58"/>
        <v>5.2168927957194723E-2</v>
      </c>
      <c r="H485" s="63">
        <v>1.89E-2</v>
      </c>
      <c r="I485" s="280">
        <v>1</v>
      </c>
      <c r="J485" s="281">
        <f t="shared" si="59"/>
        <v>3.7590428606189656E-2</v>
      </c>
    </row>
    <row r="486" spans="1:11">
      <c r="A486" s="33">
        <v>41395</v>
      </c>
      <c r="B486" s="277">
        <v>2085142</v>
      </c>
      <c r="C486" s="277">
        <v>179427</v>
      </c>
      <c r="D486" s="277">
        <v>49450000</v>
      </c>
      <c r="E486" s="47">
        <f t="shared" si="57"/>
        <v>3.7108138792342781E-2</v>
      </c>
      <c r="F486" s="277">
        <v>2720000</v>
      </c>
      <c r="G486" s="47">
        <f t="shared" si="58"/>
        <v>5.213724362660533E-2</v>
      </c>
      <c r="H486" s="63">
        <v>1.7899999999999999E-2</v>
      </c>
      <c r="I486" s="280">
        <v>1</v>
      </c>
      <c r="J486" s="281">
        <f t="shared" si="59"/>
        <v>3.564980247666602E-2</v>
      </c>
    </row>
    <row r="487" spans="1:11">
      <c r="A487" s="33">
        <v>41426</v>
      </c>
      <c r="B487" s="277">
        <v>2115152</v>
      </c>
      <c r="C487" s="277">
        <v>178099</v>
      </c>
      <c r="D487" s="277">
        <v>49410000</v>
      </c>
      <c r="E487" s="47">
        <f t="shared" si="57"/>
        <v>3.7724716158491121E-2</v>
      </c>
      <c r="F487" s="277">
        <v>2570000</v>
      </c>
      <c r="G487" s="47">
        <f t="shared" si="58"/>
        <v>4.9442093112735667E-2</v>
      </c>
      <c r="H487" s="63">
        <v>1.7500000000000002E-2</v>
      </c>
      <c r="I487" s="280">
        <v>1</v>
      </c>
      <c r="J487" s="281">
        <f t="shared" si="59"/>
        <v>3.4872803026755231E-2</v>
      </c>
    </row>
    <row r="488" spans="1:11">
      <c r="A488" s="33">
        <v>41456</v>
      </c>
      <c r="B488" s="277">
        <v>2132089</v>
      </c>
      <c r="C488" s="277">
        <v>178595</v>
      </c>
      <c r="D488" s="277">
        <v>49610000</v>
      </c>
      <c r="E488" s="47">
        <f t="shared" si="57"/>
        <v>3.7885213907343049E-2</v>
      </c>
      <c r="F488" s="277">
        <v>2520000</v>
      </c>
      <c r="G488" s="47">
        <f t="shared" si="58"/>
        <v>4.8340686744676772E-2</v>
      </c>
      <c r="H488" s="63">
        <v>1.8700000000000001E-2</v>
      </c>
      <c r="I488" s="280">
        <v>1</v>
      </c>
      <c r="J488" s="281">
        <f t="shared" si="59"/>
        <v>3.7202512611316969E-2</v>
      </c>
    </row>
    <row r="489" spans="1:11">
      <c r="A489" s="33">
        <v>41487</v>
      </c>
      <c r="B489" s="277">
        <v>2147350</v>
      </c>
      <c r="C489" s="277">
        <v>176250</v>
      </c>
      <c r="D489" s="277">
        <v>49640000</v>
      </c>
      <c r="E489" s="47">
        <f t="shared" si="57"/>
        <v>3.8191396811926119E-2</v>
      </c>
      <c r="F489" s="277">
        <v>2690000</v>
      </c>
      <c r="G489" s="47">
        <f t="shared" si="58"/>
        <v>5.140454806038601E-2</v>
      </c>
      <c r="H489" s="63">
        <v>1.8600000000000002E-2</v>
      </c>
      <c r="I489" s="280">
        <v>1</v>
      </c>
      <c r="J489" s="281">
        <f t="shared" si="59"/>
        <v>3.7008515888874084E-2</v>
      </c>
    </row>
    <row r="490" spans="1:11">
      <c r="A490" s="33">
        <v>41518</v>
      </c>
      <c r="B490" s="277">
        <v>2176974</v>
      </c>
      <c r="C490" s="277">
        <v>179226</v>
      </c>
      <c r="D490" s="277">
        <v>49610000</v>
      </c>
      <c r="E490" s="47">
        <f t="shared" si="57"/>
        <v>3.8710233974945003E-2</v>
      </c>
      <c r="F490" s="277">
        <v>2590000</v>
      </c>
      <c r="G490" s="47">
        <f t="shared" si="58"/>
        <v>4.9616858237547891E-2</v>
      </c>
      <c r="H490" s="63">
        <v>1.8000000000000002E-2</v>
      </c>
      <c r="I490" s="280">
        <v>1</v>
      </c>
      <c r="J490" s="281">
        <f t="shared" si="59"/>
        <v>3.5843984324827056E-2</v>
      </c>
    </row>
    <row r="491" spans="1:11">
      <c r="A491" s="33">
        <v>41548</v>
      </c>
      <c r="B491" s="277">
        <v>2191087</v>
      </c>
      <c r="C491" s="277">
        <v>177178</v>
      </c>
      <c r="D491" s="277">
        <v>49730000</v>
      </c>
      <c r="E491" s="47">
        <f t="shared" si="57"/>
        <v>3.8920696926859545E-2</v>
      </c>
      <c r="F491" s="277">
        <v>2650000</v>
      </c>
      <c r="G491" s="47">
        <f t="shared" si="58"/>
        <v>5.0591828942344409E-2</v>
      </c>
      <c r="H491" s="63">
        <v>1.83E-2</v>
      </c>
      <c r="I491" s="280">
        <v>1</v>
      </c>
      <c r="J491" s="281">
        <f t="shared" si="59"/>
        <v>3.6426369106405301E-2</v>
      </c>
    </row>
    <row r="492" spans="1:11">
      <c r="A492" s="33">
        <v>41579</v>
      </c>
      <c r="B492" s="277">
        <v>2214663</v>
      </c>
      <c r="C492" s="277">
        <v>176375</v>
      </c>
      <c r="D492" s="277">
        <v>49880000</v>
      </c>
      <c r="E492" s="47">
        <f t="shared" si="57"/>
        <v>3.9259537987847364E-2</v>
      </c>
      <c r="F492" s="277">
        <v>2580000</v>
      </c>
      <c r="G492" s="47">
        <f t="shared" si="58"/>
        <v>4.9180327868852458E-2</v>
      </c>
      <c r="H492" s="63">
        <v>1.83E-2</v>
      </c>
      <c r="I492" s="280">
        <v>1</v>
      </c>
      <c r="J492" s="281">
        <f t="shared" si="59"/>
        <v>3.6426369106405301E-2</v>
      </c>
    </row>
    <row r="493" spans="1:11">
      <c r="A493" s="33">
        <v>41609</v>
      </c>
      <c r="B493" s="277">
        <v>2234741</v>
      </c>
      <c r="C493" s="277">
        <v>177436</v>
      </c>
      <c r="D493" s="277">
        <v>49630000</v>
      </c>
      <c r="E493" s="47">
        <f t="shared" si="57"/>
        <v>3.9802907116167116E-2</v>
      </c>
      <c r="F493" s="277">
        <v>2420000</v>
      </c>
      <c r="G493" s="47">
        <f t="shared" si="58"/>
        <v>4.6493756003842458E-2</v>
      </c>
      <c r="H493" s="63">
        <v>1.89E-2</v>
      </c>
      <c r="I493" s="280">
        <v>1</v>
      </c>
      <c r="J493" s="281">
        <f t="shared" si="59"/>
        <v>3.7590428606189656E-2</v>
      </c>
      <c r="K493" s="282">
        <f t="shared" ref="K493" si="63">AVERAGE(J482:J493)</f>
        <v>3.7007947967265718E-2</v>
      </c>
    </row>
    <row r="494" spans="1:11">
      <c r="A494" s="33">
        <v>41640</v>
      </c>
      <c r="B494" s="277">
        <v>2250396</v>
      </c>
      <c r="C494" s="277">
        <v>178904</v>
      </c>
      <c r="D494" s="277">
        <v>49420000</v>
      </c>
      <c r="E494" s="47">
        <f t="shared" si="57"/>
        <v>4.0229791748897077E-2</v>
      </c>
      <c r="F494" s="277">
        <v>2400000</v>
      </c>
      <c r="G494" s="47">
        <f t="shared" si="58"/>
        <v>4.6314164415283673E-2</v>
      </c>
      <c r="H494" s="63">
        <v>1.83E-2</v>
      </c>
      <c r="I494" s="280">
        <v>1</v>
      </c>
      <c r="J494" s="281">
        <f t="shared" si="59"/>
        <v>3.6426369106405301E-2</v>
      </c>
    </row>
    <row r="495" spans="1:11">
      <c r="A495" s="33">
        <v>41671</v>
      </c>
      <c r="B495" s="277">
        <v>2253407</v>
      </c>
      <c r="C495" s="277">
        <v>172523</v>
      </c>
      <c r="D495" s="277">
        <v>49510000</v>
      </c>
      <c r="E495" s="47">
        <f t="shared" si="57"/>
        <v>4.0334335034848408E-2</v>
      </c>
      <c r="F495" s="277">
        <v>2350000</v>
      </c>
      <c r="G495" s="47">
        <f t="shared" si="58"/>
        <v>4.5314307751639027E-2</v>
      </c>
      <c r="H495" s="63">
        <v>1.7899999999999999E-2</v>
      </c>
      <c r="I495" s="280">
        <v>1</v>
      </c>
      <c r="J495" s="281">
        <f t="shared" si="59"/>
        <v>3.564980247666602E-2</v>
      </c>
    </row>
    <row r="496" spans="1:11">
      <c r="A496" s="33">
        <v>41699</v>
      </c>
      <c r="B496" s="277">
        <v>2257332</v>
      </c>
      <c r="C496" s="277">
        <v>172255</v>
      </c>
      <c r="D496" s="277">
        <v>49840000</v>
      </c>
      <c r="E496" s="47">
        <f t="shared" si="57"/>
        <v>4.0155491728977116E-2</v>
      </c>
      <c r="F496" s="277">
        <v>2410000</v>
      </c>
      <c r="G496" s="47">
        <f t="shared" si="58"/>
        <v>4.6124401913875596E-2</v>
      </c>
      <c r="H496" s="63">
        <v>1.78E-2</v>
      </c>
      <c r="I496" s="280">
        <v>1</v>
      </c>
      <c r="J496" s="281">
        <f t="shared" si="59"/>
        <v>3.5455593579434772E-2</v>
      </c>
    </row>
    <row r="497" spans="1:11">
      <c r="A497" s="33">
        <v>41730</v>
      </c>
      <c r="B497" s="277">
        <v>2270417</v>
      </c>
      <c r="C497" s="277">
        <v>171315</v>
      </c>
      <c r="D497" s="277">
        <v>49840000</v>
      </c>
      <c r="E497" s="47">
        <f t="shared" si="57"/>
        <v>4.0414676403146131E-2</v>
      </c>
      <c r="F497" s="277">
        <v>2390000</v>
      </c>
      <c r="G497" s="47">
        <f t="shared" si="58"/>
        <v>4.5759142255408766E-2</v>
      </c>
      <c r="H497" s="63">
        <v>1.7399999999999999E-2</v>
      </c>
      <c r="I497" s="280">
        <v>1</v>
      </c>
      <c r="J497" s="281">
        <f t="shared" si="59"/>
        <v>3.4678484357644569E-2</v>
      </c>
    </row>
    <row r="498" spans="1:11">
      <c r="A498" s="33">
        <v>41760</v>
      </c>
      <c r="B498" s="277">
        <v>2287424</v>
      </c>
      <c r="C498" s="277">
        <v>170632</v>
      </c>
      <c r="D498" s="277">
        <v>49840000</v>
      </c>
      <c r="E498" s="47">
        <f t="shared" si="57"/>
        <v>4.0741391423858499E-2</v>
      </c>
      <c r="F498" s="277">
        <v>2350000</v>
      </c>
      <c r="G498" s="47">
        <f t="shared" si="58"/>
        <v>4.5027783100210765E-2</v>
      </c>
      <c r="H498" s="63">
        <v>1.7399999999999999E-2</v>
      </c>
      <c r="I498" s="280">
        <v>1</v>
      </c>
      <c r="J498" s="281">
        <f t="shared" si="59"/>
        <v>3.4678484357644569E-2</v>
      </c>
    </row>
    <row r="499" spans="1:11">
      <c r="A499" s="33">
        <v>41791</v>
      </c>
      <c r="B499" s="277">
        <v>2302919</v>
      </c>
      <c r="C499" s="277">
        <v>169963</v>
      </c>
      <c r="D499" s="277">
        <v>49950000</v>
      </c>
      <c r="E499" s="47">
        <f t="shared" si="57"/>
        <v>4.0953051896670381E-2</v>
      </c>
      <c r="F499" s="277">
        <v>2430000</v>
      </c>
      <c r="G499" s="47">
        <f t="shared" si="58"/>
        <v>4.6391752577319589E-2</v>
      </c>
      <c r="H499" s="63">
        <v>1.7899999999999999E-2</v>
      </c>
      <c r="I499" s="280">
        <v>1</v>
      </c>
      <c r="J499" s="281">
        <f t="shared" si="59"/>
        <v>3.564980247666602E-2</v>
      </c>
    </row>
    <row r="500" spans="1:11">
      <c r="A500" s="33">
        <v>41821</v>
      </c>
      <c r="B500" s="277">
        <v>2288829</v>
      </c>
      <c r="C500" s="277">
        <v>168362</v>
      </c>
      <c r="D500" s="277">
        <v>49990000</v>
      </c>
      <c r="E500" s="47">
        <f t="shared" si="57"/>
        <v>4.0691767356450671E-2</v>
      </c>
      <c r="F500" s="277">
        <v>2460000</v>
      </c>
      <c r="G500" s="47">
        <f t="shared" si="58"/>
        <v>4.6901811248808392E-2</v>
      </c>
      <c r="H500" s="63">
        <v>1.83E-2</v>
      </c>
      <c r="I500" s="280">
        <v>1</v>
      </c>
      <c r="J500" s="281">
        <f t="shared" si="59"/>
        <v>3.6426369106405301E-2</v>
      </c>
    </row>
    <row r="501" spans="1:11">
      <c r="A501" s="33">
        <v>41852</v>
      </c>
      <c r="B501" s="277">
        <v>2282854</v>
      </c>
      <c r="C501" s="277">
        <v>167253</v>
      </c>
      <c r="D501" s="277">
        <v>49970000</v>
      </c>
      <c r="E501" s="47">
        <f t="shared" si="57"/>
        <v>4.0617770734756427E-2</v>
      </c>
      <c r="F501" s="277">
        <v>2280000</v>
      </c>
      <c r="G501" s="47">
        <f t="shared" si="58"/>
        <v>4.363636363636364E-2</v>
      </c>
      <c r="H501" s="63">
        <v>1.77E-2</v>
      </c>
      <c r="I501" s="280">
        <v>1</v>
      </c>
      <c r="J501" s="281">
        <f t="shared" si="59"/>
        <v>3.5261357477371032E-2</v>
      </c>
    </row>
    <row r="502" spans="1:11">
      <c r="A502" s="33">
        <v>41883</v>
      </c>
      <c r="B502" s="277">
        <v>2280741</v>
      </c>
      <c r="C502" s="277">
        <v>168725</v>
      </c>
      <c r="D502" s="277">
        <v>50050000</v>
      </c>
      <c r="E502" s="47">
        <f t="shared" si="57"/>
        <v>4.0489539361362105E-2</v>
      </c>
      <c r="F502" s="277">
        <v>2320000</v>
      </c>
      <c r="G502" s="47">
        <f t="shared" si="58"/>
        <v>4.4300171854114952E-2</v>
      </c>
      <c r="H502" s="63">
        <v>1.83E-2</v>
      </c>
      <c r="I502" s="280">
        <v>1</v>
      </c>
      <c r="J502" s="281">
        <f t="shared" si="59"/>
        <v>3.6426369106405301E-2</v>
      </c>
    </row>
    <row r="503" spans="1:11">
      <c r="A503" s="33">
        <v>41913</v>
      </c>
      <c r="B503" s="277">
        <v>2284413</v>
      </c>
      <c r="C503" s="277">
        <v>166660</v>
      </c>
      <c r="D503" s="277">
        <v>49920000</v>
      </c>
      <c r="E503" s="47">
        <f t="shared" si="57"/>
        <v>4.0696472808885505E-2</v>
      </c>
      <c r="F503" s="277">
        <v>2360000</v>
      </c>
      <c r="G503" s="47">
        <f t="shared" si="58"/>
        <v>4.5141545524100997E-2</v>
      </c>
      <c r="H503" s="63">
        <v>1.7899999999999999E-2</v>
      </c>
      <c r="I503" s="280">
        <v>1</v>
      </c>
      <c r="J503" s="281">
        <f t="shared" si="59"/>
        <v>3.564980247666602E-2</v>
      </c>
    </row>
    <row r="504" spans="1:11">
      <c r="A504" s="33">
        <v>41944</v>
      </c>
      <c r="B504" s="277">
        <v>2294745</v>
      </c>
      <c r="C504" s="277">
        <v>165828</v>
      </c>
      <c r="D504" s="277">
        <v>50030000</v>
      </c>
      <c r="E504" s="47">
        <f t="shared" si="57"/>
        <v>4.0815973997312863E-2</v>
      </c>
      <c r="F504" s="277">
        <v>2260000</v>
      </c>
      <c r="G504" s="47">
        <f t="shared" si="58"/>
        <v>4.322050105182635E-2</v>
      </c>
      <c r="H504" s="63">
        <v>1.7500000000000002E-2</v>
      </c>
      <c r="I504" s="280">
        <v>1</v>
      </c>
      <c r="J504" s="281">
        <f t="shared" si="59"/>
        <v>3.4872803026755231E-2</v>
      </c>
    </row>
    <row r="505" spans="1:11">
      <c r="A505" s="33">
        <v>41974</v>
      </c>
      <c r="B505" s="277">
        <v>2289037</v>
      </c>
      <c r="C505" s="277">
        <v>163509</v>
      </c>
      <c r="D505" s="277">
        <v>50290000</v>
      </c>
      <c r="E505" s="47">
        <f t="shared" si="57"/>
        <v>4.0551494587634414E-2</v>
      </c>
      <c r="F505" s="277">
        <v>2240000</v>
      </c>
      <c r="G505" s="47">
        <f t="shared" si="58"/>
        <v>4.264229963830192E-2</v>
      </c>
      <c r="H505" s="63">
        <v>1.8200000000000001E-2</v>
      </c>
      <c r="I505" s="280">
        <v>1</v>
      </c>
      <c r="J505" s="281">
        <f t="shared" si="59"/>
        <v>3.6232267488256496E-2</v>
      </c>
      <c r="K505" s="282">
        <f t="shared" ref="K505" si="64">AVERAGE(J494:J505)</f>
        <v>3.5617292086360046E-2</v>
      </c>
    </row>
    <row r="506" spans="1:11">
      <c r="A506" s="33">
        <v>42005</v>
      </c>
      <c r="B506" s="277">
        <v>2315189</v>
      </c>
      <c r="C506" s="277">
        <v>169305</v>
      </c>
      <c r="D506" s="277">
        <v>50300000</v>
      </c>
      <c r="E506" s="47">
        <f t="shared" si="57"/>
        <v>4.0916156547194438E-2</v>
      </c>
      <c r="F506" s="277">
        <v>2340000</v>
      </c>
      <c r="G506" s="47">
        <f t="shared" si="58"/>
        <v>4.4452887537993924E-2</v>
      </c>
      <c r="H506" s="63">
        <v>1.38E-2</v>
      </c>
      <c r="I506" s="280">
        <v>1</v>
      </c>
      <c r="J506" s="281">
        <f t="shared" si="59"/>
        <v>2.7663039425758484E-2</v>
      </c>
    </row>
    <row r="507" spans="1:11">
      <c r="A507" s="33">
        <v>42036</v>
      </c>
      <c r="B507" s="277">
        <v>2337333</v>
      </c>
      <c r="C507" s="277">
        <v>163251</v>
      </c>
      <c r="D507" s="277">
        <v>50290000</v>
      </c>
      <c r="E507" s="47">
        <f t="shared" si="57"/>
        <v>4.1439436603503327E-2</v>
      </c>
      <c r="F507" s="277">
        <v>2300000</v>
      </c>
      <c r="G507" s="47">
        <f t="shared" si="58"/>
        <v>4.3734550294732839E-2</v>
      </c>
      <c r="H507" s="63">
        <v>1.8200000000000001E-2</v>
      </c>
      <c r="I507" s="280">
        <v>1</v>
      </c>
      <c r="J507" s="281">
        <f t="shared" si="59"/>
        <v>3.6232267488256496E-2</v>
      </c>
    </row>
    <row r="508" spans="1:11">
      <c r="A508" s="33">
        <v>42064</v>
      </c>
      <c r="B508" s="277">
        <v>2329289</v>
      </c>
      <c r="C508" s="277">
        <v>156467</v>
      </c>
      <c r="D508" s="277">
        <v>50210000</v>
      </c>
      <c r="E508" s="47">
        <f t="shared" si="57"/>
        <v>4.1479666750294589E-2</v>
      </c>
      <c r="F508" s="277">
        <v>2250000</v>
      </c>
      <c r="G508" s="47">
        <f t="shared" si="58"/>
        <v>4.2889820815859701E-2</v>
      </c>
      <c r="H508" s="63">
        <v>1.95E-2</v>
      </c>
      <c r="I508" s="280">
        <v>1</v>
      </c>
      <c r="J508" s="281">
        <f t="shared" si="59"/>
        <v>3.8753566954983894E-2</v>
      </c>
    </row>
    <row r="509" spans="1:11">
      <c r="A509" s="33">
        <v>42095</v>
      </c>
      <c r="B509" s="277">
        <v>2329485</v>
      </c>
      <c r="C509" s="277">
        <v>163105</v>
      </c>
      <c r="D509" s="277">
        <v>50150000</v>
      </c>
      <c r="E509" s="47">
        <f t="shared" si="57"/>
        <v>4.1409210652571908E-2</v>
      </c>
      <c r="F509" s="277">
        <v>2210000</v>
      </c>
      <c r="G509" s="47">
        <f t="shared" si="58"/>
        <v>4.2207792207792208E-2</v>
      </c>
      <c r="H509" s="63">
        <v>1.8000000000000002E-2</v>
      </c>
      <c r="I509" s="280">
        <v>1</v>
      </c>
      <c r="J509" s="281">
        <f t="shared" si="59"/>
        <v>3.5843984324827056E-2</v>
      </c>
    </row>
    <row r="510" spans="1:11">
      <c r="A510" s="33">
        <v>42125</v>
      </c>
      <c r="B510" s="277">
        <v>2337505</v>
      </c>
      <c r="C510" s="277">
        <v>161324</v>
      </c>
      <c r="D510" s="277">
        <v>50310000</v>
      </c>
      <c r="E510" s="47">
        <f t="shared" si="57"/>
        <v>4.1461980249620368E-2</v>
      </c>
      <c r="F510" s="277">
        <v>2180000</v>
      </c>
      <c r="G510" s="47">
        <f t="shared" si="58"/>
        <v>4.1531720327681466E-2</v>
      </c>
      <c r="H510" s="63">
        <v>1.9199999999999998E-2</v>
      </c>
      <c r="I510" s="280">
        <v>1</v>
      </c>
      <c r="J510" s="281">
        <f t="shared" si="59"/>
        <v>3.8172111065872608E-2</v>
      </c>
    </row>
    <row r="511" spans="1:11">
      <c r="A511" s="33">
        <v>42156</v>
      </c>
      <c r="B511" s="277">
        <v>2349184</v>
      </c>
      <c r="C511" s="277">
        <v>160236</v>
      </c>
      <c r="D511" s="277">
        <v>50390000</v>
      </c>
      <c r="E511" s="47">
        <f t="shared" si="57"/>
        <v>4.1631643143563844E-2</v>
      </c>
      <c r="F511" s="277">
        <v>2220000</v>
      </c>
      <c r="G511" s="47">
        <f t="shared" si="58"/>
        <v>4.2197300893366277E-2</v>
      </c>
      <c r="H511" s="63">
        <v>1.8700000000000001E-2</v>
      </c>
      <c r="I511" s="280">
        <v>1</v>
      </c>
      <c r="J511" s="281">
        <f t="shared" si="59"/>
        <v>3.7202512611316969E-2</v>
      </c>
    </row>
    <row r="512" spans="1:11">
      <c r="A512" s="33">
        <v>42186</v>
      </c>
      <c r="B512" s="277">
        <v>2373101</v>
      </c>
      <c r="C512" s="277">
        <v>159412</v>
      </c>
      <c r="D512" s="277">
        <v>50230000</v>
      </c>
      <c r="E512" s="47">
        <f t="shared" si="57"/>
        <v>4.2210779642141497E-2</v>
      </c>
      <c r="F512" s="277">
        <v>2200000</v>
      </c>
      <c r="G512" s="47">
        <f t="shared" si="58"/>
        <v>4.1960709517451837E-2</v>
      </c>
      <c r="H512" s="63">
        <v>1.8200000000000001E-2</v>
      </c>
      <c r="I512" s="280">
        <v>1</v>
      </c>
      <c r="J512" s="281">
        <f t="shared" si="59"/>
        <v>3.6232267488256496E-2</v>
      </c>
    </row>
    <row r="513" spans="1:11">
      <c r="A513" s="33">
        <v>42217</v>
      </c>
      <c r="B513" s="277">
        <v>2410405</v>
      </c>
      <c r="C513" s="277">
        <v>158393</v>
      </c>
      <c r="D513" s="277">
        <v>50300000</v>
      </c>
      <c r="E513" s="47">
        <f t="shared" si="57"/>
        <v>4.2853011983632519E-2</v>
      </c>
      <c r="F513" s="277">
        <v>2220000</v>
      </c>
      <c r="G513" s="47">
        <f t="shared" si="58"/>
        <v>4.2269611576542271E-2</v>
      </c>
      <c r="H513" s="63">
        <v>1.89E-2</v>
      </c>
      <c r="I513" s="280">
        <v>1</v>
      </c>
      <c r="J513" s="281">
        <f t="shared" si="59"/>
        <v>3.7590428606189656E-2</v>
      </c>
    </row>
    <row r="514" spans="1:11">
      <c r="A514" s="33">
        <v>42248</v>
      </c>
      <c r="B514" s="277">
        <v>2409069</v>
      </c>
      <c r="C514" s="277">
        <v>155807</v>
      </c>
      <c r="D514" s="277">
        <v>50510000</v>
      </c>
      <c r="E514" s="47">
        <f t="shared" si="57"/>
        <v>4.270513070249523E-2</v>
      </c>
      <c r="F514" s="277">
        <v>2250000</v>
      </c>
      <c r="G514" s="47">
        <f t="shared" si="58"/>
        <v>4.2645943896891587E-2</v>
      </c>
      <c r="H514" s="63">
        <v>1.8600000000000002E-2</v>
      </c>
      <c r="I514" s="280">
        <v>1</v>
      </c>
      <c r="J514" s="281">
        <f t="shared" si="59"/>
        <v>3.7008515888874084E-2</v>
      </c>
    </row>
    <row r="515" spans="1:11">
      <c r="A515" s="33">
        <v>42278</v>
      </c>
      <c r="B515" s="277">
        <v>2420636</v>
      </c>
      <c r="C515" s="277">
        <v>158052</v>
      </c>
      <c r="D515" s="277">
        <v>50600000</v>
      </c>
      <c r="E515" s="47">
        <f t="shared" ref="E515:E578" si="65">(B515-C515)/(B515-C515+D515)</f>
        <v>4.2801237260743821E-2</v>
      </c>
      <c r="F515" s="277">
        <v>2110000</v>
      </c>
      <c r="G515" s="47">
        <f t="shared" ref="G515:G578" si="66">F515/(D515+F515)</f>
        <v>4.0030354771390629E-2</v>
      </c>
      <c r="H515" s="63">
        <v>1.8600000000000002E-2</v>
      </c>
      <c r="I515" s="280">
        <v>1</v>
      </c>
      <c r="J515" s="281">
        <f t="shared" ref="J515:J578" si="67">EXP((0.036225+LOG(H515,EXP(1))*0.056981+I515*-0.001826)/(1+0.035334-0.976896))</f>
        <v>3.7008515888874084E-2</v>
      </c>
    </row>
    <row r="516" spans="1:11">
      <c r="A516" s="33">
        <v>42309</v>
      </c>
      <c r="B516" s="277">
        <v>2442942</v>
      </c>
      <c r="C516" s="277">
        <v>158701</v>
      </c>
      <c r="D516" s="277">
        <v>50500000</v>
      </c>
      <c r="E516" s="47">
        <f t="shared" si="65"/>
        <v>4.3275056280528877E-2</v>
      </c>
      <c r="F516" s="277">
        <v>2160000</v>
      </c>
      <c r="G516" s="47">
        <f t="shared" si="66"/>
        <v>4.1017850360805165E-2</v>
      </c>
      <c r="H516" s="63">
        <v>1.8799999999999997E-2</v>
      </c>
      <c r="I516" s="280">
        <v>1</v>
      </c>
      <c r="J516" s="281">
        <f t="shared" si="67"/>
        <v>3.7396483470090586E-2</v>
      </c>
    </row>
    <row r="517" spans="1:11">
      <c r="A517" s="33">
        <v>42339</v>
      </c>
      <c r="B517" s="277">
        <v>2455057</v>
      </c>
      <c r="C517" s="277">
        <v>156773</v>
      </c>
      <c r="D517" s="277">
        <v>50880000</v>
      </c>
      <c r="E517" s="47">
        <f t="shared" si="65"/>
        <v>4.321846865160222E-2</v>
      </c>
      <c r="F517" s="277">
        <v>2160000</v>
      </c>
      <c r="G517" s="47">
        <f t="shared" si="66"/>
        <v>4.072398190045249E-2</v>
      </c>
      <c r="H517" s="63">
        <v>1.84E-2</v>
      </c>
      <c r="I517" s="280">
        <v>1</v>
      </c>
      <c r="J517" s="281">
        <f t="shared" si="67"/>
        <v>3.6620444281301193E-2</v>
      </c>
      <c r="K517" s="282">
        <f t="shared" ref="K517" si="68">AVERAGE(J506:J517)</f>
        <v>3.6310344791216802E-2</v>
      </c>
    </row>
    <row r="518" spans="1:11">
      <c r="A518" s="33">
        <v>42370</v>
      </c>
      <c r="B518" s="277">
        <v>2456660</v>
      </c>
      <c r="C518" s="277">
        <v>154766</v>
      </c>
      <c r="D518" s="277">
        <v>51210000</v>
      </c>
      <c r="E518" s="47">
        <f t="shared" si="65"/>
        <v>4.3016492744584973E-2</v>
      </c>
      <c r="F518" s="277">
        <v>2150000</v>
      </c>
      <c r="G518" s="47">
        <f t="shared" si="66"/>
        <v>4.0292353823088455E-2</v>
      </c>
      <c r="H518" s="63">
        <v>1.89E-2</v>
      </c>
      <c r="I518" s="280">
        <v>1</v>
      </c>
      <c r="J518" s="281">
        <f t="shared" si="67"/>
        <v>3.7590428606189656E-2</v>
      </c>
    </row>
    <row r="519" spans="1:11">
      <c r="A519" s="33">
        <v>42401</v>
      </c>
      <c r="B519" s="277">
        <v>2483308</v>
      </c>
      <c r="C519" s="277">
        <v>156009</v>
      </c>
      <c r="D519" s="277">
        <v>51100000</v>
      </c>
      <c r="E519" s="47">
        <f t="shared" si="65"/>
        <v>4.3560109598652925E-2</v>
      </c>
      <c r="F519" s="277">
        <v>2180000</v>
      </c>
      <c r="G519" s="47">
        <f t="shared" si="66"/>
        <v>4.0915915915915917E-2</v>
      </c>
      <c r="H519" s="63">
        <v>1.8700000000000001E-2</v>
      </c>
      <c r="I519" s="280">
        <v>1</v>
      </c>
      <c r="J519" s="281">
        <f t="shared" si="67"/>
        <v>3.7202512611316969E-2</v>
      </c>
    </row>
    <row r="520" spans="1:11">
      <c r="A520" s="33">
        <v>42430</v>
      </c>
      <c r="B520" s="277">
        <v>2494112</v>
      </c>
      <c r="C520" s="277">
        <v>152998</v>
      </c>
      <c r="D520" s="277">
        <v>51200000</v>
      </c>
      <c r="E520" s="47">
        <f t="shared" si="65"/>
        <v>4.3725537724149707E-2</v>
      </c>
      <c r="F520" s="277">
        <v>2140000</v>
      </c>
      <c r="G520" s="47">
        <f t="shared" si="66"/>
        <v>4.0119985001874768E-2</v>
      </c>
      <c r="H520" s="63">
        <v>1.83E-2</v>
      </c>
      <c r="I520" s="280">
        <v>1</v>
      </c>
      <c r="J520" s="281">
        <f t="shared" si="67"/>
        <v>3.6426369106405301E-2</v>
      </c>
    </row>
    <row r="521" spans="1:11">
      <c r="A521" s="33">
        <v>42461</v>
      </c>
      <c r="B521" s="277">
        <v>2508740</v>
      </c>
      <c r="C521" s="277">
        <v>150940</v>
      </c>
      <c r="D521" s="277">
        <v>51050000</v>
      </c>
      <c r="E521" s="47">
        <f t="shared" si="65"/>
        <v>4.4147109598223482E-2</v>
      </c>
      <c r="F521" s="277">
        <v>2130000</v>
      </c>
      <c r="G521" s="47">
        <f t="shared" si="66"/>
        <v>4.00526513726965E-2</v>
      </c>
      <c r="H521" s="63">
        <v>1.8500000000000003E-2</v>
      </c>
      <c r="I521" s="280">
        <v>1</v>
      </c>
      <c r="J521" s="281">
        <f t="shared" si="67"/>
        <v>3.6814493160232165E-2</v>
      </c>
    </row>
    <row r="522" spans="1:11">
      <c r="A522" s="33">
        <v>42491</v>
      </c>
      <c r="B522" s="277">
        <v>2514611</v>
      </c>
      <c r="C522" s="277">
        <v>151146</v>
      </c>
      <c r="D522" s="277">
        <v>51100000</v>
      </c>
      <c r="E522" s="47">
        <f t="shared" si="65"/>
        <v>4.4207104795770343E-2</v>
      </c>
      <c r="F522" s="277">
        <v>2110000</v>
      </c>
      <c r="G522" s="47">
        <f t="shared" si="66"/>
        <v>3.9654200338282278E-2</v>
      </c>
      <c r="H522" s="63">
        <v>1.8600000000000002E-2</v>
      </c>
      <c r="I522" s="280">
        <v>1</v>
      </c>
      <c r="J522" s="281">
        <f t="shared" si="67"/>
        <v>3.7008515888874084E-2</v>
      </c>
    </row>
    <row r="523" spans="1:11">
      <c r="A523" s="33">
        <v>42522</v>
      </c>
      <c r="B523" s="277">
        <v>2523887</v>
      </c>
      <c r="C523" s="277">
        <v>150953</v>
      </c>
      <c r="D523" s="277">
        <v>51070000</v>
      </c>
      <c r="E523" s="47">
        <f t="shared" si="65"/>
        <v>4.4401267340599224E-2</v>
      </c>
      <c r="F523" s="277">
        <v>2080000</v>
      </c>
      <c r="G523" s="47">
        <f t="shared" si="66"/>
        <v>3.9134524929444969E-2</v>
      </c>
      <c r="H523" s="63">
        <v>1.77E-2</v>
      </c>
      <c r="I523" s="280">
        <v>1</v>
      </c>
      <c r="J523" s="281">
        <f t="shared" si="67"/>
        <v>3.5261357477371032E-2</v>
      </c>
    </row>
    <row r="524" spans="1:11">
      <c r="A524" s="33">
        <v>42552</v>
      </c>
      <c r="B524" s="277">
        <v>2535957</v>
      </c>
      <c r="C524" s="277">
        <v>150840</v>
      </c>
      <c r="D524" s="277">
        <v>51110000</v>
      </c>
      <c r="E524" s="47">
        <f t="shared" si="65"/>
        <v>4.4585695550492951E-2</v>
      </c>
      <c r="F524" s="277">
        <v>2020000</v>
      </c>
      <c r="G524" s="47">
        <f t="shared" si="66"/>
        <v>3.8019951063429328E-2</v>
      </c>
      <c r="H524" s="63">
        <v>1.7600000000000001E-2</v>
      </c>
      <c r="I524" s="280">
        <v>1</v>
      </c>
      <c r="J524" s="281">
        <f t="shared" si="67"/>
        <v>3.5067094012930289E-2</v>
      </c>
    </row>
    <row r="525" spans="1:11">
      <c r="A525" s="33">
        <v>42583</v>
      </c>
      <c r="B525" s="277">
        <v>2548212</v>
      </c>
      <c r="C525" s="277">
        <v>151168</v>
      </c>
      <c r="D525" s="277">
        <v>51300000</v>
      </c>
      <c r="E525" s="47">
        <f t="shared" si="65"/>
        <v>4.4640148161600848E-2</v>
      </c>
      <c r="F525" s="277">
        <v>2090000</v>
      </c>
      <c r="G525" s="47">
        <f t="shared" si="66"/>
        <v>3.9145907473309607E-2</v>
      </c>
      <c r="H525" s="63">
        <v>1.7299999999999999E-2</v>
      </c>
      <c r="I525" s="280">
        <v>1</v>
      </c>
      <c r="J525" s="281">
        <f t="shared" si="67"/>
        <v>3.4484137842520871E-2</v>
      </c>
    </row>
    <row r="526" spans="1:11">
      <c r="A526" s="33">
        <v>42614</v>
      </c>
      <c r="B526" s="277">
        <v>2558896</v>
      </c>
      <c r="C526" s="277">
        <v>148845</v>
      </c>
      <c r="D526" s="277">
        <v>51440000</v>
      </c>
      <c r="E526" s="47">
        <f t="shared" si="65"/>
        <v>4.4754850835703013E-2</v>
      </c>
      <c r="F526" s="277">
        <v>2010000</v>
      </c>
      <c r="G526" s="47">
        <f t="shared" si="66"/>
        <v>3.7605238540692233E-2</v>
      </c>
      <c r="H526" s="63">
        <v>1.84E-2</v>
      </c>
      <c r="I526" s="280">
        <v>1</v>
      </c>
      <c r="J526" s="281">
        <f t="shared" si="67"/>
        <v>3.6620444281301193E-2</v>
      </c>
    </row>
    <row r="527" spans="1:11">
      <c r="A527" s="33">
        <v>42644</v>
      </c>
      <c r="B527" s="277">
        <v>2570082</v>
      </c>
      <c r="C527" s="277">
        <v>148808</v>
      </c>
      <c r="D527" s="277">
        <v>51510000</v>
      </c>
      <c r="E527" s="47">
        <f t="shared" si="65"/>
        <v>4.4895546135253546E-2</v>
      </c>
      <c r="F527" s="277">
        <v>1980000</v>
      </c>
      <c r="G527" s="47">
        <f t="shared" si="66"/>
        <v>3.7016264722378012E-2</v>
      </c>
      <c r="H527" s="63">
        <v>1.8000000000000002E-2</v>
      </c>
      <c r="I527" s="280">
        <v>1</v>
      </c>
      <c r="J527" s="281">
        <f t="shared" si="67"/>
        <v>3.5843984324827056E-2</v>
      </c>
    </row>
    <row r="528" spans="1:11">
      <c r="A528" s="33">
        <v>42675</v>
      </c>
      <c r="B528" s="277">
        <v>2576282</v>
      </c>
      <c r="C528" s="277">
        <v>148776</v>
      </c>
      <c r="D528" s="277">
        <v>51540000</v>
      </c>
      <c r="E528" s="47">
        <f t="shared" si="65"/>
        <v>4.4980881643854359E-2</v>
      </c>
      <c r="F528" s="277">
        <v>2020000</v>
      </c>
      <c r="G528" s="47">
        <f t="shared" si="66"/>
        <v>3.7714712471994025E-2</v>
      </c>
      <c r="H528" s="63">
        <v>1.83E-2</v>
      </c>
      <c r="I528" s="280">
        <v>1</v>
      </c>
      <c r="J528" s="281">
        <f t="shared" si="67"/>
        <v>3.6426369106405301E-2</v>
      </c>
    </row>
    <row r="529" spans="1:11">
      <c r="A529" s="33">
        <v>42705</v>
      </c>
      <c r="B529" s="277">
        <v>2586968</v>
      </c>
      <c r="C529" s="277">
        <v>148021</v>
      </c>
      <c r="D529" s="277">
        <v>51730000</v>
      </c>
      <c r="E529" s="47">
        <f t="shared" si="65"/>
        <v>4.5024818370569396E-2</v>
      </c>
      <c r="F529" s="277">
        <v>2040000</v>
      </c>
      <c r="G529" s="47">
        <f t="shared" si="66"/>
        <v>3.7939371396689604E-2</v>
      </c>
      <c r="H529" s="63">
        <v>1.7600000000000001E-2</v>
      </c>
      <c r="I529" s="280">
        <v>1</v>
      </c>
      <c r="J529" s="281">
        <f t="shared" si="67"/>
        <v>3.5067094012930289E-2</v>
      </c>
      <c r="K529" s="282">
        <f t="shared" ref="K529" si="69">AVERAGE(J518:J529)</f>
        <v>3.6151066702608682E-2</v>
      </c>
    </row>
    <row r="530" spans="1:11">
      <c r="A530" s="33">
        <v>42736</v>
      </c>
      <c r="B530" s="277">
        <v>2612192</v>
      </c>
      <c r="C530" s="277">
        <v>150003</v>
      </c>
      <c r="D530" s="277">
        <v>51670000</v>
      </c>
      <c r="E530" s="47">
        <f t="shared" si="65"/>
        <v>4.548474845530448E-2</v>
      </c>
      <c r="F530" s="277">
        <v>2020000</v>
      </c>
      <c r="G530" s="47">
        <f t="shared" si="66"/>
        <v>3.7623393555596948E-2</v>
      </c>
      <c r="H530" s="63">
        <v>1.9E-2</v>
      </c>
      <c r="I530" s="280">
        <v>1</v>
      </c>
      <c r="J530" s="281">
        <f t="shared" si="67"/>
        <v>3.7784348159098369E-2</v>
      </c>
    </row>
    <row r="531" spans="1:11">
      <c r="A531" s="33">
        <v>42767</v>
      </c>
      <c r="B531" s="277">
        <v>2627834</v>
      </c>
      <c r="C531" s="277">
        <v>150118</v>
      </c>
      <c r="D531" s="277">
        <v>51460000</v>
      </c>
      <c r="E531" s="47">
        <f t="shared" si="65"/>
        <v>4.5936613259634503E-2</v>
      </c>
      <c r="F531" s="277">
        <v>1940000</v>
      </c>
      <c r="G531" s="47">
        <f t="shared" si="66"/>
        <v>3.6329588014981276E-2</v>
      </c>
      <c r="H531" s="63">
        <v>1.83E-2</v>
      </c>
      <c r="I531" s="280">
        <v>1</v>
      </c>
      <c r="J531" s="281">
        <f t="shared" si="67"/>
        <v>3.6426369106405301E-2</v>
      </c>
    </row>
    <row r="532" spans="1:11">
      <c r="A532" s="33">
        <v>42795</v>
      </c>
      <c r="B532" s="277">
        <v>2652857</v>
      </c>
      <c r="C532" s="277">
        <v>148873</v>
      </c>
      <c r="D532" s="277">
        <v>51480000</v>
      </c>
      <c r="E532" s="47">
        <f t="shared" si="65"/>
        <v>4.6383831174816592E-2</v>
      </c>
      <c r="F532" s="277">
        <v>1850000</v>
      </c>
      <c r="G532" s="47">
        <f t="shared" si="66"/>
        <v>3.4689668104256513E-2</v>
      </c>
      <c r="H532" s="63">
        <v>1.77E-2</v>
      </c>
      <c r="I532" s="280">
        <v>1</v>
      </c>
      <c r="J532" s="281">
        <f t="shared" si="67"/>
        <v>3.5261357477371032E-2</v>
      </c>
    </row>
    <row r="533" spans="1:11">
      <c r="A533" s="33">
        <v>42826</v>
      </c>
      <c r="B533" s="277">
        <v>2669547</v>
      </c>
      <c r="C533" s="277">
        <v>146425</v>
      </c>
      <c r="D533" s="277">
        <v>51590000</v>
      </c>
      <c r="E533" s="47">
        <f t="shared" si="65"/>
        <v>4.6626805232194882E-2</v>
      </c>
      <c r="F533" s="277">
        <v>1860000</v>
      </c>
      <c r="G533" s="47">
        <f t="shared" si="66"/>
        <v>3.4798877455565952E-2</v>
      </c>
      <c r="H533" s="63">
        <v>1.8000000000000002E-2</v>
      </c>
      <c r="I533" s="280">
        <v>1</v>
      </c>
      <c r="J533" s="281">
        <f t="shared" si="67"/>
        <v>3.5843984324827056E-2</v>
      </c>
    </row>
    <row r="534" spans="1:11">
      <c r="A534" s="33">
        <v>42856</v>
      </c>
      <c r="B534" s="277">
        <v>2663960</v>
      </c>
      <c r="C534" s="277">
        <v>143970</v>
      </c>
      <c r="D534" s="277">
        <v>51650000</v>
      </c>
      <c r="E534" s="47">
        <f t="shared" si="65"/>
        <v>4.6520038124430153E-2</v>
      </c>
      <c r="F534" s="277">
        <v>2050000</v>
      </c>
      <c r="G534" s="47">
        <f t="shared" si="66"/>
        <v>3.8175046554934824E-2</v>
      </c>
      <c r="H534" s="63">
        <v>1.78E-2</v>
      </c>
      <c r="I534" s="280">
        <v>1</v>
      </c>
      <c r="J534" s="281">
        <f t="shared" si="67"/>
        <v>3.5455593579434772E-2</v>
      </c>
    </row>
    <row r="535" spans="1:11">
      <c r="A535" s="33">
        <v>42887</v>
      </c>
      <c r="B535" s="277">
        <v>2684417</v>
      </c>
      <c r="C535" s="277">
        <v>146009</v>
      </c>
      <c r="D535" s="277">
        <v>52100000</v>
      </c>
      <c r="E535" s="47">
        <f t="shared" si="65"/>
        <v>4.6458308228892763E-2</v>
      </c>
      <c r="F535" s="277">
        <v>1900000</v>
      </c>
      <c r="G535" s="47">
        <f t="shared" si="66"/>
        <v>3.5185185185185187E-2</v>
      </c>
      <c r="H535" s="63">
        <v>1.78E-2</v>
      </c>
      <c r="I535" s="280">
        <v>1</v>
      </c>
      <c r="J535" s="281">
        <f t="shared" si="67"/>
        <v>3.5455593579434772E-2</v>
      </c>
    </row>
    <row r="536" spans="1:11">
      <c r="A536" s="33">
        <v>42917</v>
      </c>
      <c r="B536" s="277">
        <v>2696423</v>
      </c>
      <c r="C536" s="277">
        <v>144309</v>
      </c>
      <c r="D536" s="277">
        <v>52240000</v>
      </c>
      <c r="E536" s="47">
        <f t="shared" si="65"/>
        <v>4.6578126188013116E-2</v>
      </c>
      <c r="F536" s="277">
        <v>1900000</v>
      </c>
      <c r="G536" s="47">
        <f t="shared" si="66"/>
        <v>3.5094200221647581E-2</v>
      </c>
      <c r="H536" s="63">
        <v>1.8000000000000002E-2</v>
      </c>
      <c r="I536" s="280">
        <v>1</v>
      </c>
      <c r="J536" s="281">
        <f t="shared" si="67"/>
        <v>3.5843984324827056E-2</v>
      </c>
    </row>
    <row r="537" spans="1:11">
      <c r="A537" s="33">
        <v>42948</v>
      </c>
      <c r="B537" s="277">
        <v>2712661</v>
      </c>
      <c r="C537" s="277">
        <v>144667</v>
      </c>
      <c r="D537" s="277">
        <v>52290000</v>
      </c>
      <c r="E537" s="47">
        <f t="shared" si="65"/>
        <v>4.6811664312770895E-2</v>
      </c>
      <c r="F537" s="277">
        <v>1860000</v>
      </c>
      <c r="G537" s="47">
        <f t="shared" si="66"/>
        <v>3.434903047091413E-2</v>
      </c>
      <c r="H537" s="63">
        <v>2.0299999999999999E-2</v>
      </c>
      <c r="I537" s="280">
        <v>1</v>
      </c>
      <c r="J537" s="281">
        <f t="shared" si="67"/>
        <v>4.0303035135513185E-2</v>
      </c>
    </row>
    <row r="538" spans="1:11">
      <c r="A538" s="33">
        <v>42979</v>
      </c>
      <c r="B538" s="277">
        <v>2730653</v>
      </c>
      <c r="C538" s="277">
        <v>145780</v>
      </c>
      <c r="D538" s="277">
        <v>52250000</v>
      </c>
      <c r="E538" s="47">
        <f t="shared" si="65"/>
        <v>4.713921741005947E-2</v>
      </c>
      <c r="F538" s="277">
        <v>1870000</v>
      </c>
      <c r="G538" s="47">
        <f t="shared" si="66"/>
        <v>3.4552845528455285E-2</v>
      </c>
      <c r="H538" s="63">
        <v>1.8100000000000002E-2</v>
      </c>
      <c r="I538" s="280">
        <v>1</v>
      </c>
      <c r="J538" s="281">
        <f t="shared" si="67"/>
        <v>3.6038139277928129E-2</v>
      </c>
    </row>
    <row r="539" spans="1:11">
      <c r="A539" s="33">
        <v>43009</v>
      </c>
      <c r="B539" s="277">
        <v>2745670</v>
      </c>
      <c r="C539" s="277">
        <v>142846</v>
      </c>
      <c r="D539" s="277">
        <v>52070000</v>
      </c>
      <c r="E539" s="47">
        <f t="shared" si="65"/>
        <v>4.7607271941906643E-2</v>
      </c>
      <c r="F539" s="277">
        <v>1840000</v>
      </c>
      <c r="G539" s="47">
        <f t="shared" si="66"/>
        <v>3.4130959005750326E-2</v>
      </c>
      <c r="H539" s="63">
        <v>1.7899999999999999E-2</v>
      </c>
      <c r="I539" s="280">
        <v>1</v>
      </c>
      <c r="J539" s="281">
        <f t="shared" si="67"/>
        <v>3.564980247666602E-2</v>
      </c>
    </row>
    <row r="540" spans="1:11">
      <c r="A540" s="33">
        <v>43040</v>
      </c>
      <c r="B540" s="277">
        <v>2745989</v>
      </c>
      <c r="C540" s="277">
        <v>140991</v>
      </c>
      <c r="D540" s="277">
        <v>52080000</v>
      </c>
      <c r="E540" s="47">
        <f t="shared" si="65"/>
        <v>4.7636428550294541E-2</v>
      </c>
      <c r="F540" s="277">
        <v>1830000</v>
      </c>
      <c r="G540" s="47">
        <f t="shared" si="66"/>
        <v>3.3945464663327769E-2</v>
      </c>
      <c r="H540" s="63">
        <v>1.7899999999999999E-2</v>
      </c>
      <c r="I540" s="280">
        <v>1</v>
      </c>
      <c r="J540" s="281">
        <f t="shared" si="67"/>
        <v>3.564980247666602E-2</v>
      </c>
    </row>
    <row r="541" spans="1:11">
      <c r="A541" s="33">
        <v>43070</v>
      </c>
      <c r="B541" s="277">
        <v>2763882</v>
      </c>
      <c r="C541" s="277">
        <v>141824</v>
      </c>
      <c r="D541" s="277">
        <v>52020000</v>
      </c>
      <c r="E541" s="47">
        <f t="shared" si="65"/>
        <v>4.798607695193325E-2</v>
      </c>
      <c r="F541" s="277">
        <v>1840000</v>
      </c>
      <c r="G541" s="47">
        <f t="shared" si="66"/>
        <v>3.416264389157074E-2</v>
      </c>
      <c r="H541" s="63">
        <v>1.8700000000000001E-2</v>
      </c>
      <c r="I541" s="280">
        <v>1</v>
      </c>
      <c r="J541" s="281">
        <f t="shared" si="67"/>
        <v>3.7202512611316969E-2</v>
      </c>
      <c r="K541" s="282">
        <f t="shared" ref="K541" si="70">AVERAGE(J530:J541)</f>
        <v>3.6409543544124061E-2</v>
      </c>
    </row>
    <row r="542" spans="1:11">
      <c r="A542" s="33">
        <v>43101</v>
      </c>
      <c r="B542" s="277">
        <v>2774941</v>
      </c>
      <c r="C542" s="277">
        <v>139854</v>
      </c>
      <c r="D542" s="277">
        <v>52400000</v>
      </c>
      <c r="E542" s="47">
        <f t="shared" si="65"/>
        <v>4.7880127817368584E-2</v>
      </c>
      <c r="F542" s="277">
        <v>1630000</v>
      </c>
      <c r="G542" s="47">
        <f t="shared" si="66"/>
        <v>3.0168424949102352E-2</v>
      </c>
      <c r="H542" s="63">
        <v>1.6200000000000003E-2</v>
      </c>
      <c r="I542" s="280">
        <v>1</v>
      </c>
      <c r="J542" s="281">
        <f t="shared" si="67"/>
        <v>3.2344439718592063E-2</v>
      </c>
    </row>
    <row r="543" spans="1:11">
      <c r="A543" s="33">
        <v>43132</v>
      </c>
      <c r="B543" s="277">
        <v>2748361</v>
      </c>
      <c r="C543" s="277">
        <v>140152</v>
      </c>
      <c r="D543" s="277">
        <v>52660000</v>
      </c>
      <c r="E543" s="47">
        <f t="shared" si="65"/>
        <v>4.7191849477156024E-2</v>
      </c>
      <c r="F543" s="277">
        <v>1720000</v>
      </c>
      <c r="G543" s="47">
        <f t="shared" si="66"/>
        <v>3.1629275468922399E-2</v>
      </c>
      <c r="H543" s="63">
        <v>1.7600000000000001E-2</v>
      </c>
      <c r="I543" s="280">
        <v>1</v>
      </c>
      <c r="J543" s="281">
        <f t="shared" si="67"/>
        <v>3.5067094012930289E-2</v>
      </c>
    </row>
    <row r="544" spans="1:11">
      <c r="A544" s="33">
        <v>43160</v>
      </c>
      <c r="B544" s="277">
        <v>2767525</v>
      </c>
      <c r="C544" s="277">
        <v>139889</v>
      </c>
      <c r="D544" s="277">
        <v>52830000</v>
      </c>
      <c r="E544" s="47">
        <f t="shared" si="65"/>
        <v>4.7380959404760781E-2</v>
      </c>
      <c r="F544" s="277">
        <v>1700000</v>
      </c>
      <c r="G544" s="47">
        <f t="shared" si="66"/>
        <v>3.1175499724922062E-2</v>
      </c>
      <c r="H544" s="63">
        <v>1.8799999999999997E-2</v>
      </c>
      <c r="I544" s="280">
        <v>1</v>
      </c>
      <c r="J544" s="281">
        <f t="shared" si="67"/>
        <v>3.7396483470090586E-2</v>
      </c>
    </row>
    <row r="545" spans="1:11">
      <c r="A545" s="33">
        <v>43191</v>
      </c>
      <c r="B545" s="277">
        <v>2778158</v>
      </c>
      <c r="C545" s="277">
        <v>139839</v>
      </c>
      <c r="D545" s="277">
        <v>53040000</v>
      </c>
      <c r="E545" s="47">
        <f t="shared" si="65"/>
        <v>4.7385033301741743E-2</v>
      </c>
      <c r="F545" s="277">
        <v>1700000</v>
      </c>
      <c r="G545" s="47">
        <f t="shared" si="66"/>
        <v>3.1055900621118012E-2</v>
      </c>
      <c r="H545" s="63">
        <v>1.84E-2</v>
      </c>
      <c r="I545" s="280">
        <v>1</v>
      </c>
      <c r="J545" s="281">
        <f t="shared" si="67"/>
        <v>3.6620444281301193E-2</v>
      </c>
    </row>
    <row r="546" spans="1:11">
      <c r="A546" s="33">
        <v>43221</v>
      </c>
      <c r="B546" s="277">
        <v>2789890</v>
      </c>
      <c r="C546" s="277">
        <v>138657</v>
      </c>
      <c r="D546" s="277">
        <v>52990000</v>
      </c>
      <c r="E546" s="47">
        <f t="shared" si="65"/>
        <v>4.7648710444644533E-2</v>
      </c>
      <c r="F546" s="277">
        <v>1530000</v>
      </c>
      <c r="G546" s="47">
        <f t="shared" si="66"/>
        <v>2.806309611151871E-2</v>
      </c>
      <c r="H546" s="63">
        <v>1.8200000000000001E-2</v>
      </c>
      <c r="I546" s="280">
        <v>1</v>
      </c>
      <c r="J546" s="281">
        <f t="shared" si="67"/>
        <v>3.6232267488256496E-2</v>
      </c>
    </row>
    <row r="547" spans="1:11">
      <c r="A547" s="33">
        <v>43252</v>
      </c>
      <c r="B547" s="277">
        <v>2796812</v>
      </c>
      <c r="C547" s="277">
        <v>136596</v>
      </c>
      <c r="D547" s="277">
        <v>52930000</v>
      </c>
      <c r="E547" s="47">
        <f t="shared" si="65"/>
        <v>4.7854032443406948E-2</v>
      </c>
      <c r="F547" s="277">
        <v>1660000</v>
      </c>
      <c r="G547" s="47">
        <f t="shared" si="66"/>
        <v>3.04084997252244E-2</v>
      </c>
      <c r="H547" s="63">
        <v>1.8500000000000003E-2</v>
      </c>
      <c r="I547" s="280">
        <v>1</v>
      </c>
      <c r="J547" s="281">
        <f t="shared" si="67"/>
        <v>3.6814493160232165E-2</v>
      </c>
    </row>
    <row r="548" spans="1:11">
      <c r="A548" s="33">
        <v>43282</v>
      </c>
      <c r="B548" s="277">
        <v>2790812</v>
      </c>
      <c r="C548" s="277">
        <v>134412</v>
      </c>
      <c r="D548" s="277">
        <v>53070000</v>
      </c>
      <c r="E548" s="47">
        <f t="shared" si="65"/>
        <v>4.7668609492089925E-2</v>
      </c>
      <c r="F548" s="277">
        <v>1710000</v>
      </c>
      <c r="G548" s="47">
        <f t="shared" si="66"/>
        <v>3.12157721796276E-2</v>
      </c>
      <c r="H548" s="63">
        <v>1.8600000000000002E-2</v>
      </c>
      <c r="I548" s="280">
        <v>1</v>
      </c>
      <c r="J548" s="281">
        <f t="shared" si="67"/>
        <v>3.7008515888874084E-2</v>
      </c>
    </row>
    <row r="549" spans="1:11">
      <c r="A549" s="33">
        <v>43313</v>
      </c>
      <c r="B549" s="277">
        <v>2789356</v>
      </c>
      <c r="C549" s="277">
        <v>133326</v>
      </c>
      <c r="D549" s="277">
        <v>52950000</v>
      </c>
      <c r="E549" s="47">
        <f t="shared" si="65"/>
        <v>4.776514345656397E-2</v>
      </c>
      <c r="F549" s="277">
        <v>1680000</v>
      </c>
      <c r="G549" s="47">
        <f t="shared" si="66"/>
        <v>3.0752333882482153E-2</v>
      </c>
      <c r="H549" s="63">
        <v>1.89E-2</v>
      </c>
      <c r="I549" s="280">
        <v>1</v>
      </c>
      <c r="J549" s="281">
        <f t="shared" si="67"/>
        <v>3.7590428606189656E-2</v>
      </c>
    </row>
    <row r="550" spans="1:11">
      <c r="A550" s="33">
        <v>43344</v>
      </c>
      <c r="B550" s="277">
        <v>2778753</v>
      </c>
      <c r="C550" s="277">
        <v>132073</v>
      </c>
      <c r="D550" s="277">
        <v>53070000</v>
      </c>
      <c r="E550" s="47">
        <f t="shared" si="65"/>
        <v>4.7502471432253321E-2</v>
      </c>
      <c r="F550" s="277">
        <v>1590000</v>
      </c>
      <c r="G550" s="47">
        <f t="shared" si="66"/>
        <v>2.9088913282107574E-2</v>
      </c>
      <c r="H550" s="63">
        <v>1.8200000000000001E-2</v>
      </c>
      <c r="I550" s="280">
        <v>1</v>
      </c>
      <c r="J550" s="281">
        <f t="shared" si="67"/>
        <v>3.6232267488256496E-2</v>
      </c>
    </row>
    <row r="551" spans="1:11">
      <c r="A551" s="33">
        <v>43374</v>
      </c>
      <c r="B551" s="277">
        <v>2773229</v>
      </c>
      <c r="C551" s="277">
        <v>133053</v>
      </c>
      <c r="D551" s="277">
        <v>53300000</v>
      </c>
      <c r="E551" s="47">
        <f t="shared" si="65"/>
        <v>4.7196419260461392E-2</v>
      </c>
      <c r="F551" s="277">
        <v>1650000</v>
      </c>
      <c r="G551" s="47">
        <f t="shared" si="66"/>
        <v>3.0027297543221108E-2</v>
      </c>
      <c r="H551" s="63">
        <v>1.84E-2</v>
      </c>
      <c r="I551" s="280">
        <v>1</v>
      </c>
      <c r="J551" s="281">
        <f t="shared" si="67"/>
        <v>3.6620444281301193E-2</v>
      </c>
    </row>
    <row r="552" spans="1:11">
      <c r="A552" s="33">
        <v>43405</v>
      </c>
      <c r="B552" s="277">
        <v>2771743</v>
      </c>
      <c r="C552" s="277">
        <v>132949</v>
      </c>
      <c r="D552" s="277">
        <v>53060000</v>
      </c>
      <c r="E552" s="47">
        <f t="shared" si="65"/>
        <v>4.737614247087648E-2</v>
      </c>
      <c r="F552" s="277">
        <v>1740000</v>
      </c>
      <c r="G552" s="47">
        <f t="shared" si="66"/>
        <v>3.1751824817518245E-2</v>
      </c>
      <c r="H552" s="63">
        <v>1.8500000000000003E-2</v>
      </c>
      <c r="I552" s="280">
        <v>1</v>
      </c>
      <c r="J552" s="281">
        <f t="shared" si="67"/>
        <v>3.6814493160232165E-2</v>
      </c>
    </row>
    <row r="553" spans="1:11">
      <c r="A553" s="33">
        <v>43435</v>
      </c>
      <c r="B553" s="277">
        <v>2777558</v>
      </c>
      <c r="C553" s="277">
        <v>133735</v>
      </c>
      <c r="D553" s="277">
        <v>53070000</v>
      </c>
      <c r="E553" s="47">
        <f t="shared" si="65"/>
        <v>4.7453627441793038E-2</v>
      </c>
      <c r="F553" s="277">
        <v>1690000</v>
      </c>
      <c r="G553" s="47">
        <f t="shared" si="66"/>
        <v>3.0861943024105186E-2</v>
      </c>
      <c r="H553" s="63">
        <v>1.8100000000000002E-2</v>
      </c>
      <c r="I553" s="280">
        <v>1</v>
      </c>
      <c r="J553" s="281">
        <f t="shared" si="67"/>
        <v>3.6038139277928129E-2</v>
      </c>
      <c r="K553" s="282">
        <f t="shared" ref="K553" si="71">AVERAGE(J542:J553)</f>
        <v>3.6231625902848709E-2</v>
      </c>
    </row>
    <row r="554" spans="1:11">
      <c r="A554" s="33">
        <v>43466</v>
      </c>
      <c r="B554" s="277">
        <v>2792670</v>
      </c>
      <c r="C554" s="277">
        <v>133776</v>
      </c>
      <c r="D554" s="277">
        <v>52820000</v>
      </c>
      <c r="E554" s="47">
        <f t="shared" si="65"/>
        <v>4.7926225782366896E-2</v>
      </c>
      <c r="F554" s="277">
        <v>1710000</v>
      </c>
      <c r="G554" s="47">
        <f t="shared" si="66"/>
        <v>3.1358885017421602E-2</v>
      </c>
      <c r="H554" s="63">
        <v>1.83E-2</v>
      </c>
      <c r="I554" s="280">
        <v>1</v>
      </c>
      <c r="J554" s="281">
        <f t="shared" si="67"/>
        <v>3.6426369106405301E-2</v>
      </c>
    </row>
    <row r="555" spans="1:11">
      <c r="A555" s="33">
        <v>43497</v>
      </c>
      <c r="B555" s="277">
        <v>2761829</v>
      </c>
      <c r="C555" s="277">
        <v>133050</v>
      </c>
      <c r="D555" s="277">
        <v>53050000</v>
      </c>
      <c r="E555" s="47">
        <f t="shared" si="65"/>
        <v>4.7213301857786785E-2</v>
      </c>
      <c r="F555" s="277">
        <v>1620000</v>
      </c>
      <c r="G555" s="47">
        <f t="shared" si="66"/>
        <v>2.9632339491494422E-2</v>
      </c>
      <c r="H555" s="63">
        <v>1.9E-2</v>
      </c>
      <c r="I555" s="280">
        <v>1</v>
      </c>
      <c r="J555" s="281">
        <f t="shared" si="67"/>
        <v>3.7784348159098369E-2</v>
      </c>
    </row>
    <row r="556" spans="1:11">
      <c r="A556" s="33">
        <v>43525</v>
      </c>
      <c r="B556" s="277">
        <v>2781360</v>
      </c>
      <c r="C556" s="277">
        <v>131702</v>
      </c>
      <c r="D556" s="277">
        <v>52970000</v>
      </c>
      <c r="E556" s="47">
        <f t="shared" si="65"/>
        <v>4.7638876168566158E-2</v>
      </c>
      <c r="F556" s="277">
        <v>1690000</v>
      </c>
      <c r="G556" s="47">
        <f t="shared" si="66"/>
        <v>3.0918404683497987E-2</v>
      </c>
      <c r="H556" s="63">
        <v>1.8799999999999997E-2</v>
      </c>
      <c r="I556" s="280">
        <v>1</v>
      </c>
      <c r="J556" s="281">
        <f t="shared" si="67"/>
        <v>3.7396483470090586E-2</v>
      </c>
    </row>
    <row r="557" spans="1:11">
      <c r="A557" s="33">
        <v>43556</v>
      </c>
      <c r="B557" s="277">
        <v>2775855</v>
      </c>
      <c r="C557" s="277">
        <v>128475</v>
      </c>
      <c r="D557" s="277">
        <v>53350000</v>
      </c>
      <c r="E557" s="47">
        <f t="shared" si="65"/>
        <v>4.7276854738560983E-2</v>
      </c>
      <c r="F557" s="277">
        <v>1650000</v>
      </c>
      <c r="G557" s="47">
        <f t="shared" si="66"/>
        <v>0.03</v>
      </c>
      <c r="H557" s="63">
        <v>1.8700000000000001E-2</v>
      </c>
      <c r="I557" s="280">
        <v>1</v>
      </c>
      <c r="J557" s="281">
        <f t="shared" si="67"/>
        <v>3.7202512611316969E-2</v>
      </c>
    </row>
    <row r="558" spans="1:11">
      <c r="A558" s="33">
        <v>43586</v>
      </c>
      <c r="B558" s="277">
        <v>2776217</v>
      </c>
      <c r="C558" s="277">
        <v>130763</v>
      </c>
      <c r="D558" s="277">
        <v>53650000</v>
      </c>
      <c r="E558" s="47">
        <f t="shared" si="65"/>
        <v>4.6992320196938102E-2</v>
      </c>
      <c r="F558" s="277">
        <v>1600000</v>
      </c>
      <c r="G558" s="47">
        <f t="shared" si="66"/>
        <v>2.8959276018099549E-2</v>
      </c>
      <c r="H558" s="63">
        <v>1.8600000000000002E-2</v>
      </c>
      <c r="I558" s="280">
        <v>1</v>
      </c>
      <c r="J558" s="281">
        <f t="shared" si="67"/>
        <v>3.7008515888874084E-2</v>
      </c>
    </row>
    <row r="559" spans="1:11">
      <c r="A559" s="33">
        <v>43617</v>
      </c>
      <c r="B559" s="277">
        <v>2764420</v>
      </c>
      <c r="C559" s="277">
        <v>130643</v>
      </c>
      <c r="D559" s="277">
        <v>53610000</v>
      </c>
      <c r="E559" s="47">
        <f t="shared" si="65"/>
        <v>4.6827882842932114E-2</v>
      </c>
      <c r="F559" s="277">
        <v>1600000</v>
      </c>
      <c r="G559" s="47">
        <f t="shared" si="66"/>
        <v>2.8980257199782648E-2</v>
      </c>
      <c r="H559" s="63">
        <v>1.9400000000000001E-2</v>
      </c>
      <c r="I559" s="280">
        <v>1</v>
      </c>
      <c r="J559" s="281">
        <f t="shared" si="67"/>
        <v>3.8559773276977412E-2</v>
      </c>
    </row>
    <row r="560" spans="1:11">
      <c r="A560" s="33">
        <v>43647</v>
      </c>
      <c r="B560" s="277">
        <v>2758182</v>
      </c>
      <c r="C560" s="277">
        <v>129042</v>
      </c>
      <c r="D560" s="277">
        <v>53560000</v>
      </c>
      <c r="E560" s="47">
        <f t="shared" si="65"/>
        <v>4.6790892332575301E-2</v>
      </c>
      <c r="F560" s="277">
        <v>1550000</v>
      </c>
      <c r="G560" s="47">
        <f t="shared" si="66"/>
        <v>2.8125567047722736E-2</v>
      </c>
      <c r="H560" s="63">
        <v>1.8799999999999997E-2</v>
      </c>
      <c r="I560" s="280">
        <v>1</v>
      </c>
      <c r="J560" s="281">
        <f t="shared" si="67"/>
        <v>3.7396483470090586E-2</v>
      </c>
    </row>
    <row r="561" spans="1:11">
      <c r="A561" s="33">
        <v>43678</v>
      </c>
      <c r="B561" s="277">
        <v>2751751</v>
      </c>
      <c r="C561" s="277">
        <v>125398</v>
      </c>
      <c r="D561" s="277">
        <v>53500000</v>
      </c>
      <c r="E561" s="47">
        <f t="shared" si="65"/>
        <v>4.679358019217817E-2</v>
      </c>
      <c r="F561" s="277">
        <v>1550000</v>
      </c>
      <c r="G561" s="47">
        <f t="shared" si="66"/>
        <v>2.8156221616712079E-2</v>
      </c>
      <c r="H561" s="63">
        <v>1.84E-2</v>
      </c>
      <c r="I561" s="280">
        <v>1</v>
      </c>
      <c r="J561" s="281">
        <f t="shared" si="67"/>
        <v>3.6620444281301193E-2</v>
      </c>
    </row>
    <row r="562" spans="1:11">
      <c r="A562" s="33">
        <v>43709</v>
      </c>
      <c r="B562" s="277">
        <v>2732678</v>
      </c>
      <c r="C562" s="277">
        <v>127627</v>
      </c>
      <c r="D562" s="277">
        <v>53380000</v>
      </c>
      <c r="E562" s="47">
        <f t="shared" si="65"/>
        <v>4.6531189191914818E-2</v>
      </c>
      <c r="F562" s="277">
        <v>1660000</v>
      </c>
      <c r="G562" s="47">
        <f t="shared" si="66"/>
        <v>3.0159883720930234E-2</v>
      </c>
      <c r="H562" s="63">
        <v>1.8700000000000001E-2</v>
      </c>
      <c r="I562" s="280">
        <v>1</v>
      </c>
      <c r="J562" s="281">
        <f t="shared" si="67"/>
        <v>3.7202512611316969E-2</v>
      </c>
    </row>
    <row r="563" spans="1:11">
      <c r="A563" s="33">
        <v>43739</v>
      </c>
      <c r="B563" s="277">
        <v>2696162</v>
      </c>
      <c r="C563" s="277">
        <v>126210</v>
      </c>
      <c r="D563" s="277">
        <v>53390000</v>
      </c>
      <c r="E563" s="47">
        <f t="shared" si="65"/>
        <v>4.5924842823310497E-2</v>
      </c>
      <c r="F563" s="277">
        <v>1650000</v>
      </c>
      <c r="G563" s="47">
        <f t="shared" si="66"/>
        <v>2.9978197674418606E-2</v>
      </c>
      <c r="H563" s="63">
        <v>1.9199999999999998E-2</v>
      </c>
      <c r="I563" s="280">
        <v>1</v>
      </c>
      <c r="J563" s="281">
        <f t="shared" si="67"/>
        <v>3.8172111065872608E-2</v>
      </c>
    </row>
    <row r="564" spans="1:11">
      <c r="A564" s="33">
        <v>43770</v>
      </c>
      <c r="B564" s="277">
        <v>2661738</v>
      </c>
      <c r="C564" s="277">
        <v>122828</v>
      </c>
      <c r="D564" s="277">
        <v>53750000</v>
      </c>
      <c r="E564" s="47">
        <f t="shared" si="65"/>
        <v>4.5104977161575875E-2</v>
      </c>
      <c r="F564" s="277">
        <v>1570000</v>
      </c>
      <c r="G564" s="47">
        <f t="shared" si="66"/>
        <v>2.8380332610267536E-2</v>
      </c>
      <c r="H564" s="63">
        <v>1.8600000000000002E-2</v>
      </c>
      <c r="I564" s="280">
        <v>1</v>
      </c>
      <c r="J564" s="281">
        <f t="shared" si="67"/>
        <v>3.7008515888874084E-2</v>
      </c>
    </row>
    <row r="565" spans="1:11">
      <c r="A565" s="33">
        <v>43800</v>
      </c>
      <c r="B565" s="277">
        <v>2645274</v>
      </c>
      <c r="C565" s="277">
        <v>120656</v>
      </c>
      <c r="D565" s="277">
        <v>53910000</v>
      </c>
      <c r="E565" s="47">
        <f t="shared" si="65"/>
        <v>4.4735272240170029E-2</v>
      </c>
      <c r="F565" s="277">
        <v>1550000</v>
      </c>
      <c r="G565" s="47">
        <f t="shared" si="66"/>
        <v>2.7948070681572304E-2</v>
      </c>
      <c r="H565" s="63">
        <v>1.8799999999999997E-2</v>
      </c>
      <c r="I565" s="280">
        <v>1</v>
      </c>
      <c r="J565" s="281">
        <f t="shared" si="67"/>
        <v>3.7396483470090586E-2</v>
      </c>
      <c r="K565" s="282">
        <f t="shared" ref="K565" si="72">AVERAGE(J554:J565)</f>
        <v>3.7347879441692398E-2</v>
      </c>
    </row>
    <row r="566" spans="1:11">
      <c r="A566" s="33">
        <v>43831</v>
      </c>
      <c r="B566" s="277">
        <v>2592229</v>
      </c>
      <c r="C566" s="277">
        <v>116535</v>
      </c>
      <c r="D566" s="277">
        <v>53740000</v>
      </c>
      <c r="E566" s="47">
        <f t="shared" si="65"/>
        <v>4.4039196598729173E-2</v>
      </c>
      <c r="F566" s="277">
        <v>1640000</v>
      </c>
      <c r="G566" s="47">
        <f t="shared" si="66"/>
        <v>2.9613578909353556E-2</v>
      </c>
      <c r="H566" s="63">
        <v>1.8500000000000003E-2</v>
      </c>
      <c r="I566" s="280">
        <v>1</v>
      </c>
      <c r="J566" s="281">
        <f t="shared" si="67"/>
        <v>3.6814493160232165E-2</v>
      </c>
    </row>
    <row r="567" spans="1:11">
      <c r="A567" s="33">
        <v>43862</v>
      </c>
      <c r="B567" s="277">
        <v>2501558</v>
      </c>
      <c r="C567" s="277">
        <v>116996</v>
      </c>
      <c r="D567" s="277">
        <v>53710000</v>
      </c>
      <c r="E567" s="47">
        <f t="shared" si="65"/>
        <v>4.250968213282421E-2</v>
      </c>
      <c r="F567" s="277">
        <v>1660000</v>
      </c>
      <c r="G567" s="47">
        <f t="shared" si="66"/>
        <v>2.9980133646378904E-2</v>
      </c>
      <c r="H567" s="63">
        <v>1.84E-2</v>
      </c>
      <c r="I567" s="280">
        <v>1</v>
      </c>
      <c r="J567" s="281">
        <f t="shared" si="67"/>
        <v>3.6620444281301193E-2</v>
      </c>
    </row>
    <row r="568" spans="1:11">
      <c r="A568" s="33">
        <v>43891</v>
      </c>
      <c r="B568" s="277">
        <v>2393747</v>
      </c>
      <c r="C568" s="277">
        <v>116035</v>
      </c>
      <c r="D568" s="277">
        <v>53680000</v>
      </c>
      <c r="E568" s="47">
        <f t="shared" si="65"/>
        <v>4.0704166031663339E-2</v>
      </c>
      <c r="F568" s="277">
        <v>1700000</v>
      </c>
      <c r="G568" s="47">
        <f t="shared" si="66"/>
        <v>3.0697002527988442E-2</v>
      </c>
      <c r="H568" s="63">
        <v>1.8600000000000002E-2</v>
      </c>
      <c r="I568" s="280">
        <v>1</v>
      </c>
      <c r="J568" s="281">
        <f t="shared" si="67"/>
        <v>3.7008515888874084E-2</v>
      </c>
    </row>
    <row r="569" spans="1:11">
      <c r="A569" s="33">
        <v>43922</v>
      </c>
      <c r="B569" s="277">
        <v>2192051</v>
      </c>
      <c r="C569" s="277">
        <v>91670</v>
      </c>
      <c r="D569" s="277">
        <v>53010000</v>
      </c>
      <c r="E569" s="47">
        <f t="shared" si="65"/>
        <v>3.8112256926694087E-2</v>
      </c>
      <c r="F569" s="277">
        <v>1760000</v>
      </c>
      <c r="G569" s="47">
        <f t="shared" si="66"/>
        <v>3.2134380135110462E-2</v>
      </c>
      <c r="H569" s="63">
        <v>1.84E-2</v>
      </c>
      <c r="I569" s="280">
        <v>1</v>
      </c>
      <c r="J569" s="281">
        <f t="shared" si="67"/>
        <v>3.6620444281301193E-2</v>
      </c>
    </row>
    <row r="570" spans="1:11">
      <c r="A570" s="33">
        <v>43952</v>
      </c>
      <c r="B570" s="277">
        <v>1995809</v>
      </c>
      <c r="C570" s="277">
        <v>79821</v>
      </c>
      <c r="D570" s="277">
        <v>52830000</v>
      </c>
      <c r="E570" s="47">
        <f t="shared" si="65"/>
        <v>3.4997779197993469E-2</v>
      </c>
      <c r="F570" s="277">
        <v>1920000</v>
      </c>
      <c r="G570" s="47">
        <f t="shared" si="66"/>
        <v>3.5068493150684929E-2</v>
      </c>
      <c r="H570" s="63">
        <v>1.9799999999999998E-2</v>
      </c>
      <c r="I570" s="280">
        <v>1</v>
      </c>
      <c r="J570" s="281">
        <f t="shared" si="67"/>
        <v>3.9334799845730468E-2</v>
      </c>
    </row>
    <row r="571" spans="1:11">
      <c r="A571" s="33">
        <v>43983</v>
      </c>
      <c r="B571" s="277">
        <v>1963854</v>
      </c>
      <c r="C571" s="277">
        <v>98650</v>
      </c>
      <c r="D571" s="277">
        <v>52550000</v>
      </c>
      <c r="E571" s="47">
        <f t="shared" si="65"/>
        <v>3.4277258245691777E-2</v>
      </c>
      <c r="F571" s="277">
        <v>1920000</v>
      </c>
      <c r="G571" s="47">
        <f t="shared" si="66"/>
        <v>3.5248760785753626E-2</v>
      </c>
      <c r="H571" s="63">
        <v>1.6899999999999998E-2</v>
      </c>
      <c r="I571" s="280">
        <v>1</v>
      </c>
      <c r="J571" s="281">
        <f t="shared" si="67"/>
        <v>3.3706469992821245E-2</v>
      </c>
    </row>
    <row r="572" spans="1:11">
      <c r="A572" s="33">
        <v>44013</v>
      </c>
      <c r="B572" s="277">
        <v>2008125</v>
      </c>
      <c r="C572" s="277">
        <v>103869</v>
      </c>
      <c r="D572" s="277">
        <v>52670000</v>
      </c>
      <c r="E572" s="47">
        <f t="shared" si="65"/>
        <v>3.4892935599525166E-2</v>
      </c>
      <c r="F572" s="277">
        <v>1960000</v>
      </c>
      <c r="G572" s="47">
        <f t="shared" si="66"/>
        <v>3.5877722862895846E-2</v>
      </c>
      <c r="H572" s="63">
        <v>1.5900000000000001E-2</v>
      </c>
      <c r="I572" s="280">
        <v>1</v>
      </c>
      <c r="J572" s="281">
        <f t="shared" si="67"/>
        <v>3.1760266714674884E-2</v>
      </c>
    </row>
    <row r="573" spans="1:11">
      <c r="A573" s="33">
        <v>44044</v>
      </c>
      <c r="B573" s="277">
        <v>2030440</v>
      </c>
      <c r="C573" s="277">
        <v>105737</v>
      </c>
      <c r="D573" s="277">
        <v>52950000</v>
      </c>
      <c r="E573" s="47">
        <f t="shared" si="65"/>
        <v>3.5074504184560235E-2</v>
      </c>
      <c r="F573" s="277">
        <v>2040000</v>
      </c>
      <c r="G573" s="47">
        <f t="shared" si="66"/>
        <v>3.7097654118930713E-2</v>
      </c>
      <c r="H573" s="63">
        <v>1.6899999999999998E-2</v>
      </c>
      <c r="I573" s="280">
        <v>1</v>
      </c>
      <c r="J573" s="281">
        <f t="shared" si="67"/>
        <v>3.3706469992821245E-2</v>
      </c>
    </row>
    <row r="574" spans="1:11">
      <c r="A574" s="33">
        <v>44075</v>
      </c>
      <c r="B574" s="277">
        <v>2033046</v>
      </c>
      <c r="C574" s="277">
        <v>103847</v>
      </c>
      <c r="D574" s="277">
        <v>53190000</v>
      </c>
      <c r="E574" s="47">
        <f t="shared" si="65"/>
        <v>3.5000490482454218E-2</v>
      </c>
      <c r="F574" s="277">
        <v>2070000</v>
      </c>
      <c r="G574" s="47">
        <f t="shared" si="66"/>
        <v>3.7459283387622153E-2</v>
      </c>
      <c r="H574" s="63">
        <v>1.8500000000000003E-2</v>
      </c>
      <c r="I574" s="280">
        <v>1</v>
      </c>
      <c r="J574" s="281">
        <f t="shared" si="67"/>
        <v>3.6814493160232165E-2</v>
      </c>
    </row>
    <row r="575" spans="1:11">
      <c r="A575" s="33">
        <v>44105</v>
      </c>
      <c r="B575" s="277">
        <v>2055139</v>
      </c>
      <c r="C575" s="277">
        <v>104412</v>
      </c>
      <c r="D575" s="277">
        <v>53380000</v>
      </c>
      <c r="E575" s="47">
        <f t="shared" si="65"/>
        <v>3.5255763041031431E-2</v>
      </c>
      <c r="F575" s="277">
        <v>2150000</v>
      </c>
      <c r="G575" s="47">
        <f t="shared" si="66"/>
        <v>3.8717810192688634E-2</v>
      </c>
      <c r="H575" s="63">
        <v>1.6899999999999998E-2</v>
      </c>
      <c r="I575" s="280">
        <v>1</v>
      </c>
      <c r="J575" s="281">
        <f t="shared" si="67"/>
        <v>3.3706469992821245E-2</v>
      </c>
    </row>
    <row r="576" spans="1:11">
      <c r="A576" s="33">
        <v>44136</v>
      </c>
      <c r="B576" s="277">
        <v>2076899</v>
      </c>
      <c r="C576" s="277">
        <v>105658</v>
      </c>
      <c r="D576" s="277">
        <v>53560000</v>
      </c>
      <c r="E576" s="47">
        <f t="shared" si="65"/>
        <v>3.5497874070561472E-2</v>
      </c>
      <c r="F576" s="277">
        <v>2050000</v>
      </c>
      <c r="G576" s="47">
        <f t="shared" si="66"/>
        <v>3.6863873404064017E-2</v>
      </c>
      <c r="H576" s="63">
        <v>1.72E-2</v>
      </c>
      <c r="I576" s="280">
        <v>1</v>
      </c>
      <c r="J576" s="281">
        <f t="shared" si="67"/>
        <v>3.4289763316397617E-2</v>
      </c>
    </row>
    <row r="577" spans="1:11">
      <c r="A577" s="33">
        <v>44166</v>
      </c>
      <c r="B577" s="277">
        <v>2070946</v>
      </c>
      <c r="C577" s="277">
        <v>104462</v>
      </c>
      <c r="D577" s="277">
        <v>53410000</v>
      </c>
      <c r="E577" s="47">
        <f t="shared" si="65"/>
        <v>3.5511174743416356E-2</v>
      </c>
      <c r="F577" s="277">
        <v>2100000</v>
      </c>
      <c r="G577" s="47">
        <f t="shared" si="66"/>
        <v>3.7831021437578813E-2</v>
      </c>
      <c r="H577" s="63">
        <v>1.78E-2</v>
      </c>
      <c r="I577" s="280">
        <v>1</v>
      </c>
      <c r="J577" s="281">
        <f t="shared" si="67"/>
        <v>3.5455593579434772E-2</v>
      </c>
      <c r="K577" s="282">
        <f t="shared" ref="K577" si="73">AVERAGE(J566:J577)</f>
        <v>3.5486518683886852E-2</v>
      </c>
    </row>
    <row r="578" spans="1:11">
      <c r="A578" s="33">
        <v>44197</v>
      </c>
      <c r="B578" s="277">
        <v>2135199</v>
      </c>
      <c r="C578" s="277">
        <v>107501</v>
      </c>
      <c r="D578" s="277">
        <v>53320000</v>
      </c>
      <c r="E578" s="47">
        <f t="shared" si="65"/>
        <v>3.6635633879479504E-2</v>
      </c>
      <c r="F578" s="277">
        <v>2030000</v>
      </c>
      <c r="G578" s="47">
        <f t="shared" si="66"/>
        <v>3.6675700090334239E-2</v>
      </c>
      <c r="H578" s="63">
        <v>1.9199999999999998E-2</v>
      </c>
      <c r="I578" s="280">
        <v>1</v>
      </c>
      <c r="J578" s="281">
        <f t="shared" si="67"/>
        <v>3.8172111065872608E-2</v>
      </c>
    </row>
    <row r="579" spans="1:11">
      <c r="A579" s="33">
        <v>44228</v>
      </c>
      <c r="B579" s="277">
        <v>2103124</v>
      </c>
      <c r="C579" s="277">
        <v>108775</v>
      </c>
      <c r="D579" s="277">
        <v>53310000</v>
      </c>
      <c r="E579" s="47">
        <f>(B579-C579)/(B579-C579+D579)</f>
        <v>3.6061341215679076E-2</v>
      </c>
      <c r="F579" s="277">
        <v>2030000</v>
      </c>
      <c r="G579" s="47">
        <f>F579/(D579+F579)</f>
        <v>3.6682327430430067E-2</v>
      </c>
      <c r="H579" s="63">
        <v>1.66E-2</v>
      </c>
      <c r="I579" s="280">
        <v>1</v>
      </c>
      <c r="J579" s="281">
        <f>EXP((0.036225+LOG(H579,EXP(1))*0.056981+I579*-0.001826)/(1+0.035334-0.976896))</f>
        <v>3.3122918440268365E-2</v>
      </c>
    </row>
    <row r="580" spans="1:11">
      <c r="A580" s="33">
        <v>44256</v>
      </c>
      <c r="B580" s="277">
        <v>2135739</v>
      </c>
      <c r="C580" s="277">
        <v>111652</v>
      </c>
      <c r="D580" s="277">
        <v>53380000</v>
      </c>
      <c r="E580" s="47">
        <f>(B580-C580)/(B580-C580+D580)</f>
        <v>3.6533171280306448E-2</v>
      </c>
      <c r="F580" s="277">
        <v>1800000</v>
      </c>
      <c r="G580" s="47">
        <f>F580/(D580+F580)</f>
        <v>3.2620514679231605E-2</v>
      </c>
      <c r="H580" s="63">
        <v>1.7000000000000001E-2</v>
      </c>
      <c r="I580" s="280">
        <v>1</v>
      </c>
      <c r="J580" s="281">
        <f>EXP((0.036225+LOG(H580,EXP(1))*0.056981+I580*-0.001826)/(1+0.035334-0.976896))</f>
        <v>3.390092956145975E-2</v>
      </c>
    </row>
    <row r="581" spans="1:11" outlineLevel="1">
      <c r="A581" s="33">
        <v>44287</v>
      </c>
      <c r="B581" s="277">
        <v>2165511</v>
      </c>
      <c r="C581" s="277">
        <v>106856</v>
      </c>
      <c r="D581" s="277">
        <v>53170000</v>
      </c>
      <c r="E581" s="47">
        <f>(B581-C581)/(B581-C581+D581)</f>
        <v>3.7275124661283167E-2</v>
      </c>
      <c r="F581" s="277">
        <v>1940000</v>
      </c>
      <c r="G581" s="47">
        <f>F581/(D581+F581)</f>
        <v>3.5202322627472325E-2</v>
      </c>
      <c r="H581" s="63">
        <v>1.7399999999999999E-2</v>
      </c>
    </row>
    <row r="582" spans="1:11" outlineLevel="1">
      <c r="A582" s="33">
        <v>44317</v>
      </c>
      <c r="B582" s="277">
        <v>2159340</v>
      </c>
      <c r="C582" s="277">
        <v>102196</v>
      </c>
      <c r="D582" s="277">
        <v>52940000</v>
      </c>
      <c r="E582" s="47">
        <f>(B582-C582)/(B582-C582+D582)</f>
        <v>3.7404560498632437E-2</v>
      </c>
      <c r="F582" s="277">
        <v>2040000</v>
      </c>
      <c r="G582" s="47">
        <f>F582/(D582+F582)</f>
        <v>3.7104401600582031E-2</v>
      </c>
      <c r="H582" s="63">
        <v>1.83E-2</v>
      </c>
    </row>
    <row r="583" spans="1:11" outlineLevel="1">
      <c r="A583" s="33">
        <v>44348</v>
      </c>
      <c r="B583" s="277">
        <v>2158847</v>
      </c>
      <c r="C583" s="277">
        <v>107520</v>
      </c>
      <c r="D583" s="277">
        <v>53350000</v>
      </c>
      <c r="E583" s="47">
        <f>(B583-C583)/(B583-C583+D583)</f>
        <v>3.7026676274378771E-2</v>
      </c>
      <c r="F583" s="277">
        <v>2020000</v>
      </c>
      <c r="G583" s="47">
        <f>F583/(D583+F583)</f>
        <v>3.6481849376918909E-2</v>
      </c>
    </row>
  </sheetData>
  <phoneticPr fontId="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47F62-4F00-4923-BD9D-49BFDD5940F4}">
  <dimension ref="A1:AO69"/>
  <sheetViews>
    <sheetView topLeftCell="R1" zoomScale="70" zoomScaleNormal="70" workbookViewId="0">
      <selection activeCell="W5" sqref="W5"/>
    </sheetView>
  </sheetViews>
  <sheetFormatPr defaultColWidth="8.84375" defaultRowHeight="18.45"/>
  <cols>
    <col min="1" max="1" width="7.07421875" style="57" bestFit="1" customWidth="1"/>
    <col min="2" max="2" width="16.84375" style="43" bestFit="1" customWidth="1"/>
    <col min="3" max="3" width="16.765625" style="24" customWidth="1"/>
    <col min="4" max="5" width="19.07421875" style="43" bestFit="1" customWidth="1"/>
    <col min="6" max="7" width="19.07421875" style="43" customWidth="1"/>
    <col min="8" max="9" width="19.07421875" style="43" bestFit="1" customWidth="1"/>
    <col min="10" max="11" width="16.765625" style="43" bestFit="1" customWidth="1"/>
    <col min="12" max="12" width="8.84375" style="24"/>
    <col min="13" max="13" width="19.07421875" style="24" bestFit="1" customWidth="1"/>
    <col min="14" max="14" width="19.07421875" style="24" customWidth="1"/>
    <col min="15" max="15" width="19.07421875" style="43" customWidth="1"/>
    <col min="16" max="16" width="19.07421875" style="24" bestFit="1" customWidth="1"/>
    <col min="17" max="17" width="14.4609375" style="43" bestFit="1" customWidth="1"/>
    <col min="18" max="18" width="16.765625" style="43" bestFit="1" customWidth="1"/>
    <col min="19" max="19" width="8.84375" style="24"/>
    <col min="20" max="20" width="14.07421875" style="43" customWidth="1"/>
    <col min="21" max="21" width="11.84375" style="43" customWidth="1"/>
    <col min="22" max="22" width="18" style="44" bestFit="1" customWidth="1"/>
    <col min="23" max="23" width="17.23046875" style="44" bestFit="1" customWidth="1"/>
    <col min="24" max="24" width="8.84375" style="24"/>
    <col min="25" max="25" width="7.07421875" style="57" bestFit="1" customWidth="1"/>
    <col min="26" max="26" width="15.4609375" style="45" bestFit="1" customWidth="1"/>
    <col min="27" max="27" width="6.4609375" style="45" bestFit="1" customWidth="1"/>
    <col min="28" max="28" width="11.765625" style="44" bestFit="1" customWidth="1"/>
    <col min="29" max="29" width="28" style="24" customWidth="1"/>
    <col min="30" max="30" width="7.07421875" style="57" bestFit="1" customWidth="1"/>
    <col min="31" max="31" width="16.4609375" style="24" bestFit="1" customWidth="1"/>
    <col min="32" max="32" width="18.765625" style="24" bestFit="1" customWidth="1"/>
    <col min="33" max="33" width="14.07421875" style="24" bestFit="1" customWidth="1"/>
    <col min="34" max="34" width="17.84375" style="24" bestFit="1" customWidth="1"/>
    <col min="35" max="35" width="8.84375" style="24"/>
    <col min="36" max="36" width="20.4609375" style="24" bestFit="1" customWidth="1"/>
    <col min="37" max="38" width="19" style="24" bestFit="1" customWidth="1"/>
    <col min="39" max="41" width="22.4609375" style="24" customWidth="1"/>
    <col min="42" max="16384" width="8.84375" style="24"/>
  </cols>
  <sheetData>
    <row r="1" spans="1:41" s="59" customFormat="1">
      <c r="A1" s="58"/>
      <c r="B1" s="56" t="s">
        <v>0</v>
      </c>
      <c r="D1" s="407" t="s">
        <v>1</v>
      </c>
      <c r="E1" s="407"/>
      <c r="F1" s="407"/>
      <c r="G1" s="407"/>
      <c r="H1" s="407"/>
      <c r="I1" s="407"/>
      <c r="J1" s="407"/>
      <c r="K1" s="407"/>
      <c r="M1" s="407" t="s">
        <v>3</v>
      </c>
      <c r="N1" s="407"/>
      <c r="O1" s="407"/>
      <c r="P1" s="407"/>
      <c r="Q1" s="407"/>
      <c r="R1" s="407"/>
      <c r="T1" s="407" t="s">
        <v>4</v>
      </c>
      <c r="U1" s="407"/>
      <c r="V1" s="407"/>
      <c r="W1" s="407"/>
      <c r="Y1" s="58"/>
      <c r="Z1" s="407" t="s">
        <v>5</v>
      </c>
      <c r="AA1" s="407"/>
      <c r="AB1" s="407"/>
      <c r="AD1" s="58"/>
      <c r="AE1" s="407" t="s">
        <v>6</v>
      </c>
      <c r="AF1" s="407"/>
      <c r="AG1" s="407"/>
      <c r="AH1" s="407"/>
    </row>
    <row r="2" spans="1:41" ht="55.3">
      <c r="A2" s="57" t="s">
        <v>173</v>
      </c>
      <c r="B2" s="49" t="s">
        <v>8</v>
      </c>
      <c r="D2" s="49" t="s">
        <v>9</v>
      </c>
      <c r="E2" s="49" t="s">
        <v>10</v>
      </c>
      <c r="F2" s="43" t="s">
        <v>11</v>
      </c>
      <c r="G2" s="49" t="s">
        <v>12</v>
      </c>
      <c r="H2" s="49" t="s">
        <v>13</v>
      </c>
      <c r="I2" s="49" t="s">
        <v>16</v>
      </c>
      <c r="J2" s="43" t="s">
        <v>19</v>
      </c>
      <c r="K2" s="49" t="s">
        <v>20</v>
      </c>
      <c r="M2" s="50" t="s">
        <v>28</v>
      </c>
      <c r="N2" s="32" t="s">
        <v>29</v>
      </c>
      <c r="O2" s="30" t="s">
        <v>30</v>
      </c>
      <c r="P2" s="50" t="s">
        <v>31</v>
      </c>
      <c r="Q2" s="30" t="s">
        <v>33</v>
      </c>
      <c r="R2" s="30" t="s">
        <v>34</v>
      </c>
      <c r="T2" s="30" t="s">
        <v>35</v>
      </c>
      <c r="U2" s="30" t="s">
        <v>36</v>
      </c>
      <c r="V2" s="35" t="s">
        <v>37</v>
      </c>
      <c r="W2" s="35" t="s">
        <v>38</v>
      </c>
      <c r="Y2" s="57" t="s">
        <v>173</v>
      </c>
      <c r="Z2" s="39" t="s">
        <v>39</v>
      </c>
      <c r="AA2" s="54" t="s">
        <v>40</v>
      </c>
      <c r="AB2" s="53" t="s">
        <v>41</v>
      </c>
      <c r="AD2" s="57" t="s">
        <v>173</v>
      </c>
      <c r="AE2" s="32" t="s">
        <v>42</v>
      </c>
      <c r="AF2" s="32" t="s">
        <v>43</v>
      </c>
      <c r="AG2" s="32" t="s">
        <v>44</v>
      </c>
      <c r="AH2" s="32" t="s">
        <v>45</v>
      </c>
      <c r="AJ2" s="32"/>
      <c r="AK2" s="32"/>
      <c r="AL2" s="32"/>
      <c r="AM2" s="32"/>
      <c r="AN2" s="32"/>
      <c r="AO2" s="32"/>
    </row>
    <row r="3" spans="1:41">
      <c r="A3" s="57">
        <v>1980</v>
      </c>
      <c r="B3" s="289">
        <v>675611.6404715993</v>
      </c>
      <c r="D3" s="49"/>
      <c r="E3" s="49"/>
      <c r="F3" s="88">
        <f>★資本稼働率!X8</f>
        <v>0.81379029012681536</v>
      </c>
      <c r="H3" s="49"/>
      <c r="I3" s="49"/>
      <c r="J3" s="88">
        <f>★資本稼働率!Y8</f>
        <v>0.83442799999999995</v>
      </c>
      <c r="M3" s="69">
        <f>★平均労働時間!J27</f>
        <v>2280.8823999999995</v>
      </c>
      <c r="N3" s="290">
        <f>★就業者数!X9</f>
        <v>548.16666666666663</v>
      </c>
      <c r="O3" s="46">
        <f>M3*N3</f>
        <v>1250303.7022666663</v>
      </c>
      <c r="P3" s="69">
        <f>★平均労働時間!K27</f>
        <v>2278.0755795411901</v>
      </c>
      <c r="Q3" s="290">
        <f>★就業者数!Y9</f>
        <v>518.48900349658425</v>
      </c>
      <c r="R3" s="46">
        <f>P3*Q3</f>
        <v>1181157.1371262153</v>
      </c>
      <c r="T3" s="310">
        <v>19489.3</v>
      </c>
      <c r="U3" s="310">
        <v>13415.4</v>
      </c>
      <c r="V3" s="88">
        <f>1-U3/T3</f>
        <v>0.31165306091034572</v>
      </c>
      <c r="W3" s="281">
        <v>0.30803857401284501</v>
      </c>
      <c r="Y3" s="57">
        <v>1980</v>
      </c>
      <c r="AA3" s="54"/>
      <c r="AB3" s="53"/>
      <c r="AD3" s="57">
        <v>1980</v>
      </c>
      <c r="AE3" s="42"/>
      <c r="AF3" s="43"/>
      <c r="AG3" s="44"/>
      <c r="AH3" s="44"/>
      <c r="AJ3" s="32"/>
      <c r="AK3" s="32"/>
      <c r="AL3" s="32"/>
      <c r="AM3" s="32"/>
      <c r="AN3" s="32"/>
      <c r="AO3" s="32"/>
    </row>
    <row r="4" spans="1:41">
      <c r="A4" s="57">
        <v>1981</v>
      </c>
      <c r="B4" s="289">
        <v>656249.71464099991</v>
      </c>
      <c r="D4" s="69">
        <f>★資本ストック!D4</f>
        <v>11608.412051853176</v>
      </c>
      <c r="E4" s="69">
        <f>★資本ストック!L4</f>
        <v>532.10204873840848</v>
      </c>
      <c r="F4" s="88">
        <f>★資本稼働率!X9</f>
        <v>0.81257359973578269</v>
      </c>
      <c r="G4" s="46">
        <f>D4*F4+E4</f>
        <v>9964.7912169289866</v>
      </c>
      <c r="H4" s="69">
        <f>★資本ストック!H4</f>
        <v>11241.079173226801</v>
      </c>
      <c r="I4" s="69">
        <f>★資本ストック!P4</f>
        <v>472.80664226314798</v>
      </c>
      <c r="J4" s="88">
        <f>★資本稼働率!Y9</f>
        <v>0.83442799999999995</v>
      </c>
      <c r="K4" s="46">
        <f>H4*J4+I4</f>
        <v>9852.6778546204405</v>
      </c>
      <c r="M4" s="69">
        <f>★平均労働時間!J28</f>
        <v>2292.1447333333331</v>
      </c>
      <c r="N4" s="290">
        <f>★就業者数!X10</f>
        <v>543.66666666666663</v>
      </c>
      <c r="O4" s="46">
        <f t="shared" ref="O4:O43" si="0">M4*N4</f>
        <v>1246162.6866888886</v>
      </c>
      <c r="P4" s="69">
        <f>★平均労働時間!K28</f>
        <v>2274.9449153820601</v>
      </c>
      <c r="Q4" s="290">
        <f>★就業者数!Y10</f>
        <v>524.43359889640055</v>
      </c>
      <c r="R4" s="46">
        <f t="shared" ref="R4:R43" si="1">P4*Q4</f>
        <v>1193057.5492648813</v>
      </c>
      <c r="T4" s="310">
        <v>21185.1</v>
      </c>
      <c r="U4" s="310">
        <v>14162.7</v>
      </c>
      <c r="V4" s="88">
        <f t="shared" ref="V4:V43" si="2">1-U4/T4</f>
        <v>0.33147825594403602</v>
      </c>
      <c r="W4" s="281">
        <v>0.31120100082886798</v>
      </c>
      <c r="Y4" s="57">
        <v>1981</v>
      </c>
      <c r="Z4" s="48">
        <f>EXP(LOG(B4,EXP(1))-V4*LOG(G4,EXP(1))-(1-V4)*LOG(O4,EXP(1)))</f>
        <v>2.6099945626161252</v>
      </c>
      <c r="AA4" s="294">
        <v>2.25433689943352</v>
      </c>
      <c r="AB4" s="53"/>
      <c r="AC4" s="166"/>
      <c r="AD4" s="57">
        <v>1981</v>
      </c>
      <c r="AE4" s="285">
        <f>B4</f>
        <v>656249.71464099991</v>
      </c>
      <c r="AF4" s="46">
        <f>AA4*(K4^W4)*(R4^(1-W4))</f>
        <v>604526.29410937079</v>
      </c>
      <c r="AG4" s="88">
        <f>(AE4-AF4)/AF4</f>
        <v>8.5560249464138816E-2</v>
      </c>
      <c r="AH4" s="44"/>
      <c r="AI4" s="40"/>
      <c r="AJ4" s="32"/>
      <c r="AK4" s="32"/>
      <c r="AL4" s="32"/>
      <c r="AM4" s="32"/>
      <c r="AN4" s="32"/>
      <c r="AO4" s="32"/>
    </row>
    <row r="5" spans="1:41">
      <c r="A5" s="57">
        <v>1982</v>
      </c>
      <c r="B5" s="289">
        <v>661563.22702856117</v>
      </c>
      <c r="D5" s="69">
        <f>★資本ストック!D5</f>
        <v>12409.547405379724</v>
      </c>
      <c r="E5" s="69">
        <f>★資本ストック!L5</f>
        <v>546.73336208755654</v>
      </c>
      <c r="F5" s="88">
        <f>★資本稼働率!X10</f>
        <v>0.80358123687115779</v>
      </c>
      <c r="G5" s="46">
        <f t="shared" ref="G5:G43" si="3">D5*F5+E5</f>
        <v>10518.812815113863</v>
      </c>
      <c r="H5" s="69">
        <f>★資本ストック!H5</f>
        <v>11892.6024042101</v>
      </c>
      <c r="I5" s="69">
        <f>★資本ストック!P5</f>
        <v>523.383709313802</v>
      </c>
      <c r="J5" s="88">
        <f>★資本稼働率!Y10</f>
        <v>0.83442799999999995</v>
      </c>
      <c r="K5" s="46">
        <f t="shared" ref="K5:K16" si="4">H5*J5+I5</f>
        <v>10446.904148254027</v>
      </c>
      <c r="M5" s="69">
        <f>★平均労働時間!J29</f>
        <v>2275.8576666666668</v>
      </c>
      <c r="N5" s="290">
        <f>★就業者数!X11</f>
        <v>541.33333333333337</v>
      </c>
      <c r="O5" s="46">
        <f t="shared" si="0"/>
        <v>1231997.6168888891</v>
      </c>
      <c r="P5" s="69">
        <f>★平均労働時間!K29</f>
        <v>2271.8301885385499</v>
      </c>
      <c r="Q5" s="290">
        <f>★就業者数!Y11</f>
        <v>529.57257648961308</v>
      </c>
      <c r="R5" s="46">
        <f t="shared" si="1"/>
        <v>1203098.9662912434</v>
      </c>
      <c r="T5" s="310">
        <v>21667.1</v>
      </c>
      <c r="U5" s="310">
        <v>14821</v>
      </c>
      <c r="V5" s="88">
        <f t="shared" si="2"/>
        <v>0.31596752680331008</v>
      </c>
      <c r="W5" s="281">
        <v>0.31439957251386302</v>
      </c>
      <c r="Y5" s="57">
        <v>1982</v>
      </c>
      <c r="Z5" s="48">
        <f t="shared" ref="Z5:Z43" si="5">EXP(LOG(B5,EXP(1))-V5*LOG(G5,EXP(1))-(1-V5)*LOG(O5,EXP(1)))</f>
        <v>2.4187197247153729</v>
      </c>
      <c r="AA5" s="294">
        <v>2.3486656533669801</v>
      </c>
      <c r="AB5" s="293">
        <f>AA5/AA4-1</f>
        <v>4.1843237342725326E-2</v>
      </c>
      <c r="AC5" s="166"/>
      <c r="AD5" s="57">
        <v>1982</v>
      </c>
      <c r="AE5" s="285">
        <f t="shared" ref="AE5:AE43" si="6">B5</f>
        <v>661563.22702856117</v>
      </c>
      <c r="AF5" s="46">
        <f t="shared" ref="AF5:AF43" si="7">AA5*(K5^W5)*(R5^(1-W5))</f>
        <v>635398.80042906862</v>
      </c>
      <c r="AG5" s="88">
        <f t="shared" ref="AG5:AG43" si="8">(AE5-AF5)/AF5</f>
        <v>4.1177960332667268E-2</v>
      </c>
      <c r="AH5" s="88">
        <f>AF5/AF4-1</f>
        <v>5.1068922262812899E-2</v>
      </c>
      <c r="AI5" s="40"/>
      <c r="AJ5" s="32"/>
      <c r="AK5" s="32"/>
      <c r="AL5" s="32"/>
      <c r="AM5" s="32"/>
      <c r="AN5" s="32"/>
      <c r="AO5" s="32"/>
    </row>
    <row r="6" spans="1:41">
      <c r="A6" s="57">
        <v>1983</v>
      </c>
      <c r="B6" s="289">
        <v>631422.81931843865</v>
      </c>
      <c r="D6" s="69">
        <f>★資本ストック!D6</f>
        <v>13070.107346447734</v>
      </c>
      <c r="E6" s="69">
        <f>★資本ストック!L6</f>
        <v>569.42682769031705</v>
      </c>
      <c r="F6" s="88">
        <f>★資本稼働率!X11</f>
        <v>0.79928879236129979</v>
      </c>
      <c r="G6" s="46">
        <f t="shared" si="3"/>
        <v>11016.217144665079</v>
      </c>
      <c r="H6" s="69">
        <f>★資本ストック!H6</f>
        <v>12547.7989639796</v>
      </c>
      <c r="I6" s="69">
        <f>★資本ストック!P6</f>
        <v>574.55373042920905</v>
      </c>
      <c r="J6" s="88">
        <f>★資本稼働率!Y11</f>
        <v>0.83442799999999995</v>
      </c>
      <c r="K6" s="46">
        <f t="shared" si="4"/>
        <v>11044.788524344776</v>
      </c>
      <c r="M6" s="69">
        <f>★平均労働時間!J30</f>
        <v>2252.8132000000005</v>
      </c>
      <c r="N6" s="290">
        <f>★就業者数!X12</f>
        <v>540.66666666666663</v>
      </c>
      <c r="O6" s="46">
        <f t="shared" si="0"/>
        <v>1218021.0034666669</v>
      </c>
      <c r="P6" s="69">
        <f>★平均労働時間!K30</f>
        <v>2268.2678566087998</v>
      </c>
      <c r="Q6" s="290">
        <f>★就業者数!Y12</f>
        <v>534.30866182975149</v>
      </c>
      <c r="R6" s="46">
        <f t="shared" si="1"/>
        <v>1211955.1631360864</v>
      </c>
      <c r="T6" s="310">
        <v>20032</v>
      </c>
      <c r="U6" s="310">
        <v>15047.4</v>
      </c>
      <c r="V6" s="88">
        <f t="shared" si="2"/>
        <v>0.24883186900958465</v>
      </c>
      <c r="W6" s="281">
        <v>0.31787320648795298</v>
      </c>
      <c r="Y6" s="57">
        <v>1983</v>
      </c>
      <c r="Z6" s="48">
        <f t="shared" si="5"/>
        <v>1.6717981856142081</v>
      </c>
      <c r="AA6" s="294">
        <v>2.4465509839321098</v>
      </c>
      <c r="AB6" s="293">
        <f>AA6/AA5-1</f>
        <v>4.1676996649056441E-2</v>
      </c>
      <c r="AC6" s="166"/>
      <c r="AD6" s="57">
        <v>1983</v>
      </c>
      <c r="AE6" s="285">
        <f t="shared" si="6"/>
        <v>631422.81931843865</v>
      </c>
      <c r="AF6" s="46">
        <f t="shared" si="7"/>
        <v>666000.95973067847</v>
      </c>
      <c r="AG6" s="88">
        <f t="shared" si="8"/>
        <v>-5.1919054930825839E-2</v>
      </c>
      <c r="AH6" s="88">
        <f t="shared" ref="AH6:AH43" si="9">AF6/AF5-1</f>
        <v>4.8162129486150951E-2</v>
      </c>
      <c r="AI6" s="40"/>
      <c r="AJ6" s="32"/>
      <c r="AK6" s="32"/>
      <c r="AL6" s="32"/>
      <c r="AM6" s="32"/>
      <c r="AN6" s="32"/>
      <c r="AO6" s="32"/>
    </row>
    <row r="7" spans="1:41">
      <c r="A7" s="57">
        <v>1984</v>
      </c>
      <c r="B7" s="289">
        <v>630596.65327656118</v>
      </c>
      <c r="D7" s="69">
        <f>★資本ストック!D7</f>
        <v>13503.496595282824</v>
      </c>
      <c r="E7" s="69">
        <f>★資本ストック!L7</f>
        <v>614.21656243260736</v>
      </c>
      <c r="F7" s="88">
        <f>★資本稼働率!X12</f>
        <v>0.80473543060740316</v>
      </c>
      <c r="G7" s="46">
        <f t="shared" si="3"/>
        <v>11480.958709743134</v>
      </c>
      <c r="H7" s="69">
        <f>★資本ストック!H7</f>
        <v>13215.5116313334</v>
      </c>
      <c r="I7" s="69">
        <f>★資本ストック!P7</f>
        <v>627.14315620186096</v>
      </c>
      <c r="J7" s="88">
        <f>★資本稼働率!Y12</f>
        <v>0.83442799999999995</v>
      </c>
      <c r="K7" s="46">
        <f t="shared" si="4"/>
        <v>11654.536095712127</v>
      </c>
      <c r="M7" s="69">
        <f>★平均労働時間!J31</f>
        <v>2271.1794666666669</v>
      </c>
      <c r="N7" s="290">
        <f>★就業者数!X13</f>
        <v>527</v>
      </c>
      <c r="O7" s="46">
        <f t="shared" si="0"/>
        <v>1196911.5789333335</v>
      </c>
      <c r="P7" s="69">
        <f>★平均労働時間!K31</f>
        <v>2263.8346519721999</v>
      </c>
      <c r="Q7" s="290">
        <f>★就業者数!Y13</f>
        <v>539.14042296064883</v>
      </c>
      <c r="R7" s="46">
        <f t="shared" si="1"/>
        <v>1220524.7717772652</v>
      </c>
      <c r="T7" s="310">
        <v>20268.900000000001</v>
      </c>
      <c r="U7" s="310">
        <v>15008.1</v>
      </c>
      <c r="V7" s="88">
        <f t="shared" si="2"/>
        <v>0.25955034560336288</v>
      </c>
      <c r="W7" s="281">
        <v>0.321876499714152</v>
      </c>
      <c r="Y7" s="57">
        <v>1984</v>
      </c>
      <c r="Z7" s="48">
        <f t="shared" si="5"/>
        <v>1.7598837057678303</v>
      </c>
      <c r="AA7" s="294">
        <v>2.5522500084739099</v>
      </c>
      <c r="AB7" s="293">
        <f t="shared" ref="AB7:AB41" si="10">AA7/AA6-1</f>
        <v>4.3203278916313481E-2</v>
      </c>
      <c r="AC7" s="166"/>
      <c r="AD7" s="57">
        <v>1984</v>
      </c>
      <c r="AE7" s="285">
        <f t="shared" si="6"/>
        <v>630596.65327656118</v>
      </c>
      <c r="AF7" s="46">
        <f t="shared" si="7"/>
        <v>697047.97796218004</v>
      </c>
      <c r="AG7" s="88">
        <f t="shared" si="8"/>
        <v>-9.5332497599217386E-2</v>
      </c>
      <c r="AH7" s="88">
        <f t="shared" si="9"/>
        <v>4.6617077314808242E-2</v>
      </c>
      <c r="AI7" s="40"/>
      <c r="AJ7" s="32"/>
      <c r="AK7" s="32"/>
      <c r="AL7" s="32"/>
      <c r="AM7" s="32"/>
      <c r="AN7" s="32"/>
      <c r="AO7" s="32"/>
    </row>
    <row r="8" spans="1:41">
      <c r="A8" s="57">
        <v>1985</v>
      </c>
      <c r="B8" s="289">
        <v>636839.49725459225</v>
      </c>
      <c r="D8" s="69">
        <f>★資本ストック!D8</f>
        <v>13958.45725469342</v>
      </c>
      <c r="E8" s="69">
        <f>★資本ストック!L8</f>
        <v>667.66564589174027</v>
      </c>
      <c r="F8" s="88">
        <f>★資本稼働率!X13</f>
        <v>0.80424139375740877</v>
      </c>
      <c r="G8" s="46">
        <f t="shared" si="3"/>
        <v>11893.63476310959</v>
      </c>
      <c r="H8" s="69">
        <f>★資本ストック!H8</f>
        <v>13909.806268894001</v>
      </c>
      <c r="I8" s="69">
        <f>★資本ストック!P8</f>
        <v>681.92716819685995</v>
      </c>
      <c r="J8" s="88">
        <f>★資本稼働率!Y13</f>
        <v>0.83442799999999995</v>
      </c>
      <c r="K8" s="46">
        <f t="shared" si="4"/>
        <v>12288.658993537543</v>
      </c>
      <c r="M8" s="69">
        <f>★平均労働時間!J32</f>
        <v>2252.2934000000005</v>
      </c>
      <c r="N8" s="290">
        <f>★就業者数!X14</f>
        <v>530</v>
      </c>
      <c r="O8" s="46">
        <f t="shared" si="0"/>
        <v>1193715.5020000003</v>
      </c>
      <c r="P8" s="69">
        <f>★平均労働時間!K32</f>
        <v>2257.95276044208</v>
      </c>
      <c r="Q8" s="290">
        <f>★就業者数!Y14</f>
        <v>544.62983686959819</v>
      </c>
      <c r="R8" s="46">
        <f t="shared" si="1"/>
        <v>1229748.4435788291</v>
      </c>
      <c r="T8" s="310">
        <v>22246.799999999999</v>
      </c>
      <c r="U8" s="310">
        <v>15525.7</v>
      </c>
      <c r="V8" s="88">
        <f t="shared" si="2"/>
        <v>0.30211536041138498</v>
      </c>
      <c r="W8" s="281">
        <v>0.32597363578069399</v>
      </c>
      <c r="Y8" s="57">
        <v>1985</v>
      </c>
      <c r="Z8" s="48">
        <f t="shared" si="5"/>
        <v>2.147034900863253</v>
      </c>
      <c r="AA8" s="294">
        <v>2.66227231635404</v>
      </c>
      <c r="AB8" s="293">
        <f t="shared" si="10"/>
        <v>4.310796650596016E-2</v>
      </c>
      <c r="AC8" s="166"/>
      <c r="AD8" s="57">
        <v>1985</v>
      </c>
      <c r="AE8" s="285">
        <f t="shared" si="6"/>
        <v>636839.49725459225</v>
      </c>
      <c r="AF8" s="46">
        <f t="shared" si="7"/>
        <v>729490.85398211784</v>
      </c>
      <c r="AG8" s="88">
        <f t="shared" si="8"/>
        <v>-0.12700824996196153</v>
      </c>
      <c r="AH8" s="88">
        <f t="shared" si="9"/>
        <v>4.654324672856025E-2</v>
      </c>
      <c r="AI8" s="40"/>
      <c r="AJ8" s="32"/>
      <c r="AK8" s="32"/>
      <c r="AL8" s="32"/>
      <c r="AM8" s="32"/>
      <c r="AN8" s="32"/>
      <c r="AO8" s="32"/>
    </row>
    <row r="9" spans="1:41">
      <c r="A9" s="57">
        <v>1986</v>
      </c>
      <c r="B9" s="289">
        <v>682921.15114852693</v>
      </c>
      <c r="D9" s="69">
        <f>★資本ストック!D9</f>
        <v>13975.177678201704</v>
      </c>
      <c r="E9" s="69">
        <f>★資本ストック!L9</f>
        <v>708.97173459851911</v>
      </c>
      <c r="F9" s="88">
        <f>★資本稼働率!X14</f>
        <v>0.80701068887289307</v>
      </c>
      <c r="G9" s="46">
        <f t="shared" si="3"/>
        <v>11987.089499805155</v>
      </c>
      <c r="H9" s="69">
        <f>★資本ストック!H9</f>
        <v>14647.628588923801</v>
      </c>
      <c r="I9" s="69">
        <f>★資本ストック!P9</f>
        <v>739.55168204161396</v>
      </c>
      <c r="J9" s="88">
        <f>★資本稼働率!Y14</f>
        <v>0.83442799999999995</v>
      </c>
      <c r="K9" s="46">
        <f t="shared" si="4"/>
        <v>12961.943110240123</v>
      </c>
      <c r="M9" s="69">
        <f>★平均労働時間!J33</f>
        <v>2260.9567333333334</v>
      </c>
      <c r="N9" s="290">
        <f>★就業者数!X15</f>
        <v>534.08333333333337</v>
      </c>
      <c r="O9" s="46">
        <f t="shared" si="0"/>
        <v>1207539.3086611112</v>
      </c>
      <c r="P9" s="69">
        <f>★平均労働時間!K33</f>
        <v>2250.11781597867</v>
      </c>
      <c r="Q9" s="290">
        <f>★就業者数!Y15</f>
        <v>551.2211585228124</v>
      </c>
      <c r="R9" s="46">
        <f t="shared" si="1"/>
        <v>1240312.5493365829</v>
      </c>
      <c r="T9" s="310">
        <v>23689.9</v>
      </c>
      <c r="U9" s="310">
        <v>16160.4</v>
      </c>
      <c r="V9" s="88">
        <f t="shared" si="2"/>
        <v>0.31783587098299282</v>
      </c>
      <c r="W9" s="281">
        <v>0.329105536734703</v>
      </c>
      <c r="Y9" s="57">
        <v>1986</v>
      </c>
      <c r="Z9" s="48">
        <f t="shared" si="5"/>
        <v>2.4499326169854574</v>
      </c>
      <c r="AA9" s="294">
        <v>2.7652038339074498</v>
      </c>
      <c r="AB9" s="293">
        <f t="shared" si="10"/>
        <v>3.8663031171196405E-2</v>
      </c>
      <c r="AC9" s="166"/>
      <c r="AD9" s="57">
        <v>1986</v>
      </c>
      <c r="AE9" s="285">
        <f t="shared" si="6"/>
        <v>682921.15114852693</v>
      </c>
      <c r="AF9" s="46">
        <f t="shared" si="7"/>
        <v>764444.49369423662</v>
      </c>
      <c r="AG9" s="88">
        <f t="shared" si="8"/>
        <v>-0.10664390052931363</v>
      </c>
      <c r="AH9" s="88">
        <f t="shared" si="9"/>
        <v>4.7915117127672158E-2</v>
      </c>
      <c r="AI9" s="40"/>
      <c r="AJ9" s="32"/>
      <c r="AK9" s="32"/>
      <c r="AL9" s="32"/>
      <c r="AM9" s="32"/>
      <c r="AN9" s="32"/>
      <c r="AO9" s="32"/>
    </row>
    <row r="10" spans="1:41">
      <c r="A10" s="57">
        <v>1987</v>
      </c>
      <c r="B10" s="289">
        <v>755747.79202608461</v>
      </c>
      <c r="D10" s="69">
        <f>★資本ストック!D10</f>
        <v>14277.487063731107</v>
      </c>
      <c r="E10" s="69">
        <f>★資本ストック!L10</f>
        <v>761.12689238731934</v>
      </c>
      <c r="F10" s="88">
        <f>★資本稼働率!X15</f>
        <v>0.81697052302616313</v>
      </c>
      <c r="G10" s="46">
        <f t="shared" si="3"/>
        <v>12425.412966342999</v>
      </c>
      <c r="H10" s="69">
        <f>★資本ストック!H10</f>
        <v>15446.4108135427</v>
      </c>
      <c r="I10" s="69">
        <f>★資本ストック!P10</f>
        <v>800.51999814048304</v>
      </c>
      <c r="J10" s="88">
        <f>★資本稼働率!Y15</f>
        <v>0.83442799999999995</v>
      </c>
      <c r="K10" s="46">
        <f t="shared" si="4"/>
        <v>13689.437680463288</v>
      </c>
      <c r="M10" s="69">
        <f>★平均労働時間!J34</f>
        <v>2270.3131333333331</v>
      </c>
      <c r="N10" s="290">
        <f>★就業者数!X16</f>
        <v>532.75</v>
      </c>
      <c r="O10" s="46">
        <f t="shared" si="0"/>
        <v>1209509.3217833333</v>
      </c>
      <c r="P10" s="69">
        <f>★平均労働時間!K34</f>
        <v>2239.7688589378299</v>
      </c>
      <c r="Q10" s="290">
        <f>★就業者数!Y16</f>
        <v>559.20334981775738</v>
      </c>
      <c r="R10" s="46">
        <f t="shared" si="1"/>
        <v>1252486.2487355305</v>
      </c>
      <c r="T10" s="310">
        <v>26129.200000000001</v>
      </c>
      <c r="U10" s="310">
        <v>16769.099999999999</v>
      </c>
      <c r="V10" s="88">
        <f t="shared" si="2"/>
        <v>0.3582237496746935</v>
      </c>
      <c r="W10" s="281">
        <v>0.32997454186960601</v>
      </c>
      <c r="Y10" s="57">
        <v>1987</v>
      </c>
      <c r="Z10" s="48">
        <f t="shared" si="5"/>
        <v>3.221242135512834</v>
      </c>
      <c r="AA10" s="294">
        <v>2.8444781133145201</v>
      </c>
      <c r="AB10" s="293">
        <f>AA10/AA9-1</f>
        <v>2.8668512040593175E-2</v>
      </c>
      <c r="AC10" s="166"/>
      <c r="AD10" s="57">
        <v>1987</v>
      </c>
      <c r="AE10" s="285">
        <f t="shared" si="6"/>
        <v>755747.79202608461</v>
      </c>
      <c r="AF10" s="46">
        <f t="shared" si="7"/>
        <v>802726.62533638719</v>
      </c>
      <c r="AG10" s="88">
        <f t="shared" si="8"/>
        <v>-5.8524075105414415E-2</v>
      </c>
      <c r="AH10" s="88">
        <f t="shared" si="9"/>
        <v>5.007836665439136E-2</v>
      </c>
      <c r="AI10" s="40"/>
      <c r="AJ10" s="32"/>
      <c r="AK10" s="32"/>
      <c r="AL10" s="32"/>
      <c r="AM10" s="32"/>
      <c r="AN10" s="32"/>
      <c r="AO10" s="32"/>
    </row>
    <row r="11" spans="1:41">
      <c r="A11" s="57">
        <v>1988</v>
      </c>
      <c r="B11" s="289">
        <v>830812.55366915325</v>
      </c>
      <c r="D11" s="69">
        <f>★資本ストック!D11</f>
        <v>14792.82703025495</v>
      </c>
      <c r="E11" s="69">
        <f>★資本ストック!L11</f>
        <v>812.28672273740199</v>
      </c>
      <c r="F11" s="88">
        <f>★資本稼働率!X16</f>
        <v>0.8356090484023887</v>
      </c>
      <c r="G11" s="46">
        <f t="shared" si="3"/>
        <v>13173.306840669875</v>
      </c>
      <c r="H11" s="69">
        <f>★資本ストック!H11</f>
        <v>16316.8606557638</v>
      </c>
      <c r="I11" s="69">
        <f>★資本ストック!P11</f>
        <v>865.02961742339198</v>
      </c>
      <c r="J11" s="88">
        <f>★資本稼働率!Y16</f>
        <v>0.83442799999999995</v>
      </c>
      <c r="K11" s="46">
        <f t="shared" si="4"/>
        <v>14480.275020691066</v>
      </c>
      <c r="M11" s="69">
        <f>★平均労働時間!J35</f>
        <v>2288.6794</v>
      </c>
      <c r="N11" s="290">
        <f>★就業者数!X17</f>
        <v>560.08333333333337</v>
      </c>
      <c r="O11" s="46">
        <f t="shared" si="0"/>
        <v>1281851.1872833334</v>
      </c>
      <c r="P11" s="69">
        <f>★平均労働時間!K35</f>
        <v>2226.4533188489399</v>
      </c>
      <c r="Q11" s="290">
        <f>★就業者数!Y17</f>
        <v>568.67935713198176</v>
      </c>
      <c r="R11" s="46">
        <f t="shared" si="1"/>
        <v>1266138.0420473823</v>
      </c>
      <c r="T11" s="310">
        <v>29945.7</v>
      </c>
      <c r="U11" s="310">
        <v>18553.599999999999</v>
      </c>
      <c r="V11" s="88">
        <f t="shared" si="2"/>
        <v>0.38042523634445014</v>
      </c>
      <c r="W11" s="281">
        <v>0.32717029382131202</v>
      </c>
      <c r="Y11" s="57">
        <v>1988</v>
      </c>
      <c r="Z11" s="48">
        <f t="shared" si="5"/>
        <v>3.6983255306506164</v>
      </c>
      <c r="AA11" s="294">
        <v>2.8803759945866001</v>
      </c>
      <c r="AB11" s="293">
        <f t="shared" si="10"/>
        <v>1.2620199503047047E-2</v>
      </c>
      <c r="AC11" s="166"/>
      <c r="AD11" s="57">
        <v>1988</v>
      </c>
      <c r="AE11" s="285">
        <f t="shared" si="6"/>
        <v>830812.55366915325</v>
      </c>
      <c r="AF11" s="46">
        <f t="shared" si="7"/>
        <v>844621.80943013867</v>
      </c>
      <c r="AG11" s="88">
        <f t="shared" si="8"/>
        <v>-1.634963199719227E-2</v>
      </c>
      <c r="AH11" s="88">
        <f t="shared" si="9"/>
        <v>5.2191098153988591E-2</v>
      </c>
      <c r="AI11" s="40"/>
      <c r="AJ11" s="32"/>
      <c r="AK11" s="32"/>
      <c r="AL11" s="32"/>
      <c r="AM11" s="32"/>
      <c r="AN11" s="32"/>
      <c r="AO11" s="32"/>
    </row>
    <row r="12" spans="1:41">
      <c r="A12" s="57">
        <v>1989</v>
      </c>
      <c r="B12" s="289">
        <v>862537.2820516855</v>
      </c>
      <c r="D12" s="69">
        <f>★資本ストック!D12</f>
        <v>15732.886396387363</v>
      </c>
      <c r="E12" s="69">
        <f>★資本ストック!L12</f>
        <v>879.4713248508375</v>
      </c>
      <c r="F12" s="88">
        <f>★資本稼働率!X17</f>
        <v>0.83276473975437193</v>
      </c>
      <c r="G12" s="46">
        <f t="shared" si="3"/>
        <v>13981.264370323459</v>
      </c>
      <c r="H12" s="69">
        <f>★資本ストック!H12</f>
        <v>17257.996591101899</v>
      </c>
      <c r="I12" s="69">
        <f>★資本ストック!P12</f>
        <v>932.88410976273894</v>
      </c>
      <c r="J12" s="88">
        <f>★資本稼働率!Y17</f>
        <v>0.83442799999999995</v>
      </c>
      <c r="K12" s="46">
        <f t="shared" si="4"/>
        <v>15333.439689282714</v>
      </c>
      <c r="M12" s="69">
        <f>★平均労働時間!J36</f>
        <v>2246.0558000000005</v>
      </c>
      <c r="N12" s="290">
        <f>★就業者数!X18</f>
        <v>578.16666666666663</v>
      </c>
      <c r="O12" s="46">
        <f t="shared" si="0"/>
        <v>1298594.5950333336</v>
      </c>
      <c r="P12" s="69">
        <f>★平均労働時間!K36</f>
        <v>2210.02406798533</v>
      </c>
      <c r="Q12" s="290">
        <f>★就業者数!Y18</f>
        <v>579.46861695629184</v>
      </c>
      <c r="R12" s="46">
        <f t="shared" si="1"/>
        <v>1280639.590115577</v>
      </c>
      <c r="T12" s="310">
        <v>33251</v>
      </c>
      <c r="U12" s="310">
        <v>20538.8</v>
      </c>
      <c r="V12" s="88">
        <f t="shared" si="2"/>
        <v>0.38231030645694863</v>
      </c>
      <c r="W12" s="281">
        <v>0.319564927303785</v>
      </c>
      <c r="Y12" s="57">
        <v>1989</v>
      </c>
      <c r="Z12" s="48">
        <f t="shared" si="5"/>
        <v>3.7554597716919838</v>
      </c>
      <c r="AA12" s="294">
        <v>2.8569459579568499</v>
      </c>
      <c r="AB12" s="293">
        <f t="shared" si="10"/>
        <v>-8.134367413762944E-3</v>
      </c>
      <c r="AC12" s="166"/>
      <c r="AD12" s="57">
        <v>1989</v>
      </c>
      <c r="AE12" s="285">
        <f t="shared" si="6"/>
        <v>862537.2820516855</v>
      </c>
      <c r="AF12" s="46">
        <f t="shared" si="7"/>
        <v>889596.60982204729</v>
      </c>
      <c r="AG12" s="88">
        <f t="shared" si="8"/>
        <v>-3.041752573199967E-2</v>
      </c>
      <c r="AH12" s="88">
        <f t="shared" si="9"/>
        <v>5.3248447873081695E-2</v>
      </c>
      <c r="AI12" s="40"/>
      <c r="AJ12" s="32"/>
      <c r="AK12" s="32"/>
      <c r="AL12" s="32"/>
      <c r="AM12" s="32"/>
      <c r="AN12" s="32"/>
      <c r="AO12" s="32"/>
    </row>
    <row r="13" spans="1:41">
      <c r="A13" s="57">
        <v>1990</v>
      </c>
      <c r="B13" s="289">
        <v>930018.694819369</v>
      </c>
      <c r="D13" s="69">
        <f>★資本ストック!D13</f>
        <v>16947.490988026173</v>
      </c>
      <c r="E13" s="69">
        <f>★資本ストック!L13</f>
        <v>970.74285098123789</v>
      </c>
      <c r="F13" s="88">
        <f>★資本稼働率!X18</f>
        <v>0.83684463507112172</v>
      </c>
      <c r="G13" s="46">
        <f t="shared" si="3"/>
        <v>15153.159762227126</v>
      </c>
      <c r="H13" s="69">
        <f>★資本ストック!H13</f>
        <v>18253.596758816599</v>
      </c>
      <c r="I13" s="69">
        <f>★資本ストック!P13</f>
        <v>1003.35961608405</v>
      </c>
      <c r="J13" s="88">
        <f>★資本稼働率!Y18</f>
        <v>0.83442799999999995</v>
      </c>
      <c r="K13" s="46">
        <f t="shared" si="4"/>
        <v>16234.671852349866</v>
      </c>
      <c r="M13" s="69">
        <f>★平均労働時間!J37</f>
        <v>2210.0163333333335</v>
      </c>
      <c r="N13" s="290">
        <f>★就業者数!X19</f>
        <v>588.5</v>
      </c>
      <c r="O13" s="46">
        <f t="shared" si="0"/>
        <v>1300594.6121666667</v>
      </c>
      <c r="P13" s="69">
        <f>★平均労働時間!K37</f>
        <v>2190.95623943186</v>
      </c>
      <c r="Q13" s="290">
        <f>★就業者数!Y19</f>
        <v>591.2477591083308</v>
      </c>
      <c r="R13" s="46">
        <f t="shared" si="1"/>
        <v>1295397.9668685028</v>
      </c>
      <c r="T13" s="310">
        <v>37213.5</v>
      </c>
      <c r="U13" s="310">
        <v>22637.8</v>
      </c>
      <c r="V13" s="88">
        <f t="shared" si="2"/>
        <v>0.39167775135367544</v>
      </c>
      <c r="W13" s="281">
        <v>0.30656312645621497</v>
      </c>
      <c r="Y13" s="57">
        <v>1990</v>
      </c>
      <c r="Z13" s="48">
        <f t="shared" si="5"/>
        <v>4.0899029718094031</v>
      </c>
      <c r="AA13" s="294">
        <v>2.7664159790195901</v>
      </c>
      <c r="AB13" s="293">
        <f t="shared" si="10"/>
        <v>-3.1687676375230622E-2</v>
      </c>
      <c r="AC13" s="166"/>
      <c r="AD13" s="57">
        <v>1990</v>
      </c>
      <c r="AE13" s="285">
        <f t="shared" si="6"/>
        <v>930018.694819369</v>
      </c>
      <c r="AF13" s="46">
        <f t="shared" si="7"/>
        <v>935944.2588545474</v>
      </c>
      <c r="AG13" s="88">
        <f t="shared" si="8"/>
        <v>-6.3311078401510562E-3</v>
      </c>
      <c r="AH13" s="88">
        <f t="shared" si="9"/>
        <v>5.2099624167600389E-2</v>
      </c>
      <c r="AJ13" s="32"/>
      <c r="AK13" s="32"/>
      <c r="AL13" s="32"/>
      <c r="AM13" s="32"/>
      <c r="AN13" s="32"/>
      <c r="AO13" s="32"/>
    </row>
    <row r="14" spans="1:41">
      <c r="A14" s="57">
        <v>1991</v>
      </c>
      <c r="B14" s="289">
        <v>930074.07912184636</v>
      </c>
      <c r="D14" s="69">
        <f>★資本ストック!D14</f>
        <v>18943.930197413443</v>
      </c>
      <c r="E14" s="69">
        <f>★資本ストック!L14</f>
        <v>1059.7251240025878</v>
      </c>
      <c r="F14" s="88">
        <f>★資本稼働率!X19</f>
        <v>0.83996084827412398</v>
      </c>
      <c r="G14" s="46">
        <f t="shared" si="3"/>
        <v>16971.884802267778</v>
      </c>
      <c r="H14" s="69">
        <f>★資本ストック!H14</f>
        <v>19272.188196220701</v>
      </c>
      <c r="I14" s="69">
        <f>★資本ストック!P14</f>
        <v>1075.1981494637701</v>
      </c>
      <c r="J14" s="88">
        <f>★資本稼働率!Y19</f>
        <v>0.83442799999999995</v>
      </c>
      <c r="K14" s="46">
        <f t="shared" si="4"/>
        <v>17156.451601659817</v>
      </c>
      <c r="M14" s="69">
        <f>★平均労働時間!J38</f>
        <v>2178.4818</v>
      </c>
      <c r="N14" s="290">
        <f>★就業者数!X20</f>
        <v>604.33333333333337</v>
      </c>
      <c r="O14" s="46">
        <f t="shared" si="0"/>
        <v>1316529.1678000002</v>
      </c>
      <c r="P14" s="69">
        <f>★平均労働時間!K38</f>
        <v>2170.0852835935302</v>
      </c>
      <c r="Q14" s="290">
        <f>★就業者数!Y20</f>
        <v>603.59230671948228</v>
      </c>
      <c r="R14" s="46">
        <f t="shared" si="1"/>
        <v>1309846.7821022207</v>
      </c>
      <c r="T14" s="310">
        <v>38347.699999999997</v>
      </c>
      <c r="U14" s="310">
        <v>25179.1</v>
      </c>
      <c r="V14" s="88">
        <f t="shared" si="2"/>
        <v>0.34339999530610699</v>
      </c>
      <c r="W14" s="281">
        <v>0.288197029209325</v>
      </c>
      <c r="Y14" s="57">
        <v>1991</v>
      </c>
      <c r="Z14" s="48">
        <f t="shared" si="5"/>
        <v>3.1478220083175081</v>
      </c>
      <c r="AA14" s="294">
        <v>2.60999917150657</v>
      </c>
      <c r="AB14" s="293">
        <f t="shared" si="10"/>
        <v>-5.6541318695120357E-2</v>
      </c>
      <c r="AC14" s="166"/>
      <c r="AD14" s="57">
        <v>1991</v>
      </c>
      <c r="AE14" s="285">
        <f t="shared" si="6"/>
        <v>930074.07912184636</v>
      </c>
      <c r="AF14" s="46">
        <f t="shared" si="7"/>
        <v>980043.85443416191</v>
      </c>
      <c r="AG14" s="88">
        <f t="shared" si="8"/>
        <v>-5.0987284993655825E-2</v>
      </c>
      <c r="AH14" s="88">
        <f t="shared" si="9"/>
        <v>4.7117758522912112E-2</v>
      </c>
      <c r="AJ14" s="32"/>
      <c r="AK14" s="32"/>
      <c r="AL14" s="32"/>
      <c r="AM14" s="32"/>
      <c r="AN14" s="32"/>
      <c r="AO14" s="32"/>
    </row>
    <row r="15" spans="1:41">
      <c r="A15" s="57">
        <v>1992</v>
      </c>
      <c r="B15" s="289">
        <v>936243.37829754362</v>
      </c>
      <c r="D15" s="69">
        <f>★資本ストック!D15</f>
        <v>20882.983261920435</v>
      </c>
      <c r="E15" s="69">
        <f>★資本ストック!L15</f>
        <v>1126.5115951405362</v>
      </c>
      <c r="F15" s="88">
        <f>★資本稼働率!X20</f>
        <v>0.82958321995930684</v>
      </c>
      <c r="G15" s="46">
        <f t="shared" si="3"/>
        <v>18450.684091920797</v>
      </c>
      <c r="H15" s="69">
        <f>★資本ストック!H15</f>
        <v>20269.2368829187</v>
      </c>
      <c r="I15" s="69">
        <f>★資本ストック!P15</f>
        <v>1146.81555532726</v>
      </c>
      <c r="J15" s="88">
        <f>★資本稼働率!Y20</f>
        <v>0.83442799999999995</v>
      </c>
      <c r="K15" s="46">
        <f t="shared" si="4"/>
        <v>18060.034349067344</v>
      </c>
      <c r="M15" s="69">
        <f>★平均労働時間!J39</f>
        <v>2139.8433333333332</v>
      </c>
      <c r="N15" s="290">
        <f>★就業者数!X21</f>
        <v>618.91666666666663</v>
      </c>
      <c r="O15" s="46">
        <f t="shared" si="0"/>
        <v>1324384.7030555555</v>
      </c>
      <c r="P15" s="69">
        <f>★平均労働時間!K39</f>
        <v>2148.43725181434</v>
      </c>
      <c r="Q15" s="290">
        <f>★就業者数!Y21</f>
        <v>615.94584557991163</v>
      </c>
      <c r="R15" s="46">
        <f t="shared" si="1"/>
        <v>1323320.9997441652</v>
      </c>
      <c r="T15" s="310">
        <v>37647.599999999999</v>
      </c>
      <c r="U15" s="310">
        <v>26599.599999999999</v>
      </c>
      <c r="V15" s="88">
        <f t="shared" si="2"/>
        <v>0.29345828153720288</v>
      </c>
      <c r="W15" s="281">
        <v>0.26534991974281402</v>
      </c>
      <c r="Y15" s="57">
        <v>1992</v>
      </c>
      <c r="Z15" s="48">
        <f t="shared" si="5"/>
        <v>2.4776141210191089</v>
      </c>
      <c r="AA15" s="294">
        <v>2.4021435190773301</v>
      </c>
      <c r="AB15" s="293">
        <f t="shared" si="10"/>
        <v>-7.9638206286961943E-2</v>
      </c>
      <c r="AC15" s="166"/>
      <c r="AD15" s="57">
        <v>1992</v>
      </c>
      <c r="AE15" s="285">
        <f t="shared" si="6"/>
        <v>936243.37829754362</v>
      </c>
      <c r="AF15" s="46">
        <f t="shared" si="7"/>
        <v>1017186.8017068505</v>
      </c>
      <c r="AG15" s="88">
        <f t="shared" si="8"/>
        <v>-7.9575770422387476E-2</v>
      </c>
      <c r="AH15" s="88">
        <f t="shared" si="9"/>
        <v>3.7899270634305982E-2</v>
      </c>
      <c r="AJ15" s="32"/>
      <c r="AK15" s="32"/>
      <c r="AL15" s="32"/>
      <c r="AM15" s="32"/>
      <c r="AN15" s="32"/>
      <c r="AO15" s="32"/>
    </row>
    <row r="16" spans="1:41">
      <c r="A16" s="57">
        <v>1993</v>
      </c>
      <c r="B16" s="289">
        <v>911520.81172168278</v>
      </c>
      <c r="D16" s="69">
        <f>★資本ストック!D16</f>
        <v>22294.723710971728</v>
      </c>
      <c r="E16" s="69">
        <f>★資本ストック!L16</f>
        <v>1232.3149018762131</v>
      </c>
      <c r="F16" s="88">
        <f>★資本稼働率!X21</f>
        <v>0.81625482213808276</v>
      </c>
      <c r="G16" s="46">
        <f t="shared" si="3"/>
        <v>19430.490639193136</v>
      </c>
      <c r="H16" s="69">
        <f>★資本ストック!H16</f>
        <v>21196.9262185273</v>
      </c>
      <c r="I16" s="69">
        <f>★資本ストック!P16</f>
        <v>1216.4729488452999</v>
      </c>
      <c r="J16" s="88">
        <f>★資本稼働率!Y21</f>
        <v>0.83442799999999995</v>
      </c>
      <c r="K16" s="46">
        <f t="shared" si="4"/>
        <v>18903.781699518597</v>
      </c>
      <c r="M16" s="69">
        <f>★平均労働時間!J40</f>
        <v>2091.8484666666668</v>
      </c>
      <c r="N16" s="290">
        <f>★就業者数!X22</f>
        <v>640.58333333333337</v>
      </c>
      <c r="O16" s="46">
        <f t="shared" si="0"/>
        <v>1340003.2636055558</v>
      </c>
      <c r="P16" s="69">
        <f>★平均労働時間!K40</f>
        <v>2127.1221606023701</v>
      </c>
      <c r="Q16" s="290">
        <f>★就業者数!Y22</f>
        <v>627.64920041157234</v>
      </c>
      <c r="R16" s="46">
        <f t="shared" si="1"/>
        <v>1335086.5232798138</v>
      </c>
      <c r="T16" s="310">
        <v>37628</v>
      </c>
      <c r="U16" s="310">
        <v>28010.3</v>
      </c>
      <c r="V16" s="88">
        <f t="shared" si="2"/>
        <v>0.25559955352397157</v>
      </c>
      <c r="W16" s="281">
        <v>0.23945711189735</v>
      </c>
      <c r="Y16" s="57">
        <v>1993</v>
      </c>
      <c r="Z16" s="48">
        <f t="shared" si="5"/>
        <v>2.0072973802904075</v>
      </c>
      <c r="AA16" s="294">
        <v>2.16267523375936</v>
      </c>
      <c r="AB16" s="293">
        <f t="shared" si="10"/>
        <v>-9.9689416313455959E-2</v>
      </c>
      <c r="AC16" s="166"/>
      <c r="AD16" s="57">
        <v>1993</v>
      </c>
      <c r="AE16" s="285">
        <f t="shared" si="6"/>
        <v>911520.81172168278</v>
      </c>
      <c r="AF16" s="46">
        <f t="shared" si="7"/>
        <v>1041727.0111727039</v>
      </c>
      <c r="AG16" s="88">
        <f t="shared" si="8"/>
        <v>-0.12499071067039344</v>
      </c>
      <c r="AH16" s="88">
        <f t="shared" si="9"/>
        <v>2.4125568110670237E-2</v>
      </c>
      <c r="AJ16" s="32"/>
      <c r="AK16" s="32"/>
      <c r="AL16" s="32"/>
      <c r="AM16" s="32"/>
      <c r="AN16" s="32"/>
      <c r="AO16" s="32"/>
    </row>
    <row r="17" spans="1:41">
      <c r="A17" s="57">
        <v>1994</v>
      </c>
      <c r="B17" s="289">
        <v>879268.70131935354</v>
      </c>
      <c r="D17" s="69">
        <f>★資本ストック!D17</f>
        <v>23133.841261109679</v>
      </c>
      <c r="E17" s="69">
        <f>★資本ストック!L17</f>
        <v>1331.947178491841</v>
      </c>
      <c r="F17" s="88">
        <f>★資本稼働率!X22</f>
        <v>0.80919452916298695</v>
      </c>
      <c r="G17" s="46">
        <f t="shared" si="3"/>
        <v>20051.724965506768</v>
      </c>
      <c r="H17" s="69">
        <f>★資本ストック!H17</f>
        <v>22013.577066452999</v>
      </c>
      <c r="I17" s="69">
        <f>★資本ストック!P17</f>
        <v>1282.2284055868099</v>
      </c>
      <c r="J17" s="88">
        <f>★資本稼働率!Y22</f>
        <v>0.83442799999999995</v>
      </c>
      <c r="K17" s="46">
        <f>H17*J17+I17</f>
        <v>19650.973489993052</v>
      </c>
      <c r="M17" s="69">
        <f>★平均労働時間!J41</f>
        <v>2063.0862000000006</v>
      </c>
      <c r="N17" s="290">
        <f>★就業者数!X23</f>
        <v>654.83333333333337</v>
      </c>
      <c r="O17" s="46">
        <f t="shared" si="0"/>
        <v>1350977.6133000006</v>
      </c>
      <c r="P17" s="69">
        <f>★平均労働時間!K41</f>
        <v>2107.1640872808898</v>
      </c>
      <c r="Q17" s="290">
        <f>★就業者数!Y23</f>
        <v>637.97414735726375</v>
      </c>
      <c r="R17" s="46">
        <f t="shared" si="1"/>
        <v>1344316.2119248726</v>
      </c>
      <c r="T17" s="310">
        <v>35240.300000000003</v>
      </c>
      <c r="U17" s="310">
        <v>29892.3</v>
      </c>
      <c r="V17" s="88">
        <f t="shared" si="2"/>
        <v>0.15175807243411676</v>
      </c>
      <c r="W17" s="281">
        <v>0.212235003131542</v>
      </c>
      <c r="Y17" s="57">
        <v>1994</v>
      </c>
      <c r="Z17" s="48">
        <f t="shared" si="5"/>
        <v>1.2329985129667596</v>
      </c>
      <c r="AA17" s="295">
        <v>1.91217523359937</v>
      </c>
      <c r="AB17" s="293">
        <f t="shared" si="10"/>
        <v>-0.11582876441625867</v>
      </c>
      <c r="AC17" s="166"/>
      <c r="AD17" s="57">
        <v>1994</v>
      </c>
      <c r="AE17" s="285">
        <f t="shared" si="6"/>
        <v>879268.70131935354</v>
      </c>
      <c r="AF17" s="46">
        <f t="shared" si="7"/>
        <v>1048462.7008928907</v>
      </c>
      <c r="AG17" s="88">
        <f t="shared" si="8"/>
        <v>-0.1613734083524844</v>
      </c>
      <c r="AH17" s="88">
        <f t="shared" si="9"/>
        <v>6.4658875578200714E-3</v>
      </c>
      <c r="AJ17" s="37"/>
      <c r="AK17" s="37"/>
      <c r="AL17" s="38"/>
      <c r="AM17" s="37"/>
      <c r="AN17" s="37"/>
      <c r="AO17" s="38"/>
    </row>
    <row r="18" spans="1:41">
      <c r="A18" s="57">
        <v>1995</v>
      </c>
      <c r="B18" s="289">
        <v>852911.85695646435</v>
      </c>
      <c r="D18" s="69">
        <f>★資本ストック!D18</f>
        <v>23678.7</v>
      </c>
      <c r="E18" s="69">
        <f>★資本ストック!L18</f>
        <v>1384.6</v>
      </c>
      <c r="F18" s="88">
        <f>★資本稼働率!X23</f>
        <v>0.80667496364274627</v>
      </c>
      <c r="G18" s="46">
        <f t="shared" si="3"/>
        <v>20485.614461607496</v>
      </c>
      <c r="H18" s="69">
        <f>★資本ストック!H18</f>
        <v>22688.488265027099</v>
      </c>
      <c r="I18" s="69">
        <f>★資本ストック!P18</f>
        <v>1342.29842065101</v>
      </c>
      <c r="J18" s="88">
        <f>★資本稼働率!Y23</f>
        <v>0.83442799999999995</v>
      </c>
      <c r="K18" s="46">
        <f t="shared" ref="K18:K43" si="11">H18*J18+I18</f>
        <v>20274.208306661043</v>
      </c>
      <c r="M18" s="69">
        <f>★平均労働時間!J42</f>
        <v>2065.6851999999999</v>
      </c>
      <c r="N18" s="290">
        <f>★就業者数!X24</f>
        <v>663</v>
      </c>
      <c r="O18" s="46">
        <f t="shared" si="0"/>
        <v>1369549.2875999999</v>
      </c>
      <c r="P18" s="69">
        <f>★平均労働時間!K42</f>
        <v>2089.2343722338201</v>
      </c>
      <c r="Q18" s="290">
        <f>★就業者数!Y24</f>
        <v>646.24321235019727</v>
      </c>
      <c r="R18" s="46">
        <f t="shared" si="1"/>
        <v>1350153.5320648316</v>
      </c>
      <c r="T18" s="310">
        <v>34426.699999999997</v>
      </c>
      <c r="U18" s="310">
        <v>30074.5</v>
      </c>
      <c r="V18" s="88">
        <f t="shared" si="2"/>
        <v>0.12641931988834243</v>
      </c>
      <c r="W18" s="281">
        <v>0.18556141532026599</v>
      </c>
      <c r="Y18" s="57">
        <v>1995</v>
      </c>
      <c r="Z18" s="48">
        <f t="shared" si="5"/>
        <v>1.0593952244534</v>
      </c>
      <c r="AA18" s="295">
        <v>1.66967065810948</v>
      </c>
      <c r="AB18" s="293">
        <f t="shared" si="10"/>
        <v>-0.12682131387791962</v>
      </c>
      <c r="AC18" s="167"/>
      <c r="AD18" s="57">
        <v>1995</v>
      </c>
      <c r="AE18" s="285">
        <f t="shared" si="6"/>
        <v>852911.85695646435</v>
      </c>
      <c r="AF18" s="46">
        <f t="shared" si="7"/>
        <v>1034317.8116990618</v>
      </c>
      <c r="AG18" s="88">
        <f t="shared" si="8"/>
        <v>-0.17538705482080405</v>
      </c>
      <c r="AH18" s="88">
        <f t="shared" si="9"/>
        <v>-1.3491075249298712E-2</v>
      </c>
      <c r="AJ18" s="37"/>
      <c r="AK18" s="37"/>
      <c r="AL18" s="38"/>
      <c r="AM18" s="37"/>
      <c r="AN18" s="37"/>
      <c r="AO18" s="38"/>
    </row>
    <row r="19" spans="1:41">
      <c r="A19" s="57">
        <v>1996</v>
      </c>
      <c r="B19" s="289">
        <v>913795.428756907</v>
      </c>
      <c r="D19" s="69">
        <f>★資本ストック!D19</f>
        <v>24373.600000000002</v>
      </c>
      <c r="E19" s="69">
        <f>★資本ストック!L19</f>
        <v>1419.1</v>
      </c>
      <c r="F19" s="88">
        <f>★資本稼働率!X24</f>
        <v>0.82191424818193004</v>
      </c>
      <c r="G19" s="46">
        <f t="shared" si="3"/>
        <v>21452.10911948709</v>
      </c>
      <c r="H19" s="69">
        <f>★資本ストック!H19</f>
        <v>23202.161294527101</v>
      </c>
      <c r="I19" s="69">
        <f>★資本ストック!P19</f>
        <v>1395.3966768661601</v>
      </c>
      <c r="J19" s="88">
        <f>★資本稼働率!Y24</f>
        <v>0.83442799999999995</v>
      </c>
      <c r="K19" s="46">
        <f t="shared" si="11"/>
        <v>20755.929721535816</v>
      </c>
      <c r="M19" s="69">
        <f>★平均労働時間!J43</f>
        <v>2088.7296666666671</v>
      </c>
      <c r="N19" s="290">
        <f>★就業者数!X25</f>
        <v>669.5</v>
      </c>
      <c r="O19" s="46">
        <f t="shared" si="0"/>
        <v>1398404.5118333336</v>
      </c>
      <c r="P19" s="69">
        <f>★平均労働時間!K43</f>
        <v>2073.5635769722398</v>
      </c>
      <c r="Q19" s="290">
        <f>★就業者数!Y25</f>
        <v>651.90525824423162</v>
      </c>
      <c r="R19" s="46">
        <f t="shared" si="1"/>
        <v>1351766.9991319207</v>
      </c>
      <c r="T19" s="310">
        <v>35941.800000000003</v>
      </c>
      <c r="U19" s="310">
        <v>30504.5</v>
      </c>
      <c r="V19" s="88">
        <f t="shared" si="2"/>
        <v>0.15128068154627761</v>
      </c>
      <c r="W19" s="281">
        <v>0.16070940103142101</v>
      </c>
      <c r="Y19" s="57">
        <v>1996</v>
      </c>
      <c r="Z19" s="48">
        <f t="shared" si="5"/>
        <v>1.2293171838107508</v>
      </c>
      <c r="AA19" s="295">
        <v>1.4473968795958001</v>
      </c>
      <c r="AB19" s="293">
        <f t="shared" si="10"/>
        <v>-0.13312432450921441</v>
      </c>
      <c r="AC19" s="166"/>
      <c r="AD19" s="57">
        <v>1996</v>
      </c>
      <c r="AE19" s="285">
        <f t="shared" si="6"/>
        <v>913795.428756907</v>
      </c>
      <c r="AF19" s="46">
        <f t="shared" si="7"/>
        <v>1000002.866894169</v>
      </c>
      <c r="AG19" s="88">
        <f t="shared" si="8"/>
        <v>-8.6207190990368832E-2</v>
      </c>
      <c r="AH19" s="88">
        <f t="shared" si="9"/>
        <v>-3.3176403245462782E-2</v>
      </c>
      <c r="AJ19" s="37"/>
      <c r="AK19" s="37"/>
      <c r="AL19" s="38"/>
      <c r="AM19" s="37"/>
      <c r="AN19" s="37"/>
      <c r="AO19" s="38"/>
    </row>
    <row r="20" spans="1:41">
      <c r="A20" s="57">
        <v>1997</v>
      </c>
      <c r="B20" s="289">
        <v>842147.24991048442</v>
      </c>
      <c r="D20" s="69">
        <f>★資本ストック!D20</f>
        <v>24547.4</v>
      </c>
      <c r="E20" s="69">
        <f>★資本ストック!L20</f>
        <v>1470.1</v>
      </c>
      <c r="F20" s="88">
        <f>★資本稼働率!X25</f>
        <v>0.82132847651992547</v>
      </c>
      <c r="G20" s="46">
        <f t="shared" si="3"/>
        <v>21631.57864452522</v>
      </c>
      <c r="H20" s="69">
        <f>★資本ストック!H20</f>
        <v>23544.999752580399</v>
      </c>
      <c r="I20" s="69">
        <f>★資本ストック!P20</f>
        <v>1440.65987285402</v>
      </c>
      <c r="J20" s="88">
        <f>★資本稼働率!Y25</f>
        <v>0.83442799999999995</v>
      </c>
      <c r="K20" s="46">
        <f t="shared" si="11"/>
        <v>21087.266926400174</v>
      </c>
      <c r="M20" s="69">
        <f>★平均労働時間!J44</f>
        <v>2071.5762666666665</v>
      </c>
      <c r="N20" s="290">
        <f>★就業者数!X26</f>
        <v>684.66666666666663</v>
      </c>
      <c r="O20" s="46">
        <f t="shared" si="0"/>
        <v>1418339.2172444442</v>
      </c>
      <c r="P20" s="69">
        <f>★平均労働時間!K44</f>
        <v>2060.1467712849299</v>
      </c>
      <c r="Q20" s="290">
        <f>★就業者数!Y26</f>
        <v>654.56481487111751</v>
      </c>
      <c r="R20" s="46">
        <f t="shared" si="1"/>
        <v>1348499.5899534505</v>
      </c>
      <c r="T20" s="310">
        <v>33721.699999999997</v>
      </c>
      <c r="U20" s="310">
        <v>31412.3</v>
      </c>
      <c r="V20" s="88">
        <f t="shared" si="2"/>
        <v>6.8484091845903317E-2</v>
      </c>
      <c r="W20" s="281">
        <v>0.13836059187858599</v>
      </c>
      <c r="Y20" s="57">
        <v>1997</v>
      </c>
      <c r="Z20" s="48">
        <f t="shared" si="5"/>
        <v>0.79071944357382595</v>
      </c>
      <c r="AA20" s="295">
        <v>1.2514865160283799</v>
      </c>
      <c r="AB20" s="293">
        <f t="shared" si="10"/>
        <v>-0.13535358983372281</v>
      </c>
      <c r="AC20" s="166"/>
      <c r="AD20" s="57">
        <v>1997</v>
      </c>
      <c r="AE20" s="285">
        <f t="shared" si="6"/>
        <v>842147.24991048442</v>
      </c>
      <c r="AF20" s="46">
        <f t="shared" si="7"/>
        <v>949338.76137044176</v>
      </c>
      <c r="AG20" s="88">
        <f t="shared" si="8"/>
        <v>-0.11291176113489598</v>
      </c>
      <c r="AH20" s="88">
        <f t="shared" si="9"/>
        <v>-5.0663960275515008E-2</v>
      </c>
      <c r="AJ20" s="37"/>
      <c r="AK20" s="37"/>
      <c r="AL20" s="38"/>
      <c r="AM20" s="37"/>
      <c r="AN20" s="37"/>
      <c r="AO20" s="38"/>
    </row>
    <row r="21" spans="1:41">
      <c r="A21" s="57">
        <v>1998</v>
      </c>
      <c r="B21" s="289">
        <v>792128.36784281523</v>
      </c>
      <c r="D21" s="69">
        <f>★資本ストック!D21</f>
        <v>24377.8</v>
      </c>
      <c r="E21" s="69">
        <f>★資本ストック!L21</f>
        <v>1520.5</v>
      </c>
      <c r="F21" s="88">
        <f>★資本稼働率!X26</f>
        <v>0.80427268628351845</v>
      </c>
      <c r="G21" s="46">
        <f t="shared" si="3"/>
        <v>21126.898691682356</v>
      </c>
      <c r="H21" s="69">
        <f>★資本ストック!H21</f>
        <v>23719.121623869101</v>
      </c>
      <c r="I21" s="69">
        <f>★資本ストック!P21</f>
        <v>1477.4617404676801</v>
      </c>
      <c r="J21" s="88">
        <f>★資本稼働率!Y26</f>
        <v>0.83442799999999995</v>
      </c>
      <c r="K21" s="46">
        <f t="shared" si="11"/>
        <v>21269.360958829526</v>
      </c>
      <c r="M21" s="69">
        <f>★平均労働時間!J45</f>
        <v>2050.7842666666666</v>
      </c>
      <c r="N21" s="290">
        <f>★就業者数!X27</f>
        <v>661.83333333333337</v>
      </c>
      <c r="O21" s="46">
        <f t="shared" si="0"/>
        <v>1357277.3871555557</v>
      </c>
      <c r="P21" s="69">
        <f>★平均労働時間!K45</f>
        <v>2049.1306858575799</v>
      </c>
      <c r="Q21" s="290">
        <f>★就業者数!Y27</f>
        <v>654.01277929777166</v>
      </c>
      <c r="R21" s="46">
        <f t="shared" si="1"/>
        <v>1340157.6550020648</v>
      </c>
      <c r="T21" s="310">
        <v>32164.400000000001</v>
      </c>
      <c r="U21" s="310">
        <v>29572.3</v>
      </c>
      <c r="V21" s="88">
        <f t="shared" si="2"/>
        <v>8.0589098506423262E-2</v>
      </c>
      <c r="W21" s="281">
        <v>0.119102332280483</v>
      </c>
      <c r="Y21" s="57">
        <v>1998</v>
      </c>
      <c r="Z21" s="48">
        <f t="shared" si="5"/>
        <v>0.81624131579080583</v>
      </c>
      <c r="AA21" s="295">
        <v>1.08589138841928</v>
      </c>
      <c r="AB21" s="293">
        <f t="shared" si="10"/>
        <v>-0.13231874693673862</v>
      </c>
      <c r="AC21" s="166"/>
      <c r="AD21" s="57">
        <v>1998</v>
      </c>
      <c r="AE21" s="285">
        <f t="shared" si="6"/>
        <v>792128.36784281523</v>
      </c>
      <c r="AF21" s="46">
        <f t="shared" si="7"/>
        <v>888442.59311783139</v>
      </c>
      <c r="AG21" s="88">
        <f t="shared" si="8"/>
        <v>-0.10840793318678982</v>
      </c>
      <c r="AH21" s="88">
        <f t="shared" si="9"/>
        <v>-6.4145877878937774E-2</v>
      </c>
      <c r="AJ21" s="37"/>
      <c r="AK21" s="37"/>
      <c r="AL21" s="38"/>
      <c r="AM21" s="37"/>
      <c r="AN21" s="37"/>
      <c r="AO21" s="38"/>
    </row>
    <row r="22" spans="1:41">
      <c r="A22" s="57">
        <v>1999</v>
      </c>
      <c r="B22" s="289">
        <v>779955.31695557036</v>
      </c>
      <c r="D22" s="69">
        <f>★資本ストック!D22</f>
        <v>23971.200000000001</v>
      </c>
      <c r="E22" s="69">
        <f>★資本ストック!L22</f>
        <v>1536.1</v>
      </c>
      <c r="F22" s="88">
        <f>★資本稼働率!X27</f>
        <v>0.79429300200494346</v>
      </c>
      <c r="G22" s="46">
        <f t="shared" si="3"/>
        <v>20576.256409660898</v>
      </c>
      <c r="H22" s="69">
        <f>★資本ストック!H22</f>
        <v>23736.668895549501</v>
      </c>
      <c r="I22" s="69">
        <f>★資本ストック!P22</f>
        <v>1505.4704128317001</v>
      </c>
      <c r="J22" s="88">
        <f>★資本稼働率!Y27</f>
        <v>0.83442799999999995</v>
      </c>
      <c r="K22" s="46">
        <f t="shared" si="11"/>
        <v>21312.011566007277</v>
      </c>
      <c r="M22" s="69">
        <f>★平均労働時間!J46</f>
        <v>2026.5269333333335</v>
      </c>
      <c r="N22" s="290">
        <f>★就業者数!X28</f>
        <v>656.75</v>
      </c>
      <c r="O22" s="46">
        <f t="shared" si="0"/>
        <v>1330921.5634666667</v>
      </c>
      <c r="P22" s="69">
        <f>★平均労働時間!K46</f>
        <v>2040.7763463297299</v>
      </c>
      <c r="Q22" s="290">
        <f>★就業者数!Y28</f>
        <v>650.34415618213518</v>
      </c>
      <c r="R22" s="46">
        <f t="shared" si="1"/>
        <v>1327206.9709102691</v>
      </c>
      <c r="T22" s="310">
        <v>31273.200000000001</v>
      </c>
      <c r="U22" s="310">
        <v>28939</v>
      </c>
      <c r="V22" s="88">
        <f t="shared" si="2"/>
        <v>7.4638988015297447E-2</v>
      </c>
      <c r="W22" s="281">
        <v>0.10282320165551</v>
      </c>
      <c r="Y22" s="57">
        <v>1999</v>
      </c>
      <c r="Z22" s="48">
        <f t="shared" si="5"/>
        <v>0.79996779463854562</v>
      </c>
      <c r="AA22" s="295">
        <v>0.94995564705629798</v>
      </c>
      <c r="AB22" s="293">
        <f t="shared" si="10"/>
        <v>-0.12518355225273692</v>
      </c>
      <c r="AC22" s="166"/>
      <c r="AD22" s="57">
        <v>1999</v>
      </c>
      <c r="AE22" s="285">
        <f t="shared" si="6"/>
        <v>779955.31695557036</v>
      </c>
      <c r="AF22" s="46">
        <f t="shared" si="7"/>
        <v>824413.03691563709</v>
      </c>
      <c r="AG22" s="88">
        <f t="shared" si="8"/>
        <v>-5.3926512523862623E-2</v>
      </c>
      <c r="AH22" s="88">
        <f t="shared" si="9"/>
        <v>-7.2069435547314264E-2</v>
      </c>
      <c r="AJ22" s="37"/>
      <c r="AK22" s="37"/>
      <c r="AL22" s="38"/>
      <c r="AM22" s="37"/>
      <c r="AN22" s="37"/>
      <c r="AO22" s="38"/>
    </row>
    <row r="23" spans="1:41">
      <c r="A23" s="57">
        <v>2000</v>
      </c>
      <c r="B23" s="289">
        <v>735377.97712155432</v>
      </c>
      <c r="D23" s="69">
        <f>★資本ストック!D23</f>
        <v>23604.1</v>
      </c>
      <c r="E23" s="69">
        <f>★資本ストック!L23</f>
        <v>1552.5</v>
      </c>
      <c r="F23" s="88">
        <f>★資本稼働率!X28</f>
        <v>0.79068082766605841</v>
      </c>
      <c r="G23" s="46">
        <f t="shared" si="3"/>
        <v>20215.809324312409</v>
      </c>
      <c r="H23" s="69">
        <f>★資本ストック!H23</f>
        <v>23616.370338539102</v>
      </c>
      <c r="I23" s="69">
        <f>★資本ストック!P23</f>
        <v>1524.7844056659601</v>
      </c>
      <c r="J23" s="88">
        <f>★資本稼働率!Y28</f>
        <v>0.83442799999999995</v>
      </c>
      <c r="K23" s="46">
        <f t="shared" si="11"/>
        <v>21230.945074512463</v>
      </c>
      <c r="M23" s="69">
        <f>★平均労働時間!J47</f>
        <v>2017.1705333333337</v>
      </c>
      <c r="N23" s="290">
        <f>★就業者数!X29</f>
        <v>653.33333333333337</v>
      </c>
      <c r="O23" s="46">
        <f t="shared" si="0"/>
        <v>1317884.7484444447</v>
      </c>
      <c r="P23" s="69">
        <f>★平均労働時間!K47</f>
        <v>2035.36131414897</v>
      </c>
      <c r="Q23" s="290">
        <f>★就業者数!Y29</f>
        <v>643.79121932408771</v>
      </c>
      <c r="R23" s="46">
        <f t="shared" si="1"/>
        <v>1310347.7422010428</v>
      </c>
      <c r="T23" s="310">
        <v>30501.599999999999</v>
      </c>
      <c r="U23" s="310">
        <v>27540.7</v>
      </c>
      <c r="V23" s="88">
        <f t="shared" si="2"/>
        <v>9.7073596139218843E-2</v>
      </c>
      <c r="W23" s="281">
        <v>8.9026647084318997E-2</v>
      </c>
      <c r="Y23" s="57">
        <v>2000</v>
      </c>
      <c r="Z23" s="48">
        <f t="shared" si="5"/>
        <v>0.83703337649647724</v>
      </c>
      <c r="AA23" s="295">
        <v>0.84032694150100995</v>
      </c>
      <c r="AB23" s="293">
        <f t="shared" si="10"/>
        <v>-0.11540402533002792</v>
      </c>
      <c r="AC23" s="166"/>
      <c r="AD23" s="57">
        <v>2000</v>
      </c>
      <c r="AE23" s="285">
        <f t="shared" si="6"/>
        <v>735377.97712155432</v>
      </c>
      <c r="AF23" s="46">
        <f t="shared" si="7"/>
        <v>762851.50736063148</v>
      </c>
      <c r="AG23" s="88">
        <f t="shared" si="8"/>
        <v>-3.6014257000201867E-2</v>
      </c>
      <c r="AH23" s="88">
        <f t="shared" si="9"/>
        <v>-7.4673163570198708E-2</v>
      </c>
      <c r="AJ23" s="37"/>
      <c r="AK23" s="37"/>
      <c r="AL23" s="38"/>
      <c r="AM23" s="37"/>
      <c r="AN23" s="37"/>
      <c r="AO23" s="38"/>
    </row>
    <row r="24" spans="1:41">
      <c r="A24" s="57">
        <v>2001</v>
      </c>
      <c r="B24" s="289">
        <v>712186.82389267883</v>
      </c>
      <c r="D24" s="69">
        <f>★資本ストック!D24</f>
        <v>23623.599999999999</v>
      </c>
      <c r="E24" s="69">
        <f>★資本ストック!L24</f>
        <v>1564.2</v>
      </c>
      <c r="F24" s="88">
        <f>★資本稼働率!X29</f>
        <v>0.78580439449660988</v>
      </c>
      <c r="G24" s="46">
        <f t="shared" si="3"/>
        <v>20127.728693830111</v>
      </c>
      <c r="H24" s="69">
        <f>★資本ストック!H24</f>
        <v>23379.300034799999</v>
      </c>
      <c r="I24" s="69">
        <f>★資本ストック!P24</f>
        <v>1535.80853056201</v>
      </c>
      <c r="J24" s="88">
        <f>★資本稼働率!Y29</f>
        <v>0.83442799999999995</v>
      </c>
      <c r="K24" s="46">
        <f t="shared" si="11"/>
        <v>21044.151100000105</v>
      </c>
      <c r="M24" s="69">
        <f>★平均労働時間!J48</f>
        <v>1999.3240666666668</v>
      </c>
      <c r="N24" s="290">
        <f>★就業者数!X30</f>
        <v>631.5</v>
      </c>
      <c r="O24" s="46">
        <f t="shared" si="0"/>
        <v>1262573.1481000001</v>
      </c>
      <c r="P24" s="69">
        <f>★平均労働時間!K48</f>
        <v>2033.02065663297</v>
      </c>
      <c r="Q24" s="290">
        <f>★就業者数!Y30</f>
        <v>634.71887226506226</v>
      </c>
      <c r="R24" s="46">
        <f t="shared" si="1"/>
        <v>1290396.578469655</v>
      </c>
      <c r="T24" s="310">
        <v>28908.9</v>
      </c>
      <c r="U24" s="310">
        <v>25793.9</v>
      </c>
      <c r="V24" s="88">
        <f t="shared" si="2"/>
        <v>0.10775228389873015</v>
      </c>
      <c r="W24" s="281">
        <v>7.6934273511157697E-2</v>
      </c>
      <c r="Y24" s="57">
        <v>2001</v>
      </c>
      <c r="Z24" s="48">
        <f t="shared" si="5"/>
        <v>0.88108538565953387</v>
      </c>
      <c r="AA24" s="295">
        <v>0.75215304279045503</v>
      </c>
      <c r="AB24" s="293">
        <f t="shared" si="10"/>
        <v>-0.10492808733831238</v>
      </c>
      <c r="AC24" s="166"/>
      <c r="AD24" s="57">
        <v>2001</v>
      </c>
      <c r="AE24" s="285">
        <f t="shared" si="6"/>
        <v>712186.82389267883</v>
      </c>
      <c r="AF24" s="46">
        <f t="shared" si="7"/>
        <v>707135.01691622857</v>
      </c>
      <c r="AG24" s="88">
        <f t="shared" si="8"/>
        <v>7.1440486690658757E-3</v>
      </c>
      <c r="AH24" s="88">
        <f t="shared" si="9"/>
        <v>-7.3037137512089068E-2</v>
      </c>
      <c r="AJ24" s="37"/>
      <c r="AK24" s="37"/>
      <c r="AL24" s="38"/>
      <c r="AM24" s="37"/>
      <c r="AN24" s="37"/>
      <c r="AO24" s="38"/>
    </row>
    <row r="25" spans="1:41">
      <c r="A25" s="57">
        <v>2002</v>
      </c>
      <c r="B25" s="289">
        <v>666393.52951853187</v>
      </c>
      <c r="D25" s="69">
        <f>★資本ストック!D25</f>
        <v>23320.2</v>
      </c>
      <c r="E25" s="69">
        <f>★資本ストック!L25</f>
        <v>1551.1</v>
      </c>
      <c r="F25" s="88">
        <f>★資本稼働率!X30</f>
        <v>0.77174459696676567</v>
      </c>
      <c r="G25" s="46">
        <f t="shared" si="3"/>
        <v>19548.338350184367</v>
      </c>
      <c r="H25" s="69">
        <f>★資本ストック!H25</f>
        <v>23046.4093629091</v>
      </c>
      <c r="I25" s="69">
        <f>★資本ストック!P25</f>
        <v>1539.22475505476</v>
      </c>
      <c r="J25" s="88">
        <f>★資本稼働率!Y30</f>
        <v>0.83442799999999995</v>
      </c>
      <c r="K25" s="46">
        <f t="shared" si="11"/>
        <v>20769.79402692827</v>
      </c>
      <c r="M25" s="69">
        <f>★平均労働時間!J49</f>
        <v>2009.3735333333339</v>
      </c>
      <c r="N25" s="290">
        <f>★就業者数!X31</f>
        <v>617.75</v>
      </c>
      <c r="O25" s="46">
        <f t="shared" si="0"/>
        <v>1241290.5002166671</v>
      </c>
      <c r="P25" s="69">
        <f>★平均労働時間!K49</f>
        <v>2033.7075332912</v>
      </c>
      <c r="Q25" s="290">
        <f>★就業者数!Y31</f>
        <v>623.65781604113863</v>
      </c>
      <c r="R25" s="46">
        <f t="shared" si="1"/>
        <v>1268337.598678801</v>
      </c>
      <c r="T25" s="310">
        <v>27034.400000000001</v>
      </c>
      <c r="U25" s="310">
        <v>24337.8</v>
      </c>
      <c r="V25" s="88">
        <f t="shared" si="2"/>
        <v>9.9746989021395005E-2</v>
      </c>
      <c r="W25" s="281">
        <v>6.5848155370820199E-2</v>
      </c>
      <c r="Y25" s="57">
        <v>2002</v>
      </c>
      <c r="Z25" s="48">
        <f t="shared" si="5"/>
        <v>0.81222729388221193</v>
      </c>
      <c r="AA25" s="295">
        <v>0.68054878631165605</v>
      </c>
      <c r="AB25" s="293">
        <f>AA25/AA24-1</f>
        <v>-9.5199051795563205E-2</v>
      </c>
      <c r="AC25" s="166"/>
      <c r="AD25" s="57">
        <v>2002</v>
      </c>
      <c r="AE25" s="285">
        <f t="shared" si="6"/>
        <v>666393.52951853187</v>
      </c>
      <c r="AF25" s="46">
        <f t="shared" si="7"/>
        <v>658418.94500569231</v>
      </c>
      <c r="AG25" s="88">
        <f t="shared" si="8"/>
        <v>1.2111717886201795E-2</v>
      </c>
      <c r="AH25" s="88">
        <f t="shared" si="9"/>
        <v>-6.8892178643597646E-2</v>
      </c>
      <c r="AJ25" s="37"/>
      <c r="AK25" s="37"/>
      <c r="AL25" s="38"/>
      <c r="AM25" s="37"/>
      <c r="AN25" s="37"/>
      <c r="AO25" s="38"/>
    </row>
    <row r="26" spans="1:41">
      <c r="A26" s="57">
        <v>2003</v>
      </c>
      <c r="B26" s="289">
        <v>624608.39192366635</v>
      </c>
      <c r="D26" s="69">
        <f>★資本ストック!D26</f>
        <v>22846.2</v>
      </c>
      <c r="E26" s="69">
        <f>★資本ストック!L26</f>
        <v>1534.5</v>
      </c>
      <c r="F26" s="88">
        <f>★資本稼働率!X31</f>
        <v>0.76995395687081325</v>
      </c>
      <c r="G26" s="46">
        <f t="shared" si="3"/>
        <v>19125.022089461974</v>
      </c>
      <c r="H26" s="69">
        <f>★資本ストック!H26</f>
        <v>22641.0927010948</v>
      </c>
      <c r="I26" s="69">
        <f>★資本ストック!P26</f>
        <v>1535.9989613734799</v>
      </c>
      <c r="J26" s="88">
        <f>★資本稼働率!Y31</f>
        <v>0.83442799999999995</v>
      </c>
      <c r="K26" s="46">
        <f t="shared" si="11"/>
        <v>20428.36066176261</v>
      </c>
      <c r="M26" s="69">
        <f>★平均労働時間!J50</f>
        <v>2019.4230000000002</v>
      </c>
      <c r="N26" s="290">
        <f>★就業者数!X32</f>
        <v>603.66666666666663</v>
      </c>
      <c r="O26" s="46">
        <f t="shared" si="0"/>
        <v>1219058.351</v>
      </c>
      <c r="P26" s="69">
        <f>★平均労働時間!K50</f>
        <v>2037.03813773351</v>
      </c>
      <c r="Q26" s="290">
        <f>★就業者数!Y32</f>
        <v>611.17886817197041</v>
      </c>
      <c r="R26" s="46">
        <f t="shared" si="1"/>
        <v>1244994.6634431051</v>
      </c>
      <c r="T26" s="310">
        <v>26175.200000000001</v>
      </c>
      <c r="U26" s="310">
        <v>23736.5</v>
      </c>
      <c r="V26" s="88">
        <f t="shared" si="2"/>
        <v>9.3168342553256567E-2</v>
      </c>
      <c r="W26" s="281">
        <v>5.5378547201979302E-2</v>
      </c>
      <c r="Y26" s="57">
        <v>2003</v>
      </c>
      <c r="Z26" s="48">
        <f t="shared" si="5"/>
        <v>0.75456799230434446</v>
      </c>
      <c r="AA26" s="295">
        <v>0.62191833088072701</v>
      </c>
      <c r="AB26" s="293">
        <f t="shared" si="10"/>
        <v>-8.6151730206861843E-2</v>
      </c>
      <c r="AC26" s="166"/>
      <c r="AD26" s="57">
        <v>2003</v>
      </c>
      <c r="AE26" s="285">
        <f t="shared" si="6"/>
        <v>624608.39192366635</v>
      </c>
      <c r="AF26" s="46">
        <f t="shared" si="7"/>
        <v>616671.38598630717</v>
      </c>
      <c r="AG26" s="88">
        <f t="shared" si="8"/>
        <v>1.2870721939959471E-2</v>
      </c>
      <c r="AH26" s="88">
        <f t="shared" si="9"/>
        <v>-6.3405768221059033E-2</v>
      </c>
      <c r="AJ26" s="37"/>
      <c r="AK26" s="37"/>
      <c r="AL26" s="38"/>
      <c r="AM26" s="37"/>
      <c r="AN26" s="37"/>
      <c r="AO26" s="38"/>
    </row>
    <row r="27" spans="1:41">
      <c r="A27" s="57">
        <v>2004</v>
      </c>
      <c r="B27" s="289">
        <v>597928.52910741174</v>
      </c>
      <c r="D27" s="69">
        <f>★資本ストック!D27</f>
        <v>21946.799999999999</v>
      </c>
      <c r="E27" s="69">
        <f>★資本ストック!L27</f>
        <v>1525.8</v>
      </c>
      <c r="F27" s="88">
        <f>★資本稼働率!X32</f>
        <v>0.78039421016618871</v>
      </c>
      <c r="G27" s="46">
        <f t="shared" si="3"/>
        <v>18652.955651675307</v>
      </c>
      <c r="H27" s="69">
        <f>★資本ストック!H27</f>
        <v>22189.482333956999</v>
      </c>
      <c r="I27" s="69">
        <f>★資本ストック!P27</f>
        <v>1527.2157841969199</v>
      </c>
      <c r="J27" s="88">
        <f>★資本稼働率!Y32</f>
        <v>0.83442799999999995</v>
      </c>
      <c r="K27" s="46">
        <f t="shared" si="11"/>
        <v>20042.741149155991</v>
      </c>
      <c r="M27" s="69">
        <f>★平均労働時間!J51</f>
        <v>2042.6407333333334</v>
      </c>
      <c r="N27" s="290">
        <f>★就業者数!X33</f>
        <v>584.33333333333337</v>
      </c>
      <c r="O27" s="46">
        <f t="shared" si="0"/>
        <v>1193583.0685111112</v>
      </c>
      <c r="P27" s="69">
        <f>★平均労働時間!K51</f>
        <v>2042.3853235701399</v>
      </c>
      <c r="Q27" s="290">
        <f>★就業者数!Y33</f>
        <v>597.8688160951657</v>
      </c>
      <c r="R27" s="46">
        <f t="shared" si="1"/>
        <v>1221078.4954130214</v>
      </c>
      <c r="T27" s="310">
        <v>25399.4</v>
      </c>
      <c r="U27" s="310">
        <v>23539.200000000001</v>
      </c>
      <c r="V27" s="88">
        <f t="shared" si="2"/>
        <v>7.3237950502767823E-2</v>
      </c>
      <c r="W27" s="281">
        <v>4.5474691879809202E-2</v>
      </c>
      <c r="Y27" s="57">
        <v>2004</v>
      </c>
      <c r="Z27" s="48">
        <f t="shared" si="5"/>
        <v>0.67931632893912031</v>
      </c>
      <c r="AA27" s="295">
        <v>0.57398262038966996</v>
      </c>
      <c r="AB27" s="293">
        <f t="shared" si="10"/>
        <v>-7.7077178965239801E-2</v>
      </c>
      <c r="AC27" s="166"/>
      <c r="AD27" s="57">
        <v>2004</v>
      </c>
      <c r="AE27" s="285">
        <f t="shared" si="6"/>
        <v>597928.52910741174</v>
      </c>
      <c r="AF27" s="46">
        <f t="shared" si="7"/>
        <v>581406.26991002215</v>
      </c>
      <c r="AG27" s="88">
        <f t="shared" si="8"/>
        <v>2.841775201348716E-2</v>
      </c>
      <c r="AH27" s="88">
        <f t="shared" si="9"/>
        <v>-5.7186237074843049E-2</v>
      </c>
      <c r="AJ27" s="37"/>
      <c r="AK27" s="37"/>
      <c r="AL27" s="38"/>
      <c r="AM27" s="37"/>
      <c r="AN27" s="37"/>
      <c r="AO27" s="38"/>
    </row>
    <row r="28" spans="1:41">
      <c r="A28" s="57">
        <v>2005</v>
      </c>
      <c r="B28" s="289">
        <v>578997.93350860476</v>
      </c>
      <c r="D28" s="69">
        <f>★資本ストック!D28</f>
        <v>21237.200000000001</v>
      </c>
      <c r="E28" s="69">
        <f>★資本ストック!L28</f>
        <v>1506.3</v>
      </c>
      <c r="F28" s="88">
        <f>★資本稼働率!X33</f>
        <v>0.77607561012854775</v>
      </c>
      <c r="G28" s="46">
        <f t="shared" si="3"/>
        <v>17987.972947421993</v>
      </c>
      <c r="H28" s="69">
        <f>★資本ストック!H28</f>
        <v>21719.7616190841</v>
      </c>
      <c r="I28" s="69">
        <f>★資本ストック!P28</f>
        <v>1513.94486859006</v>
      </c>
      <c r="J28" s="88">
        <f>★資本稼働率!Y33</f>
        <v>0.83442799999999995</v>
      </c>
      <c r="K28" s="46">
        <f t="shared" si="11"/>
        <v>19637.522116879169</v>
      </c>
      <c r="M28" s="69">
        <f>★平均労働時間!J52</f>
        <v>2047.6654666666668</v>
      </c>
      <c r="N28" s="290">
        <f>★就業者数!X34</f>
        <v>568.16666666666663</v>
      </c>
      <c r="O28" s="46">
        <f t="shared" si="0"/>
        <v>1163415.2626444444</v>
      </c>
      <c r="P28" s="69">
        <f>★平均労働時間!K52</f>
        <v>2048.945793034</v>
      </c>
      <c r="Q28" s="290">
        <f>★就業者数!Y34</f>
        <v>584.31221168739535</v>
      </c>
      <c r="R28" s="46">
        <f t="shared" si="1"/>
        <v>1197224.0479552806</v>
      </c>
      <c r="T28" s="310">
        <v>24575.8</v>
      </c>
      <c r="U28" s="310">
        <v>23198.9</v>
      </c>
      <c r="V28" s="88">
        <f t="shared" si="2"/>
        <v>5.6026660373212578E-2</v>
      </c>
      <c r="W28" s="281">
        <v>3.64637302329947E-2</v>
      </c>
      <c r="Y28" s="57">
        <v>2005</v>
      </c>
      <c r="Z28" s="48">
        <f t="shared" si="5"/>
        <v>0.62862648396752541</v>
      </c>
      <c r="AA28" s="295">
        <v>0.535789095344677</v>
      </c>
      <c r="AB28" s="293">
        <f t="shared" si="10"/>
        <v>-6.6541256979285923E-2</v>
      </c>
      <c r="AC28" s="166"/>
      <c r="AD28" s="57">
        <v>2005</v>
      </c>
      <c r="AE28" s="285">
        <f t="shared" si="6"/>
        <v>578997.93350860476</v>
      </c>
      <c r="AF28" s="46">
        <f t="shared" si="7"/>
        <v>552176.99333708163</v>
      </c>
      <c r="AG28" s="88">
        <f t="shared" si="8"/>
        <v>4.8573085251942108E-2</v>
      </c>
      <c r="AH28" s="88">
        <f t="shared" si="9"/>
        <v>-5.0273411357369846E-2</v>
      </c>
      <c r="AJ28" s="37"/>
      <c r="AK28" s="37"/>
      <c r="AL28" s="38"/>
      <c r="AM28" s="37"/>
      <c r="AN28" s="37"/>
      <c r="AO28" s="38"/>
    </row>
    <row r="29" spans="1:41">
      <c r="A29" s="57">
        <v>2006</v>
      </c>
      <c r="B29" s="289">
        <v>565048.47532275412</v>
      </c>
      <c r="D29" s="69">
        <f>★資本ストック!D29</f>
        <v>20651.600000000002</v>
      </c>
      <c r="E29" s="69">
        <f>★資本ストック!L29</f>
        <v>1496.1</v>
      </c>
      <c r="F29" s="88">
        <f>★資本稼働率!X34</f>
        <v>0.79141507973293512</v>
      </c>
      <c r="G29" s="46">
        <f t="shared" si="3"/>
        <v>17840.087660612684</v>
      </c>
      <c r="H29" s="69">
        <f>★資本ストック!H29</f>
        <v>21257.687090725201</v>
      </c>
      <c r="I29" s="69">
        <f>★資本ストック!P29</f>
        <v>1497.2417017759301</v>
      </c>
      <c r="J29" s="88">
        <f>★資本稼働率!Y34</f>
        <v>0.83442799999999995</v>
      </c>
      <c r="K29" s="46">
        <f t="shared" si="11"/>
        <v>19235.251025515576</v>
      </c>
      <c r="M29" s="69">
        <f>★平均労働時間!J53</f>
        <v>2085.6108666666669</v>
      </c>
      <c r="N29" s="290">
        <f>★就業者数!X35</f>
        <v>560.25</v>
      </c>
      <c r="O29" s="46">
        <f t="shared" si="0"/>
        <v>1168463.48805</v>
      </c>
      <c r="P29" s="69">
        <f>★平均労働時間!K53</f>
        <v>2055.9188024556502</v>
      </c>
      <c r="Q29" s="290">
        <f>★就業者数!Y35</f>
        <v>571.00471020401801</v>
      </c>
      <c r="R29" s="46">
        <f t="shared" si="1"/>
        <v>1173939.3199991803</v>
      </c>
      <c r="T29" s="310">
        <v>24573.3</v>
      </c>
      <c r="U29" s="310">
        <v>23219</v>
      </c>
      <c r="V29" s="88">
        <f t="shared" si="2"/>
        <v>5.5112662930904666E-2</v>
      </c>
      <c r="W29" s="281">
        <v>2.89504356764522E-2</v>
      </c>
      <c r="Y29" s="57">
        <v>2006</v>
      </c>
      <c r="Z29" s="48">
        <f t="shared" si="5"/>
        <v>0.60892973323463839</v>
      </c>
      <c r="AA29" s="295">
        <v>0.50743853333704303</v>
      </c>
      <c r="AB29" s="293">
        <f t="shared" si="10"/>
        <v>-5.2913659971739135E-2</v>
      </c>
      <c r="AC29" s="166"/>
      <c r="AD29" s="57">
        <v>2006</v>
      </c>
      <c r="AE29" s="285">
        <f t="shared" si="6"/>
        <v>565048.47532275412</v>
      </c>
      <c r="AF29" s="46">
        <f t="shared" si="7"/>
        <v>528855.11096948909</v>
      </c>
      <c r="AG29" s="88">
        <f t="shared" si="8"/>
        <v>6.8437202558023713E-2</v>
      </c>
      <c r="AH29" s="88">
        <f t="shared" si="9"/>
        <v>-4.2236244264084122E-2</v>
      </c>
      <c r="AJ29" s="37"/>
      <c r="AK29" s="37"/>
      <c r="AL29" s="38"/>
      <c r="AM29" s="37"/>
      <c r="AN29" s="37"/>
      <c r="AO29" s="38"/>
    </row>
    <row r="30" spans="1:41">
      <c r="A30" s="57">
        <v>2007</v>
      </c>
      <c r="B30" s="289">
        <v>523754.61380397785</v>
      </c>
      <c r="D30" s="69">
        <f>★資本ストック!D30</f>
        <v>20117.2</v>
      </c>
      <c r="E30" s="69">
        <f>★資本ストック!L30</f>
        <v>1478.5</v>
      </c>
      <c r="F30" s="88">
        <f>★資本稼働率!X35</f>
        <v>0.8105810269535132</v>
      </c>
      <c r="G30" s="46">
        <f t="shared" si="3"/>
        <v>17785.120635429215</v>
      </c>
      <c r="H30" s="69">
        <f>★資本ストック!H30</f>
        <v>20824.189666938699</v>
      </c>
      <c r="I30" s="69">
        <f>★資本ストック!P30</f>
        <v>1478.0853222916701</v>
      </c>
      <c r="J30" s="88">
        <f>★資本稼働率!Y35</f>
        <v>0.83442799999999995</v>
      </c>
      <c r="K30" s="46">
        <f t="shared" si="11"/>
        <v>18854.372257695995</v>
      </c>
      <c r="M30" s="69">
        <f>★平均労働時間!J54</f>
        <v>2090.9821333333334</v>
      </c>
      <c r="N30" s="290">
        <f>★就業者数!X36</f>
        <v>554.41666666666663</v>
      </c>
      <c r="O30" s="46">
        <f t="shared" si="0"/>
        <v>1159275.3444222221</v>
      </c>
      <c r="P30" s="69">
        <f>★平均労働時間!K54</f>
        <v>2062.49080490195</v>
      </c>
      <c r="Q30" s="290">
        <f>★就業者数!Y36</f>
        <v>558.30637855754571</v>
      </c>
      <c r="R30" s="46">
        <f t="shared" si="1"/>
        <v>1151501.7720930453</v>
      </c>
      <c r="T30" s="310">
        <v>23078.7</v>
      </c>
      <c r="U30" s="310">
        <v>23429.8</v>
      </c>
      <c r="V30" s="88">
        <f t="shared" si="2"/>
        <v>-1.5213161919865437E-2</v>
      </c>
      <c r="W30" s="281">
        <v>2.3735210926498201E-2</v>
      </c>
      <c r="Y30" s="57">
        <v>2007</v>
      </c>
      <c r="Z30" s="48">
        <f t="shared" si="5"/>
        <v>0.42397730723464144</v>
      </c>
      <c r="AA30" s="295">
        <v>0.48996008584461598</v>
      </c>
      <c r="AB30" s="293">
        <f t="shared" si="10"/>
        <v>-3.4444462420865851E-2</v>
      </c>
      <c r="AC30" s="166"/>
      <c r="AD30" s="57">
        <v>2007</v>
      </c>
      <c r="AE30" s="285">
        <f t="shared" si="6"/>
        <v>523754.61380397785</v>
      </c>
      <c r="AF30" s="46">
        <f t="shared" si="7"/>
        <v>511726.28608920251</v>
      </c>
      <c r="AG30" s="88">
        <f t="shared" si="8"/>
        <v>2.3505393492095499E-2</v>
      </c>
      <c r="AH30" s="88">
        <f t="shared" si="9"/>
        <v>-3.2388502115232032E-2</v>
      </c>
      <c r="AJ30" s="37"/>
      <c r="AK30" s="37"/>
      <c r="AL30" s="38"/>
      <c r="AM30" s="37"/>
      <c r="AN30" s="37"/>
      <c r="AO30" s="38"/>
    </row>
    <row r="31" spans="1:41">
      <c r="A31" s="57">
        <v>2008</v>
      </c>
      <c r="B31" s="289">
        <v>498933.97362326737</v>
      </c>
      <c r="D31" s="69">
        <f>★資本ストック!D31</f>
        <v>20501</v>
      </c>
      <c r="E31" s="69">
        <f>★資本ストック!L31</f>
        <v>1460.3</v>
      </c>
      <c r="F31" s="88">
        <f>★資本稼働率!X36</f>
        <v>0.83895495523653596</v>
      </c>
      <c r="G31" s="46">
        <f t="shared" si="3"/>
        <v>18659.715537304222</v>
      </c>
      <c r="H31" s="69">
        <f>★資本ストック!H31</f>
        <v>20434.139394875401</v>
      </c>
      <c r="I31" s="69">
        <f>★資本ストック!P31</f>
        <v>1457.4433516566301</v>
      </c>
      <c r="J31" s="88">
        <f>★資本稼働率!Y36</f>
        <v>0.83442799999999995</v>
      </c>
      <c r="K31" s="46">
        <f t="shared" si="11"/>
        <v>18508.26141864372</v>
      </c>
      <c r="M31" s="69">
        <f>★平均労働時間!J55</f>
        <v>2093.7543999999998</v>
      </c>
      <c r="N31" s="290">
        <f>★就業者数!X37</f>
        <v>540.75</v>
      </c>
      <c r="O31" s="46">
        <f t="shared" si="0"/>
        <v>1132197.6917999999</v>
      </c>
      <c r="P31" s="69">
        <f>★平均労働時間!K55</f>
        <v>2068.1451740819102</v>
      </c>
      <c r="Q31" s="290">
        <f>★就業者数!Y37</f>
        <v>546.48514249556763</v>
      </c>
      <c r="R31" s="46">
        <f t="shared" si="1"/>
        <v>1130210.6101596733</v>
      </c>
      <c r="T31" s="310">
        <v>21902</v>
      </c>
      <c r="U31" s="310">
        <v>22724.6</v>
      </c>
      <c r="V31" s="88">
        <f t="shared" si="2"/>
        <v>-3.7558213861747625E-2</v>
      </c>
      <c r="W31" s="281">
        <v>2.1880080971994901E-2</v>
      </c>
      <c r="Y31" s="57">
        <v>2008</v>
      </c>
      <c r="Z31" s="48">
        <f t="shared" si="5"/>
        <v>0.3777059870248306</v>
      </c>
      <c r="AA31" s="295">
        <v>0.48539781634387702</v>
      </c>
      <c r="AB31" s="293">
        <f t="shared" si="10"/>
        <v>-9.3115125753036043E-3</v>
      </c>
      <c r="AC31" s="166"/>
      <c r="AD31" s="57">
        <v>2008</v>
      </c>
      <c r="AE31" s="285">
        <f t="shared" si="6"/>
        <v>498933.97362326737</v>
      </c>
      <c r="AF31" s="46">
        <f t="shared" si="7"/>
        <v>501399.48820335115</v>
      </c>
      <c r="AG31" s="88">
        <f t="shared" si="8"/>
        <v>-4.9172658490705245E-3</v>
      </c>
      <c r="AH31" s="88">
        <f t="shared" si="9"/>
        <v>-2.0180315466638343E-2</v>
      </c>
      <c r="AJ31" s="37"/>
      <c r="AK31" s="37"/>
      <c r="AL31" s="38"/>
      <c r="AM31" s="37"/>
      <c r="AN31" s="37"/>
      <c r="AO31" s="38"/>
    </row>
    <row r="32" spans="1:41">
      <c r="A32" s="57">
        <v>2009</v>
      </c>
      <c r="B32" s="289">
        <v>462745.17776524194</v>
      </c>
      <c r="D32" s="69">
        <f>★資本ストック!D32</f>
        <v>20119.8</v>
      </c>
      <c r="E32" s="69">
        <f>★資本ストック!L32</f>
        <v>1443.4</v>
      </c>
      <c r="F32" s="88">
        <f>★資本稼働率!X37</f>
        <v>0.82359703627863812</v>
      </c>
      <c r="G32" s="46">
        <f t="shared" si="3"/>
        <v>18014.007650518943</v>
      </c>
      <c r="H32" s="69">
        <f>★資本ストック!H32</f>
        <v>20095.3364250169</v>
      </c>
      <c r="I32" s="69">
        <f>★資本ストック!P32</f>
        <v>1436.2875581672799</v>
      </c>
      <c r="J32" s="88">
        <f>★資本稼働率!Y37</f>
        <v>0.83442799999999995</v>
      </c>
      <c r="K32" s="46">
        <f t="shared" si="11"/>
        <v>18204.398940621282</v>
      </c>
      <c r="M32" s="69">
        <f>★平均労働時間!J56</f>
        <v>2055.635733333334</v>
      </c>
      <c r="N32" s="290">
        <f>★就業者数!X38</f>
        <v>521.58333333333337</v>
      </c>
      <c r="O32" s="46">
        <f t="shared" si="0"/>
        <v>1072185.3379111115</v>
      </c>
      <c r="P32" s="69">
        <f>★平均労働時間!K56</f>
        <v>2072.65019698881</v>
      </c>
      <c r="Q32" s="290">
        <f>★就業者数!Y38</f>
        <v>535.7747682044502</v>
      </c>
      <c r="R32" s="46">
        <f t="shared" si="1"/>
        <v>1110473.6788605878</v>
      </c>
      <c r="T32" s="310">
        <v>21062.1</v>
      </c>
      <c r="U32" s="310">
        <v>21646</v>
      </c>
      <c r="V32" s="88">
        <f t="shared" si="2"/>
        <v>-2.7722781678940045E-2</v>
      </c>
      <c r="W32" s="281">
        <v>2.4057587073339201E-2</v>
      </c>
      <c r="Y32" s="57">
        <v>2009</v>
      </c>
      <c r="Z32" s="48">
        <f t="shared" si="5"/>
        <v>0.38536612787436203</v>
      </c>
      <c r="AA32" s="295">
        <v>0.49513596052485498</v>
      </c>
      <c r="AB32" s="293">
        <f t="shared" si="10"/>
        <v>2.006219198579795E-2</v>
      </c>
      <c r="AC32" s="166"/>
      <c r="AD32" s="57">
        <v>2009</v>
      </c>
      <c r="AE32" s="285">
        <f t="shared" si="6"/>
        <v>462745.17776524194</v>
      </c>
      <c r="AF32" s="46">
        <f t="shared" si="7"/>
        <v>498060.33927784854</v>
      </c>
      <c r="AG32" s="88">
        <f t="shared" si="8"/>
        <v>-7.0905387816687093E-2</v>
      </c>
      <c r="AH32" s="88">
        <f t="shared" si="9"/>
        <v>-6.6596576264321694E-3</v>
      </c>
      <c r="AJ32" s="37"/>
      <c r="AK32" s="37"/>
      <c r="AL32" s="38"/>
      <c r="AM32" s="37"/>
      <c r="AN32" s="37"/>
      <c r="AO32" s="38"/>
    </row>
    <row r="33" spans="1:41">
      <c r="A33" s="57">
        <v>2010</v>
      </c>
      <c r="B33" s="289">
        <v>446977.76782772673</v>
      </c>
      <c r="D33" s="69">
        <f>★資本ストック!D33</f>
        <v>19455.599999999999</v>
      </c>
      <c r="E33" s="69">
        <f>★資本ストック!L33</f>
        <v>1406.4</v>
      </c>
      <c r="F33" s="88">
        <f>★資本稼働率!X38</f>
        <v>0.82910043533799105</v>
      </c>
      <c r="G33" s="46">
        <f t="shared" si="3"/>
        <v>17537.046429761816</v>
      </c>
      <c r="H33" s="69">
        <f>★資本ストック!H33</f>
        <v>19816.2495138962</v>
      </c>
      <c r="I33" s="69">
        <f>★資本ストック!P33</f>
        <v>1415.6182766034899</v>
      </c>
      <c r="J33" s="88">
        <f>★資本稼働率!Y38</f>
        <v>0.83442799999999995</v>
      </c>
      <c r="K33" s="46">
        <f t="shared" si="11"/>
        <v>17950.851725984867</v>
      </c>
      <c r="M33" s="69">
        <f>★平均労働時間!J57</f>
        <v>2088.5563999999999</v>
      </c>
      <c r="N33" s="290">
        <f>★就業者数!X39</f>
        <v>504.33333333333331</v>
      </c>
      <c r="O33" s="46">
        <f t="shared" si="0"/>
        <v>1053328.6110666667</v>
      </c>
      <c r="P33" s="69">
        <f>★平均労働時間!K57</f>
        <v>2076.0302528751399</v>
      </c>
      <c r="Q33" s="290">
        <f>★就業者数!Y39</f>
        <v>526.36473515503474</v>
      </c>
      <c r="R33" s="46">
        <f t="shared" si="1"/>
        <v>1092749.1142284628</v>
      </c>
      <c r="T33" s="310">
        <v>19803.2</v>
      </c>
      <c r="U33" s="310">
        <v>20116.3</v>
      </c>
      <c r="V33" s="88">
        <f t="shared" si="2"/>
        <v>-1.5810576068514104E-2</v>
      </c>
      <c r="W33" s="281">
        <v>3.0345887542588299E-2</v>
      </c>
      <c r="Y33" s="57">
        <v>2010</v>
      </c>
      <c r="Z33" s="48">
        <f t="shared" si="5"/>
        <v>0.39774179870702786</v>
      </c>
      <c r="AA33" s="295">
        <v>0.51948183578414497</v>
      </c>
      <c r="AB33" s="293">
        <f t="shared" si="10"/>
        <v>4.9170080948034656E-2</v>
      </c>
      <c r="AC33" s="166"/>
      <c r="AD33" s="57">
        <v>2010</v>
      </c>
      <c r="AE33" s="285">
        <f t="shared" si="6"/>
        <v>446977.76782772673</v>
      </c>
      <c r="AF33" s="46">
        <f t="shared" si="7"/>
        <v>501118.63567671884</v>
      </c>
      <c r="AG33" s="88">
        <f t="shared" si="8"/>
        <v>-0.10804002085430209</v>
      </c>
      <c r="AH33" s="88">
        <f t="shared" si="9"/>
        <v>6.1404134352569528E-3</v>
      </c>
      <c r="AJ33" s="37"/>
      <c r="AK33" s="37"/>
      <c r="AL33" s="38"/>
      <c r="AM33" s="37"/>
      <c r="AN33" s="37"/>
      <c r="AO33" s="38"/>
    </row>
    <row r="34" spans="1:41">
      <c r="A34" s="57">
        <v>2011</v>
      </c>
      <c r="B34" s="289">
        <v>446069.94860838994</v>
      </c>
      <c r="D34" s="69">
        <f>★資本ストック!D34</f>
        <v>19285.8</v>
      </c>
      <c r="E34" s="69">
        <f>★資本ストック!L34</f>
        <v>1377.9</v>
      </c>
      <c r="F34" s="88">
        <f>★資本稼働率!X39</f>
        <v>0.82302238222320179</v>
      </c>
      <c r="G34" s="46">
        <f t="shared" si="3"/>
        <v>17250.545059080225</v>
      </c>
      <c r="H34" s="69">
        <f>★資本ストック!H34</f>
        <v>19605.592053795801</v>
      </c>
      <c r="I34" s="69">
        <f>★資本ストック!P34</f>
        <v>1396.50696616347</v>
      </c>
      <c r="J34" s="88">
        <f>★資本稼働率!Y39</f>
        <v>0.83442799999999995</v>
      </c>
      <c r="K34" s="46">
        <f t="shared" si="11"/>
        <v>17755.961932428192</v>
      </c>
      <c r="M34" s="69">
        <f>★平均労働時間!J58</f>
        <v>2090.4623333333334</v>
      </c>
      <c r="N34" s="290">
        <f>★就業者数!X40</f>
        <v>501.66666666666669</v>
      </c>
      <c r="O34" s="46">
        <f t="shared" si="0"/>
        <v>1048715.2705555556</v>
      </c>
      <c r="P34" s="69">
        <f>★平均労働時間!K58</f>
        <v>2078.1395763568298</v>
      </c>
      <c r="Q34" s="290">
        <f>★就業者数!Y40</f>
        <v>518.35832779131965</v>
      </c>
      <c r="R34" s="46">
        <f t="shared" si="1"/>
        <v>1077220.9557172877</v>
      </c>
      <c r="T34" s="310">
        <v>19963.8</v>
      </c>
      <c r="U34" s="310">
        <v>19690.3</v>
      </c>
      <c r="V34" s="88">
        <f t="shared" si="2"/>
        <v>1.3699796631903793E-2</v>
      </c>
      <c r="W34" s="281">
        <v>4.0305337004275701E-2</v>
      </c>
      <c r="Y34" s="57">
        <v>2011</v>
      </c>
      <c r="Z34" s="48">
        <f t="shared" si="5"/>
        <v>0.44997027142042323</v>
      </c>
      <c r="AA34" s="295">
        <v>0.55764506119209301</v>
      </c>
      <c r="AB34" s="293">
        <f t="shared" si="10"/>
        <v>7.3464022760952874E-2</v>
      </c>
      <c r="AC34" s="166"/>
      <c r="AD34" s="57">
        <v>2011</v>
      </c>
      <c r="AE34" s="285">
        <f t="shared" si="6"/>
        <v>446069.94860838994</v>
      </c>
      <c r="AF34" s="46">
        <f t="shared" si="7"/>
        <v>509096.16579443298</v>
      </c>
      <c r="AG34" s="88">
        <f t="shared" si="8"/>
        <v>-0.12380021972409096</v>
      </c>
      <c r="AH34" s="88">
        <f t="shared" si="9"/>
        <v>1.5919444119137927E-2</v>
      </c>
      <c r="AJ34" s="37"/>
      <c r="AK34" s="37"/>
      <c r="AL34" s="38"/>
      <c r="AM34" s="37"/>
      <c r="AN34" s="37"/>
      <c r="AO34" s="38"/>
    </row>
    <row r="35" spans="1:41">
      <c r="A35" s="57">
        <v>2012</v>
      </c>
      <c r="B35" s="289">
        <v>449681.61798681098</v>
      </c>
      <c r="D35" s="69">
        <f>★資本ストック!D35</f>
        <v>18955.5</v>
      </c>
      <c r="E35" s="69">
        <f>★資本ストック!L35</f>
        <v>1352.7</v>
      </c>
      <c r="F35" s="88">
        <f>★資本稼働率!X40</f>
        <v>0.83087770487970225</v>
      </c>
      <c r="G35" s="46">
        <f t="shared" si="3"/>
        <v>17102.402334847196</v>
      </c>
      <c r="H35" s="69">
        <f>★資本ストック!H35</f>
        <v>19468.470941859501</v>
      </c>
      <c r="I35" s="69">
        <f>★資本ストック!P35</f>
        <v>1379.9329032794101</v>
      </c>
      <c r="J35" s="88">
        <f>★資本稼働率!Y40</f>
        <v>0.83442799999999995</v>
      </c>
      <c r="K35" s="46">
        <f t="shared" si="11"/>
        <v>17624.970174353348</v>
      </c>
      <c r="M35" s="69">
        <f>★平均労働時間!J59</f>
        <v>2092.7148000000002</v>
      </c>
      <c r="N35" s="290">
        <f>★就業者数!X41</f>
        <v>503.75</v>
      </c>
      <c r="O35" s="46">
        <f t="shared" si="0"/>
        <v>1054205.0805000002</v>
      </c>
      <c r="P35" s="69">
        <f>★平均労働時間!K59</f>
        <v>2078.9576635210501</v>
      </c>
      <c r="Q35" s="290">
        <f>★就業者数!Y41</f>
        <v>511.71028248573515</v>
      </c>
      <c r="R35" s="46">
        <f t="shared" si="1"/>
        <v>1063824.0132762406</v>
      </c>
      <c r="T35" s="310">
        <v>19822.8</v>
      </c>
      <c r="U35" s="310">
        <v>19499.8</v>
      </c>
      <c r="V35" s="88">
        <f t="shared" si="2"/>
        <v>1.6294368101378187E-2</v>
      </c>
      <c r="W35" s="281">
        <v>5.30347254468191E-2</v>
      </c>
      <c r="Y35" s="57">
        <v>2012</v>
      </c>
      <c r="Z35" s="48">
        <f t="shared" si="5"/>
        <v>0.45618898829070981</v>
      </c>
      <c r="AA35" s="295">
        <v>0.60761785544820102</v>
      </c>
      <c r="AB35" s="293">
        <f t="shared" si="10"/>
        <v>8.9613981605574988E-2</v>
      </c>
      <c r="AC35" s="166"/>
      <c r="AD35" s="57">
        <v>2012</v>
      </c>
      <c r="AE35" s="285">
        <f t="shared" si="6"/>
        <v>449681.61798681098</v>
      </c>
      <c r="AF35" s="46">
        <f t="shared" si="7"/>
        <v>520066.86640050448</v>
      </c>
      <c r="AG35" s="88">
        <f t="shared" si="8"/>
        <v>-0.13533884383145781</v>
      </c>
      <c r="AH35" s="88">
        <f t="shared" si="9"/>
        <v>2.1549367964600608E-2</v>
      </c>
      <c r="AJ35" s="37"/>
      <c r="AK35" s="37"/>
      <c r="AL35" s="38"/>
      <c r="AM35" s="37"/>
      <c r="AN35" s="37"/>
      <c r="AO35" s="38"/>
    </row>
    <row r="36" spans="1:41">
      <c r="A36" s="57">
        <v>2013</v>
      </c>
      <c r="B36" s="289">
        <v>488198.48128962546</v>
      </c>
      <c r="D36" s="69">
        <f>★資本ストック!D36</f>
        <v>18809.300000000003</v>
      </c>
      <c r="E36" s="69">
        <f>★資本ストック!L36</f>
        <v>1340.1</v>
      </c>
      <c r="F36" s="88">
        <f>★資本稼働率!X41</f>
        <v>0.82703634695102846</v>
      </c>
      <c r="G36" s="46">
        <f t="shared" si="3"/>
        <v>16896.074760705982</v>
      </c>
      <c r="H36" s="69">
        <f>★資本ストック!H36</f>
        <v>19406.795154693002</v>
      </c>
      <c r="I36" s="69">
        <f>★資本ストック!P36</f>
        <v>1366.68929472184</v>
      </c>
      <c r="J36" s="88">
        <f>★資本稼働率!Y41</f>
        <v>0.83442799999999995</v>
      </c>
      <c r="K36" s="46">
        <f t="shared" si="11"/>
        <v>17560.262562062009</v>
      </c>
      <c r="M36" s="69">
        <f>★平均労働時間!J60</f>
        <v>2068.4574666666672</v>
      </c>
      <c r="N36" s="290">
        <f>★就業者数!X42</f>
        <v>500.33333333333331</v>
      </c>
      <c r="O36" s="46">
        <f t="shared" si="0"/>
        <v>1034918.2191555558</v>
      </c>
      <c r="P36" s="69">
        <f>★平均労働時間!K60</f>
        <v>2078.5872380247301</v>
      </c>
      <c r="Q36" s="290">
        <f>★就業者数!Y42</f>
        <v>506.26093026087557</v>
      </c>
      <c r="R36" s="46">
        <f t="shared" si="1"/>
        <v>1052307.508750784</v>
      </c>
      <c r="T36" s="310">
        <v>21651.599999999999</v>
      </c>
      <c r="U36" s="310">
        <v>19274.8</v>
      </c>
      <c r="V36" s="88">
        <f t="shared" si="2"/>
        <v>0.10977479724362171</v>
      </c>
      <c r="W36" s="281">
        <v>6.7366787454913701E-2</v>
      </c>
      <c r="Y36" s="57">
        <v>2013</v>
      </c>
      <c r="Z36" s="48">
        <f t="shared" si="5"/>
        <v>0.74109033641652722</v>
      </c>
      <c r="AA36" s="295">
        <v>0.66631568935405305</v>
      </c>
      <c r="AB36" s="293">
        <f t="shared" si="10"/>
        <v>9.66032077226473E-2</v>
      </c>
      <c r="AC36" s="166"/>
      <c r="AD36" s="57">
        <v>2013</v>
      </c>
      <c r="AE36" s="285">
        <f t="shared" si="6"/>
        <v>488198.48128962546</v>
      </c>
      <c r="AF36" s="46">
        <f t="shared" si="7"/>
        <v>532194.91621259577</v>
      </c>
      <c r="AG36" s="88">
        <f t="shared" si="8"/>
        <v>-8.2669776772905254E-2</v>
      </c>
      <c r="AH36" s="88">
        <f t="shared" si="9"/>
        <v>2.3320173992302351E-2</v>
      </c>
      <c r="AJ36" s="37"/>
      <c r="AK36" s="37"/>
      <c r="AL36" s="38"/>
      <c r="AM36" s="37"/>
      <c r="AN36" s="37"/>
      <c r="AO36" s="38"/>
    </row>
    <row r="37" spans="1:41">
      <c r="A37" s="57">
        <v>2014</v>
      </c>
      <c r="B37" s="289">
        <v>485593.79057289567</v>
      </c>
      <c r="D37" s="69">
        <f>★資本ストック!D37</f>
        <v>19168.599999999999</v>
      </c>
      <c r="E37" s="69">
        <f>★資本ストック!L37</f>
        <v>1329.7</v>
      </c>
      <c r="F37" s="88">
        <f>★資本稼働率!X42</f>
        <v>0.8318530070196446</v>
      </c>
      <c r="G37" s="46">
        <f t="shared" si="3"/>
        <v>17275.157550356758</v>
      </c>
      <c r="H37" s="69">
        <f>★資本ストック!H37</f>
        <v>19417.343959483602</v>
      </c>
      <c r="I37" s="69">
        <f>★資本ストック!P37</f>
        <v>1357.2970182285101</v>
      </c>
      <c r="J37" s="88">
        <f>★資本稼働率!Y42</f>
        <v>0.83442799999999995</v>
      </c>
      <c r="K37" s="46">
        <f t="shared" si="11"/>
        <v>17559.672503652491</v>
      </c>
      <c r="M37" s="69">
        <f>★平均労働時間!J61</f>
        <v>2046.7991333333337</v>
      </c>
      <c r="N37" s="290">
        <f>★就業者数!X43</f>
        <v>507</v>
      </c>
      <c r="O37" s="46">
        <f t="shared" si="0"/>
        <v>1037727.1606000002</v>
      </c>
      <c r="P37" s="69">
        <f>★平均労働時間!K61</f>
        <v>2077.2685948896201</v>
      </c>
      <c r="Q37" s="290">
        <f>★就業者数!Y43</f>
        <v>501.80495815177284</v>
      </c>
      <c r="R37" s="46">
        <f t="shared" si="1"/>
        <v>1042383.6803285778</v>
      </c>
      <c r="T37" s="310">
        <v>22199.3</v>
      </c>
      <c r="U37" s="310">
        <v>19945.599999999999</v>
      </c>
      <c r="V37" s="88">
        <f t="shared" si="2"/>
        <v>0.10152121913754042</v>
      </c>
      <c r="W37" s="281">
        <v>8.1766854039796194E-2</v>
      </c>
      <c r="Y37" s="57">
        <v>2014</v>
      </c>
      <c r="Z37" s="48">
        <f t="shared" si="5"/>
        <v>0.70918867377713291</v>
      </c>
      <c r="AA37" s="295">
        <v>0.72913974503974799</v>
      </c>
      <c r="AB37" s="293">
        <f t="shared" si="10"/>
        <v>9.4285721752400242E-2</v>
      </c>
      <c r="AC37" s="166"/>
      <c r="AD37" s="57">
        <v>2014</v>
      </c>
      <c r="AE37" s="285">
        <f t="shared" si="6"/>
        <v>485593.79057289567</v>
      </c>
      <c r="AF37" s="46">
        <f t="shared" si="7"/>
        <v>544281.96584972274</v>
      </c>
      <c r="AG37" s="88">
        <f t="shared" si="8"/>
        <v>-0.10782678640693927</v>
      </c>
      <c r="AH37" s="88">
        <f t="shared" si="9"/>
        <v>2.2711696915756585E-2</v>
      </c>
      <c r="AJ37" s="37"/>
      <c r="AK37" s="37"/>
      <c r="AL37" s="38"/>
      <c r="AM37" s="37"/>
      <c r="AN37" s="37"/>
      <c r="AO37" s="38"/>
    </row>
    <row r="38" spans="1:41">
      <c r="A38" s="57">
        <v>2015</v>
      </c>
      <c r="B38" s="289">
        <v>539573.38020544511</v>
      </c>
      <c r="D38" s="69">
        <f>★資本ストック!D38</f>
        <v>19493.300000000003</v>
      </c>
      <c r="E38" s="69">
        <f>★資本ストック!L38</f>
        <v>1306.0999999999999</v>
      </c>
      <c r="F38" s="88">
        <f>★資本稼働率!X43</f>
        <v>0.86671543347870916</v>
      </c>
      <c r="G38" s="46">
        <f t="shared" si="3"/>
        <v>18201.243959430521</v>
      </c>
      <c r="H38" s="69">
        <f>★資本ストック!H38</f>
        <v>19490.921671871401</v>
      </c>
      <c r="I38" s="69">
        <f>★資本ストック!P38</f>
        <v>1352.0110585899499</v>
      </c>
      <c r="J38" s="88">
        <f>★資本稼働率!Y43</f>
        <v>0.83442799999999995</v>
      </c>
      <c r="K38" s="46">
        <f t="shared" si="11"/>
        <v>17615.781847406259</v>
      </c>
      <c r="M38" s="69">
        <f>★平均労働時間!J62</f>
        <v>2078.8534666666669</v>
      </c>
      <c r="N38" s="290">
        <f>★就業者数!X44</f>
        <v>502.5</v>
      </c>
      <c r="O38" s="46">
        <f t="shared" si="0"/>
        <v>1044623.8670000001</v>
      </c>
      <c r="P38" s="69">
        <f>★平均労働時間!K62</f>
        <v>2075.14073142385</v>
      </c>
      <c r="Q38" s="290">
        <f>★就業者数!Y44</f>
        <v>498.09599846279394</v>
      </c>
      <c r="R38" s="46">
        <f t="shared" si="1"/>
        <v>1033619.2945693751</v>
      </c>
      <c r="T38" s="310">
        <v>23189.5</v>
      </c>
      <c r="U38" s="310">
        <v>19825.599999999999</v>
      </c>
      <c r="V38" s="88">
        <f t="shared" si="2"/>
        <v>0.14506134241790469</v>
      </c>
      <c r="W38" s="281">
        <v>9.5124336310594401E-2</v>
      </c>
      <c r="Y38" s="57">
        <v>2015</v>
      </c>
      <c r="Z38" s="48">
        <f t="shared" si="5"/>
        <v>0.92946491487178917</v>
      </c>
      <c r="AA38" s="295">
        <v>0.79223895110584697</v>
      </c>
      <c r="AB38" s="293">
        <f t="shared" si="10"/>
        <v>8.6539249156770692E-2</v>
      </c>
      <c r="AC38" s="166"/>
      <c r="AD38" s="57">
        <v>2015</v>
      </c>
      <c r="AE38" s="285">
        <f t="shared" si="6"/>
        <v>539573.38020544511</v>
      </c>
      <c r="AF38" s="46">
        <f t="shared" si="7"/>
        <v>555895.73257200292</v>
      </c>
      <c r="AG38" s="88">
        <f t="shared" si="8"/>
        <v>-2.9362255203935466E-2</v>
      </c>
      <c r="AH38" s="88">
        <f t="shared" si="9"/>
        <v>2.1337776099468853E-2</v>
      </c>
      <c r="AJ38" s="37"/>
      <c r="AK38" s="37"/>
      <c r="AL38" s="38"/>
      <c r="AM38" s="37"/>
      <c r="AN38" s="37"/>
      <c r="AO38" s="38"/>
    </row>
    <row r="39" spans="1:41">
      <c r="A39" s="57">
        <v>2016</v>
      </c>
      <c r="B39" s="289">
        <v>581088.23698012601</v>
      </c>
      <c r="D39" s="69">
        <f>★資本ストック!D39</f>
        <v>19687</v>
      </c>
      <c r="E39" s="69">
        <f>★資本ストック!L39</f>
        <v>1321</v>
      </c>
      <c r="F39" s="88">
        <f>★資本稼働率!X44</f>
        <v>0.8717048603790668</v>
      </c>
      <c r="G39" s="46">
        <f t="shared" si="3"/>
        <v>18482.253586282688</v>
      </c>
      <c r="H39" s="69">
        <f>★資本ストック!H39</f>
        <v>19615.8451679018</v>
      </c>
      <c r="I39" s="69">
        <f>★資本ストック!P39</f>
        <v>1350.8104304143999</v>
      </c>
      <c r="J39" s="88">
        <f>★資本稼働率!Y44</f>
        <v>0.83442799999999995</v>
      </c>
      <c r="K39" s="46">
        <f t="shared" si="11"/>
        <v>17718.820882176362</v>
      </c>
      <c r="M39" s="69">
        <f>★平均労働時間!J63</f>
        <v>2101.2048666666669</v>
      </c>
      <c r="N39" s="290">
        <f>★就業者数!X45</f>
        <v>494.66666666666669</v>
      </c>
      <c r="O39" s="46">
        <f t="shared" si="0"/>
        <v>1039396.0073777779</v>
      </c>
      <c r="P39" s="69">
        <f>★平均労働時間!K63</f>
        <v>2072.0379503200202</v>
      </c>
      <c r="Q39" s="290">
        <f>★就業者数!Y45</f>
        <v>494.94285363183678</v>
      </c>
      <c r="R39" s="46">
        <f t="shared" si="1"/>
        <v>1025540.3759648529</v>
      </c>
      <c r="T39" s="310">
        <v>24385.4</v>
      </c>
      <c r="U39" s="310">
        <v>19954.7</v>
      </c>
      <c r="V39" s="88">
        <f t="shared" si="2"/>
        <v>0.18169478458421839</v>
      </c>
      <c r="W39" s="281">
        <v>0.10652618902741801</v>
      </c>
      <c r="Y39" s="57">
        <v>2016</v>
      </c>
      <c r="Z39" s="48">
        <f t="shared" si="5"/>
        <v>1.1626035872039435</v>
      </c>
      <c r="AA39" s="295">
        <v>0.85156272544051304</v>
      </c>
      <c r="AB39" s="293">
        <f t="shared" si="10"/>
        <v>7.4881163381147697E-2</v>
      </c>
      <c r="AC39" s="166"/>
      <c r="AD39" s="57">
        <v>2016</v>
      </c>
      <c r="AE39" s="285">
        <f t="shared" si="6"/>
        <v>581088.23698012601</v>
      </c>
      <c r="AF39" s="46">
        <f t="shared" si="7"/>
        <v>566780.74384962209</v>
      </c>
      <c r="AG39" s="88">
        <f t="shared" si="8"/>
        <v>2.5243435465584513E-2</v>
      </c>
      <c r="AH39" s="88">
        <f t="shared" si="9"/>
        <v>1.9581030469970839E-2</v>
      </c>
      <c r="AJ39" s="37"/>
      <c r="AK39" s="37"/>
      <c r="AL39" s="38"/>
      <c r="AM39" s="37"/>
      <c r="AN39" s="37"/>
      <c r="AO39" s="38"/>
    </row>
    <row r="40" spans="1:41">
      <c r="A40" s="57">
        <v>2017</v>
      </c>
      <c r="B40" s="289">
        <v>599172.92942574224</v>
      </c>
      <c r="D40" s="69">
        <f>★資本ストック!D40</f>
        <v>19724.5</v>
      </c>
      <c r="E40" s="69">
        <f>★資本ストック!L40</f>
        <v>1344.5</v>
      </c>
      <c r="F40" s="88">
        <f>★資本稼働率!X45</f>
        <v>0.86202234675969025</v>
      </c>
      <c r="G40" s="46">
        <f t="shared" si="3"/>
        <v>18347.459778661509</v>
      </c>
      <c r="H40" s="69">
        <f>★資本ストック!H40</f>
        <v>19780.455106901602</v>
      </c>
      <c r="I40" s="69">
        <f>★資本ストック!P40</f>
        <v>1353.2150377242201</v>
      </c>
      <c r="J40" s="88">
        <f>★資本稼働率!Y45</f>
        <v>0.83442799999999995</v>
      </c>
      <c r="K40" s="46">
        <f t="shared" si="11"/>
        <v>17858.580631665911</v>
      </c>
      <c r="M40" s="69">
        <f>★平均労働時間!J64</f>
        <v>2078.6802000000002</v>
      </c>
      <c r="N40" s="290">
        <f>★就業者数!X46</f>
        <v>498.25</v>
      </c>
      <c r="O40" s="46">
        <f t="shared" si="0"/>
        <v>1035702.4096500002</v>
      </c>
      <c r="P40" s="69">
        <f>★平均労働時間!K64</f>
        <v>2067.83168162313</v>
      </c>
      <c r="Q40" s="290">
        <f>★就業者数!Y46</f>
        <v>492.18757977883359</v>
      </c>
      <c r="R40" s="46">
        <f t="shared" si="1"/>
        <v>1017761.0707680839</v>
      </c>
      <c r="T40" s="310">
        <v>25147.1</v>
      </c>
      <c r="U40" s="310">
        <v>20513.099999999999</v>
      </c>
      <c r="V40" s="88">
        <f t="shared" si="2"/>
        <v>0.18427572165378914</v>
      </c>
      <c r="W40" s="281">
        <v>0.115558737011451</v>
      </c>
      <c r="Y40" s="57">
        <v>2017</v>
      </c>
      <c r="Z40" s="48">
        <f t="shared" si="5"/>
        <v>1.2164812830517648</v>
      </c>
      <c r="AA40" s="295">
        <v>0.90443274556985098</v>
      </c>
      <c r="AB40" s="293">
        <f t="shared" si="10"/>
        <v>6.2085878761295454E-2</v>
      </c>
      <c r="AC40" s="166"/>
      <c r="AD40" s="57">
        <v>2017</v>
      </c>
      <c r="AE40" s="285">
        <f t="shared" si="6"/>
        <v>599172.92942574224</v>
      </c>
      <c r="AF40" s="46">
        <f t="shared" si="7"/>
        <v>576931.44472254696</v>
      </c>
      <c r="AG40" s="88">
        <f t="shared" si="8"/>
        <v>3.8551347662964482E-2</v>
      </c>
      <c r="AH40" s="88">
        <f t="shared" si="9"/>
        <v>1.7909396151994272E-2</v>
      </c>
      <c r="AJ40" s="37"/>
      <c r="AK40" s="37"/>
      <c r="AL40" s="38"/>
      <c r="AM40" s="37"/>
      <c r="AN40" s="37"/>
      <c r="AO40" s="38"/>
    </row>
    <row r="41" spans="1:41">
      <c r="A41" s="57">
        <v>2018</v>
      </c>
      <c r="B41" s="289">
        <v>588328.4778262669</v>
      </c>
      <c r="D41" s="69">
        <f>★資本ストック!D41</f>
        <v>20270</v>
      </c>
      <c r="E41" s="69">
        <f>★資本ストック!L41</f>
        <v>1359.8</v>
      </c>
      <c r="F41" s="88">
        <f>★資本稼働率!X46</f>
        <v>0.8665421887582464</v>
      </c>
      <c r="G41" s="46">
        <f t="shared" si="3"/>
        <v>18924.610166129652</v>
      </c>
      <c r="H41" s="69">
        <f>★資本ストック!H41</f>
        <v>19973.803696518498</v>
      </c>
      <c r="I41" s="69">
        <f>★資本ストック!P41</f>
        <v>1358.4466802376101</v>
      </c>
      <c r="J41" s="88">
        <f>★資本稼働率!Y46</f>
        <v>0.83442799999999995</v>
      </c>
      <c r="K41" s="46">
        <f t="shared" si="11"/>
        <v>18025.147751116143</v>
      </c>
      <c r="M41" s="69">
        <f>★平均労働時間!J65</f>
        <v>2074.3485333333338</v>
      </c>
      <c r="N41" s="290">
        <f>★就業者数!X47</f>
        <v>503.41666666666669</v>
      </c>
      <c r="O41" s="46">
        <f t="shared" si="0"/>
        <v>1044261.6241555559</v>
      </c>
      <c r="P41" s="69">
        <f>★平均労働時間!K65</f>
        <v>2062.6850245416799</v>
      </c>
      <c r="Q41" s="290">
        <f>★就業者数!Y47</f>
        <v>489.64754390580612</v>
      </c>
      <c r="R41" s="46">
        <f t="shared" si="1"/>
        <v>1009988.656118121</v>
      </c>
      <c r="T41" s="310">
        <v>24700.9</v>
      </c>
      <c r="U41" s="310">
        <v>22219.4</v>
      </c>
      <c r="V41" s="88">
        <f t="shared" si="2"/>
        <v>0.10046192648850849</v>
      </c>
      <c r="W41" s="281">
        <v>0.122559991039443</v>
      </c>
      <c r="Y41" s="57">
        <v>2018</v>
      </c>
      <c r="Z41" s="48">
        <f t="shared" si="5"/>
        <v>0.84293360000135542</v>
      </c>
      <c r="AA41" s="295">
        <v>0.95128109763756097</v>
      </c>
      <c r="AB41" s="293">
        <f t="shared" si="10"/>
        <v>5.1798602269970351E-2</v>
      </c>
      <c r="AC41" s="166"/>
      <c r="AD41" s="57">
        <v>2018</v>
      </c>
      <c r="AE41" s="285">
        <f t="shared" si="6"/>
        <v>588328.4778262669</v>
      </c>
      <c r="AF41" s="46">
        <f t="shared" si="7"/>
        <v>586592.97675945447</v>
      </c>
      <c r="AG41" s="88">
        <f t="shared" si="8"/>
        <v>2.9586120795375829E-3</v>
      </c>
      <c r="AH41" s="88">
        <f t="shared" si="9"/>
        <v>1.6746412637560271E-2</v>
      </c>
      <c r="AJ41" s="37"/>
      <c r="AK41" s="37"/>
      <c r="AL41" s="38"/>
      <c r="AM41" s="37"/>
      <c r="AN41" s="37"/>
      <c r="AO41" s="38"/>
    </row>
    <row r="42" spans="1:41">
      <c r="A42" s="57">
        <v>2019</v>
      </c>
      <c r="B42" s="289">
        <v>583270.32016486558</v>
      </c>
      <c r="D42" s="69">
        <f>★資本ストック!D42</f>
        <v>20481.7</v>
      </c>
      <c r="E42" s="69">
        <f>★資本ストック!L42</f>
        <v>1378.7</v>
      </c>
      <c r="F42" s="88">
        <f>★資本稼働率!X47</f>
        <v>0.89207073886735333</v>
      </c>
      <c r="G42" s="46">
        <f t="shared" si="3"/>
        <v>19649.82525225947</v>
      </c>
      <c r="H42" s="69">
        <f>★資本ストック!H42</f>
        <v>20184.383593331</v>
      </c>
      <c r="I42" s="69">
        <f>★資本ストック!P42</f>
        <v>1365.64000729551</v>
      </c>
      <c r="J42" s="88">
        <f>★資本稼働率!Y47</f>
        <v>0.83442799999999995</v>
      </c>
      <c r="K42" s="46">
        <f t="shared" si="11"/>
        <v>18208.05484031151</v>
      </c>
      <c r="M42" s="69">
        <f>★平均労働時間!J66</f>
        <v>2046.1060666666669</v>
      </c>
      <c r="N42" s="290">
        <f>★就業者数!X48</f>
        <v>498.66666666666669</v>
      </c>
      <c r="O42" s="46">
        <f t="shared" si="0"/>
        <v>1020324.8919111113</v>
      </c>
      <c r="P42" s="69">
        <f>★平均労働時間!K66</f>
        <v>2056.8695634679102</v>
      </c>
      <c r="Q42" s="290">
        <f>★就業者数!Y48</f>
        <v>487.16278297712057</v>
      </c>
      <c r="R42" s="46">
        <f t="shared" si="1"/>
        <v>1002030.3007599623</v>
      </c>
      <c r="T42" s="310">
        <v>25107.4</v>
      </c>
      <c r="U42" s="310">
        <v>23391.9</v>
      </c>
      <c r="V42" s="88">
        <f t="shared" si="2"/>
        <v>6.832646948708343E-2</v>
      </c>
      <c r="W42" s="281">
        <v>0.12855513173456901</v>
      </c>
      <c r="Y42" s="57">
        <v>2019</v>
      </c>
      <c r="Z42" s="48">
        <f t="shared" si="5"/>
        <v>0.74875069894397972</v>
      </c>
      <c r="AA42" s="295">
        <v>0.99566035316264501</v>
      </c>
      <c r="AB42" s="293">
        <f>AA42/AA41-1</f>
        <v>4.6652094354966867E-2</v>
      </c>
      <c r="AC42" s="166"/>
      <c r="AD42" s="57">
        <v>2019</v>
      </c>
      <c r="AE42" s="285">
        <f t="shared" si="6"/>
        <v>583270.32016486558</v>
      </c>
      <c r="AF42" s="46">
        <f t="shared" si="7"/>
        <v>595973.27052250435</v>
      </c>
      <c r="AG42" s="88">
        <f t="shared" si="8"/>
        <v>-2.131463101776658E-2</v>
      </c>
      <c r="AH42" s="88">
        <f t="shared" si="9"/>
        <v>1.5991145708681875E-2</v>
      </c>
      <c r="AJ42" s="37"/>
      <c r="AK42" s="37"/>
      <c r="AL42" s="38"/>
      <c r="AM42" s="37"/>
      <c r="AN42" s="37"/>
      <c r="AO42" s="38"/>
    </row>
    <row r="43" spans="1:41">
      <c r="A43" s="57">
        <v>2020</v>
      </c>
      <c r="B43" s="289">
        <v>565661.15425904549</v>
      </c>
      <c r="D43" s="69">
        <f>★資本ストック!D43</f>
        <v>20649.5</v>
      </c>
      <c r="E43" s="69">
        <f>★資本ストック!L43</f>
        <v>1407.2</v>
      </c>
      <c r="F43" s="88">
        <f>★資本稼働率!X48</f>
        <v>0.8667369449334168</v>
      </c>
      <c r="G43" s="46">
        <f t="shared" si="3"/>
        <v>19304.88454440259</v>
      </c>
      <c r="H43" s="69">
        <f>★資本ストック!H43</f>
        <v>20403.6494169527</v>
      </c>
      <c r="I43" s="69">
        <f>★資本ストック!P43</f>
        <v>1373.94320143653</v>
      </c>
      <c r="J43" s="88">
        <f>★資本稼働率!Y48</f>
        <v>0.83442799999999995</v>
      </c>
      <c r="K43" s="46">
        <f t="shared" si="11"/>
        <v>18399.319577125538</v>
      </c>
      <c r="M43" s="69">
        <f>★平均労働時間!J67</f>
        <v>2022.7150666666671</v>
      </c>
      <c r="N43" s="290">
        <f>★就業者数!X49</f>
        <v>491.83333333333331</v>
      </c>
      <c r="O43" s="46">
        <f t="shared" si="0"/>
        <v>994838.6936222224</v>
      </c>
      <c r="P43" s="291">
        <f>★平均労働時間!K67</f>
        <v>2056.8695634679102</v>
      </c>
      <c r="Q43" s="292">
        <f>★就業者数!Y49</f>
        <v>487.16278297712057</v>
      </c>
      <c r="R43" s="46">
        <f t="shared" si="1"/>
        <v>1002030.3007599623</v>
      </c>
      <c r="T43" s="310">
        <v>26020.3</v>
      </c>
      <c r="U43" s="310">
        <v>23049.9</v>
      </c>
      <c r="V43" s="88">
        <f t="shared" si="2"/>
        <v>0.11415702355468604</v>
      </c>
      <c r="W43" s="281">
        <v>0.13434835907450099</v>
      </c>
      <c r="Y43" s="57">
        <v>2020</v>
      </c>
      <c r="Z43" s="48">
        <f t="shared" si="5"/>
        <v>0.89176467941756077</v>
      </c>
      <c r="AA43" s="296">
        <v>1.04234978108688</v>
      </c>
      <c r="AB43" s="293">
        <f>AA43/AA42-1</f>
        <v>4.6892926665131673E-2</v>
      </c>
      <c r="AD43" s="57">
        <v>2020</v>
      </c>
      <c r="AE43" s="285">
        <f t="shared" si="6"/>
        <v>565661.15425904549</v>
      </c>
      <c r="AF43" s="46">
        <f t="shared" si="7"/>
        <v>610456.82958399598</v>
      </c>
      <c r="AG43" s="88">
        <f t="shared" si="8"/>
        <v>-7.3380578534074398E-2</v>
      </c>
      <c r="AH43" s="88">
        <f t="shared" si="9"/>
        <v>2.4302363508339031E-2</v>
      </c>
    </row>
    <row r="44" spans="1:41">
      <c r="D44" s="69">
        <f>★資本ストック!D44</f>
        <v>20937.400000000001</v>
      </c>
      <c r="E44" s="69">
        <f>★資本ストック!L44</f>
        <v>1421.5</v>
      </c>
      <c r="H44" s="69">
        <f>★資本ストック!H44</f>
        <v>20626.028951063799</v>
      </c>
      <c r="I44" s="69">
        <f>★資本ストック!P44</f>
        <v>1382.6350451262799</v>
      </c>
      <c r="N44" s="51"/>
      <c r="AA44" s="297" t="s">
        <v>363</v>
      </c>
      <c r="AF44" s="55"/>
    </row>
    <row r="45" spans="1:41">
      <c r="N45" s="51"/>
    </row>
    <row r="46" spans="1:41">
      <c r="N46" s="51"/>
    </row>
    <row r="47" spans="1:41">
      <c r="N47" s="51"/>
    </row>
    <row r="48" spans="1:41">
      <c r="N48" s="51"/>
    </row>
    <row r="49" spans="14:14">
      <c r="N49" s="51"/>
    </row>
    <row r="50" spans="14:14">
      <c r="N50" s="51"/>
    </row>
    <row r="51" spans="14:14">
      <c r="N51" s="51"/>
    </row>
    <row r="52" spans="14:14">
      <c r="N52" s="51"/>
    </row>
    <row r="53" spans="14:14">
      <c r="N53" s="51"/>
    </row>
    <row r="54" spans="14:14">
      <c r="N54" s="51"/>
    </row>
    <row r="55" spans="14:14">
      <c r="N55" s="51"/>
    </row>
    <row r="56" spans="14:14">
      <c r="N56" s="51"/>
    </row>
    <row r="57" spans="14:14">
      <c r="N57" s="51"/>
    </row>
    <row r="58" spans="14:14">
      <c r="N58" s="51"/>
    </row>
    <row r="59" spans="14:14">
      <c r="N59" s="51"/>
    </row>
    <row r="60" spans="14:14">
      <c r="N60" s="51"/>
    </row>
    <row r="61" spans="14:14">
      <c r="N61" s="51"/>
    </row>
    <row r="62" spans="14:14">
      <c r="N62" s="51"/>
    </row>
    <row r="63" spans="14:14">
      <c r="N63" s="51"/>
    </row>
    <row r="64" spans="14:14">
      <c r="N64" s="51"/>
    </row>
    <row r="65" spans="14:14">
      <c r="N65" s="51"/>
    </row>
    <row r="66" spans="14:14">
      <c r="N66" s="51"/>
    </row>
    <row r="67" spans="14:14">
      <c r="N67" s="51"/>
    </row>
    <row r="68" spans="14:14">
      <c r="N68" s="51"/>
    </row>
    <row r="69" spans="14:14">
      <c r="N69" s="52"/>
    </row>
  </sheetData>
  <mergeCells count="5">
    <mergeCell ref="D1:K1"/>
    <mergeCell ref="M1:R1"/>
    <mergeCell ref="T1:W1"/>
    <mergeCell ref="Z1:AB1"/>
    <mergeCell ref="AE1:AH1"/>
  </mergeCells>
  <phoneticPr fontId="1"/>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37B4F-1B84-472F-8DD0-103275A451B6}">
  <dimension ref="A1:BF69"/>
  <sheetViews>
    <sheetView topLeftCell="AB1" zoomScale="85" zoomScaleNormal="85" workbookViewId="0">
      <selection activeCell="AC5" sqref="AC5:AC10"/>
    </sheetView>
  </sheetViews>
  <sheetFormatPr defaultColWidth="8.84375" defaultRowHeight="18.45" outlineLevelRow="1"/>
  <cols>
    <col min="1" max="1" width="8.84375" style="57"/>
    <col min="2" max="2" width="16.4609375" style="37" bestFit="1" customWidth="1"/>
    <col min="3" max="3" width="16.4609375" style="43" bestFit="1" customWidth="1"/>
    <col min="4" max="4" width="16.765625" style="24" customWidth="1"/>
    <col min="5" max="6" width="19.07421875" style="43" bestFit="1" customWidth="1"/>
    <col min="7" max="8" width="19.07421875" style="43" customWidth="1"/>
    <col min="9" max="10" width="19.07421875" style="43" bestFit="1" customWidth="1"/>
    <col min="11" max="12" width="16.765625" style="43" bestFit="1" customWidth="1"/>
    <col min="13" max="13" width="8.84375" style="24"/>
    <col min="14" max="14" width="19.07421875" style="24" bestFit="1" customWidth="1"/>
    <col min="15" max="15" width="19.07421875" style="24" customWidth="1"/>
    <col min="16" max="16" width="19.07421875" style="43" customWidth="1"/>
    <col min="17" max="17" width="19.07421875" style="24" bestFit="1" customWidth="1"/>
    <col min="18" max="18" width="14.4609375" style="43" bestFit="1" customWidth="1"/>
    <col min="19" max="19" width="16.765625" style="43" bestFit="1" customWidth="1"/>
    <col min="20" max="20" width="8.84375" style="24"/>
    <col min="21" max="21" width="14.07421875" style="43" customWidth="1"/>
    <col min="22" max="22" width="11.84375" style="43" customWidth="1"/>
    <col min="23" max="23" width="16.4609375" style="44" bestFit="1" customWidth="1"/>
    <col min="24" max="24" width="16.4609375" style="44" customWidth="1"/>
    <col min="25" max="25" width="8.84375" style="24"/>
    <col min="26" max="26" width="8.84375" style="57"/>
    <col min="27" max="27" width="9.69140625" style="45" bestFit="1" customWidth="1"/>
    <col min="28" max="28" width="5.765625" style="45" bestFit="1" customWidth="1"/>
    <col min="29" max="29" width="11.765625" style="44" bestFit="1" customWidth="1"/>
    <col min="30" max="30" width="13.765625" style="24" bestFit="1" customWidth="1"/>
    <col min="31" max="31" width="8.84375" style="57"/>
    <col min="32" max="32" width="20.765625" style="24" customWidth="1"/>
    <col min="33" max="33" width="18.765625" style="24" bestFit="1" customWidth="1"/>
    <col min="34" max="34" width="14.07421875" style="24" bestFit="1" customWidth="1"/>
    <col min="35" max="35" width="11.84375" style="24" bestFit="1" customWidth="1"/>
    <col min="36" max="36" width="8.84375" style="24"/>
    <col min="37" max="39" width="18.4609375" style="24" bestFit="1" customWidth="1"/>
    <col min="40" max="40" width="19" style="71" customWidth="1"/>
    <col min="41" max="42" width="22.4609375" style="24" customWidth="1"/>
    <col min="43" max="16384" width="8.84375" style="24"/>
  </cols>
  <sheetData>
    <row r="1" spans="1:42" s="59" customFormat="1">
      <c r="A1" s="58"/>
      <c r="B1" s="416" t="s">
        <v>0</v>
      </c>
      <c r="C1" s="416"/>
      <c r="E1" s="407" t="s">
        <v>1</v>
      </c>
      <c r="F1" s="407"/>
      <c r="G1" s="407"/>
      <c r="H1" s="407"/>
      <c r="I1" s="407"/>
      <c r="J1" s="407"/>
      <c r="K1" s="407"/>
      <c r="L1" s="407"/>
      <c r="N1" s="407" t="s">
        <v>3</v>
      </c>
      <c r="O1" s="407"/>
      <c r="P1" s="407"/>
      <c r="Q1" s="407"/>
      <c r="R1" s="407"/>
      <c r="S1" s="407"/>
      <c r="U1" s="407" t="s">
        <v>4</v>
      </c>
      <c r="V1" s="407"/>
      <c r="W1" s="407"/>
      <c r="X1" s="407"/>
      <c r="Z1" s="58"/>
      <c r="AA1" s="407" t="s">
        <v>5</v>
      </c>
      <c r="AB1" s="407"/>
      <c r="AC1" s="407"/>
      <c r="AE1" s="58"/>
      <c r="AF1" s="407" t="s">
        <v>6</v>
      </c>
      <c r="AG1" s="407"/>
      <c r="AH1" s="407"/>
      <c r="AI1" s="407"/>
      <c r="AN1" s="82"/>
    </row>
    <row r="2" spans="1:42" ht="55.3">
      <c r="A2" s="57" t="s">
        <v>7</v>
      </c>
      <c r="B2" s="67" t="s">
        <v>364</v>
      </c>
      <c r="C2" s="49" t="s">
        <v>365</v>
      </c>
      <c r="E2" s="49" t="s">
        <v>9</v>
      </c>
      <c r="F2" s="49" t="s">
        <v>10</v>
      </c>
      <c r="G2" s="43" t="s">
        <v>11</v>
      </c>
      <c r="H2" s="49" t="s">
        <v>12</v>
      </c>
      <c r="I2" s="49" t="s">
        <v>13</v>
      </c>
      <c r="J2" s="49" t="s">
        <v>16</v>
      </c>
      <c r="K2" s="43" t="s">
        <v>19</v>
      </c>
      <c r="L2" s="49" t="s">
        <v>20</v>
      </c>
      <c r="N2" s="50" t="s">
        <v>28</v>
      </c>
      <c r="O2" s="32" t="s">
        <v>29</v>
      </c>
      <c r="P2" s="30" t="s">
        <v>30</v>
      </c>
      <c r="Q2" s="50" t="s">
        <v>31</v>
      </c>
      <c r="R2" s="30" t="s">
        <v>33</v>
      </c>
      <c r="S2" s="30" t="s">
        <v>34</v>
      </c>
      <c r="U2" s="30" t="s">
        <v>35</v>
      </c>
      <c r="V2" s="30" t="s">
        <v>36</v>
      </c>
      <c r="W2" s="35" t="s">
        <v>37</v>
      </c>
      <c r="X2" s="35" t="s">
        <v>38</v>
      </c>
      <c r="Z2" s="57" t="s">
        <v>7</v>
      </c>
      <c r="AA2" s="39" t="s">
        <v>39</v>
      </c>
      <c r="AB2" s="54" t="s">
        <v>40</v>
      </c>
      <c r="AC2" s="53" t="s">
        <v>41</v>
      </c>
      <c r="AE2" s="57" t="s">
        <v>7</v>
      </c>
      <c r="AF2" s="32" t="s">
        <v>366</v>
      </c>
      <c r="AG2" s="32" t="s">
        <v>367</v>
      </c>
      <c r="AH2" s="32" t="s">
        <v>44</v>
      </c>
      <c r="AI2" s="32" t="s">
        <v>45</v>
      </c>
      <c r="AK2" s="32" t="s">
        <v>368</v>
      </c>
      <c r="AL2" s="32" t="s">
        <v>369</v>
      </c>
      <c r="AM2" s="32" t="s">
        <v>370</v>
      </c>
      <c r="AN2" s="81" t="s">
        <v>371</v>
      </c>
      <c r="AO2" s="32"/>
      <c r="AP2" s="32"/>
    </row>
    <row r="3" spans="1:42" outlineLevel="1">
      <c r="A3" s="57" t="s">
        <v>49</v>
      </c>
      <c r="B3" s="67">
        <v>672729.84744445409</v>
      </c>
      <c r="C3" s="49">
        <f t="shared" ref="C3:C43" si="0">B3*AN3</f>
        <v>274086.40342515497</v>
      </c>
      <c r="E3" s="49"/>
      <c r="F3" s="49"/>
      <c r="G3" s="44"/>
      <c r="I3" s="49"/>
      <c r="J3" s="49"/>
      <c r="K3" s="44"/>
      <c r="N3" s="49">
        <v>2280.8823999999995</v>
      </c>
      <c r="O3" s="30">
        <v>548.02883189833722</v>
      </c>
      <c r="P3" s="43">
        <f t="shared" ref="P3:P43" si="1">N3*O3</f>
        <v>1249989.3173694757</v>
      </c>
      <c r="Q3" s="49">
        <v>2278.0755795411901</v>
      </c>
      <c r="R3" s="30">
        <v>518.43212547841347</v>
      </c>
      <c r="S3" s="43">
        <f>Q3*R3</f>
        <v>1181027.5647020077</v>
      </c>
      <c r="U3" s="30">
        <v>19489.3</v>
      </c>
      <c r="V3" s="30">
        <v>13415.4</v>
      </c>
      <c r="W3" s="44">
        <f t="shared" ref="W3:W16" si="2">1-V3/U3</f>
        <v>0.31165306091034572</v>
      </c>
      <c r="X3" s="35">
        <v>0.308037193656299</v>
      </c>
      <c r="Z3" s="57" t="s">
        <v>49</v>
      </c>
      <c r="AB3" s="54"/>
      <c r="AC3" s="53"/>
      <c r="AE3" s="57" t="s">
        <v>49</v>
      </c>
      <c r="AF3" s="42"/>
      <c r="AG3" s="43"/>
      <c r="AH3" s="44"/>
      <c r="AI3" s="44"/>
      <c r="AK3" s="67">
        <v>54556.9</v>
      </c>
      <c r="AL3" s="67">
        <v>32329.1</v>
      </c>
      <c r="AM3" s="67">
        <v>22227.8</v>
      </c>
      <c r="AN3" s="81">
        <f>AM3/AK3</f>
        <v>0.40742417549384219</v>
      </c>
      <c r="AO3" s="32"/>
      <c r="AP3" s="32"/>
    </row>
    <row r="4" spans="1:42">
      <c r="A4" s="57" t="s">
        <v>50</v>
      </c>
      <c r="B4" s="67">
        <v>651330.72414749418</v>
      </c>
      <c r="C4" s="49">
        <f t="shared" si="0"/>
        <v>282281.7297905577</v>
      </c>
      <c r="E4" s="49">
        <v>11608.412051853184</v>
      </c>
      <c r="F4" s="49">
        <v>532.10204873840848</v>
      </c>
      <c r="G4" s="44">
        <v>0.80789743103963818</v>
      </c>
      <c r="H4" s="43">
        <f t="shared" ref="H4:H43" si="3">E4*G4+F4</f>
        <v>9910.5083238801708</v>
      </c>
      <c r="I4" s="49">
        <v>11241.132312989799</v>
      </c>
      <c r="J4" s="49">
        <v>472.81342905605402</v>
      </c>
      <c r="K4" s="44">
        <v>0.82784500000000005</v>
      </c>
      <c r="L4" s="43">
        <f t="shared" ref="L4:L16" si="4">I4*K4+J4</f>
        <v>9778.7286087030952</v>
      </c>
      <c r="N4" s="49">
        <v>2292.1447333333331</v>
      </c>
      <c r="O4" s="30">
        <v>543.47471465378021</v>
      </c>
      <c r="P4" s="43">
        <f t="shared" si="1"/>
        <v>1245722.7048934982</v>
      </c>
      <c r="Q4" s="49">
        <v>2274.9449153820601</v>
      </c>
      <c r="R4" s="30">
        <v>524.38561843499588</v>
      </c>
      <c r="S4" s="43">
        <f t="shared" ref="S4:S43" si="5">Q4*R4</f>
        <v>1192948.396358171</v>
      </c>
      <c r="U4" s="30">
        <v>21185.1</v>
      </c>
      <c r="V4" s="30">
        <v>14162.7</v>
      </c>
      <c r="W4" s="44">
        <f t="shared" si="2"/>
        <v>0.33147825594403602</v>
      </c>
      <c r="X4" s="35">
        <v>0.311199733868668</v>
      </c>
      <c r="Z4" s="57" t="s">
        <v>50</v>
      </c>
      <c r="AA4" s="45">
        <f>EXP(LOG(C4,EXP(1))-W4*LOG(H4,EXP(1))-(1-W4)*LOG(P4,EXP(1)))</f>
        <v>1.1249730760941727</v>
      </c>
      <c r="AB4" s="54">
        <v>0.96469466218594202</v>
      </c>
      <c r="AC4" s="53"/>
      <c r="AE4" s="57" t="s">
        <v>50</v>
      </c>
      <c r="AF4" s="42">
        <f t="shared" ref="AF4:AF43" si="6">C4/AN4</f>
        <v>651330.72414749418</v>
      </c>
      <c r="AG4" s="43">
        <f t="shared" ref="AG4:AG43" si="7">AB4*(L4^X4)*(S4^(1-X4))/AN4</f>
        <v>595473.04077692132</v>
      </c>
      <c r="AH4" s="44">
        <f>(AF4-AG4)/AG4</f>
        <v>9.380388287216937E-2</v>
      </c>
      <c r="AI4" s="44"/>
      <c r="AJ4" s="40"/>
      <c r="AK4" s="67">
        <v>55837.4</v>
      </c>
      <c r="AL4" s="67">
        <v>31637.8</v>
      </c>
      <c r="AM4" s="67">
        <v>24199.5</v>
      </c>
      <c r="AN4" s="81">
        <f t="shared" ref="AN4:AN42" si="8">AM4/AK4</f>
        <v>0.43339231411204676</v>
      </c>
      <c r="AO4" s="32"/>
      <c r="AP4" s="32"/>
    </row>
    <row r="5" spans="1:42">
      <c r="A5" s="57" t="s">
        <v>51</v>
      </c>
      <c r="B5" s="67">
        <v>635334.08977780421</v>
      </c>
      <c r="C5" s="49">
        <f t="shared" si="0"/>
        <v>276820.86931640212</v>
      </c>
      <c r="E5" s="49">
        <v>12409.547405379732</v>
      </c>
      <c r="F5" s="49">
        <v>546.73336208755643</v>
      </c>
      <c r="G5" s="44">
        <v>0.79672072435186447</v>
      </c>
      <c r="H5" s="43">
        <f t="shared" si="3"/>
        <v>10433.676959780496</v>
      </c>
      <c r="I5" s="49">
        <v>11892.6473065052</v>
      </c>
      <c r="J5" s="49">
        <v>523.38944473409902</v>
      </c>
      <c r="K5" s="44">
        <v>0.82784500000000005</v>
      </c>
      <c r="L5" s="43">
        <f t="shared" si="4"/>
        <v>10368.658054187898</v>
      </c>
      <c r="N5" s="49">
        <v>2275.8576666666668</v>
      </c>
      <c r="O5" s="30">
        <v>541.05959882112359</v>
      </c>
      <c r="P5" s="43">
        <f t="shared" si="1"/>
        <v>1231374.6361006452</v>
      </c>
      <c r="Q5" s="49">
        <v>2271.8301885385499</v>
      </c>
      <c r="R5" s="30">
        <v>529.53917409834207</v>
      </c>
      <c r="S5" s="43">
        <f t="shared" si="5"/>
        <v>1203023.0817303844</v>
      </c>
      <c r="U5" s="30">
        <v>21667.1</v>
      </c>
      <c r="V5" s="30">
        <v>14821</v>
      </c>
      <c r="W5" s="44">
        <f t="shared" si="2"/>
        <v>0.31596752680331008</v>
      </c>
      <c r="X5" s="35">
        <v>0.31439843275357399</v>
      </c>
      <c r="Z5" s="57" t="s">
        <v>51</v>
      </c>
      <c r="AA5" s="45">
        <f t="shared" ref="AA5:AA42" si="9">EXP(LOG(C5,EXP(1))-W5*LOG(H5,EXP(1))-(1-W5)*LOG(P5,EXP(1)))</f>
        <v>1.0150289563387576</v>
      </c>
      <c r="AB5" s="54">
        <v>1.0334239934666201</v>
      </c>
      <c r="AC5" s="53">
        <f>AB5/AB4-1</f>
        <v>7.1244647632797475E-2</v>
      </c>
      <c r="AE5" s="57" t="s">
        <v>51</v>
      </c>
      <c r="AF5" s="42">
        <f t="shared" si="6"/>
        <v>635334.08977780421</v>
      </c>
      <c r="AG5" s="43">
        <f t="shared" si="7"/>
        <v>640123.99071290984</v>
      </c>
      <c r="AH5" s="44">
        <f t="shared" ref="AH5:AH43" si="10">(AF5-AG5)/AG5</f>
        <v>-7.4827705328948686E-3</v>
      </c>
      <c r="AI5" s="44">
        <f t="shared" ref="AI5:AI43" si="11">AG5/AG4-1</f>
        <v>7.4983999070271645E-2</v>
      </c>
      <c r="AJ5" s="40"/>
      <c r="AK5" s="67">
        <v>55654.1</v>
      </c>
      <c r="AL5" s="67">
        <v>31405.1</v>
      </c>
      <c r="AM5" s="67">
        <v>24249</v>
      </c>
      <c r="AN5" s="81">
        <f t="shared" si="8"/>
        <v>0.43570913912901299</v>
      </c>
      <c r="AO5" s="32"/>
      <c r="AP5" s="32"/>
    </row>
    <row r="6" spans="1:42">
      <c r="A6" s="57" t="s">
        <v>52</v>
      </c>
      <c r="B6" s="67">
        <v>624447.63493421394</v>
      </c>
      <c r="C6" s="49">
        <f t="shared" si="0"/>
        <v>262760.9445333386</v>
      </c>
      <c r="E6" s="49">
        <v>13070.107346447743</v>
      </c>
      <c r="F6" s="49">
        <v>569.42682769031705</v>
      </c>
      <c r="G6" s="44">
        <v>0.79459224052434818</v>
      </c>
      <c r="H6" s="43">
        <f t="shared" si="3"/>
        <v>10954.832707997972</v>
      </c>
      <c r="I6" s="49">
        <v>12547.835097409101</v>
      </c>
      <c r="J6" s="49">
        <v>574.55834660896699</v>
      </c>
      <c r="K6" s="44">
        <v>0.82784500000000005</v>
      </c>
      <c r="L6" s="43">
        <f t="shared" si="4"/>
        <v>10962.220892823605</v>
      </c>
      <c r="N6" s="49">
        <v>2252.8132000000005</v>
      </c>
      <c r="O6" s="30">
        <v>540.40654355710569</v>
      </c>
      <c r="P6" s="43">
        <f t="shared" si="1"/>
        <v>1217434.9946918229</v>
      </c>
      <c r="Q6" s="49">
        <v>2268.2678566087998</v>
      </c>
      <c r="R6" s="30">
        <v>534.29373986375072</v>
      </c>
      <c r="S6" s="43">
        <f t="shared" si="5"/>
        <v>1211921.3161202495</v>
      </c>
      <c r="U6" s="30">
        <v>20032</v>
      </c>
      <c r="V6" s="30">
        <v>15047.4</v>
      </c>
      <c r="W6" s="44">
        <f t="shared" si="2"/>
        <v>0.24883186900958465</v>
      </c>
      <c r="X6" s="35">
        <v>0.31787223420430799</v>
      </c>
      <c r="Z6" s="57" t="s">
        <v>52</v>
      </c>
      <c r="AA6" s="45">
        <f t="shared" si="9"/>
        <v>0.69692369707746482</v>
      </c>
      <c r="AB6" s="54">
        <v>1.10375610888644</v>
      </c>
      <c r="AC6" s="53">
        <f t="shared" ref="AC6:AC43" si="12">AB6/AB5-1</f>
        <v>6.8057366448296852E-2</v>
      </c>
      <c r="AE6" s="57" t="s">
        <v>52</v>
      </c>
      <c r="AF6" s="42">
        <f t="shared" si="6"/>
        <v>624447.63493421383</v>
      </c>
      <c r="AG6" s="43">
        <f t="shared" si="7"/>
        <v>712339.00610039069</v>
      </c>
      <c r="AH6" s="44">
        <f>(AF6-AG6)/AG6</f>
        <v>-0.12338418984989605</v>
      </c>
      <c r="AI6" s="44">
        <f t="shared" si="11"/>
        <v>0.11281410544706283</v>
      </c>
      <c r="AJ6" s="40"/>
      <c r="AK6" s="67">
        <v>53364.7</v>
      </c>
      <c r="AL6" s="67">
        <v>30909.3</v>
      </c>
      <c r="AM6" s="67">
        <v>22455.3</v>
      </c>
      <c r="AN6" s="81">
        <f t="shared" si="8"/>
        <v>0.42078939823516298</v>
      </c>
      <c r="AO6" s="32"/>
      <c r="AP6" s="32"/>
    </row>
    <row r="7" spans="1:42">
      <c r="A7" s="57" t="s">
        <v>53</v>
      </c>
      <c r="B7" s="67">
        <v>647211.48335997341</v>
      </c>
      <c r="C7" s="49">
        <f t="shared" si="0"/>
        <v>275312.87052038917</v>
      </c>
      <c r="E7" s="49">
        <v>13503.496595282833</v>
      </c>
      <c r="F7" s="49">
        <v>614.21656243260713</v>
      </c>
      <c r="G7" s="44">
        <v>0.80249055041149842</v>
      </c>
      <c r="H7" s="43">
        <f t="shared" si="3"/>
        <v>11450.644977660922</v>
      </c>
      <c r="I7" s="49">
        <v>13215.537484079199</v>
      </c>
      <c r="J7" s="49">
        <v>627.14646005101895</v>
      </c>
      <c r="K7" s="44">
        <v>0.82784500000000005</v>
      </c>
      <c r="L7" s="43">
        <f t="shared" si="4"/>
        <v>11567.563088558565</v>
      </c>
      <c r="N7" s="49">
        <v>2271.1794666666669</v>
      </c>
      <c r="O7" s="30">
        <v>526.85398165299546</v>
      </c>
      <c r="P7" s="43">
        <f t="shared" si="1"/>
        <v>1196579.9450618601</v>
      </c>
      <c r="Q7" s="49">
        <v>2263.8346519721999</v>
      </c>
      <c r="R7" s="30">
        <v>539.14589247768799</v>
      </c>
      <c r="S7" s="43">
        <f t="shared" si="5"/>
        <v>1220537.1538594679</v>
      </c>
      <c r="U7" s="30">
        <v>20268.900000000001</v>
      </c>
      <c r="V7" s="30">
        <v>15008.1</v>
      </c>
      <c r="W7" s="44">
        <f t="shared" si="2"/>
        <v>0.25955034560336288</v>
      </c>
      <c r="X7" s="35">
        <v>0.32187577305465498</v>
      </c>
      <c r="Z7" s="57" t="s">
        <v>53</v>
      </c>
      <c r="AA7" s="45">
        <f t="shared" si="9"/>
        <v>0.76903472888294566</v>
      </c>
      <c r="AB7" s="54">
        <v>1.1771098422128701</v>
      </c>
      <c r="AC7" s="53">
        <f t="shared" si="12"/>
        <v>6.6458280716049867E-2</v>
      </c>
      <c r="AE7" s="57" t="s">
        <v>53</v>
      </c>
      <c r="AF7" s="42">
        <f t="shared" si="6"/>
        <v>647211.48335997341</v>
      </c>
      <c r="AG7" s="43">
        <f t="shared" si="7"/>
        <v>753934.3060739697</v>
      </c>
      <c r="AH7" s="44">
        <f>(AF7-AG7)/AG7</f>
        <v>-0.14155453844479327</v>
      </c>
      <c r="AI7" s="44">
        <f t="shared" si="11"/>
        <v>5.8392562554291594E-2</v>
      </c>
      <c r="AJ7" s="40"/>
      <c r="AK7" s="67">
        <v>53481.9</v>
      </c>
      <c r="AL7" s="67">
        <v>30731.599999999999</v>
      </c>
      <c r="AM7" s="67">
        <v>22750.3</v>
      </c>
      <c r="AN7" s="81">
        <f t="shared" si="8"/>
        <v>0.42538316701538276</v>
      </c>
      <c r="AO7" s="32"/>
      <c r="AP7" s="32"/>
    </row>
    <row r="8" spans="1:42">
      <c r="A8" s="57" t="s">
        <v>54</v>
      </c>
      <c r="B8" s="67">
        <v>680353.27379812137</v>
      </c>
      <c r="C8" s="49">
        <f t="shared" si="0"/>
        <v>299010.4238450079</v>
      </c>
      <c r="E8" s="49">
        <v>13958.457254693421</v>
      </c>
      <c r="F8" s="49">
        <v>667.66564589174027</v>
      </c>
      <c r="G8" s="44">
        <v>0.80482308224348664</v>
      </c>
      <c r="H8" s="43">
        <f t="shared" si="3"/>
        <v>11901.754236978057</v>
      </c>
      <c r="I8" s="49">
        <v>13909.8189873831</v>
      </c>
      <c r="J8" s="49">
        <v>681.92879524142597</v>
      </c>
      <c r="K8" s="44">
        <v>0.82784500000000005</v>
      </c>
      <c r="L8" s="43">
        <f t="shared" si="4"/>
        <v>12197.102894851589</v>
      </c>
      <c r="N8" s="49">
        <v>2252.2934000000005</v>
      </c>
      <c r="O8" s="30">
        <v>529.99930416760583</v>
      </c>
      <c r="P8" s="43">
        <f t="shared" si="1"/>
        <v>1193713.9347812913</v>
      </c>
      <c r="Q8" s="49">
        <v>2257.95276044208</v>
      </c>
      <c r="R8" s="30">
        <v>544.6544879631216</v>
      </c>
      <c r="S8" s="43">
        <f t="shared" si="5"/>
        <v>1229804.1045834981</v>
      </c>
      <c r="U8" s="30">
        <v>22246.799999999999</v>
      </c>
      <c r="V8" s="30">
        <v>15525.7</v>
      </c>
      <c r="W8" s="44">
        <f t="shared" si="2"/>
        <v>0.30211536041138498</v>
      </c>
      <c r="X8" s="35">
        <v>0.32597328048645802</v>
      </c>
      <c r="Z8" s="57" t="s">
        <v>54</v>
      </c>
      <c r="AA8" s="45">
        <f t="shared" si="9"/>
        <v>1.0078741318993207</v>
      </c>
      <c r="AB8" s="54">
        <v>1.2508357030955399</v>
      </c>
      <c r="AC8" s="53">
        <f t="shared" si="12"/>
        <v>6.2632949142682692E-2</v>
      </c>
      <c r="AE8" s="57" t="s">
        <v>54</v>
      </c>
      <c r="AF8" s="42">
        <f t="shared" si="6"/>
        <v>680353.27379812137</v>
      </c>
      <c r="AG8" s="43">
        <f t="shared" si="7"/>
        <v>777984.70055832097</v>
      </c>
      <c r="AH8" s="44">
        <f t="shared" si="10"/>
        <v>-0.12549273358477919</v>
      </c>
      <c r="AI8" s="44">
        <f t="shared" si="11"/>
        <v>3.1899854258643723E-2</v>
      </c>
      <c r="AJ8" s="40"/>
      <c r="AK8" s="67">
        <v>56902.400000000001</v>
      </c>
      <c r="AL8" s="67">
        <v>31894.3</v>
      </c>
      <c r="AM8" s="67">
        <v>25008.2</v>
      </c>
      <c r="AN8" s="81">
        <f t="shared" si="8"/>
        <v>0.43949288606455966</v>
      </c>
      <c r="AO8" s="32"/>
      <c r="AP8" s="32"/>
    </row>
    <row r="9" spans="1:42">
      <c r="A9" s="57" t="s">
        <v>55</v>
      </c>
      <c r="B9" s="67">
        <v>763024.5789952171</v>
      </c>
      <c r="C9" s="49">
        <f t="shared" si="0"/>
        <v>341364.43166947021</v>
      </c>
      <c r="E9" s="49">
        <v>13975.177678201706</v>
      </c>
      <c r="F9" s="49">
        <v>708.97173459851911</v>
      </c>
      <c r="G9" s="44">
        <v>0.81042158384827134</v>
      </c>
      <c r="H9" s="43">
        <f t="shared" si="3"/>
        <v>12034.757363127754</v>
      </c>
      <c r="I9" s="49">
        <v>14647.6237193006</v>
      </c>
      <c r="J9" s="49">
        <v>739.55106338517601</v>
      </c>
      <c r="K9" s="44">
        <v>0.82784500000000005</v>
      </c>
      <c r="L9" s="43">
        <f t="shared" si="4"/>
        <v>12865.513121289581</v>
      </c>
      <c r="N9" s="49">
        <v>2260.9567333333334</v>
      </c>
      <c r="O9" s="30">
        <v>534.20519891082301</v>
      </c>
      <c r="P9" s="43">
        <f t="shared" si="1"/>
        <v>1207814.841459098</v>
      </c>
      <c r="Q9" s="49">
        <v>2250.11781597867</v>
      </c>
      <c r="R9" s="30">
        <v>551.26012146449921</v>
      </c>
      <c r="S9" s="43">
        <f t="shared" si="5"/>
        <v>1240400.2205458353</v>
      </c>
      <c r="U9" s="30">
        <v>23689.9</v>
      </c>
      <c r="V9" s="30">
        <v>16160.4</v>
      </c>
      <c r="W9" s="44">
        <f>1-V9/U9</f>
        <v>0.31783587098299282</v>
      </c>
      <c r="X9" s="35">
        <v>0.32910573340704202</v>
      </c>
      <c r="Z9" s="57" t="s">
        <v>55</v>
      </c>
      <c r="AA9" s="45">
        <f t="shared" si="9"/>
        <v>1.2228872948194935</v>
      </c>
      <c r="AB9" s="54">
        <v>1.3182034500509201</v>
      </c>
      <c r="AC9" s="53">
        <f t="shared" si="12"/>
        <v>5.3858189999421935E-2</v>
      </c>
      <c r="AE9" s="57" t="s">
        <v>55</v>
      </c>
      <c r="AF9" s="42">
        <f t="shared" si="6"/>
        <v>763024.5789952171</v>
      </c>
      <c r="AG9" s="43">
        <f t="shared" si="7"/>
        <v>812595.5236084623</v>
      </c>
      <c r="AH9" s="44">
        <f t="shared" si="10"/>
        <v>-6.1003221372814574E-2</v>
      </c>
      <c r="AI9" s="44">
        <f t="shared" si="11"/>
        <v>4.4487793944151921E-2</v>
      </c>
      <c r="AJ9" s="40"/>
      <c r="AK9" s="67">
        <v>59899.199999999997</v>
      </c>
      <c r="AL9" s="67">
        <v>33101.300000000003</v>
      </c>
      <c r="AM9" s="67">
        <v>26797.9</v>
      </c>
      <c r="AN9" s="81">
        <f t="shared" si="8"/>
        <v>0.44738327056120952</v>
      </c>
      <c r="AO9" s="32"/>
      <c r="AP9" s="32"/>
    </row>
    <row r="10" spans="1:42">
      <c r="A10" s="57" t="s">
        <v>56</v>
      </c>
      <c r="B10" s="67">
        <v>814660.82511505764</v>
      </c>
      <c r="C10" s="49">
        <f t="shared" si="0"/>
        <v>374701.35026509519</v>
      </c>
      <c r="E10" s="49">
        <v>14277.487063731111</v>
      </c>
      <c r="F10" s="49">
        <v>761.12689238731934</v>
      </c>
      <c r="G10" s="44">
        <v>0.81735128419209435</v>
      </c>
      <c r="H10" s="43">
        <f t="shared" si="3"/>
        <v>12430.849278963957</v>
      </c>
      <c r="I10" s="49">
        <v>15446.382174484699</v>
      </c>
      <c r="J10" s="49">
        <v>800.51634419376103</v>
      </c>
      <c r="K10" s="44">
        <v>0.82784500000000005</v>
      </c>
      <c r="L10" s="43">
        <f t="shared" si="4"/>
        <v>13587.726595430047</v>
      </c>
      <c r="N10" s="49">
        <v>2270.3131333333331</v>
      </c>
      <c r="O10" s="30">
        <v>532.96989243874862</v>
      </c>
      <c r="P10" s="43">
        <f t="shared" si="1"/>
        <v>1210008.5464749448</v>
      </c>
      <c r="Q10" s="49">
        <v>2239.7688589378299</v>
      </c>
      <c r="R10" s="30">
        <v>559.24937200726674</v>
      </c>
      <c r="S10" s="43">
        <f t="shared" si="5"/>
        <v>1252589.3278024138</v>
      </c>
      <c r="U10" s="30">
        <v>26129.200000000001</v>
      </c>
      <c r="V10" s="30">
        <v>16769.099999999999</v>
      </c>
      <c r="W10" s="44">
        <f t="shared" si="2"/>
        <v>0.3582237496746935</v>
      </c>
      <c r="X10" s="35">
        <v>0.32997552952297798</v>
      </c>
      <c r="Z10" s="57" t="s">
        <v>56</v>
      </c>
      <c r="AA10" s="45">
        <f t="shared" si="9"/>
        <v>1.5964255618840593</v>
      </c>
      <c r="AB10" s="54">
        <v>1.3700532258835301</v>
      </c>
      <c r="AC10" s="53">
        <f t="shared" si="12"/>
        <v>3.9333667220038837E-2</v>
      </c>
      <c r="AE10" s="57" t="s">
        <v>56</v>
      </c>
      <c r="AF10" s="42">
        <f t="shared" si="6"/>
        <v>814660.82511505764</v>
      </c>
      <c r="AG10" s="43">
        <f t="shared" si="7"/>
        <v>838585.53743648902</v>
      </c>
      <c r="AH10" s="44">
        <f t="shared" si="10"/>
        <v>-2.8529841326107218E-2</v>
      </c>
      <c r="AI10" s="44">
        <f t="shared" si="11"/>
        <v>3.1983949053292715E-2</v>
      </c>
      <c r="AJ10" s="40"/>
      <c r="AK10" s="67">
        <v>64593</v>
      </c>
      <c r="AL10" s="67">
        <v>34883.599999999999</v>
      </c>
      <c r="AM10" s="67">
        <v>29709.4</v>
      </c>
      <c r="AN10" s="81">
        <f t="shared" si="8"/>
        <v>0.4599476723483969</v>
      </c>
      <c r="AO10" s="32"/>
      <c r="AP10" s="32"/>
    </row>
    <row r="11" spans="1:42">
      <c r="A11" s="57" t="s">
        <v>57</v>
      </c>
      <c r="B11" s="67">
        <v>869898.3104078183</v>
      </c>
      <c r="C11" s="49">
        <f t="shared" si="0"/>
        <v>409924.78896868759</v>
      </c>
      <c r="E11" s="49">
        <v>14792.827030254954</v>
      </c>
      <c r="F11" s="49">
        <v>812.28672273740221</v>
      </c>
      <c r="G11" s="44">
        <v>0.83243356941567237</v>
      </c>
      <c r="H11" s="43">
        <f t="shared" si="3"/>
        <v>13126.332529281173</v>
      </c>
      <c r="I11" s="49">
        <v>16316.8003871773</v>
      </c>
      <c r="J11" s="49">
        <v>865.02192409080499</v>
      </c>
      <c r="K11" s="44">
        <v>0.82784500000000005</v>
      </c>
      <c r="L11" s="43">
        <f t="shared" si="4"/>
        <v>14372.803540613597</v>
      </c>
      <c r="N11" s="49">
        <v>2288.6794</v>
      </c>
      <c r="O11" s="30">
        <v>560.30058003257557</v>
      </c>
      <c r="P11" s="43">
        <f t="shared" si="1"/>
        <v>1282348.3953286069</v>
      </c>
      <c r="Q11" s="49">
        <v>2226.4533188489399</v>
      </c>
      <c r="R11" s="30">
        <v>568.72478427240276</v>
      </c>
      <c r="S11" s="43">
        <f t="shared" si="5"/>
        <v>1266239.1834549385</v>
      </c>
      <c r="U11" s="30">
        <v>29945.7</v>
      </c>
      <c r="V11" s="30">
        <v>18553.599999999999</v>
      </c>
      <c r="W11" s="44">
        <f t="shared" si="2"/>
        <v>0.38042523634445014</v>
      </c>
      <c r="X11" s="35">
        <v>0.32717236791659698</v>
      </c>
      <c r="Z11" s="57" t="s">
        <v>57</v>
      </c>
      <c r="AA11" s="45">
        <f t="shared" si="9"/>
        <v>1.826804659402091</v>
      </c>
      <c r="AB11" s="54">
        <v>1.3962720118454</v>
      </c>
      <c r="AC11" s="53">
        <f t="shared" si="12"/>
        <v>1.9137056478197634E-2</v>
      </c>
      <c r="AE11" s="57" t="s">
        <v>57</v>
      </c>
      <c r="AF11" s="42">
        <f t="shared" si="6"/>
        <v>869898.3104078183</v>
      </c>
      <c r="AG11" s="43">
        <f t="shared" si="7"/>
        <v>866778.74458204431</v>
      </c>
      <c r="AH11" s="44">
        <f t="shared" si="10"/>
        <v>3.5990336002969499E-3</v>
      </c>
      <c r="AI11" s="44">
        <f t="shared" si="11"/>
        <v>3.361995394261208E-2</v>
      </c>
      <c r="AJ11" s="40"/>
      <c r="AK11" s="67">
        <v>72146.899999999994</v>
      </c>
      <c r="AL11" s="67">
        <v>38148.9</v>
      </c>
      <c r="AM11" s="67">
        <v>33998</v>
      </c>
      <c r="AN11" s="81">
        <f t="shared" si="8"/>
        <v>0.4712329982300002</v>
      </c>
      <c r="AO11" s="32"/>
      <c r="AP11" s="32"/>
    </row>
    <row r="12" spans="1:42">
      <c r="A12" s="57" t="s">
        <v>58</v>
      </c>
      <c r="B12" s="67">
        <v>921875.92235572974</v>
      </c>
      <c r="C12" s="49">
        <f t="shared" si="0"/>
        <v>439659.48509162513</v>
      </c>
      <c r="E12" s="49">
        <v>15732.886396387368</v>
      </c>
      <c r="F12" s="49">
        <v>879.4713248508375</v>
      </c>
      <c r="G12" s="44">
        <v>0.83091084772924007</v>
      </c>
      <c r="H12" s="43">
        <f t="shared" si="3"/>
        <v>13952.097297700895</v>
      </c>
      <c r="I12" s="49">
        <v>17257.895440512799</v>
      </c>
      <c r="J12" s="49">
        <v>932.87119498186905</v>
      </c>
      <c r="K12" s="44">
        <v>0.82784500000000005</v>
      </c>
      <c r="L12" s="43">
        <f t="shared" si="4"/>
        <v>15219.733645933189</v>
      </c>
      <c r="N12" s="49">
        <v>2246.0558000000005</v>
      </c>
      <c r="O12" s="30">
        <v>578.32462500052077</v>
      </c>
      <c r="P12" s="43">
        <f t="shared" si="1"/>
        <v>1298949.3782652449</v>
      </c>
      <c r="Q12" s="49">
        <v>2210.02406798533</v>
      </c>
      <c r="R12" s="30">
        <v>579.50914622360051</v>
      </c>
      <c r="S12" s="43">
        <f t="shared" si="5"/>
        <v>1280729.1607717869</v>
      </c>
      <c r="U12" s="30">
        <v>33251</v>
      </c>
      <c r="V12" s="30">
        <v>20538.8</v>
      </c>
      <c r="W12" s="44">
        <f t="shared" si="2"/>
        <v>0.38231030645694863</v>
      </c>
      <c r="X12" s="35">
        <v>0.31956842987174799</v>
      </c>
      <c r="Z12" s="57" t="s">
        <v>58</v>
      </c>
      <c r="AA12" s="45">
        <f t="shared" si="9"/>
        <v>1.9154690638527208</v>
      </c>
      <c r="AB12" s="54">
        <v>1.38901051254872</v>
      </c>
      <c r="AC12" s="53">
        <f t="shared" si="12"/>
        <v>-5.2006337125405366E-3</v>
      </c>
      <c r="AE12" s="57" t="s">
        <v>58</v>
      </c>
      <c r="AF12" s="42">
        <f t="shared" si="6"/>
        <v>921875.92235572974</v>
      </c>
      <c r="AG12" s="43">
        <f t="shared" si="7"/>
        <v>904760.37393255287</v>
      </c>
      <c r="AH12" s="44">
        <f t="shared" si="10"/>
        <v>1.8917217106651021E-2</v>
      </c>
      <c r="AI12" s="44">
        <f t="shared" si="11"/>
        <v>4.3819290202856909E-2</v>
      </c>
      <c r="AJ12" s="40"/>
      <c r="AK12" s="67">
        <v>80927.7</v>
      </c>
      <c r="AL12" s="67">
        <v>42331.8</v>
      </c>
      <c r="AM12" s="67">
        <v>38595.9</v>
      </c>
      <c r="AN12" s="81">
        <f t="shared" si="8"/>
        <v>0.47691828632223582</v>
      </c>
      <c r="AO12" s="32"/>
      <c r="AP12" s="32"/>
    </row>
    <row r="13" spans="1:42">
      <c r="A13" s="57" t="s">
        <v>59</v>
      </c>
      <c r="B13" s="67">
        <v>938020.51009871368</v>
      </c>
      <c r="C13" s="49">
        <f t="shared" si="0"/>
        <v>455869.47779992485</v>
      </c>
      <c r="E13" s="49">
        <v>16947.490988026173</v>
      </c>
      <c r="F13" s="49">
        <v>970.74285098123778</v>
      </c>
      <c r="G13" s="44">
        <v>0.83215700371960644</v>
      </c>
      <c r="H13" s="43">
        <f t="shared" si="3"/>
        <v>15073.716172142131</v>
      </c>
      <c r="I13" s="49">
        <v>18253.4446840565</v>
      </c>
      <c r="J13" s="49">
        <v>1003.34019675897</v>
      </c>
      <c r="K13" s="44">
        <v>0.82784500000000005</v>
      </c>
      <c r="L13" s="43">
        <f t="shared" si="4"/>
        <v>16114.363111231725</v>
      </c>
      <c r="N13" s="49">
        <v>2210.0163333333335</v>
      </c>
      <c r="O13" s="30">
        <v>588.53134995179312</v>
      </c>
      <c r="P13" s="43">
        <f t="shared" si="1"/>
        <v>1300663.8960721788</v>
      </c>
      <c r="Q13" s="49">
        <v>2190.95623943186</v>
      </c>
      <c r="R13" s="30">
        <v>591.2819073940293</v>
      </c>
      <c r="S13" s="43">
        <f t="shared" si="5"/>
        <v>1295472.7842681198</v>
      </c>
      <c r="U13" s="30">
        <v>37213.5</v>
      </c>
      <c r="V13" s="30">
        <v>22637.8</v>
      </c>
      <c r="W13" s="44">
        <f t="shared" si="2"/>
        <v>0.39167775135367544</v>
      </c>
      <c r="X13" s="35">
        <v>0.30656842535655898</v>
      </c>
      <c r="Z13" s="57" t="s">
        <v>59</v>
      </c>
      <c r="AA13" s="45">
        <f t="shared" si="9"/>
        <v>2.0088241340505038</v>
      </c>
      <c r="AB13" s="54">
        <v>1.3447247590811999</v>
      </c>
      <c r="AC13" s="53">
        <f t="shared" si="12"/>
        <v>-3.1882950537400423E-2</v>
      </c>
      <c r="AE13" s="57" t="s">
        <v>59</v>
      </c>
      <c r="AF13" s="42">
        <f t="shared" si="6"/>
        <v>938020.51009871368</v>
      </c>
      <c r="AG13" s="43">
        <f t="shared" si="7"/>
        <v>934016.83863283868</v>
      </c>
      <c r="AH13" s="44">
        <f t="shared" si="10"/>
        <v>4.2865088725117075E-3</v>
      </c>
      <c r="AI13" s="44">
        <f t="shared" si="11"/>
        <v>3.23361472752417E-2</v>
      </c>
      <c r="AK13" s="67">
        <v>89381.5</v>
      </c>
      <c r="AL13" s="67">
        <v>45942.9</v>
      </c>
      <c r="AM13" s="67">
        <v>43438.6</v>
      </c>
      <c r="AN13" s="81">
        <f t="shared" si="8"/>
        <v>0.48599094891000932</v>
      </c>
      <c r="AO13" s="32"/>
      <c r="AP13" s="32"/>
    </row>
    <row r="14" spans="1:42">
      <c r="A14" s="57" t="s">
        <v>60</v>
      </c>
      <c r="B14" s="67">
        <v>931140.95929229981</v>
      </c>
      <c r="C14" s="49">
        <f t="shared" si="0"/>
        <v>444148.43112659384</v>
      </c>
      <c r="E14" s="49">
        <v>18943.930197413443</v>
      </c>
      <c r="F14" s="49">
        <v>1059.7251240025878</v>
      </c>
      <c r="G14" s="44">
        <v>0.83469703894930436</v>
      </c>
      <c r="H14" s="43">
        <f t="shared" si="3"/>
        <v>16872.167565845899</v>
      </c>
      <c r="I14" s="49">
        <v>19271.9753769323</v>
      </c>
      <c r="J14" s="49">
        <v>1075.1709706128499</v>
      </c>
      <c r="K14" s="44">
        <v>0.82784500000000005</v>
      </c>
      <c r="L14" s="43">
        <f t="shared" si="4"/>
        <v>17029.379426529373</v>
      </c>
      <c r="N14" s="49">
        <v>2178.4818</v>
      </c>
      <c r="O14" s="30">
        <v>604.33599903638333</v>
      </c>
      <c r="P14" s="43">
        <f t="shared" si="1"/>
        <v>1316534.9749855786</v>
      </c>
      <c r="Q14" s="49">
        <v>2170.0852835935302</v>
      </c>
      <c r="R14" s="30">
        <v>603.62061008858439</v>
      </c>
      <c r="S14" s="43">
        <f t="shared" si="5"/>
        <v>1309908.2028269854</v>
      </c>
      <c r="U14" s="30">
        <v>38347.699999999997</v>
      </c>
      <c r="V14" s="30">
        <v>25179.1</v>
      </c>
      <c r="W14" s="44">
        <f t="shared" si="2"/>
        <v>0.34339999530610699</v>
      </c>
      <c r="X14" s="35">
        <v>0.28820448310500402</v>
      </c>
      <c r="Z14" s="57" t="s">
        <v>60</v>
      </c>
      <c r="AA14" s="45">
        <f t="shared" si="9"/>
        <v>1.5062544008483487</v>
      </c>
      <c r="AB14" s="54">
        <v>1.2651353680441</v>
      </c>
      <c r="AC14" s="53">
        <f t="shared" si="12"/>
        <v>-5.9186380335170097E-2</v>
      </c>
      <c r="AE14" s="57" t="s">
        <v>60</v>
      </c>
      <c r="AF14" s="42">
        <f t="shared" si="6"/>
        <v>931140.95929229981</v>
      </c>
      <c r="AG14" s="43">
        <f t="shared" si="7"/>
        <v>993800.90097561851</v>
      </c>
      <c r="AH14" s="44">
        <f t="shared" si="10"/>
        <v>-6.3050799835062704E-2</v>
      </c>
      <c r="AI14" s="44">
        <f t="shared" si="11"/>
        <v>6.4007478098883519E-2</v>
      </c>
      <c r="AK14" s="67">
        <v>94261.4</v>
      </c>
      <c r="AL14" s="67">
        <v>49299.3</v>
      </c>
      <c r="AM14" s="67">
        <v>44962.1</v>
      </c>
      <c r="AN14" s="81">
        <f t="shared" si="8"/>
        <v>0.47699376414948219</v>
      </c>
      <c r="AO14" s="32"/>
      <c r="AP14" s="32"/>
    </row>
    <row r="15" spans="1:42">
      <c r="A15" s="57" t="s">
        <v>61</v>
      </c>
      <c r="B15" s="67">
        <v>914515.97595756478</v>
      </c>
      <c r="C15" s="49">
        <f t="shared" si="0"/>
        <v>438175.86271182302</v>
      </c>
      <c r="E15" s="49">
        <v>20882.983261920435</v>
      </c>
      <c r="F15" s="49">
        <v>1126.511595140536</v>
      </c>
      <c r="G15" s="44">
        <v>0.82365230661915823</v>
      </c>
      <c r="H15" s="43">
        <f t="shared" si="3"/>
        <v>18326.828927910574</v>
      </c>
      <c r="I15" s="49">
        <v>20268.9552413038</v>
      </c>
      <c r="J15" s="49">
        <v>1146.7795842764201</v>
      </c>
      <c r="K15" s="44">
        <v>0.82784500000000005</v>
      </c>
      <c r="L15" s="43">
        <f t="shared" si="4"/>
        <v>17926.332836013567</v>
      </c>
      <c r="N15" s="49">
        <v>2139.8433333333332</v>
      </c>
      <c r="O15" s="30">
        <v>618.86100882546657</v>
      </c>
      <c r="P15" s="43">
        <f t="shared" si="1"/>
        <v>1324265.6039951157</v>
      </c>
      <c r="Q15" s="49">
        <v>2148.43725181434</v>
      </c>
      <c r="R15" s="30">
        <v>615.96835587990222</v>
      </c>
      <c r="S15" s="43">
        <f t="shared" si="5"/>
        <v>1323369.3617112145</v>
      </c>
      <c r="U15" s="30">
        <v>37647.599999999999</v>
      </c>
      <c r="V15" s="30">
        <v>26599.599999999999</v>
      </c>
      <c r="W15" s="44">
        <f t="shared" si="2"/>
        <v>0.29345828153720288</v>
      </c>
      <c r="X15" s="35">
        <v>0.26535982511103801</v>
      </c>
      <c r="Z15" s="57" t="s">
        <v>61</v>
      </c>
      <c r="AA15" s="45">
        <f t="shared" si="9"/>
        <v>1.1619283891658454</v>
      </c>
      <c r="AB15" s="54">
        <v>1.1586039497888401</v>
      </c>
      <c r="AC15" s="53">
        <f t="shared" si="12"/>
        <v>-8.4205549023546378E-2</v>
      </c>
      <c r="AE15" s="57" t="s">
        <v>61</v>
      </c>
      <c r="AF15" s="42">
        <f t="shared" si="6"/>
        <v>914515.97595756478</v>
      </c>
      <c r="AG15" s="43">
        <f t="shared" si="7"/>
        <v>1021918.9578073365</v>
      </c>
      <c r="AH15" s="44">
        <f t="shared" si="10"/>
        <v>-0.10509931441160376</v>
      </c>
      <c r="AI15" s="44">
        <f t="shared" si="11"/>
        <v>2.8293450734562908E-2</v>
      </c>
      <c r="AK15" s="67">
        <v>93950.3</v>
      </c>
      <c r="AL15" s="67">
        <v>48935.5</v>
      </c>
      <c r="AM15" s="67">
        <v>45014.8</v>
      </c>
      <c r="AN15" s="81">
        <f t="shared" si="8"/>
        <v>0.47913418051884882</v>
      </c>
      <c r="AO15" s="32"/>
      <c r="AP15" s="32"/>
    </row>
    <row r="16" spans="1:42">
      <c r="A16" s="57" t="s">
        <v>62</v>
      </c>
      <c r="B16" s="67">
        <v>876340.72052990249</v>
      </c>
      <c r="C16" s="49">
        <f t="shared" si="0"/>
        <v>424938.15459265187</v>
      </c>
      <c r="E16" s="49">
        <v>22294.723710971728</v>
      </c>
      <c r="F16" s="49">
        <v>1232.3149018762131</v>
      </c>
      <c r="G16" s="44">
        <v>0.80982216605645885</v>
      </c>
      <c r="H16" s="43">
        <f t="shared" si="3"/>
        <v>19287.076349125629</v>
      </c>
      <c r="I16" s="49">
        <v>21196.571547539399</v>
      </c>
      <c r="J16" s="49">
        <v>1216.42764701653</v>
      </c>
      <c r="K16" s="44">
        <v>0.82784500000000005</v>
      </c>
      <c r="L16" s="43">
        <f t="shared" si="4"/>
        <v>18763.903419789287</v>
      </c>
      <c r="N16" s="49">
        <v>2091.8484666666668</v>
      </c>
      <c r="O16" s="30">
        <v>640.53298907340525</v>
      </c>
      <c r="P16" s="43">
        <f t="shared" si="1"/>
        <v>1339897.9510426195</v>
      </c>
      <c r="Q16" s="49">
        <v>2127.1221606023701</v>
      </c>
      <c r="R16" s="30">
        <v>627.66488175266625</v>
      </c>
      <c r="S16" s="43">
        <f t="shared" si="5"/>
        <v>1335119.8794079626</v>
      </c>
      <c r="U16" s="30">
        <v>37628</v>
      </c>
      <c r="V16" s="30">
        <v>28010.3</v>
      </c>
      <c r="W16" s="44">
        <f t="shared" si="2"/>
        <v>0.25559955352397157</v>
      </c>
      <c r="X16" s="35">
        <v>0.23946962849062001</v>
      </c>
      <c r="Z16" s="57" t="s">
        <v>62</v>
      </c>
      <c r="AA16" s="45">
        <f t="shared" si="9"/>
        <v>0.9376022110893244</v>
      </c>
      <c r="AB16" s="54">
        <v>1.03590330499442</v>
      </c>
      <c r="AC16" s="53">
        <f t="shared" si="12"/>
        <v>-0.10590387234290266</v>
      </c>
      <c r="AE16" s="57" t="s">
        <v>62</v>
      </c>
      <c r="AF16" s="42">
        <f t="shared" si="6"/>
        <v>876340.72052990249</v>
      </c>
      <c r="AG16" s="43">
        <f t="shared" si="7"/>
        <v>1027168.7561781757</v>
      </c>
      <c r="AH16" s="44">
        <f t="shared" si="10"/>
        <v>-0.14683861316952881</v>
      </c>
      <c r="AI16" s="44">
        <f t="shared" si="11"/>
        <v>5.1371963801349896E-3</v>
      </c>
      <c r="AK16" s="67">
        <v>93646.2</v>
      </c>
      <c r="AL16" s="67">
        <v>48237.1</v>
      </c>
      <c r="AM16" s="67">
        <v>45409.1</v>
      </c>
      <c r="AN16" s="81">
        <f t="shared" si="8"/>
        <v>0.4849006152945875</v>
      </c>
      <c r="AO16" s="32"/>
      <c r="AP16" s="32"/>
    </row>
    <row r="17" spans="1:42">
      <c r="A17" s="57" t="s">
        <v>63</v>
      </c>
      <c r="B17" s="37">
        <v>872986.73810545634</v>
      </c>
      <c r="C17" s="49">
        <f t="shared" si="0"/>
        <v>397409.53429652675</v>
      </c>
      <c r="E17" s="49">
        <v>23133.841261109683</v>
      </c>
      <c r="F17" s="49">
        <v>1331.947178491841</v>
      </c>
      <c r="G17" s="44">
        <v>0.80504109241560873</v>
      </c>
      <c r="H17" s="43">
        <f t="shared" si="3"/>
        <v>19955.640019104863</v>
      </c>
      <c r="I17" s="49">
        <v>22013.151846213801</v>
      </c>
      <c r="J17" s="49">
        <v>1282.1740882086599</v>
      </c>
      <c r="K17" s="44">
        <v>0.82784500000000005</v>
      </c>
      <c r="L17" s="43">
        <f>I17*K17+J17</f>
        <v>19505.651778337524</v>
      </c>
      <c r="N17" s="43">
        <v>2063.0862000000006</v>
      </c>
      <c r="O17" s="43">
        <v>654.78691854150406</v>
      </c>
      <c r="P17" s="43">
        <f t="shared" si="1"/>
        <v>1350881.8555835015</v>
      </c>
      <c r="Q17" s="43">
        <v>2107.1640872808898</v>
      </c>
      <c r="R17" s="43">
        <v>637.98091429446617</v>
      </c>
      <c r="S17" s="43">
        <f t="shared" si="5"/>
        <v>1344330.4709719263</v>
      </c>
      <c r="U17" s="43">
        <v>35240.300000000003</v>
      </c>
      <c r="V17" s="43">
        <v>29892.3</v>
      </c>
      <c r="W17" s="44">
        <f>1-V17/U17</f>
        <v>0.15175807243411676</v>
      </c>
      <c r="X17" s="35">
        <v>0.212250054923974</v>
      </c>
      <c r="Z17" s="57" t="s">
        <v>63</v>
      </c>
      <c r="AA17" s="45">
        <f t="shared" si="9"/>
        <v>0.55772731167463152</v>
      </c>
      <c r="AB17" s="45">
        <v>0.90783947873392501</v>
      </c>
      <c r="AC17" s="53">
        <f t="shared" si="12"/>
        <v>-0.1236252704698001</v>
      </c>
      <c r="AE17" s="57" t="s">
        <v>63</v>
      </c>
      <c r="AF17" s="42">
        <f t="shared" si="6"/>
        <v>872986.73810545634</v>
      </c>
      <c r="AG17" s="43">
        <f t="shared" si="7"/>
        <v>1091680.4224790675</v>
      </c>
      <c r="AH17" s="44">
        <f t="shared" si="10"/>
        <v>-0.20032756827953876</v>
      </c>
      <c r="AI17" s="44">
        <f t="shared" si="11"/>
        <v>6.2805323772622046E-2</v>
      </c>
      <c r="AK17" s="37">
        <v>88624.7</v>
      </c>
      <c r="AL17" s="37">
        <v>48280.2</v>
      </c>
      <c r="AM17" s="37">
        <v>40344.6</v>
      </c>
      <c r="AN17" s="81">
        <f t="shared" si="8"/>
        <v>0.45522974971988622</v>
      </c>
      <c r="AO17" s="37"/>
      <c r="AP17" s="38"/>
    </row>
    <row r="18" spans="1:42">
      <c r="A18" s="57" t="s">
        <v>64</v>
      </c>
      <c r="B18" s="37">
        <v>883056.79709820484</v>
      </c>
      <c r="C18" s="49">
        <f t="shared" si="0"/>
        <v>396975.90338614478</v>
      </c>
      <c r="E18" s="43">
        <v>23678.7</v>
      </c>
      <c r="F18" s="43">
        <v>1384.6</v>
      </c>
      <c r="G18" s="44">
        <v>0.80543238015226171</v>
      </c>
      <c r="H18" s="43">
        <f t="shared" si="3"/>
        <v>20456.19169991136</v>
      </c>
      <c r="I18" s="43">
        <v>22688.005209536001</v>
      </c>
      <c r="J18" s="43">
        <v>1342.2367097768699</v>
      </c>
      <c r="K18" s="44">
        <v>0.82784500000000005</v>
      </c>
      <c r="L18" s="43">
        <f t="shared" ref="L18:L43" si="13">I18*K18+J18</f>
        <v>20124.3883824652</v>
      </c>
      <c r="N18" s="43">
        <v>2065.6851999999999</v>
      </c>
      <c r="O18" s="43">
        <v>662.99189736161873</v>
      </c>
      <c r="P18" s="43">
        <f t="shared" si="1"/>
        <v>1369532.5500998148</v>
      </c>
      <c r="Q18" s="43">
        <v>2089.2343722338201</v>
      </c>
      <c r="R18" s="43">
        <v>646.23938937919286</v>
      </c>
      <c r="S18" s="43">
        <f t="shared" si="5"/>
        <v>1350145.5449824051</v>
      </c>
      <c r="U18" s="43">
        <v>34426.699999999997</v>
      </c>
      <c r="V18" s="43">
        <v>30074.5</v>
      </c>
      <c r="W18" s="44">
        <f t="shared" ref="W18:W42" si="14">1-V18/U18</f>
        <v>0.12641931988834243</v>
      </c>
      <c r="X18" s="35">
        <v>0.18557856534165501</v>
      </c>
      <c r="Z18" s="57" t="s">
        <v>64</v>
      </c>
      <c r="AA18" s="45">
        <f t="shared" si="9"/>
        <v>0.49317556811961383</v>
      </c>
      <c r="AB18" s="45">
        <v>0.78423550514152096</v>
      </c>
      <c r="AC18" s="53">
        <f t="shared" si="12"/>
        <v>-0.13615179388847731</v>
      </c>
      <c r="AD18" s="43"/>
      <c r="AE18" s="57" t="s">
        <v>64</v>
      </c>
      <c r="AF18" s="42">
        <f t="shared" si="6"/>
        <v>883056.79709820484</v>
      </c>
      <c r="AG18" s="43">
        <f t="shared" si="7"/>
        <v>1079103.3189261954</v>
      </c>
      <c r="AH18" s="44">
        <f t="shared" si="10"/>
        <v>-0.18167539510774039</v>
      </c>
      <c r="AI18" s="44">
        <f t="shared" si="11"/>
        <v>-1.1520865716645456E-2</v>
      </c>
      <c r="AK18" s="37">
        <v>88094.6</v>
      </c>
      <c r="AL18" s="37">
        <v>48491.9</v>
      </c>
      <c r="AM18" s="37">
        <v>39602.699999999997</v>
      </c>
      <c r="AN18" s="81">
        <f t="shared" si="8"/>
        <v>0.44954741834346251</v>
      </c>
      <c r="AO18" s="37"/>
      <c r="AP18" s="38"/>
    </row>
    <row r="19" spans="1:42">
      <c r="A19" s="57" t="s">
        <v>65</v>
      </c>
      <c r="B19" s="37">
        <v>855111.95504074183</v>
      </c>
      <c r="C19" s="49">
        <f t="shared" si="0"/>
        <v>381321.90429950709</v>
      </c>
      <c r="E19" s="43">
        <v>24373.600000000002</v>
      </c>
      <c r="F19" s="43">
        <v>1419.1</v>
      </c>
      <c r="G19" s="44">
        <v>0.81356770739113005</v>
      </c>
      <c r="H19" s="43">
        <f t="shared" si="3"/>
        <v>21248.673872868447</v>
      </c>
      <c r="I19" s="43">
        <v>23201.647603863799</v>
      </c>
      <c r="J19" s="43">
        <v>1395.3310445480699</v>
      </c>
      <c r="K19" s="44">
        <v>0.82784500000000005</v>
      </c>
      <c r="L19" s="43">
        <f t="shared" si="13"/>
        <v>20602.699005168699</v>
      </c>
      <c r="N19" s="43">
        <v>2088.7296666666671</v>
      </c>
      <c r="O19" s="43">
        <v>669.47482644485297</v>
      </c>
      <c r="P19" s="43">
        <f t="shared" si="1"/>
        <v>1398351.9310818824</v>
      </c>
      <c r="Q19" s="43">
        <v>2073.5635769722398</v>
      </c>
      <c r="R19" s="43">
        <v>651.89082098768984</v>
      </c>
      <c r="S19" s="43">
        <f t="shared" si="5"/>
        <v>1351737.0625626042</v>
      </c>
      <c r="U19" s="43">
        <v>35941.800000000003</v>
      </c>
      <c r="V19" s="43">
        <v>30504.5</v>
      </c>
      <c r="W19" s="44">
        <f t="shared" si="14"/>
        <v>0.15128068154627761</v>
      </c>
      <c r="X19" s="35">
        <v>0.16072770084931801</v>
      </c>
      <c r="Z19" s="57" t="s">
        <v>65</v>
      </c>
      <c r="AA19" s="45">
        <f t="shared" si="9"/>
        <v>0.51374381762828025</v>
      </c>
      <c r="AB19" s="45">
        <v>0.67141329668102601</v>
      </c>
      <c r="AC19" s="53">
        <f t="shared" si="12"/>
        <v>-0.14386266334643361</v>
      </c>
      <c r="AD19" s="40"/>
      <c r="AE19" s="57" t="s">
        <v>65</v>
      </c>
      <c r="AF19" s="42">
        <f t="shared" si="6"/>
        <v>855111.95504074183</v>
      </c>
      <c r="AG19" s="43">
        <f t="shared" si="7"/>
        <v>1038906.0576870119</v>
      </c>
      <c r="AH19" s="44">
        <f t="shared" si="10"/>
        <v>-0.17691118584433277</v>
      </c>
      <c r="AI19" s="44">
        <f t="shared" si="11"/>
        <v>-3.7250614036831386E-2</v>
      </c>
      <c r="AK19" s="37">
        <v>92402.4</v>
      </c>
      <c r="AL19" s="37">
        <v>51197.3</v>
      </c>
      <c r="AM19" s="37">
        <v>41205.199999999997</v>
      </c>
      <c r="AN19" s="81">
        <f t="shared" si="8"/>
        <v>0.44593214029072836</v>
      </c>
      <c r="AO19" s="37"/>
      <c r="AP19" s="38"/>
    </row>
    <row r="20" spans="1:42">
      <c r="A20" s="57" t="s">
        <v>66</v>
      </c>
      <c r="B20" s="37">
        <v>802443.59688947361</v>
      </c>
      <c r="C20" s="49">
        <f t="shared" si="0"/>
        <v>359118.49652732996</v>
      </c>
      <c r="E20" s="43">
        <v>24547.4</v>
      </c>
      <c r="F20" s="43">
        <v>1470.1</v>
      </c>
      <c r="G20" s="44">
        <v>0.81403646043855638</v>
      </c>
      <c r="H20" s="43">
        <f t="shared" si="3"/>
        <v>21452.578608969419</v>
      </c>
      <c r="I20" s="43">
        <v>23544.5019434598</v>
      </c>
      <c r="J20" s="43">
        <v>1440.5962582514001</v>
      </c>
      <c r="K20" s="44">
        <v>0.82784500000000005</v>
      </c>
      <c r="L20" s="43">
        <f t="shared" si="13"/>
        <v>20931.794469634879</v>
      </c>
      <c r="N20" s="43">
        <v>2071.5762666666665</v>
      </c>
      <c r="O20" s="43">
        <v>684.60342112773708</v>
      </c>
      <c r="P20" s="43">
        <f t="shared" si="1"/>
        <v>1418208.1992870253</v>
      </c>
      <c r="Q20" s="43">
        <v>2060.1467712849299</v>
      </c>
      <c r="R20" s="43">
        <v>654.54113976425742</v>
      </c>
      <c r="S20" s="43">
        <f t="shared" si="5"/>
        <v>1348450.815758493</v>
      </c>
      <c r="U20" s="43">
        <v>33721.699999999997</v>
      </c>
      <c r="V20" s="43">
        <v>31412.3</v>
      </c>
      <c r="W20" s="44">
        <f t="shared" si="14"/>
        <v>6.8484091845903317E-2</v>
      </c>
      <c r="X20" s="35">
        <v>0.13837841009808199</v>
      </c>
      <c r="Z20" s="57" t="s">
        <v>66</v>
      </c>
      <c r="AA20" s="45">
        <f t="shared" si="9"/>
        <v>0.33740900478224051</v>
      </c>
      <c r="AB20" s="45">
        <v>0.57278416644584196</v>
      </c>
      <c r="AC20" s="53">
        <f t="shared" si="12"/>
        <v>-0.14689779115596013</v>
      </c>
      <c r="AD20" s="40"/>
      <c r="AE20" s="57" t="s">
        <v>66</v>
      </c>
      <c r="AF20" s="42">
        <f t="shared" si="6"/>
        <v>802443.59688947361</v>
      </c>
      <c r="AG20" s="43">
        <f t="shared" si="7"/>
        <v>969778.04559820786</v>
      </c>
      <c r="AH20" s="44">
        <f t="shared" si="10"/>
        <v>-0.17254922347258742</v>
      </c>
      <c r="AI20" s="44">
        <f t="shared" si="11"/>
        <v>-6.6539232856826835E-2</v>
      </c>
      <c r="AK20" s="37">
        <v>87753</v>
      </c>
      <c r="AL20" s="37">
        <v>48480.800000000003</v>
      </c>
      <c r="AM20" s="37">
        <v>39272.199999999997</v>
      </c>
      <c r="AN20" s="81">
        <f t="shared" si="8"/>
        <v>0.44753113853657422</v>
      </c>
      <c r="AO20" s="37"/>
      <c r="AP20" s="38"/>
    </row>
    <row r="21" spans="1:42">
      <c r="A21" s="57" t="s">
        <v>67</v>
      </c>
      <c r="B21" s="37">
        <v>766874.02644940093</v>
      </c>
      <c r="C21" s="49">
        <f t="shared" si="0"/>
        <v>352228.04902505095</v>
      </c>
      <c r="E21" s="43">
        <v>24377.8</v>
      </c>
      <c r="F21" s="43">
        <v>1520.5</v>
      </c>
      <c r="G21" s="44">
        <v>0.79833957381538978</v>
      </c>
      <c r="H21" s="43">
        <f t="shared" si="3"/>
        <v>20982.26246255681</v>
      </c>
      <c r="I21" s="43">
        <v>23718.710666547799</v>
      </c>
      <c r="J21" s="43">
        <v>1477.4092061705201</v>
      </c>
      <c r="K21" s="44">
        <v>0.82784500000000005</v>
      </c>
      <c r="L21" s="43">
        <f t="shared" si="13"/>
        <v>21112.825237918783</v>
      </c>
      <c r="N21" s="43">
        <v>2050.7842666666666</v>
      </c>
      <c r="O21" s="43">
        <v>661.75412035202453</v>
      </c>
      <c r="P21" s="43">
        <f t="shared" si="1"/>
        <v>1357114.9384197716</v>
      </c>
      <c r="Q21" s="43">
        <v>2049.1306858575799</v>
      </c>
      <c r="R21" s="43">
        <v>653.98243176224071</v>
      </c>
      <c r="S21" s="43">
        <f t="shared" si="5"/>
        <v>1340095.4689357684</v>
      </c>
      <c r="U21" s="43">
        <v>32164.400000000001</v>
      </c>
      <c r="V21" s="43">
        <v>29572.3</v>
      </c>
      <c r="W21" s="44">
        <f t="shared" si="14"/>
        <v>8.0589098506423262E-2</v>
      </c>
      <c r="X21" s="35">
        <v>0.119117171546034</v>
      </c>
      <c r="Z21" s="57" t="s">
        <v>67</v>
      </c>
      <c r="AA21" s="45">
        <f t="shared" si="9"/>
        <v>0.36319107696593139</v>
      </c>
      <c r="AB21" s="45">
        <v>0.490182732738561</v>
      </c>
      <c r="AC21" s="53">
        <f t="shared" si="12"/>
        <v>-0.14421039991350937</v>
      </c>
      <c r="AD21" s="40"/>
      <c r="AE21" s="57" t="s">
        <v>67</v>
      </c>
      <c r="AF21" s="42">
        <f t="shared" si="6"/>
        <v>766874.02644940093</v>
      </c>
      <c r="AG21" s="43">
        <f t="shared" si="7"/>
        <v>872317.30847604247</v>
      </c>
      <c r="AH21" s="44">
        <f t="shared" si="10"/>
        <v>-0.12087720947650721</v>
      </c>
      <c r="AI21" s="44">
        <f t="shared" si="11"/>
        <v>-0.1004979825688328</v>
      </c>
      <c r="AK21" s="37">
        <v>82626.600000000006</v>
      </c>
      <c r="AL21" s="37">
        <v>44675.9</v>
      </c>
      <c r="AM21" s="37">
        <v>37950.699999999997</v>
      </c>
      <c r="AN21" s="81">
        <f t="shared" si="8"/>
        <v>0.4593036625009379</v>
      </c>
      <c r="AO21" s="37"/>
      <c r="AP21" s="38"/>
    </row>
    <row r="22" spans="1:42">
      <c r="A22" s="57" t="s">
        <v>68</v>
      </c>
      <c r="B22" s="37">
        <v>751604.13154859724</v>
      </c>
      <c r="C22" s="49">
        <f t="shared" si="0"/>
        <v>348450.05431433319</v>
      </c>
      <c r="E22" s="43">
        <v>23971.200000000001</v>
      </c>
      <c r="F22" s="43">
        <v>1536.1</v>
      </c>
      <c r="G22" s="44">
        <v>0.78839868222937881</v>
      </c>
      <c r="H22" s="43">
        <f t="shared" si="3"/>
        <v>20434.962491456885</v>
      </c>
      <c r="I22" s="43">
        <v>23736.445191917301</v>
      </c>
      <c r="J22" s="43">
        <v>1505.4417810065399</v>
      </c>
      <c r="K22" s="44">
        <v>0.82784500000000005</v>
      </c>
      <c r="L22" s="43">
        <f t="shared" si="13"/>
        <v>21155.539250909318</v>
      </c>
      <c r="N22" s="43">
        <v>2026.5269333333335</v>
      </c>
      <c r="O22" s="43">
        <v>656.6112003019274</v>
      </c>
      <c r="P22" s="43">
        <f t="shared" si="1"/>
        <v>1330640.2821401842</v>
      </c>
      <c r="Q22" s="43">
        <v>2040.7763463297299</v>
      </c>
      <c r="R22" s="43">
        <v>650.3099776970821</v>
      </c>
      <c r="S22" s="43">
        <f t="shared" si="5"/>
        <v>1327137.2202664195</v>
      </c>
      <c r="U22" s="43">
        <v>31273.200000000001</v>
      </c>
      <c r="V22" s="43">
        <v>28939</v>
      </c>
      <c r="W22" s="44">
        <f t="shared" si="14"/>
        <v>7.4638988015297447E-2</v>
      </c>
      <c r="X22" s="35">
        <v>0.102831520468738</v>
      </c>
      <c r="Z22" s="57" t="s">
        <v>68</v>
      </c>
      <c r="AA22" s="45">
        <f t="shared" si="9"/>
        <v>0.35764455618343743</v>
      </c>
      <c r="AB22" s="45">
        <v>0.42308986224531903</v>
      </c>
      <c r="AC22" s="53">
        <f t="shared" si="12"/>
        <v>-0.1368731822077992</v>
      </c>
      <c r="AD22" s="40"/>
      <c r="AE22" s="57" t="s">
        <v>68</v>
      </c>
      <c r="AF22" s="42">
        <f t="shared" si="6"/>
        <v>751604.13154859724</v>
      </c>
      <c r="AG22" s="43">
        <f t="shared" si="7"/>
        <v>791331.15282787511</v>
      </c>
      <c r="AH22" s="44">
        <f t="shared" si="10"/>
        <v>-5.0202776849250376E-2</v>
      </c>
      <c r="AI22" s="44">
        <f t="shared" si="11"/>
        <v>-9.2840248452311425E-2</v>
      </c>
      <c r="AK22" s="37">
        <v>79278.100000000006</v>
      </c>
      <c r="AL22" s="37">
        <v>42524.1</v>
      </c>
      <c r="AM22" s="37">
        <v>36754</v>
      </c>
      <c r="AN22" s="81">
        <f t="shared" si="8"/>
        <v>0.46360848708533625</v>
      </c>
      <c r="AO22" s="37"/>
      <c r="AP22" s="38"/>
    </row>
    <row r="23" spans="1:42">
      <c r="A23" s="57" t="s">
        <v>69</v>
      </c>
      <c r="B23" s="37">
        <v>696493.91938198661</v>
      </c>
      <c r="C23" s="49">
        <f t="shared" si="0"/>
        <v>321556.36776918429</v>
      </c>
      <c r="E23" s="43">
        <v>23604.1</v>
      </c>
      <c r="F23" s="43">
        <v>1552.5</v>
      </c>
      <c r="G23" s="44">
        <v>0.78321155603443193</v>
      </c>
      <c r="H23" s="43">
        <f t="shared" si="3"/>
        <v>20039.503889792333</v>
      </c>
      <c r="I23" s="43">
        <v>23616.467831692102</v>
      </c>
      <c r="J23" s="43">
        <v>1524.7967833989201</v>
      </c>
      <c r="K23" s="44">
        <v>0.82784500000000005</v>
      </c>
      <c r="L23" s="43">
        <f t="shared" si="13"/>
        <v>21075.571595526071</v>
      </c>
      <c r="N23" s="43">
        <v>2017.1705333333337</v>
      </c>
      <c r="O23" s="43">
        <v>653.21341377324222</v>
      </c>
      <c r="P23" s="43">
        <f t="shared" si="1"/>
        <v>1317642.8502414585</v>
      </c>
      <c r="Q23" s="43">
        <v>2035.36131414897</v>
      </c>
      <c r="R23" s="43">
        <v>643.75636680403989</v>
      </c>
      <c r="S23" s="43">
        <f t="shared" si="5"/>
        <v>1310276.804730037</v>
      </c>
      <c r="U23" s="43">
        <v>30501.599999999999</v>
      </c>
      <c r="V23" s="43">
        <v>27540.7</v>
      </c>
      <c r="W23" s="44">
        <f t="shared" si="14"/>
        <v>9.7073596139218843E-2</v>
      </c>
      <c r="X23" s="35">
        <v>8.9023711411359702E-2</v>
      </c>
      <c r="Z23" s="57" t="s">
        <v>69</v>
      </c>
      <c r="AA23" s="45">
        <f t="shared" si="9"/>
        <v>0.36637897043484563</v>
      </c>
      <c r="AB23" s="45">
        <v>0.36971650509486198</v>
      </c>
      <c r="AC23" s="53">
        <f t="shared" si="12"/>
        <v>-0.12615134966176456</v>
      </c>
      <c r="AD23" s="40"/>
      <c r="AE23" s="57" t="s">
        <v>69</v>
      </c>
      <c r="AF23" s="42">
        <f t="shared" si="6"/>
        <v>696493.91938198661</v>
      </c>
      <c r="AG23" s="43">
        <f t="shared" si="7"/>
        <v>726474.92705667112</v>
      </c>
      <c r="AH23" s="44">
        <f t="shared" si="10"/>
        <v>-4.1269156798230074E-2</v>
      </c>
      <c r="AI23" s="44">
        <f t="shared" si="11"/>
        <v>-8.1958388140585536E-2</v>
      </c>
      <c r="AK23" s="37">
        <v>77317.2</v>
      </c>
      <c r="AL23" s="37">
        <v>41621.5</v>
      </c>
      <c r="AM23" s="37">
        <v>35695.699999999997</v>
      </c>
      <c r="AN23" s="81">
        <f t="shared" si="8"/>
        <v>0.46167864330317182</v>
      </c>
      <c r="AO23" s="37"/>
      <c r="AP23" s="38"/>
    </row>
    <row r="24" spans="1:42">
      <c r="A24" s="57" t="s">
        <v>70</v>
      </c>
      <c r="B24" s="37">
        <v>667741.27891964652</v>
      </c>
      <c r="C24" s="49">
        <f t="shared" si="0"/>
        <v>309617.53867634432</v>
      </c>
      <c r="E24" s="43">
        <v>23623.599999999999</v>
      </c>
      <c r="F24" s="43">
        <v>1564.2</v>
      </c>
      <c r="G24" s="44">
        <v>0.77738919617072988</v>
      </c>
      <c r="H24" s="43">
        <f t="shared" si="3"/>
        <v>19928.931414658855</v>
      </c>
      <c r="I24" s="43">
        <v>23379.8884460767</v>
      </c>
      <c r="J24" s="43">
        <v>1535.8835961770201</v>
      </c>
      <c r="K24" s="44">
        <v>0.82784500000000005</v>
      </c>
      <c r="L24" s="43">
        <f t="shared" si="13"/>
        <v>20890.807346819387</v>
      </c>
      <c r="N24" s="43">
        <v>1999.3240666666668</v>
      </c>
      <c r="O24" s="43">
        <v>631.46406991096273</v>
      </c>
      <c r="P24" s="43">
        <f t="shared" si="1"/>
        <v>1262501.3122082704</v>
      </c>
      <c r="Q24" s="43">
        <v>2033.02065663297</v>
      </c>
      <c r="R24" s="43">
        <v>634.68318193500932</v>
      </c>
      <c r="S24" s="43">
        <f t="shared" si="5"/>
        <v>1290324.0192914153</v>
      </c>
      <c r="U24" s="43">
        <v>28908.9</v>
      </c>
      <c r="V24" s="43">
        <v>25793.9</v>
      </c>
      <c r="W24" s="44">
        <f t="shared" si="14"/>
        <v>0.10775228389873015</v>
      </c>
      <c r="X24" s="35">
        <v>7.6914073594525095E-2</v>
      </c>
      <c r="Z24" s="57" t="s">
        <v>70</v>
      </c>
      <c r="AA24" s="45">
        <f t="shared" si="9"/>
        <v>0.38347420777615643</v>
      </c>
      <c r="AB24" s="45">
        <v>0.327619158355486</v>
      </c>
      <c r="AC24" s="53">
        <f t="shared" si="12"/>
        <v>-0.11386385557381229</v>
      </c>
      <c r="AD24" s="40"/>
      <c r="AE24" s="57" t="s">
        <v>70</v>
      </c>
      <c r="AF24" s="42">
        <f t="shared" si="6"/>
        <v>667741.27891964652</v>
      </c>
      <c r="AG24" s="43">
        <f t="shared" si="7"/>
        <v>663922.46030812676</v>
      </c>
      <c r="AH24" s="44">
        <f t="shared" si="10"/>
        <v>5.7519045367849806E-3</v>
      </c>
      <c r="AI24" s="44">
        <f t="shared" si="11"/>
        <v>-8.6104095845368045E-2</v>
      </c>
      <c r="AK24" s="37">
        <v>73356.800000000003</v>
      </c>
      <c r="AL24" s="37">
        <v>39342.800000000003</v>
      </c>
      <c r="AM24" s="37">
        <v>34014</v>
      </c>
      <c r="AN24" s="81">
        <f t="shared" si="8"/>
        <v>0.46367889548071889</v>
      </c>
      <c r="AO24" s="37"/>
      <c r="AP24" s="38"/>
    </row>
    <row r="25" spans="1:42">
      <c r="A25" s="57" t="s">
        <v>71</v>
      </c>
      <c r="B25" s="37">
        <v>624622.83784950804</v>
      </c>
      <c r="C25" s="49">
        <f t="shared" si="0"/>
        <v>289802.6961554258</v>
      </c>
      <c r="E25" s="43">
        <v>23320.2</v>
      </c>
      <c r="F25" s="43">
        <v>1551.1</v>
      </c>
      <c r="G25" s="44">
        <v>0.76325161343582726</v>
      </c>
      <c r="H25" s="43">
        <f t="shared" si="3"/>
        <v>19350.280275646179</v>
      </c>
      <c r="I25" s="43">
        <v>23047.693216958902</v>
      </c>
      <c r="J25" s="43">
        <v>1539.3886343362101</v>
      </c>
      <c r="K25" s="44">
        <v>0.82784500000000005</v>
      </c>
      <c r="L25" s="43">
        <f t="shared" si="13"/>
        <v>20619.306225529552</v>
      </c>
      <c r="N25" s="43">
        <v>2009.3735333333339</v>
      </c>
      <c r="O25" s="43">
        <v>617.89090719479759</v>
      </c>
      <c r="P25" s="43">
        <f t="shared" si="1"/>
        <v>1241573.6354045495</v>
      </c>
      <c r="Q25" s="43">
        <v>2033.7075332912</v>
      </c>
      <c r="R25" s="43">
        <v>623.6206708162706</v>
      </c>
      <c r="S25" s="43">
        <f t="shared" si="5"/>
        <v>1268262.056155161</v>
      </c>
      <c r="U25" s="43">
        <v>27034.400000000001</v>
      </c>
      <c r="V25" s="43">
        <v>24337.8</v>
      </c>
      <c r="W25" s="44">
        <f t="shared" si="14"/>
        <v>9.9746989021395005E-2</v>
      </c>
      <c r="X25" s="35">
        <v>6.5803435086138604E-2</v>
      </c>
      <c r="Z25" s="57" t="s">
        <v>71</v>
      </c>
      <c r="AA25" s="45">
        <f t="shared" si="9"/>
        <v>0.35350958927013504</v>
      </c>
      <c r="AB25" s="45">
        <v>0.29432094374853801</v>
      </c>
      <c r="AC25" s="53">
        <f t="shared" si="12"/>
        <v>-0.10163695790591543</v>
      </c>
      <c r="AD25" s="40"/>
      <c r="AE25" s="57" t="s">
        <v>71</v>
      </c>
      <c r="AF25" s="42">
        <f t="shared" si="6"/>
        <v>624622.83784950804</v>
      </c>
      <c r="AG25" s="43">
        <f t="shared" si="7"/>
        <v>613518.32556876924</v>
      </c>
      <c r="AH25" s="44">
        <f t="shared" si="10"/>
        <v>1.809972386797775E-2</v>
      </c>
      <c r="AI25" s="44">
        <f t="shared" si="11"/>
        <v>-7.591870700678649E-2</v>
      </c>
      <c r="AK25" s="37">
        <v>68880.3</v>
      </c>
      <c r="AL25" s="37">
        <v>36922.300000000003</v>
      </c>
      <c r="AM25" s="37">
        <v>31958</v>
      </c>
      <c r="AN25" s="81">
        <f t="shared" si="8"/>
        <v>0.46396429748418633</v>
      </c>
      <c r="AO25" s="37"/>
      <c r="AP25" s="38"/>
    </row>
    <row r="26" spans="1:42">
      <c r="A26" s="57" t="s">
        <v>72</v>
      </c>
      <c r="B26" s="37">
        <v>602368.81293877563</v>
      </c>
      <c r="C26" s="49">
        <f t="shared" si="0"/>
        <v>280677.2785796175</v>
      </c>
      <c r="E26" s="43">
        <v>22846.2</v>
      </c>
      <c r="F26" s="43">
        <v>1534.5</v>
      </c>
      <c r="G26" s="44">
        <v>0.76414698430996564</v>
      </c>
      <c r="H26" s="43">
        <f t="shared" si="3"/>
        <v>18992.354832942339</v>
      </c>
      <c r="I26" s="43">
        <v>22643.3054417657</v>
      </c>
      <c r="J26" s="43">
        <v>1536.2814769101201</v>
      </c>
      <c r="K26" s="44">
        <v>0.82784500000000005</v>
      </c>
      <c r="L26" s="43">
        <f t="shared" si="13"/>
        <v>20281.428670348647</v>
      </c>
      <c r="N26" s="43">
        <v>2019.4230000000002</v>
      </c>
      <c r="O26" s="43">
        <v>603.92237007481265</v>
      </c>
      <c r="P26" s="43">
        <f t="shared" si="1"/>
        <v>1219574.7243435886</v>
      </c>
      <c r="Q26" s="43">
        <v>2037.03813773351</v>
      </c>
      <c r="R26" s="43">
        <v>611.13671422354685</v>
      </c>
      <c r="S26" s="43">
        <f t="shared" si="5"/>
        <v>1244908.7942425101</v>
      </c>
      <c r="U26" s="43">
        <v>26175.200000000001</v>
      </c>
      <c r="V26" s="43">
        <v>23736.5</v>
      </c>
      <c r="W26" s="44">
        <f t="shared" si="14"/>
        <v>9.3168342553256567E-2</v>
      </c>
      <c r="X26" s="35">
        <v>5.5301006057148598E-2</v>
      </c>
      <c r="Z26" s="57" t="s">
        <v>72</v>
      </c>
      <c r="AA26" s="45">
        <f t="shared" si="9"/>
        <v>0.33916630157529337</v>
      </c>
      <c r="AB26" s="45">
        <v>0.267903533489808</v>
      </c>
      <c r="AC26" s="53">
        <f t="shared" si="12"/>
        <v>-8.9757153949942881E-2</v>
      </c>
      <c r="AD26" s="40"/>
      <c r="AE26" s="57" t="s">
        <v>72</v>
      </c>
      <c r="AF26" s="42">
        <f t="shared" si="6"/>
        <v>602368.81293877563</v>
      </c>
      <c r="AG26" s="43">
        <f t="shared" si="7"/>
        <v>570020.98355665687</v>
      </c>
      <c r="AH26" s="44">
        <f t="shared" si="10"/>
        <v>5.6748488766648321E-2</v>
      </c>
      <c r="AI26" s="44">
        <f t="shared" si="11"/>
        <v>-7.08981952116714E-2</v>
      </c>
      <c r="AK26" s="37">
        <v>65990.8</v>
      </c>
      <c r="AL26" s="37">
        <v>35242</v>
      </c>
      <c r="AM26" s="37">
        <v>30748.799999999999</v>
      </c>
      <c r="AN26" s="81">
        <f t="shared" si="8"/>
        <v>0.46595586051388976</v>
      </c>
      <c r="AO26" s="37"/>
      <c r="AP26" s="38"/>
    </row>
    <row r="27" spans="1:42">
      <c r="A27" s="57" t="s">
        <v>73</v>
      </c>
      <c r="B27" s="37">
        <v>578148.02609135176</v>
      </c>
      <c r="C27" s="49">
        <f t="shared" si="0"/>
        <v>268764.01817387663</v>
      </c>
      <c r="E27" s="43">
        <v>21946.799999999999</v>
      </c>
      <c r="F27" s="43">
        <v>1525.8</v>
      </c>
      <c r="G27" s="44">
        <v>0.77445351621134295</v>
      </c>
      <c r="H27" s="43">
        <f t="shared" si="3"/>
        <v>18522.576429587101</v>
      </c>
      <c r="I27" s="43">
        <v>22192.873485754499</v>
      </c>
      <c r="J27" s="43">
        <v>1527.64881658897</v>
      </c>
      <c r="K27" s="44">
        <v>0.82784500000000005</v>
      </c>
      <c r="L27" s="43">
        <f t="shared" si="13"/>
        <v>19899.908167403406</v>
      </c>
      <c r="N27" s="43">
        <v>2042.6407333333334</v>
      </c>
      <c r="O27" s="43">
        <v>584.622960441141</v>
      </c>
      <c r="P27" s="43">
        <f t="shared" si="1"/>
        <v>1194174.6726389967</v>
      </c>
      <c r="Q27" s="43">
        <v>2042.3853235701399</v>
      </c>
      <c r="R27" s="43">
        <v>597.81337322575416</v>
      </c>
      <c r="S27" s="43">
        <f t="shared" si="5"/>
        <v>1220965.2597102388</v>
      </c>
      <c r="U27" s="43">
        <v>25399.4</v>
      </c>
      <c r="V27" s="43">
        <v>23539.200000000001</v>
      </c>
      <c r="W27" s="44">
        <f t="shared" si="14"/>
        <v>7.3237950502767823E-2</v>
      </c>
      <c r="X27" s="35">
        <v>4.5355432217852203E-2</v>
      </c>
      <c r="Z27" s="57" t="s">
        <v>73</v>
      </c>
      <c r="AA27" s="45">
        <f t="shared" si="9"/>
        <v>0.30536380655669182</v>
      </c>
      <c r="AB27" s="45">
        <v>0.24704048625060401</v>
      </c>
      <c r="AC27" s="53">
        <f t="shared" si="12"/>
        <v>-7.7875222351248663E-2</v>
      </c>
      <c r="AD27" s="40"/>
      <c r="AE27" s="57" t="s">
        <v>73</v>
      </c>
      <c r="AF27" s="42">
        <f t="shared" si="6"/>
        <v>578148.02609135176</v>
      </c>
      <c r="AG27" s="43">
        <f t="shared" si="7"/>
        <v>538332.44031173398</v>
      </c>
      <c r="AH27" s="44">
        <f t="shared" si="10"/>
        <v>7.3960963148647751E-2</v>
      </c>
      <c r="AI27" s="44">
        <f t="shared" si="11"/>
        <v>-5.5591888998895445E-2</v>
      </c>
      <c r="AK27" s="37">
        <v>64121.5</v>
      </c>
      <c r="AL27" s="37">
        <v>34313.199999999997</v>
      </c>
      <c r="AM27" s="37">
        <v>29808.2</v>
      </c>
      <c r="AN27" s="81">
        <f t="shared" si="8"/>
        <v>0.46487059722557955</v>
      </c>
      <c r="AO27" s="37"/>
      <c r="AP27" s="38"/>
    </row>
    <row r="28" spans="1:42">
      <c r="A28" s="57" t="s">
        <v>74</v>
      </c>
      <c r="B28" s="37">
        <v>562554.77681610198</v>
      </c>
      <c r="C28" s="49">
        <f t="shared" si="0"/>
        <v>255873.14873054452</v>
      </c>
      <c r="E28" s="43">
        <v>21237.200000000001</v>
      </c>
      <c r="F28" s="43">
        <v>1506.3</v>
      </c>
      <c r="G28" s="44">
        <v>0.77081095721737591</v>
      </c>
      <c r="H28" s="43">
        <f t="shared" si="3"/>
        <v>17876.166460616856</v>
      </c>
      <c r="I28" s="43">
        <v>21724.574659764799</v>
      </c>
      <c r="J28" s="43">
        <v>1514.5595312939199</v>
      </c>
      <c r="K28" s="44">
        <v>0.82784500000000005</v>
      </c>
      <c r="L28" s="43">
        <f t="shared" si="13"/>
        <v>19499.140040506911</v>
      </c>
      <c r="N28" s="43">
        <v>2047.6654666666668</v>
      </c>
      <c r="O28" s="43">
        <v>568.38236275364181</v>
      </c>
      <c r="P28" s="43">
        <f t="shared" si="1"/>
        <v>1163856.9360730387</v>
      </c>
      <c r="Q28" s="43">
        <v>2048.945793034</v>
      </c>
      <c r="R28" s="43">
        <v>584.23467431787435</v>
      </c>
      <c r="S28" s="43">
        <f t="shared" si="5"/>
        <v>1197065.1780881977</v>
      </c>
      <c r="U28" s="43">
        <v>24575.8</v>
      </c>
      <c r="V28" s="43">
        <v>23198.9</v>
      </c>
      <c r="W28" s="44">
        <f t="shared" si="14"/>
        <v>5.6026660373212578E-2</v>
      </c>
      <c r="X28" s="35">
        <v>3.6294032643504802E-2</v>
      </c>
      <c r="Z28" s="57" t="s">
        <v>74</v>
      </c>
      <c r="AA28" s="45">
        <f t="shared" si="9"/>
        <v>0.27780270999502521</v>
      </c>
      <c r="AB28" s="45">
        <v>0.231117988383333</v>
      </c>
      <c r="AC28" s="53">
        <f t="shared" si="12"/>
        <v>-6.4452989503586244E-2</v>
      </c>
      <c r="AD28" s="40"/>
      <c r="AE28" s="57" t="s">
        <v>74</v>
      </c>
      <c r="AF28" s="42">
        <f t="shared" si="6"/>
        <v>562554.77681610198</v>
      </c>
      <c r="AG28" s="43">
        <f t="shared" si="7"/>
        <v>523834.62921368796</v>
      </c>
      <c r="AH28" s="44">
        <f t="shared" si="10"/>
        <v>7.3916739068082674E-2</v>
      </c>
      <c r="AI28" s="44">
        <f t="shared" si="11"/>
        <v>-2.6930963123178553E-2</v>
      </c>
      <c r="AK28" s="37">
        <v>63269.1</v>
      </c>
      <c r="AL28" s="37">
        <v>34491.699999999997</v>
      </c>
      <c r="AM28" s="37">
        <v>28777.4</v>
      </c>
      <c r="AN28" s="81">
        <f t="shared" si="8"/>
        <v>0.45484130483917112</v>
      </c>
      <c r="AO28" s="37"/>
      <c r="AP28" s="38"/>
    </row>
    <row r="29" spans="1:42">
      <c r="A29" s="57" t="s">
        <v>75</v>
      </c>
      <c r="B29" s="37">
        <v>522523.59306057193</v>
      </c>
      <c r="C29" s="49">
        <f t="shared" si="0"/>
        <v>238648.17829004649</v>
      </c>
      <c r="E29" s="43">
        <v>20651.600000000002</v>
      </c>
      <c r="F29" s="43">
        <v>1496.1</v>
      </c>
      <c r="G29" s="44">
        <v>0.78114730346777916</v>
      </c>
      <c r="H29" s="43">
        <f t="shared" si="3"/>
        <v>17628.041652295189</v>
      </c>
      <c r="I29" s="43">
        <v>21264.125539779001</v>
      </c>
      <c r="J29" s="43">
        <v>1498.0640107802201</v>
      </c>
      <c r="K29" s="44">
        <v>0.82784500000000005</v>
      </c>
      <c r="L29" s="43">
        <f t="shared" si="13"/>
        <v>19101.464018258568</v>
      </c>
      <c r="N29" s="43">
        <v>2085.6108666666669</v>
      </c>
      <c r="O29" s="43">
        <v>560.34188345800658</v>
      </c>
      <c r="P29" s="43">
        <f t="shared" si="1"/>
        <v>1168655.1211884855</v>
      </c>
      <c r="Q29" s="43">
        <v>2055.9188024556502</v>
      </c>
      <c r="R29" s="43">
        <v>570.89819564757352</v>
      </c>
      <c r="S29" s="43">
        <f t="shared" si="5"/>
        <v>1173720.3347198509</v>
      </c>
      <c r="U29" s="43">
        <v>24573.3</v>
      </c>
      <c r="V29" s="43">
        <v>23219</v>
      </c>
      <c r="W29" s="44">
        <f t="shared" si="14"/>
        <v>5.5112662930904666E-2</v>
      </c>
      <c r="X29" s="35">
        <v>2.8722951592213601E-2</v>
      </c>
      <c r="Z29" s="57" t="s">
        <v>75</v>
      </c>
      <c r="AA29" s="45">
        <f t="shared" si="9"/>
        <v>0.25731108551957238</v>
      </c>
      <c r="AB29" s="45">
        <v>0.220105459443898</v>
      </c>
      <c r="AC29" s="53">
        <f t="shared" si="12"/>
        <v>-4.7648947693199828E-2</v>
      </c>
      <c r="AD29" s="40"/>
      <c r="AE29" s="57" t="s">
        <v>75</v>
      </c>
      <c r="AF29" s="42">
        <f t="shared" si="6"/>
        <v>522523.59306057193</v>
      </c>
      <c r="AG29" s="43">
        <f t="shared" si="7"/>
        <v>502541.90752876265</v>
      </c>
      <c r="AH29" s="44">
        <f t="shared" si="10"/>
        <v>3.9761232312084636E-2</v>
      </c>
      <c r="AI29" s="44">
        <f t="shared" si="11"/>
        <v>-4.0647793210783267E-2</v>
      </c>
      <c r="AK29" s="37">
        <v>62855.7</v>
      </c>
      <c r="AL29" s="37">
        <v>34148.1</v>
      </c>
      <c r="AM29" s="37">
        <v>28707.599999999999</v>
      </c>
      <c r="AN29" s="81">
        <f t="shared" si="8"/>
        <v>0.45672230203466035</v>
      </c>
      <c r="AO29" s="37"/>
      <c r="AP29" s="38"/>
    </row>
    <row r="30" spans="1:42">
      <c r="A30" s="57" t="s">
        <v>76</v>
      </c>
      <c r="B30" s="37">
        <v>501684.99681737344</v>
      </c>
      <c r="C30" s="49">
        <f t="shared" si="0"/>
        <v>228306.21185818769</v>
      </c>
      <c r="E30" s="43">
        <v>20117.2</v>
      </c>
      <c r="F30" s="43">
        <v>1478.5</v>
      </c>
      <c r="G30" s="44">
        <v>0.80269948234469124</v>
      </c>
      <c r="H30" s="43">
        <f t="shared" si="3"/>
        <v>17626.566026224624</v>
      </c>
      <c r="I30" s="43">
        <v>20832.368955181399</v>
      </c>
      <c r="J30" s="43">
        <v>1479.13004949019</v>
      </c>
      <c r="K30" s="44">
        <v>0.82784500000000005</v>
      </c>
      <c r="L30" s="43">
        <f t="shared" si="13"/>
        <v>18725.102527192339</v>
      </c>
      <c r="N30" s="43">
        <v>2090.9821333333334</v>
      </c>
      <c r="O30" s="43">
        <v>554.40823842778673</v>
      </c>
      <c r="P30" s="43">
        <f t="shared" si="1"/>
        <v>1159257.7211253089</v>
      </c>
      <c r="Q30" s="43">
        <v>2062.49080490195</v>
      </c>
      <c r="R30" s="43">
        <v>558.16699999607943</v>
      </c>
      <c r="S30" s="43">
        <f t="shared" si="5"/>
        <v>1151214.3050916207</v>
      </c>
      <c r="U30" s="43">
        <v>23078.7</v>
      </c>
      <c r="V30" s="43">
        <v>23429.8</v>
      </c>
      <c r="W30" s="44">
        <f t="shared" si="14"/>
        <v>-1.5213161919865437E-2</v>
      </c>
      <c r="X30" s="35">
        <v>2.3445659599380601E-2</v>
      </c>
      <c r="Z30" s="57" t="s">
        <v>76</v>
      </c>
      <c r="AA30" s="45">
        <f t="shared" si="9"/>
        <v>0.18479065962318955</v>
      </c>
      <c r="AB30" s="45">
        <v>0.21443916620436601</v>
      </c>
      <c r="AC30" s="53">
        <f t="shared" si="12"/>
        <v>-2.5743537910636216E-2</v>
      </c>
      <c r="AD30" s="40"/>
      <c r="AE30" s="57" t="s">
        <v>76</v>
      </c>
      <c r="AF30" s="42">
        <f t="shared" si="6"/>
        <v>501684.99681737344</v>
      </c>
      <c r="AG30" s="43">
        <f t="shared" si="7"/>
        <v>492533.38327867951</v>
      </c>
      <c r="AH30" s="44">
        <f t="shared" si="10"/>
        <v>1.85806969626582E-2</v>
      </c>
      <c r="AI30" s="44">
        <f t="shared" si="11"/>
        <v>-1.9915800254947547E-2</v>
      </c>
      <c r="AK30" s="37">
        <v>59503.1</v>
      </c>
      <c r="AL30" s="37">
        <v>32424.6</v>
      </c>
      <c r="AM30" s="37">
        <v>27078.6</v>
      </c>
      <c r="AN30" s="81">
        <f t="shared" si="8"/>
        <v>0.45507881101993003</v>
      </c>
      <c r="AO30" s="37"/>
      <c r="AP30" s="38"/>
    </row>
    <row r="31" spans="1:42">
      <c r="A31" s="57" t="s">
        <v>77</v>
      </c>
      <c r="B31" s="37">
        <v>468658.16167911794</v>
      </c>
      <c r="C31" s="49">
        <f t="shared" si="0"/>
        <v>211420.16626274452</v>
      </c>
      <c r="E31" s="43">
        <v>20501</v>
      </c>
      <c r="F31" s="43">
        <v>1460.3</v>
      </c>
      <c r="G31" s="44">
        <v>0.82947020449778019</v>
      </c>
      <c r="H31" s="43">
        <f t="shared" si="3"/>
        <v>18465.268662408991</v>
      </c>
      <c r="I31" s="43">
        <v>20444.0224799588</v>
      </c>
      <c r="J31" s="43">
        <v>1458.7058017583399</v>
      </c>
      <c r="K31" s="44">
        <v>0.82784500000000005</v>
      </c>
      <c r="L31" s="43">
        <f t="shared" si="13"/>
        <v>18383.187591679834</v>
      </c>
      <c r="N31" s="43">
        <v>2093.7543999999998</v>
      </c>
      <c r="O31" s="43">
        <v>540.66009748481758</v>
      </c>
      <c r="P31" s="43">
        <f t="shared" si="1"/>
        <v>1132009.4580132656</v>
      </c>
      <c r="Q31" s="43">
        <v>2068.1451740819102</v>
      </c>
      <c r="R31" s="43">
        <v>546.31359463342756</v>
      </c>
      <c r="S31" s="43">
        <f t="shared" si="5"/>
        <v>1129855.8242764641</v>
      </c>
      <c r="U31" s="43">
        <v>21902</v>
      </c>
      <c r="V31" s="43">
        <v>22724.6</v>
      </c>
      <c r="W31" s="44">
        <f t="shared" si="14"/>
        <v>-3.7558213861747625E-2</v>
      </c>
      <c r="X31" s="35">
        <v>2.1529524313795501E-2</v>
      </c>
      <c r="Z31" s="57" t="s">
        <v>77</v>
      </c>
      <c r="AA31" s="45">
        <f t="shared" si="9"/>
        <v>0.16001520665072974</v>
      </c>
      <c r="AB31" s="45">
        <v>0.214927431697368</v>
      </c>
      <c r="AC31" s="53">
        <f t="shared" si="12"/>
        <v>2.2769417622929833E-3</v>
      </c>
      <c r="AD31" s="40"/>
      <c r="AE31" s="57" t="s">
        <v>77</v>
      </c>
      <c r="AF31" s="42">
        <f t="shared" si="6"/>
        <v>468658.16167911794</v>
      </c>
      <c r="AG31" s="43">
        <f t="shared" si="7"/>
        <v>492625.51016592805</v>
      </c>
      <c r="AH31" s="44">
        <f t="shared" si="10"/>
        <v>-4.8652268289430103E-2</v>
      </c>
      <c r="AI31" s="44">
        <f t="shared" si="11"/>
        <v>1.8704699087668253E-4</v>
      </c>
      <c r="AK31" s="37">
        <v>57465</v>
      </c>
      <c r="AL31" s="37">
        <v>31541.5</v>
      </c>
      <c r="AM31" s="37">
        <v>25923.5</v>
      </c>
      <c r="AN31" s="81">
        <f t="shared" si="8"/>
        <v>0.45111807186983383</v>
      </c>
      <c r="AO31" s="37"/>
      <c r="AP31" s="38"/>
    </row>
    <row r="32" spans="1:42">
      <c r="A32" s="57" t="s">
        <v>78</v>
      </c>
      <c r="B32" s="37">
        <v>445129.41915783682</v>
      </c>
      <c r="C32" s="49">
        <f t="shared" si="0"/>
        <v>209609.00977781715</v>
      </c>
      <c r="E32" s="43">
        <v>20119.8</v>
      </c>
      <c r="F32" s="43">
        <v>1443.4</v>
      </c>
      <c r="G32" s="44">
        <v>0.81524850440541596</v>
      </c>
      <c r="H32" s="43">
        <f t="shared" si="3"/>
        <v>17846.036858936088</v>
      </c>
      <c r="I32" s="43">
        <v>20106.651998546098</v>
      </c>
      <c r="J32" s="43">
        <v>1437.7331214242699</v>
      </c>
      <c r="K32" s="44">
        <v>0.82784500000000005</v>
      </c>
      <c r="L32" s="43">
        <f t="shared" si="13"/>
        <v>18082.924445160665</v>
      </c>
      <c r="N32" s="43">
        <v>2055.635733333334</v>
      </c>
      <c r="O32" s="43">
        <v>521.4729421695323</v>
      </c>
      <c r="P32" s="43">
        <f t="shared" si="1"/>
        <v>1071958.4138901578</v>
      </c>
      <c r="Q32" s="43">
        <v>2072.65019698881</v>
      </c>
      <c r="R32" s="43">
        <v>535.57759675627949</v>
      </c>
      <c r="S32" s="43">
        <f t="shared" si="5"/>
        <v>1110065.011419696</v>
      </c>
      <c r="U32" s="43">
        <v>21062.1</v>
      </c>
      <c r="V32" s="43">
        <v>21646</v>
      </c>
      <c r="W32" s="44">
        <f t="shared" si="14"/>
        <v>-2.7722781678940045E-2</v>
      </c>
      <c r="X32" s="35">
        <v>2.36553251690544E-2</v>
      </c>
      <c r="Z32" s="57" t="s">
        <v>78</v>
      </c>
      <c r="AA32" s="45">
        <f t="shared" si="9"/>
        <v>0.17455137214730643</v>
      </c>
      <c r="AB32" s="45">
        <v>0.22208209388948999</v>
      </c>
      <c r="AC32" s="53">
        <f t="shared" si="12"/>
        <v>3.3288734414303356E-2</v>
      </c>
      <c r="AD32" s="40"/>
      <c r="AE32" s="57" t="s">
        <v>78</v>
      </c>
      <c r="AF32" s="42">
        <f t="shared" si="6"/>
        <v>445129.41915783682</v>
      </c>
      <c r="AG32" s="43">
        <f t="shared" si="7"/>
        <v>474942.13680144568</v>
      </c>
      <c r="AH32" s="44">
        <f t="shared" si="10"/>
        <v>-6.2771262715046003E-2</v>
      </c>
      <c r="AI32" s="44">
        <f t="shared" si="11"/>
        <v>-3.5896178739355578E-2</v>
      </c>
      <c r="AK32" s="37">
        <v>52928.2</v>
      </c>
      <c r="AL32" s="37">
        <v>28004.6</v>
      </c>
      <c r="AM32" s="37">
        <v>24923.599999999999</v>
      </c>
      <c r="AN32" s="81">
        <f t="shared" si="8"/>
        <v>0.47089453259321118</v>
      </c>
      <c r="AO32" s="37"/>
      <c r="AP32" s="38"/>
    </row>
    <row r="33" spans="1:42">
      <c r="A33" s="57" t="s">
        <v>79</v>
      </c>
      <c r="B33" s="37">
        <v>441477.07590113312</v>
      </c>
      <c r="C33" s="49">
        <f t="shared" si="0"/>
        <v>204360.2621248982</v>
      </c>
      <c r="E33" s="43">
        <v>19455.599999999999</v>
      </c>
      <c r="F33" s="43">
        <v>1406.4</v>
      </c>
      <c r="G33" s="44">
        <v>0.82184488674126488</v>
      </c>
      <c r="H33" s="43">
        <f t="shared" si="3"/>
        <v>17395.885378483352</v>
      </c>
      <c r="I33" s="43">
        <v>19828.393170578602</v>
      </c>
      <c r="J33" s="43">
        <v>1417.16980431002</v>
      </c>
      <c r="K33" s="44">
        <v>0.82784500000000005</v>
      </c>
      <c r="L33" s="43">
        <f t="shared" si="13"/>
        <v>17832.005948607661</v>
      </c>
      <c r="N33" s="43">
        <v>2088.5563999999999</v>
      </c>
      <c r="O33" s="43">
        <v>504.21138608240295</v>
      </c>
      <c r="P33" s="43">
        <f t="shared" si="1"/>
        <v>1053073.9173552736</v>
      </c>
      <c r="Q33" s="43">
        <v>2076.0302528751399</v>
      </c>
      <c r="R33" s="43">
        <v>526.1529486621663</v>
      </c>
      <c r="S33" s="43">
        <f t="shared" si="5"/>
        <v>1092309.4390621176</v>
      </c>
      <c r="U33" s="43">
        <v>19803.2</v>
      </c>
      <c r="V33" s="43">
        <v>20116.3</v>
      </c>
      <c r="W33" s="44">
        <f t="shared" si="14"/>
        <v>-1.5810576068514104E-2</v>
      </c>
      <c r="X33" s="35">
        <v>2.99129642169953E-2</v>
      </c>
      <c r="Z33" s="57" t="s">
        <v>79</v>
      </c>
      <c r="AA33" s="45">
        <f t="shared" si="9"/>
        <v>0.18187079009426352</v>
      </c>
      <c r="AB33" s="45">
        <v>0.23586586849734301</v>
      </c>
      <c r="AC33" s="53">
        <f t="shared" si="12"/>
        <v>6.2066123235995585E-2</v>
      </c>
      <c r="AD33" s="40"/>
      <c r="AE33" s="57" t="s">
        <v>79</v>
      </c>
      <c r="AF33" s="42">
        <f t="shared" si="6"/>
        <v>441477.07590113312</v>
      </c>
      <c r="AG33" s="43">
        <f t="shared" si="7"/>
        <v>492111.68098146876</v>
      </c>
      <c r="AH33" s="44">
        <f t="shared" si="10"/>
        <v>-0.10289250801637111</v>
      </c>
      <c r="AI33" s="44">
        <f t="shared" si="11"/>
        <v>3.6150812592989467E-2</v>
      </c>
      <c r="AK33" s="37">
        <v>50690.3</v>
      </c>
      <c r="AL33" s="37">
        <v>27225.7</v>
      </c>
      <c r="AM33" s="37">
        <v>23464.6</v>
      </c>
      <c r="AN33" s="81">
        <f t="shared" si="8"/>
        <v>0.46290118622300513</v>
      </c>
      <c r="AO33" s="37"/>
      <c r="AP33" s="38"/>
    </row>
    <row r="34" spans="1:42">
      <c r="A34" s="57" t="s">
        <v>80</v>
      </c>
      <c r="B34" s="37">
        <v>449019.97389370791</v>
      </c>
      <c r="C34" s="49">
        <f t="shared" si="0"/>
        <v>200593.71688892265</v>
      </c>
      <c r="E34" s="43">
        <v>19285.8</v>
      </c>
      <c r="F34" s="43">
        <v>1377.9</v>
      </c>
      <c r="G34" s="44">
        <v>0.81732443470112026</v>
      </c>
      <c r="H34" s="43">
        <f t="shared" si="3"/>
        <v>17140.655582758864</v>
      </c>
      <c r="I34" s="43">
        <v>19617.513135706198</v>
      </c>
      <c r="J34" s="43">
        <v>1398.0303150233599</v>
      </c>
      <c r="K34" s="44">
        <v>0.82784500000000005</v>
      </c>
      <c r="L34" s="43">
        <f t="shared" si="13"/>
        <v>17638.29047685206</v>
      </c>
      <c r="N34" s="43">
        <v>2090.4623333333334</v>
      </c>
      <c r="O34" s="43">
        <v>501.52420233814854</v>
      </c>
      <c r="P34" s="43">
        <f t="shared" si="1"/>
        <v>1048417.4542429448</v>
      </c>
      <c r="Q34" s="43">
        <v>2078.1395763568298</v>
      </c>
      <c r="R34" s="43">
        <v>518.14616247855122</v>
      </c>
      <c r="S34" s="43">
        <f t="shared" si="5"/>
        <v>1076780.0465840935</v>
      </c>
      <c r="U34" s="43">
        <v>19963.8</v>
      </c>
      <c r="V34" s="43">
        <v>19690.3</v>
      </c>
      <c r="W34" s="44">
        <f t="shared" si="14"/>
        <v>1.3699796631903793E-2</v>
      </c>
      <c r="X34" s="35">
        <v>3.9878562440975797E-2</v>
      </c>
      <c r="Z34" s="57" t="s">
        <v>80</v>
      </c>
      <c r="AA34" s="45">
        <f t="shared" si="9"/>
        <v>0.20242207067838286</v>
      </c>
      <c r="AB34" s="45">
        <v>0.25576616401964603</v>
      </c>
      <c r="AC34" s="53">
        <f t="shared" si="12"/>
        <v>8.4371238827745776E-2</v>
      </c>
      <c r="AD34" s="40"/>
      <c r="AE34" s="57" t="s">
        <v>80</v>
      </c>
      <c r="AF34" s="42">
        <f t="shared" si="6"/>
        <v>449019.97389370791</v>
      </c>
      <c r="AG34" s="43">
        <f t="shared" si="7"/>
        <v>523249.05289023888</v>
      </c>
      <c r="AH34" s="44">
        <f t="shared" si="10"/>
        <v>-0.14186185065508736</v>
      </c>
      <c r="AI34" s="44">
        <f t="shared" si="11"/>
        <v>6.3272978700017246E-2</v>
      </c>
      <c r="AK34" s="37">
        <v>52853.5</v>
      </c>
      <c r="AL34" s="37">
        <v>29241.9</v>
      </c>
      <c r="AM34" s="37">
        <v>23611.599999999999</v>
      </c>
      <c r="AN34" s="81">
        <f t="shared" si="8"/>
        <v>0.44673673455873308</v>
      </c>
      <c r="AO34" s="37"/>
      <c r="AP34" s="38"/>
    </row>
    <row r="35" spans="1:42">
      <c r="A35" s="57" t="s">
        <v>81</v>
      </c>
      <c r="B35" s="37">
        <v>486748.93760943471</v>
      </c>
      <c r="C35" s="49">
        <f t="shared" si="0"/>
        <v>213917.43993737872</v>
      </c>
      <c r="E35" s="43">
        <v>18955.5</v>
      </c>
      <c r="F35" s="43">
        <v>1352.7</v>
      </c>
      <c r="G35" s="44">
        <v>0.82828787227443701</v>
      </c>
      <c r="H35" s="43">
        <f t="shared" si="3"/>
        <v>17053.310762898091</v>
      </c>
      <c r="I35" s="43">
        <v>19478.551101872999</v>
      </c>
      <c r="J35" s="43">
        <v>1381.2214201289901</v>
      </c>
      <c r="K35" s="44">
        <v>0.82784500000000005</v>
      </c>
      <c r="L35" s="43">
        <f t="shared" si="13"/>
        <v>17506.442557059047</v>
      </c>
      <c r="N35" s="43">
        <v>2092.7148000000002</v>
      </c>
      <c r="O35" s="43">
        <v>503.53490434140031</v>
      </c>
      <c r="P35" s="43">
        <f t="shared" si="1"/>
        <v>1053754.9466318327</v>
      </c>
      <c r="Q35" s="43">
        <v>2078.9576635210501</v>
      </c>
      <c r="R35" s="43">
        <v>511.51863517977591</v>
      </c>
      <c r="S35" s="43">
        <f t="shared" si="5"/>
        <v>1063425.5866408234</v>
      </c>
      <c r="U35" s="43">
        <v>19822.8</v>
      </c>
      <c r="V35" s="43">
        <v>19499.8</v>
      </c>
      <c r="W35" s="44">
        <f t="shared" si="14"/>
        <v>1.6294368101378187E-2</v>
      </c>
      <c r="X35" s="35">
        <v>5.2671005421493403E-2</v>
      </c>
      <c r="Z35" s="57" t="s">
        <v>81</v>
      </c>
      <c r="AA35" s="45">
        <f t="shared" si="9"/>
        <v>0.21711441253098124</v>
      </c>
      <c r="AB35" s="45">
        <v>0.28073043817114202</v>
      </c>
      <c r="AC35" s="53">
        <f t="shared" si="12"/>
        <v>9.7605851216419737E-2</v>
      </c>
      <c r="AD35" s="40"/>
      <c r="AE35" s="57" t="s">
        <v>81</v>
      </c>
      <c r="AF35" s="42">
        <f t="shared" si="6"/>
        <v>486748.93760943471</v>
      </c>
      <c r="AG35" s="43">
        <f t="shared" si="7"/>
        <v>547162.3497278865</v>
      </c>
      <c r="AH35" s="44">
        <f t="shared" si="10"/>
        <v>-0.11041222435808393</v>
      </c>
      <c r="AI35" s="44">
        <f t="shared" si="11"/>
        <v>4.5701557806094861E-2</v>
      </c>
      <c r="AK35" s="37">
        <v>53352.800000000003</v>
      </c>
      <c r="AL35" s="37">
        <v>29905.3</v>
      </c>
      <c r="AM35" s="37">
        <v>23447.599999999999</v>
      </c>
      <c r="AN35" s="81">
        <f t="shared" si="8"/>
        <v>0.43948208903750124</v>
      </c>
      <c r="AO35" s="37"/>
      <c r="AP35" s="38"/>
    </row>
    <row r="36" spans="1:42">
      <c r="A36" s="57" t="s">
        <v>82</v>
      </c>
      <c r="B36" s="37">
        <v>483928.61031785968</v>
      </c>
      <c r="C36" s="49">
        <f t="shared" si="0"/>
        <v>210405.9448699099</v>
      </c>
      <c r="E36" s="43">
        <v>18809.300000000003</v>
      </c>
      <c r="F36" s="43">
        <v>1340.1</v>
      </c>
      <c r="G36" s="44">
        <v>0.82018173665614291</v>
      </c>
      <c r="H36" s="43">
        <f t="shared" si="3"/>
        <v>16767.144339286391</v>
      </c>
      <c r="I36" s="43">
        <v>19412.729145665999</v>
      </c>
      <c r="J36" s="43">
        <v>1367.4485830413601</v>
      </c>
      <c r="K36" s="44">
        <v>0.82784500000000005</v>
      </c>
      <c r="L36" s="43">
        <f t="shared" si="13"/>
        <v>17438.179342635231</v>
      </c>
      <c r="N36" s="43">
        <v>2068.4574666666672</v>
      </c>
      <c r="O36" s="43">
        <v>500.09838364605929</v>
      </c>
      <c r="P36" s="43">
        <f t="shared" si="1"/>
        <v>1034432.2357206228</v>
      </c>
      <c r="Q36" s="43">
        <v>2078.5872380247301</v>
      </c>
      <c r="R36" s="43">
        <v>506.10828273030887</v>
      </c>
      <c r="S36" s="43">
        <f t="shared" si="5"/>
        <v>1051990.217541832</v>
      </c>
      <c r="U36" s="43">
        <v>21651.599999999999</v>
      </c>
      <c r="V36" s="43">
        <v>19274.8</v>
      </c>
      <c r="W36" s="44">
        <f t="shared" si="14"/>
        <v>0.10977479724362171</v>
      </c>
      <c r="X36" s="35">
        <v>6.7147391080955895E-2</v>
      </c>
      <c r="Z36" s="57" t="s">
        <v>82</v>
      </c>
      <c r="AA36" s="45">
        <f t="shared" si="9"/>
        <v>0.31980077843026411</v>
      </c>
      <c r="AB36" s="45">
        <v>0.30917270773337902</v>
      </c>
      <c r="AC36" s="53">
        <f t="shared" si="12"/>
        <v>0.10131523231869033</v>
      </c>
      <c r="AD36" s="40"/>
      <c r="AE36" s="57" t="s">
        <v>82</v>
      </c>
      <c r="AF36" s="42">
        <f t="shared" si="6"/>
        <v>483928.61031785968</v>
      </c>
      <c r="AG36" s="43">
        <f t="shared" si="7"/>
        <v>568040.76586954587</v>
      </c>
      <c r="AH36" s="44">
        <f t="shared" si="10"/>
        <v>-0.14807415348602476</v>
      </c>
      <c r="AI36" s="44">
        <f t="shared" si="11"/>
        <v>3.8157625706598086E-2</v>
      </c>
      <c r="AK36" s="37">
        <v>58306</v>
      </c>
      <c r="AL36" s="37">
        <v>32955.300000000003</v>
      </c>
      <c r="AM36" s="37">
        <v>25350.7</v>
      </c>
      <c r="AN36" s="81">
        <f t="shared" si="8"/>
        <v>0.43478715741090113</v>
      </c>
      <c r="AO36" s="37"/>
      <c r="AP36" s="38"/>
    </row>
    <row r="37" spans="1:42">
      <c r="A37" s="57" t="s">
        <v>83</v>
      </c>
      <c r="B37" s="37">
        <v>545260.32700008084</v>
      </c>
      <c r="C37" s="49">
        <f t="shared" si="0"/>
        <v>242296.85275607524</v>
      </c>
      <c r="E37" s="43">
        <v>19168.599999999999</v>
      </c>
      <c r="F37" s="43">
        <v>1329.7</v>
      </c>
      <c r="G37" s="44">
        <v>0.8309276485655982</v>
      </c>
      <c r="H37" s="43">
        <f t="shared" si="3"/>
        <v>17257.419724294523</v>
      </c>
      <c r="I37" s="43">
        <v>19416.038832653499</v>
      </c>
      <c r="J37" s="43">
        <v>1357.1320529736099</v>
      </c>
      <c r="K37" s="44">
        <v>0.82784500000000005</v>
      </c>
      <c r="L37" s="43">
        <f t="shared" si="13"/>
        <v>17430.602720391649</v>
      </c>
      <c r="N37" s="43">
        <v>2046.7991333333337</v>
      </c>
      <c r="O37" s="43">
        <v>506.82191189504192</v>
      </c>
      <c r="P37" s="43">
        <f t="shared" si="1"/>
        <v>1037362.650021115</v>
      </c>
      <c r="Q37" s="43">
        <v>2077.2685948896201</v>
      </c>
      <c r="R37" s="43">
        <v>501.70783432242024</v>
      </c>
      <c r="S37" s="43">
        <f t="shared" si="5"/>
        <v>1042181.9280480482</v>
      </c>
      <c r="U37" s="43">
        <v>22199.3</v>
      </c>
      <c r="V37" s="43">
        <v>19945.599999999999</v>
      </c>
      <c r="W37" s="44">
        <f t="shared" si="14"/>
        <v>0.10152121913754042</v>
      </c>
      <c r="X37" s="35">
        <v>8.18010509685662E-2</v>
      </c>
      <c r="Z37" s="57" t="s">
        <v>83</v>
      </c>
      <c r="AA37" s="45">
        <f t="shared" si="9"/>
        <v>0.3540126820123029</v>
      </c>
      <c r="AB37" s="45">
        <v>0.33887082923119399</v>
      </c>
      <c r="AC37" s="53">
        <f t="shared" si="12"/>
        <v>9.6056737075983278E-2</v>
      </c>
      <c r="AD37" s="40"/>
      <c r="AE37" s="57" t="s">
        <v>83</v>
      </c>
      <c r="AF37" s="42">
        <f t="shared" si="6"/>
        <v>545260.32700008084</v>
      </c>
      <c r="AG37" s="43">
        <f t="shared" si="7"/>
        <v>568726.61960694892</v>
      </c>
      <c r="AH37" s="44">
        <f t="shared" si="10"/>
        <v>-4.126111175011609E-2</v>
      </c>
      <c r="AI37" s="44">
        <f t="shared" si="11"/>
        <v>1.2074023179535764E-3</v>
      </c>
      <c r="AK37" s="37">
        <v>59448.1</v>
      </c>
      <c r="AL37" s="37">
        <v>33031.300000000003</v>
      </c>
      <c r="AM37" s="37">
        <v>26416.9</v>
      </c>
      <c r="AN37" s="81">
        <f t="shared" si="8"/>
        <v>0.44436912197362072</v>
      </c>
      <c r="AO37" s="37"/>
      <c r="AP37" s="38"/>
    </row>
    <row r="38" spans="1:42">
      <c r="A38" s="57" t="s">
        <v>84</v>
      </c>
      <c r="B38" s="37">
        <v>576265.23792121804</v>
      </c>
      <c r="C38" s="49">
        <f t="shared" si="0"/>
        <v>263990.84815467894</v>
      </c>
      <c r="E38" s="43">
        <v>19493.300000000003</v>
      </c>
      <c r="F38" s="43">
        <v>1306.0999999999999</v>
      </c>
      <c r="G38" s="44">
        <v>0.86021596084353424</v>
      </c>
      <c r="H38" s="43">
        <f t="shared" si="3"/>
        <v>18074.547789511267</v>
      </c>
      <c r="I38" s="43">
        <v>19478.437436947199</v>
      </c>
      <c r="J38" s="43">
        <v>1350.41859330851</v>
      </c>
      <c r="K38" s="44">
        <v>0.82784500000000005</v>
      </c>
      <c r="L38" s="43">
        <f t="shared" si="13"/>
        <v>17475.545633298065</v>
      </c>
      <c r="N38" s="43">
        <v>2078.8534666666669</v>
      </c>
      <c r="O38" s="43">
        <v>502.45036586146904</v>
      </c>
      <c r="P38" s="43">
        <f t="shared" si="1"/>
        <v>1044520.68489905</v>
      </c>
      <c r="Q38" s="43">
        <v>2075.14073142385</v>
      </c>
      <c r="R38" s="43">
        <v>498.06839522401111</v>
      </c>
      <c r="S38" s="43">
        <f t="shared" si="5"/>
        <v>1033562.0139642576</v>
      </c>
      <c r="U38" s="43">
        <v>23189.5</v>
      </c>
      <c r="V38" s="43">
        <v>19825.599999999999</v>
      </c>
      <c r="W38" s="44">
        <f t="shared" si="14"/>
        <v>0.14506134241790469</v>
      </c>
      <c r="X38" s="35">
        <v>9.5551590695157604E-2</v>
      </c>
      <c r="Z38" s="57" t="s">
        <v>84</v>
      </c>
      <c r="AA38" s="45">
        <f t="shared" si="9"/>
        <v>0.45524805106331317</v>
      </c>
      <c r="AB38" s="45">
        <v>0.36770893989608799</v>
      </c>
      <c r="AC38" s="53">
        <f t="shared" si="12"/>
        <v>8.5100599335504512E-2</v>
      </c>
      <c r="AD38" s="40"/>
      <c r="AE38" s="57" t="s">
        <v>84</v>
      </c>
      <c r="AF38" s="42">
        <f t="shared" si="6"/>
        <v>576265.23792121804</v>
      </c>
      <c r="AG38" s="43">
        <f t="shared" si="7"/>
        <v>561779.46744570113</v>
      </c>
      <c r="AH38" s="44">
        <f t="shared" si="10"/>
        <v>2.5785510711847145E-2</v>
      </c>
      <c r="AI38" s="44">
        <f t="shared" si="11"/>
        <v>-1.2215275180980645E-2</v>
      </c>
      <c r="AK38" s="37">
        <v>60891.3</v>
      </c>
      <c r="AL38" s="37">
        <v>32996.6</v>
      </c>
      <c r="AM38" s="37">
        <v>27894.7</v>
      </c>
      <c r="AN38" s="81">
        <f t="shared" si="8"/>
        <v>0.45810649468807529</v>
      </c>
      <c r="AO38" s="37"/>
      <c r="AP38" s="38"/>
    </row>
    <row r="39" spans="1:42">
      <c r="A39" s="57" t="s">
        <v>85</v>
      </c>
      <c r="B39" s="37">
        <v>597005.03327586385</v>
      </c>
      <c r="C39" s="49">
        <f t="shared" si="0"/>
        <v>277561.35750979185</v>
      </c>
      <c r="E39" s="43">
        <v>19687</v>
      </c>
      <c r="F39" s="43">
        <v>1321</v>
      </c>
      <c r="G39" s="44">
        <v>0.8636903548096978</v>
      </c>
      <c r="H39" s="43">
        <f t="shared" si="3"/>
        <v>18324.472015138519</v>
      </c>
      <c r="I39" s="43">
        <v>19587.407844332</v>
      </c>
      <c r="J39" s="43">
        <v>1347.1806468990701</v>
      </c>
      <c r="K39" s="44">
        <v>0.82784500000000005</v>
      </c>
      <c r="L39" s="43">
        <f t="shared" si="13"/>
        <v>17562.518293790094</v>
      </c>
      <c r="N39" s="43">
        <v>2101.2048666666669</v>
      </c>
      <c r="O39" s="43">
        <v>494.74849043027524</v>
      </c>
      <c r="P39" s="43">
        <f t="shared" si="1"/>
        <v>1039567.9358680812</v>
      </c>
      <c r="Q39" s="43">
        <v>2072.0379503200202</v>
      </c>
      <c r="R39" s="43">
        <v>494.993451469165</v>
      </c>
      <c r="S39" s="43">
        <f t="shared" si="5"/>
        <v>1025645.216604001</v>
      </c>
      <c r="U39" s="43">
        <v>24385.4</v>
      </c>
      <c r="V39" s="43">
        <v>19954.7</v>
      </c>
      <c r="W39" s="44">
        <f t="shared" si="14"/>
        <v>0.18169478458421839</v>
      </c>
      <c r="X39" s="35">
        <v>0.107515817553257</v>
      </c>
      <c r="Z39" s="57" t="s">
        <v>85</v>
      </c>
      <c r="AA39" s="45">
        <f t="shared" si="9"/>
        <v>0.55611720274851129</v>
      </c>
      <c r="AB39" s="45">
        <v>0.39372259548725203</v>
      </c>
      <c r="AC39" s="53">
        <f t="shared" si="12"/>
        <v>7.0745235616287427E-2</v>
      </c>
      <c r="AD39" s="40"/>
      <c r="AE39" s="57" t="s">
        <v>85</v>
      </c>
      <c r="AF39" s="42">
        <f t="shared" si="6"/>
        <v>597005.03327586374</v>
      </c>
      <c r="AG39" s="43">
        <f t="shared" si="7"/>
        <v>560905.15710747126</v>
      </c>
      <c r="AH39" s="44">
        <f t="shared" si="10"/>
        <v>6.4360036114760891E-2</v>
      </c>
      <c r="AI39" s="44">
        <f t="shared" si="11"/>
        <v>-1.5563230571690179E-3</v>
      </c>
      <c r="AK39" s="37">
        <v>62981.4</v>
      </c>
      <c r="AL39" s="37">
        <v>33699.9</v>
      </c>
      <c r="AM39" s="37">
        <v>29281.5</v>
      </c>
      <c r="AN39" s="81">
        <f t="shared" si="8"/>
        <v>0.46492297725995291</v>
      </c>
      <c r="AO39" s="37"/>
      <c r="AP39" s="38"/>
    </row>
    <row r="40" spans="1:42">
      <c r="A40" s="57" t="s">
        <v>86</v>
      </c>
      <c r="B40" s="37">
        <v>591954.65616563207</v>
      </c>
      <c r="C40" s="49">
        <f t="shared" si="0"/>
        <v>274158.69078621472</v>
      </c>
      <c r="E40" s="43">
        <v>19724.5</v>
      </c>
      <c r="F40" s="43">
        <v>1344.5</v>
      </c>
      <c r="G40" s="44">
        <v>0.8539268500491014</v>
      </c>
      <c r="H40" s="43">
        <f t="shared" si="3"/>
        <v>18187.780153793501</v>
      </c>
      <c r="I40" s="43">
        <v>19730.581566223798</v>
      </c>
      <c r="J40" s="43">
        <v>1346.8474706652</v>
      </c>
      <c r="K40" s="44">
        <v>0.82784500000000005</v>
      </c>
      <c r="L40" s="43">
        <f t="shared" si="13"/>
        <v>17680.71076735574</v>
      </c>
      <c r="N40" s="43">
        <v>2078.6802000000002</v>
      </c>
      <c r="O40" s="43">
        <v>498.42111480473017</v>
      </c>
      <c r="P40" s="43">
        <f t="shared" si="1"/>
        <v>1036058.1026065196</v>
      </c>
      <c r="Q40" s="43">
        <v>2067.83168162313</v>
      </c>
      <c r="R40" s="43">
        <v>492.32077320968466</v>
      </c>
      <c r="S40" s="43">
        <f t="shared" si="5"/>
        <v>1018036.4923641818</v>
      </c>
      <c r="U40" s="43">
        <v>25147.1</v>
      </c>
      <c r="V40" s="43">
        <v>20513.099999999999</v>
      </c>
      <c r="W40" s="44">
        <f t="shared" si="14"/>
        <v>0.18427572165378914</v>
      </c>
      <c r="X40" s="35">
        <v>0.11730563635262201</v>
      </c>
      <c r="Z40" s="57" t="s">
        <v>86</v>
      </c>
      <c r="AA40" s="45">
        <f t="shared" si="9"/>
        <v>0.55735663638117394</v>
      </c>
      <c r="AB40" s="45">
        <v>0.41582274287591597</v>
      </c>
      <c r="AC40" s="53">
        <f t="shared" si="12"/>
        <v>5.6131265113992024E-2</v>
      </c>
      <c r="AD40" s="40"/>
      <c r="AE40" s="57" t="s">
        <v>86</v>
      </c>
      <c r="AF40" s="42">
        <f t="shared" si="6"/>
        <v>591954.65616563207</v>
      </c>
      <c r="AG40" s="43">
        <f t="shared" si="7"/>
        <v>568158.04865890031</v>
      </c>
      <c r="AH40" s="44">
        <f t="shared" si="10"/>
        <v>4.1883781393050899E-2</v>
      </c>
      <c r="AI40" s="44">
        <f t="shared" si="11"/>
        <v>1.2930691507333281E-2</v>
      </c>
      <c r="AK40" s="37">
        <v>65040.4</v>
      </c>
      <c r="AL40" s="37">
        <v>34917.5</v>
      </c>
      <c r="AM40" s="37">
        <v>30122.9</v>
      </c>
      <c r="AN40" s="81">
        <f t="shared" si="8"/>
        <v>0.46314137059427679</v>
      </c>
      <c r="AO40" s="37"/>
      <c r="AP40" s="38"/>
    </row>
    <row r="41" spans="1:42">
      <c r="A41" s="57" t="s">
        <v>87</v>
      </c>
      <c r="B41" s="37">
        <v>578817.48974194156</v>
      </c>
      <c r="C41" s="49">
        <f t="shared" si="0"/>
        <v>264362.67350143462</v>
      </c>
      <c r="E41" s="43">
        <v>20270</v>
      </c>
      <c r="F41" s="43">
        <v>1359.8</v>
      </c>
      <c r="G41" s="44">
        <v>0.85804502460534893</v>
      </c>
      <c r="H41" s="43">
        <f t="shared" si="3"/>
        <v>18752.372648750421</v>
      </c>
      <c r="I41" s="43">
        <v>19896.586035594701</v>
      </c>
      <c r="J41" s="43">
        <v>1348.58651505785</v>
      </c>
      <c r="K41" s="44">
        <v>0.82784500000000005</v>
      </c>
      <c r="L41" s="43">
        <f t="shared" si="13"/>
        <v>17819.875781694747</v>
      </c>
      <c r="N41" s="43">
        <v>2074.3485333333338</v>
      </c>
      <c r="O41" s="43">
        <v>503.61086818734481</v>
      </c>
      <c r="P41" s="43">
        <f t="shared" si="1"/>
        <v>1044664.4657951456</v>
      </c>
      <c r="Q41" s="43">
        <v>2062.6850245416799</v>
      </c>
      <c r="R41" s="43">
        <v>489.86417456731556</v>
      </c>
      <c r="S41" s="43">
        <f t="shared" si="5"/>
        <v>1010435.4969394731</v>
      </c>
      <c r="U41" s="43">
        <v>24761.599999999999</v>
      </c>
      <c r="V41" s="43">
        <v>22219.4</v>
      </c>
      <c r="W41" s="44">
        <f t="shared" si="14"/>
        <v>0.10266703282501932</v>
      </c>
      <c r="X41" s="35">
        <v>0.125274741573316</v>
      </c>
      <c r="Z41" s="57" t="s">
        <v>87</v>
      </c>
      <c r="AA41" s="45">
        <f t="shared" si="9"/>
        <v>0.38235942523655098</v>
      </c>
      <c r="AB41" s="45">
        <v>0.43454427500543802</v>
      </c>
      <c r="AC41" s="53">
        <f t="shared" si="12"/>
        <v>4.5022867195863459E-2</v>
      </c>
      <c r="AD41" s="40"/>
      <c r="AE41" s="57" t="s">
        <v>87</v>
      </c>
      <c r="AF41" s="42">
        <f t="shared" si="6"/>
        <v>578817.48974194156</v>
      </c>
      <c r="AG41" s="43">
        <f t="shared" si="7"/>
        <v>579698.07646305533</v>
      </c>
      <c r="AH41" s="44">
        <f t="shared" si="10"/>
        <v>-1.5190437175271309E-3</v>
      </c>
      <c r="AI41" s="44">
        <f t="shared" si="11"/>
        <v>2.0311298645499187E-2</v>
      </c>
      <c r="AK41" s="37">
        <v>65472.1</v>
      </c>
      <c r="AL41" s="37">
        <v>35569.1</v>
      </c>
      <c r="AM41" s="37">
        <v>29903</v>
      </c>
      <c r="AN41" s="81">
        <f t="shared" si="8"/>
        <v>0.45672889673616701</v>
      </c>
      <c r="AO41" s="37"/>
      <c r="AP41" s="38"/>
    </row>
    <row r="42" spans="1:42">
      <c r="A42" s="57" t="s">
        <v>88</v>
      </c>
      <c r="B42" s="37">
        <v>570532.1832492376</v>
      </c>
      <c r="C42" s="49">
        <f t="shared" si="0"/>
        <v>255942.60312801602</v>
      </c>
      <c r="E42" s="43">
        <v>20474.099999999999</v>
      </c>
      <c r="F42" s="43">
        <v>1378.7</v>
      </c>
      <c r="G42" s="44">
        <v>0.88227157290845415</v>
      </c>
      <c r="H42" s="43">
        <f t="shared" si="3"/>
        <v>19442.41641088498</v>
      </c>
      <c r="I42" s="43">
        <v>20073.987869754899</v>
      </c>
      <c r="J42" s="43">
        <v>1351.5417558213001</v>
      </c>
      <c r="K42" s="44">
        <v>0.82784500000000005</v>
      </c>
      <c r="L42" s="43">
        <f t="shared" si="13"/>
        <v>17969.692243858546</v>
      </c>
      <c r="N42" s="43">
        <v>2046.1060666666669</v>
      </c>
      <c r="O42" s="43">
        <v>498.80678007050886</v>
      </c>
      <c r="P42" s="43">
        <f t="shared" si="1"/>
        <v>1020611.5787967341</v>
      </c>
      <c r="Q42" s="43">
        <v>2056.8695634679102</v>
      </c>
      <c r="R42" s="43">
        <v>487.46262083239253</v>
      </c>
      <c r="S42" s="43">
        <f t="shared" si="5"/>
        <v>1002647.0281184467</v>
      </c>
      <c r="U42" s="43">
        <v>24693.3</v>
      </c>
      <c r="V42" s="43">
        <v>23391.599999999999</v>
      </c>
      <c r="W42" s="44">
        <f t="shared" si="14"/>
        <v>5.2714703988531286E-2</v>
      </c>
      <c r="X42" s="35">
        <v>0.13244652854841499</v>
      </c>
      <c r="Z42" s="57" t="s">
        <v>88</v>
      </c>
      <c r="AA42" s="45">
        <f t="shared" si="9"/>
        <v>0.3089990856698423</v>
      </c>
      <c r="AB42" s="45">
        <v>0.45183742375441599</v>
      </c>
      <c r="AC42" s="53">
        <f t="shared" si="12"/>
        <v>3.9796057027241982E-2</v>
      </c>
      <c r="AD42" s="40"/>
      <c r="AE42" s="57" t="s">
        <v>88</v>
      </c>
      <c r="AF42" s="42">
        <f t="shared" si="6"/>
        <v>570532.1832492376</v>
      </c>
      <c r="AG42" s="43">
        <f t="shared" si="7"/>
        <v>592837.60425360524</v>
      </c>
      <c r="AH42" s="44">
        <f t="shared" si="10"/>
        <v>-3.762484168400658E-2</v>
      </c>
      <c r="AI42" s="44">
        <f>AG42/AG41-1</f>
        <v>2.2666157305055945E-2</v>
      </c>
      <c r="AK42" s="37">
        <v>66920.600000000006</v>
      </c>
      <c r="AL42" s="37">
        <v>36899.800000000003</v>
      </c>
      <c r="AM42" s="37">
        <v>30020.799999999999</v>
      </c>
      <c r="AN42" s="81">
        <f t="shared" si="8"/>
        <v>0.44860327014402135</v>
      </c>
      <c r="AO42" s="37"/>
      <c r="AP42" s="38"/>
    </row>
    <row r="43" spans="1:42" outlineLevel="1">
      <c r="A43" s="57" t="s">
        <v>89</v>
      </c>
      <c r="B43" s="37">
        <v>576350.4384254975</v>
      </c>
      <c r="C43" s="49" t="e">
        <f t="shared" si="0"/>
        <v>#DIV/0!</v>
      </c>
      <c r="E43" s="43">
        <v>20624.899999999998</v>
      </c>
      <c r="F43" s="43">
        <v>1402.2</v>
      </c>
      <c r="G43" s="44">
        <v>0.85909212732457485</v>
      </c>
      <c r="H43" s="43">
        <f t="shared" si="3"/>
        <v>19120.889216856624</v>
      </c>
      <c r="I43" s="43">
        <v>20255.087825658498</v>
      </c>
      <c r="J43" s="43">
        <v>1354.9693035492601</v>
      </c>
      <c r="K43" s="44">
        <v>0.82784500000000005</v>
      </c>
      <c r="L43" s="43">
        <f t="shared" si="13"/>
        <v>18123.042484581521</v>
      </c>
      <c r="N43" s="43">
        <v>2022.7150666666671</v>
      </c>
      <c r="O43" s="43">
        <v>491.90102752179155</v>
      </c>
      <c r="P43" s="43">
        <f t="shared" si="1"/>
        <v>994975.61967714259</v>
      </c>
      <c r="Q43" s="43">
        <v>2050.7735178819798</v>
      </c>
      <c r="R43" s="43">
        <v>485.03628546980445</v>
      </c>
      <c r="S43" s="43">
        <f t="shared" si="5"/>
        <v>994699.56945331907</v>
      </c>
      <c r="U43" s="46"/>
      <c r="V43" s="46"/>
      <c r="W43" s="44" t="e">
        <f>1-V43/U43</f>
        <v>#DIV/0!</v>
      </c>
      <c r="X43" s="47"/>
      <c r="Z43" s="57" t="s">
        <v>89</v>
      </c>
      <c r="AA43" s="45" t="e">
        <f>EXP(LOG(C43,EXP(1))-W43*LOG(H43,EXP(1))-(1-W43)*LOG(P43,EXP(1)))</f>
        <v>#DIV/0!</v>
      </c>
      <c r="AB43" s="48"/>
      <c r="AC43" s="53">
        <f t="shared" si="12"/>
        <v>-1</v>
      </c>
      <c r="AE43" s="57" t="s">
        <v>89</v>
      </c>
      <c r="AF43" s="42" t="e">
        <f t="shared" si="6"/>
        <v>#DIV/0!</v>
      </c>
      <c r="AG43" s="43" t="e">
        <f t="shared" si="7"/>
        <v>#DIV/0!</v>
      </c>
      <c r="AH43" s="44" t="e">
        <f t="shared" si="10"/>
        <v>#DIV/0!</v>
      </c>
      <c r="AI43" s="44" t="e">
        <f t="shared" si="11"/>
        <v>#DIV/0!</v>
      </c>
      <c r="AN43" s="81" t="e">
        <f>AM43/AK43</f>
        <v>#DIV/0!</v>
      </c>
    </row>
    <row r="44" spans="1:42">
      <c r="O44" s="51"/>
      <c r="AG44" s="55"/>
    </row>
    <row r="45" spans="1:42">
      <c r="O45" s="51"/>
    </row>
    <row r="46" spans="1:42">
      <c r="O46" s="51"/>
    </row>
    <row r="47" spans="1:42">
      <c r="O47" s="51"/>
    </row>
    <row r="48" spans="1:42">
      <c r="O48" s="51"/>
    </row>
    <row r="49" spans="4:58">
      <c r="O49" s="51"/>
    </row>
    <row r="50" spans="4:58">
      <c r="O50" s="51"/>
    </row>
    <row r="51" spans="4:58">
      <c r="O51" s="51"/>
      <c r="AK51" s="78"/>
      <c r="AL51" s="78"/>
      <c r="AM51" s="78"/>
      <c r="AO51" s="78"/>
      <c r="AP51" s="78"/>
      <c r="AQ51" s="78"/>
      <c r="AR51" s="78"/>
      <c r="AS51" s="78"/>
      <c r="AT51" s="78"/>
      <c r="AU51" s="78"/>
      <c r="AV51" s="78"/>
      <c r="AW51" s="78"/>
      <c r="AX51" s="78"/>
      <c r="AY51" s="78"/>
      <c r="AZ51" s="78"/>
      <c r="BA51" s="78"/>
      <c r="BB51" s="78"/>
      <c r="BC51" s="78"/>
      <c r="BD51" s="78"/>
      <c r="BE51" s="78"/>
      <c r="BF51" s="78"/>
    </row>
    <row r="52" spans="4:58">
      <c r="D52" s="78"/>
      <c r="M52" s="78"/>
      <c r="N52" s="78"/>
      <c r="O52" s="51"/>
      <c r="Q52" s="78"/>
      <c r="T52" s="78"/>
      <c r="Y52" s="78"/>
      <c r="Z52" s="79"/>
    </row>
    <row r="53" spans="4:58">
      <c r="O53" s="51"/>
    </row>
    <row r="54" spans="4:58">
      <c r="O54" s="51"/>
    </row>
    <row r="55" spans="4:58">
      <c r="O55" s="51"/>
    </row>
    <row r="56" spans="4:58">
      <c r="O56" s="51"/>
    </row>
    <row r="57" spans="4:58">
      <c r="O57" s="51"/>
    </row>
    <row r="58" spans="4:58">
      <c r="O58" s="51"/>
    </row>
    <row r="59" spans="4:58">
      <c r="O59" s="51"/>
    </row>
    <row r="60" spans="4:58">
      <c r="O60" s="51"/>
    </row>
    <row r="61" spans="4:58">
      <c r="O61" s="51"/>
    </row>
    <row r="62" spans="4:58">
      <c r="O62" s="51"/>
    </row>
    <row r="63" spans="4:58">
      <c r="O63" s="51"/>
    </row>
    <row r="64" spans="4:58">
      <c r="O64" s="51"/>
    </row>
    <row r="65" spans="15:15">
      <c r="O65" s="51"/>
    </row>
    <row r="66" spans="15:15">
      <c r="O66" s="51"/>
    </row>
    <row r="67" spans="15:15">
      <c r="O67" s="51"/>
    </row>
    <row r="68" spans="15:15">
      <c r="O68" s="51"/>
    </row>
    <row r="69" spans="15:15">
      <c r="O69" s="52"/>
    </row>
  </sheetData>
  <mergeCells count="6">
    <mergeCell ref="AF1:AI1"/>
    <mergeCell ref="B1:C1"/>
    <mergeCell ref="E1:L1"/>
    <mergeCell ref="N1:S1"/>
    <mergeCell ref="U1:X1"/>
    <mergeCell ref="AA1:AC1"/>
  </mergeCells>
  <phoneticPr fontId="1"/>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6BE42-86EF-4D1C-BDE3-2943C2F2CDFF}">
  <dimension ref="A1:AT69"/>
  <sheetViews>
    <sheetView topLeftCell="AC34" zoomScale="85" zoomScaleNormal="85" workbookViewId="0">
      <selection activeCell="AK42" sqref="AK42"/>
    </sheetView>
  </sheetViews>
  <sheetFormatPr defaultColWidth="8.84375" defaultRowHeight="18.45" outlineLevelRow="1"/>
  <cols>
    <col min="1" max="1" width="8.84375" style="57"/>
    <col min="2" max="2" width="19.3046875" style="43" bestFit="1" customWidth="1"/>
    <col min="3" max="3" width="16.765625" style="24" customWidth="1"/>
    <col min="4" max="5" width="19.07421875" style="43" bestFit="1" customWidth="1"/>
    <col min="6" max="7" width="19.07421875" style="43" customWidth="1"/>
    <col min="8" max="9" width="19.07421875" style="43" bestFit="1" customWidth="1"/>
    <col min="10" max="11" width="16.765625" style="43" bestFit="1" customWidth="1"/>
    <col min="12" max="12" width="8.84375" style="24"/>
    <col min="13" max="13" width="19.07421875" style="24" bestFit="1" customWidth="1"/>
    <col min="14" max="14" width="19.07421875" style="24" customWidth="1"/>
    <col min="15" max="15" width="19.07421875" style="43" customWidth="1"/>
    <col min="16" max="16" width="19.07421875" style="24" bestFit="1" customWidth="1"/>
    <col min="17" max="17" width="14.4609375" style="43" bestFit="1" customWidth="1"/>
    <col min="18" max="18" width="16.765625" style="43" bestFit="1" customWidth="1"/>
    <col min="19" max="19" width="24.07421875" style="43" customWidth="1"/>
    <col min="20" max="20" width="14.07421875" style="43" bestFit="1" customWidth="1"/>
    <col min="21" max="21" width="12.3046875" style="43" bestFit="1" customWidth="1"/>
    <col min="22" max="23" width="16.4609375" style="44" bestFit="1" customWidth="1"/>
    <col min="24" max="24" width="8.84375" style="24"/>
    <col min="25" max="25" width="14.07421875" style="43" customWidth="1"/>
    <col min="26" max="26" width="11.84375" style="43" customWidth="1"/>
    <col min="27" max="27" width="16.4609375" style="44" bestFit="1" customWidth="1"/>
    <col min="28" max="28" width="16.4609375" style="44" customWidth="1"/>
    <col min="29" max="29" width="8.84375" style="24"/>
    <col min="30" max="30" width="8.84375" style="57"/>
    <col min="31" max="31" width="9.69140625" style="45" bestFit="1" customWidth="1"/>
    <col min="32" max="32" width="5.765625" style="45" bestFit="1" customWidth="1"/>
    <col min="33" max="33" width="11.765625" style="44" bestFit="1" customWidth="1"/>
    <col min="34" max="34" width="13.765625" style="24" bestFit="1" customWidth="1"/>
    <col min="35" max="35" width="8.84375" style="57"/>
    <col min="36" max="36" width="16.4609375" style="24" bestFit="1" customWidth="1"/>
    <col min="37" max="37" width="18.765625" style="24" bestFit="1" customWidth="1"/>
    <col min="38" max="38" width="14.07421875" style="24" bestFit="1" customWidth="1"/>
    <col min="39" max="39" width="11.84375" style="24" bestFit="1" customWidth="1"/>
    <col min="40" max="40" width="8.84375" style="24"/>
    <col min="41" max="41" width="20.4609375" style="24" bestFit="1" customWidth="1"/>
    <col min="42" max="43" width="19" style="24" bestFit="1" customWidth="1"/>
    <col min="44" max="46" width="22.4609375" style="24" customWidth="1"/>
    <col min="47" max="16384" width="8.84375" style="24"/>
  </cols>
  <sheetData>
    <row r="1" spans="1:46" s="59" customFormat="1">
      <c r="A1" s="58"/>
      <c r="B1" s="56" t="s">
        <v>0</v>
      </c>
      <c r="D1" s="407" t="s">
        <v>1</v>
      </c>
      <c r="E1" s="407"/>
      <c r="F1" s="407"/>
      <c r="G1" s="407"/>
      <c r="H1" s="407"/>
      <c r="I1" s="407"/>
      <c r="J1" s="407"/>
      <c r="K1" s="407"/>
      <c r="M1" s="407" t="s">
        <v>3</v>
      </c>
      <c r="N1" s="407"/>
      <c r="O1" s="407"/>
      <c r="P1" s="407"/>
      <c r="Q1" s="407"/>
      <c r="R1" s="407"/>
      <c r="S1" s="60"/>
      <c r="T1" s="407" t="s">
        <v>372</v>
      </c>
      <c r="U1" s="407"/>
      <c r="V1" s="407"/>
      <c r="W1" s="407"/>
      <c r="Y1" s="407" t="s">
        <v>4</v>
      </c>
      <c r="Z1" s="407"/>
      <c r="AA1" s="407"/>
      <c r="AB1" s="407"/>
      <c r="AD1" s="58"/>
      <c r="AE1" s="407" t="s">
        <v>5</v>
      </c>
      <c r="AF1" s="407"/>
      <c r="AG1" s="407"/>
      <c r="AI1" s="58"/>
      <c r="AJ1" s="407" t="s">
        <v>6</v>
      </c>
      <c r="AK1" s="407"/>
      <c r="AL1" s="407"/>
      <c r="AM1" s="407"/>
    </row>
    <row r="2" spans="1:46" ht="55.3">
      <c r="A2" s="57" t="s">
        <v>7</v>
      </c>
      <c r="B2" s="49" t="s">
        <v>8</v>
      </c>
      <c r="D2" s="49" t="s">
        <v>9</v>
      </c>
      <c r="E2" s="49" t="s">
        <v>10</v>
      </c>
      <c r="F2" s="43" t="s">
        <v>11</v>
      </c>
      <c r="G2" s="49" t="s">
        <v>12</v>
      </c>
      <c r="H2" s="49" t="s">
        <v>13</v>
      </c>
      <c r="I2" s="49" t="s">
        <v>16</v>
      </c>
      <c r="J2" s="43" t="s">
        <v>19</v>
      </c>
      <c r="K2" s="49" t="s">
        <v>20</v>
      </c>
      <c r="M2" s="50" t="s">
        <v>28</v>
      </c>
      <c r="N2" s="32" t="s">
        <v>29</v>
      </c>
      <c r="O2" s="30" t="s">
        <v>30</v>
      </c>
      <c r="P2" s="50" t="s">
        <v>31</v>
      </c>
      <c r="Q2" s="30" t="s">
        <v>33</v>
      </c>
      <c r="R2" s="30" t="s">
        <v>34</v>
      </c>
      <c r="S2" s="49"/>
      <c r="T2" s="49" t="s">
        <v>373</v>
      </c>
      <c r="U2" s="49" t="s">
        <v>374</v>
      </c>
      <c r="V2" s="53" t="s">
        <v>375</v>
      </c>
      <c r="W2" s="53" t="s">
        <v>376</v>
      </c>
      <c r="Y2" s="30" t="s">
        <v>35</v>
      </c>
      <c r="Z2" s="30" t="s">
        <v>36</v>
      </c>
      <c r="AA2" s="35" t="s">
        <v>37</v>
      </c>
      <c r="AB2" s="35" t="s">
        <v>38</v>
      </c>
      <c r="AD2" s="57" t="s">
        <v>7</v>
      </c>
      <c r="AE2" s="39" t="s">
        <v>39</v>
      </c>
      <c r="AF2" s="54" t="s">
        <v>40</v>
      </c>
      <c r="AG2" s="53" t="s">
        <v>41</v>
      </c>
      <c r="AI2" s="57" t="s">
        <v>7</v>
      </c>
      <c r="AJ2" s="32" t="s">
        <v>42</v>
      </c>
      <c r="AK2" s="32" t="s">
        <v>43</v>
      </c>
      <c r="AL2" s="32" t="s">
        <v>44</v>
      </c>
      <c r="AM2" s="32" t="s">
        <v>45</v>
      </c>
      <c r="AO2" s="32"/>
      <c r="AP2" s="32"/>
      <c r="AQ2" s="32"/>
      <c r="AR2" s="32"/>
      <c r="AS2" s="32"/>
      <c r="AT2" s="32"/>
    </row>
    <row r="3" spans="1:46" outlineLevel="1">
      <c r="A3" s="57" t="s">
        <v>49</v>
      </c>
      <c r="B3" s="49">
        <v>672729.84744445409</v>
      </c>
      <c r="D3" s="49"/>
      <c r="E3" s="49"/>
      <c r="F3" s="44"/>
      <c r="H3" s="49"/>
      <c r="I3" s="49"/>
      <c r="J3" s="44"/>
      <c r="M3" s="49">
        <v>2280.8823999999995</v>
      </c>
      <c r="N3" s="30">
        <v>548.02883189833722</v>
      </c>
      <c r="O3" s="43">
        <f t="shared" ref="O3:O43" si="0">M3*N3</f>
        <v>1249989.3173694757</v>
      </c>
      <c r="P3" s="49">
        <v>2278.0755795411901</v>
      </c>
      <c r="Q3" s="30">
        <v>518.43212547841347</v>
      </c>
      <c r="R3" s="43">
        <f>P3*Q3</f>
        <v>1181027.5647020077</v>
      </c>
      <c r="S3" s="41"/>
      <c r="T3" s="49">
        <v>54556.9</v>
      </c>
      <c r="U3" s="49">
        <v>32329.1</v>
      </c>
      <c r="V3" s="53">
        <f>U3/T3</f>
        <v>0.59257582450615776</v>
      </c>
      <c r="W3" s="35">
        <v>0.58379598020265899</v>
      </c>
      <c r="Y3" s="30">
        <v>19489.3</v>
      </c>
      <c r="Z3" s="30">
        <v>13415.4</v>
      </c>
      <c r="AA3" s="44">
        <f t="shared" ref="AA3:AA16" si="1">1-Z3/Y3</f>
        <v>0.31165306091034572</v>
      </c>
      <c r="AB3" s="35">
        <v>0.308037193656299</v>
      </c>
      <c r="AD3" s="57" t="s">
        <v>49</v>
      </c>
      <c r="AF3" s="54"/>
      <c r="AG3" s="53"/>
      <c r="AI3" s="57" t="s">
        <v>49</v>
      </c>
      <c r="AJ3" s="42"/>
      <c r="AK3" s="43"/>
      <c r="AL3" s="44"/>
      <c r="AM3" s="44"/>
      <c r="AO3" s="32"/>
      <c r="AP3" s="32"/>
      <c r="AQ3" s="32"/>
      <c r="AR3" s="32"/>
      <c r="AS3" s="32"/>
      <c r="AT3" s="32"/>
    </row>
    <row r="4" spans="1:46">
      <c r="A4" s="57" t="s">
        <v>50</v>
      </c>
      <c r="B4" s="49">
        <v>651330.72414749418</v>
      </c>
      <c r="D4" s="49">
        <v>11608.412051853184</v>
      </c>
      <c r="E4" s="49">
        <v>532.10204873840848</v>
      </c>
      <c r="F4" s="44">
        <v>0.80789743103963818</v>
      </c>
      <c r="G4" s="43">
        <f t="shared" ref="G4:G43" si="2">D4*F4+E4</f>
        <v>9910.5083238801708</v>
      </c>
      <c r="H4" s="49">
        <v>11241.132312989799</v>
      </c>
      <c r="I4" s="49">
        <v>472.81342905605402</v>
      </c>
      <c r="J4" s="44">
        <v>0.82784500000000005</v>
      </c>
      <c r="K4" s="43">
        <f t="shared" ref="K4:K16" si="3">H4*J4+I4</f>
        <v>9778.7286087030952</v>
      </c>
      <c r="M4" s="49">
        <v>2292.1447333333331</v>
      </c>
      <c r="N4" s="30">
        <v>543.47471465378021</v>
      </c>
      <c r="O4" s="43">
        <f t="shared" si="0"/>
        <v>1245722.7048934982</v>
      </c>
      <c r="P4" s="49">
        <v>2274.9449153820601</v>
      </c>
      <c r="Q4" s="30">
        <v>524.38561843499588</v>
      </c>
      <c r="R4" s="43">
        <f t="shared" ref="R4:R43" si="4">P4*Q4</f>
        <v>1192948.396358171</v>
      </c>
      <c r="S4" s="41"/>
      <c r="T4" s="49">
        <v>55837.4</v>
      </c>
      <c r="U4" s="49">
        <v>31637.8</v>
      </c>
      <c r="V4" s="53">
        <f t="shared" ref="V4:V43" si="5">U4/T4</f>
        <v>0.56660589497361979</v>
      </c>
      <c r="W4" s="35">
        <v>0.57770710002931402</v>
      </c>
      <c r="Y4" s="30">
        <v>21185.1</v>
      </c>
      <c r="Z4" s="30">
        <v>14162.7</v>
      </c>
      <c r="AA4" s="44">
        <f t="shared" si="1"/>
        <v>0.33147825594403602</v>
      </c>
      <c r="AB4" s="35">
        <v>0.311199733868668</v>
      </c>
      <c r="AD4" s="57" t="s">
        <v>50</v>
      </c>
      <c r="AE4" s="45">
        <f>EXP(LOG(B4,EXP(1))-V4*LOG(B4*V4,EXP(1))-(1-V4)*AA4*LOG(G4,EXP(1))-(1-V4)*(1-AA4)*LOG(O4,EXP(1)))</f>
        <v>2.0860784264461483</v>
      </c>
      <c r="AF4" s="54">
        <v>1.9499702997221899</v>
      </c>
      <c r="AG4" s="53"/>
      <c r="AI4" s="57" t="s">
        <v>50</v>
      </c>
      <c r="AJ4" s="42">
        <f t="shared" ref="AJ4:AJ43" si="6">B4</f>
        <v>651330.72414749418</v>
      </c>
      <c r="AK4" s="43">
        <f>AF4*((B4*W4)^W4)*(K4^(AB4*(1-W4)))*(R4^((1-AB4)*(1-W4)))</f>
        <v>635290.13116446184</v>
      </c>
      <c r="AL4" s="44">
        <f t="shared" ref="AL4:AL43" si="7">(AJ4-AK4)/AK4</f>
        <v>2.5249239986823921E-2</v>
      </c>
      <c r="AM4" s="44"/>
      <c r="AN4" s="40"/>
      <c r="AO4" s="32"/>
      <c r="AP4" s="32"/>
      <c r="AQ4" s="32"/>
      <c r="AR4" s="32"/>
      <c r="AS4" s="32"/>
      <c r="AT4" s="32"/>
    </row>
    <row r="5" spans="1:46">
      <c r="A5" s="57" t="s">
        <v>51</v>
      </c>
      <c r="B5" s="49">
        <v>635334.08977780421</v>
      </c>
      <c r="D5" s="49">
        <v>12409.547405379732</v>
      </c>
      <c r="E5" s="49">
        <v>546.73336208755643</v>
      </c>
      <c r="F5" s="44">
        <v>0.79672072435186447</v>
      </c>
      <c r="G5" s="43">
        <f t="shared" si="2"/>
        <v>10433.676959780496</v>
      </c>
      <c r="H5" s="49">
        <v>11892.6473065052</v>
      </c>
      <c r="I5" s="49">
        <v>523.38944473409902</v>
      </c>
      <c r="J5" s="44">
        <v>0.82784500000000005</v>
      </c>
      <c r="K5" s="43">
        <f t="shared" si="3"/>
        <v>10368.658054187898</v>
      </c>
      <c r="M5" s="49">
        <v>2275.8576666666668</v>
      </c>
      <c r="N5" s="30">
        <v>541.05959882112359</v>
      </c>
      <c r="O5" s="43">
        <f t="shared" si="0"/>
        <v>1231374.6361006452</v>
      </c>
      <c r="P5" s="49">
        <v>2271.8301885385499</v>
      </c>
      <c r="Q5" s="30">
        <v>529.53917409834207</v>
      </c>
      <c r="R5" s="43">
        <f t="shared" si="4"/>
        <v>1203023.0817303844</v>
      </c>
      <c r="S5" s="41"/>
      <c r="T5" s="49">
        <v>55654.1</v>
      </c>
      <c r="U5" s="49">
        <v>31405.1</v>
      </c>
      <c r="V5" s="53">
        <f t="shared" si="5"/>
        <v>0.56429086087098701</v>
      </c>
      <c r="W5" s="35">
        <v>0.57170601829900303</v>
      </c>
      <c r="Y5" s="30">
        <v>21667.1</v>
      </c>
      <c r="Z5" s="30">
        <v>14821</v>
      </c>
      <c r="AA5" s="44">
        <f t="shared" si="1"/>
        <v>0.31596752680331008</v>
      </c>
      <c r="AB5" s="35">
        <v>0.31439843275357399</v>
      </c>
      <c r="AD5" s="57" t="s">
        <v>51</v>
      </c>
      <c r="AE5" s="45">
        <f t="shared" ref="AE5:AE43" si="8">EXP(LOG(B5,EXP(1))-V5*LOG(B5*V5,EXP(1))-(1-V5)*AA5*LOG(G5,EXP(1))-(1-V5)*(1-AA5)*LOG(O5,EXP(1)))</f>
        <v>1.9964231499114091</v>
      </c>
      <c r="AF5" s="54">
        <v>2.0077673185696998</v>
      </c>
      <c r="AG5" s="53">
        <f t="shared" ref="AG5:AG43" si="9">AF5/AF4-1</f>
        <v>2.9639948288311846E-2</v>
      </c>
      <c r="AI5" s="57" t="s">
        <v>51</v>
      </c>
      <c r="AJ5" s="42">
        <f t="shared" si="6"/>
        <v>635334.08977780421</v>
      </c>
      <c r="AK5" s="43">
        <f t="shared" ref="AK5:AK40" si="10">AF5*((B5*W5)^W5)*(K5^(AB5*(1-W5)))*(R5^((1-AB5)*(1-W5)))</f>
        <v>642157.42834934336</v>
      </c>
      <c r="AL5" s="44">
        <f t="shared" si="7"/>
        <v>-1.0625647653221803E-2</v>
      </c>
      <c r="AM5" s="44">
        <f t="shared" ref="AM5:AM43" si="11">AK5/AK4-1</f>
        <v>1.0809702288770096E-2</v>
      </c>
      <c r="AN5" s="40"/>
      <c r="AO5" s="32"/>
      <c r="AP5" s="32"/>
      <c r="AQ5" s="32"/>
      <c r="AR5" s="32"/>
      <c r="AS5" s="32"/>
      <c r="AT5" s="32"/>
    </row>
    <row r="6" spans="1:46">
      <c r="A6" s="57" t="s">
        <v>52</v>
      </c>
      <c r="B6" s="49">
        <v>624447.63493421394</v>
      </c>
      <c r="D6" s="49">
        <v>13070.107346447743</v>
      </c>
      <c r="E6" s="49">
        <v>569.42682769031705</v>
      </c>
      <c r="F6" s="44">
        <v>0.79459224052434818</v>
      </c>
      <c r="G6" s="43">
        <f t="shared" si="2"/>
        <v>10954.832707997972</v>
      </c>
      <c r="H6" s="49">
        <v>12547.835097409101</v>
      </c>
      <c r="I6" s="49">
        <v>574.55834660896699</v>
      </c>
      <c r="J6" s="44">
        <v>0.82784500000000005</v>
      </c>
      <c r="K6" s="43">
        <f t="shared" si="3"/>
        <v>10962.220892823605</v>
      </c>
      <c r="M6" s="49">
        <v>2252.8132000000005</v>
      </c>
      <c r="N6" s="30">
        <v>540.40654355710569</v>
      </c>
      <c r="O6" s="43">
        <f t="shared" si="0"/>
        <v>1217434.9946918229</v>
      </c>
      <c r="P6" s="49">
        <v>2268.2678566087998</v>
      </c>
      <c r="Q6" s="30">
        <v>534.29373986375072</v>
      </c>
      <c r="R6" s="43">
        <f t="shared" si="4"/>
        <v>1211921.3161202495</v>
      </c>
      <c r="S6" s="41"/>
      <c r="T6" s="49">
        <v>53364.7</v>
      </c>
      <c r="U6" s="49">
        <v>30909.3</v>
      </c>
      <c r="V6" s="53">
        <f t="shared" si="5"/>
        <v>0.57920872786692323</v>
      </c>
      <c r="W6" s="35">
        <v>0.565769521404207</v>
      </c>
      <c r="Y6" s="30">
        <v>20032</v>
      </c>
      <c r="Z6" s="30">
        <v>15047.4</v>
      </c>
      <c r="AA6" s="44">
        <f t="shared" si="1"/>
        <v>0.24883186900958465</v>
      </c>
      <c r="AB6" s="35">
        <v>0.31787223420430799</v>
      </c>
      <c r="AD6" s="57" t="s">
        <v>52</v>
      </c>
      <c r="AE6" s="45">
        <f t="shared" si="8"/>
        <v>1.6965706565251752</v>
      </c>
      <c r="AF6" s="54">
        <v>2.06692541868399</v>
      </c>
      <c r="AG6" s="53">
        <f t="shared" si="9"/>
        <v>2.9464619513994927E-2</v>
      </c>
      <c r="AI6" s="57" t="s">
        <v>52</v>
      </c>
      <c r="AJ6" s="42">
        <f t="shared" si="6"/>
        <v>624447.63493421394</v>
      </c>
      <c r="AK6" s="43">
        <f t="shared" si="10"/>
        <v>651398.01385152095</v>
      </c>
      <c r="AL6" s="44">
        <f t="shared" si="7"/>
        <v>-4.1373136460698595E-2</v>
      </c>
      <c r="AM6" s="44">
        <f t="shared" si="11"/>
        <v>1.4389906733509816E-2</v>
      </c>
      <c r="AN6" s="40"/>
      <c r="AO6" s="32"/>
      <c r="AP6" s="32"/>
      <c r="AQ6" s="32"/>
      <c r="AR6" s="32"/>
      <c r="AS6" s="32"/>
      <c r="AT6" s="32"/>
    </row>
    <row r="7" spans="1:46">
      <c r="A7" s="57" t="s">
        <v>53</v>
      </c>
      <c r="B7" s="49">
        <v>647211.48335997341</v>
      </c>
      <c r="D7" s="49">
        <v>13503.496595282833</v>
      </c>
      <c r="E7" s="49">
        <v>614.21656243260713</v>
      </c>
      <c r="F7" s="44">
        <v>0.80249055041149842</v>
      </c>
      <c r="G7" s="43">
        <f t="shared" si="2"/>
        <v>11450.644977660922</v>
      </c>
      <c r="H7" s="49">
        <v>13215.537484079199</v>
      </c>
      <c r="I7" s="49">
        <v>627.14646005101895</v>
      </c>
      <c r="J7" s="44">
        <v>0.82784500000000005</v>
      </c>
      <c r="K7" s="43">
        <f t="shared" si="3"/>
        <v>11567.563088558565</v>
      </c>
      <c r="M7" s="49">
        <v>2271.1794666666669</v>
      </c>
      <c r="N7" s="30">
        <v>526.85398165299546</v>
      </c>
      <c r="O7" s="43">
        <f t="shared" si="0"/>
        <v>1196579.9450618601</v>
      </c>
      <c r="P7" s="49">
        <v>2263.8346519721999</v>
      </c>
      <c r="Q7" s="30">
        <v>539.14589247768799</v>
      </c>
      <c r="R7" s="43">
        <f t="shared" si="4"/>
        <v>1220537.1538594679</v>
      </c>
      <c r="S7" s="41"/>
      <c r="T7" s="49">
        <v>53481.9</v>
      </c>
      <c r="U7" s="49">
        <v>30731.599999999999</v>
      </c>
      <c r="V7" s="53">
        <f t="shared" si="5"/>
        <v>0.57461683298461719</v>
      </c>
      <c r="W7" s="35">
        <v>0.55980024416312801</v>
      </c>
      <c r="Y7" s="30">
        <v>20268.900000000001</v>
      </c>
      <c r="Z7" s="30">
        <v>15008.1</v>
      </c>
      <c r="AA7" s="44">
        <f t="shared" si="1"/>
        <v>0.25955034560336288</v>
      </c>
      <c r="AB7" s="35">
        <v>0.32187577305465498</v>
      </c>
      <c r="AD7" s="57" t="s">
        <v>53</v>
      </c>
      <c r="AE7" s="45">
        <f t="shared" si="8"/>
        <v>1.7687204347434899</v>
      </c>
      <c r="AF7" s="54">
        <v>2.12869223964515</v>
      </c>
      <c r="AG7" s="53">
        <f t="shared" si="9"/>
        <v>2.9883429950020579E-2</v>
      </c>
      <c r="AI7" s="57" t="s">
        <v>53</v>
      </c>
      <c r="AJ7" s="42">
        <f t="shared" si="6"/>
        <v>647211.48335997341</v>
      </c>
      <c r="AK7" s="43">
        <f t="shared" si="10"/>
        <v>680304.20576031518</v>
      </c>
      <c r="AL7" s="44">
        <f t="shared" si="7"/>
        <v>-4.8644006784225285E-2</v>
      </c>
      <c r="AM7" s="44">
        <f t="shared" si="11"/>
        <v>4.4375621807442478E-2</v>
      </c>
      <c r="AN7" s="40"/>
      <c r="AO7" s="32"/>
      <c r="AP7" s="32"/>
      <c r="AQ7" s="32"/>
      <c r="AR7" s="32"/>
      <c r="AS7" s="32"/>
      <c r="AT7" s="32"/>
    </row>
    <row r="8" spans="1:46">
      <c r="A8" s="57" t="s">
        <v>54</v>
      </c>
      <c r="B8" s="49">
        <v>680353.27379812137</v>
      </c>
      <c r="D8" s="49">
        <v>13958.457254693421</v>
      </c>
      <c r="E8" s="49">
        <v>667.66564589174027</v>
      </c>
      <c r="F8" s="44">
        <v>0.80482308224348664</v>
      </c>
      <c r="G8" s="43">
        <f t="shared" si="2"/>
        <v>11901.754236978057</v>
      </c>
      <c r="H8" s="49">
        <v>13909.8189873831</v>
      </c>
      <c r="I8" s="49">
        <v>681.92879524142597</v>
      </c>
      <c r="J8" s="44">
        <v>0.82784500000000005</v>
      </c>
      <c r="K8" s="43">
        <f t="shared" si="3"/>
        <v>12197.102894851589</v>
      </c>
      <c r="M8" s="49">
        <v>2252.2934000000005</v>
      </c>
      <c r="N8" s="30">
        <v>529.99930416760583</v>
      </c>
      <c r="O8" s="43">
        <f t="shared" si="0"/>
        <v>1193713.9347812913</v>
      </c>
      <c r="P8" s="49">
        <v>2257.95276044208</v>
      </c>
      <c r="Q8" s="30">
        <v>544.6544879631216</v>
      </c>
      <c r="R8" s="43">
        <f t="shared" si="4"/>
        <v>1229804.1045834981</v>
      </c>
      <c r="S8" s="41"/>
      <c r="T8" s="49">
        <v>56902.400000000001</v>
      </c>
      <c r="U8" s="49">
        <v>31894.3</v>
      </c>
      <c r="V8" s="53">
        <f t="shared" si="5"/>
        <v>0.56050887133055893</v>
      </c>
      <c r="W8" s="35">
        <v>0.55383521345859399</v>
      </c>
      <c r="Y8" s="30">
        <v>22246.799999999999</v>
      </c>
      <c r="Z8" s="30">
        <v>15525.7</v>
      </c>
      <c r="AA8" s="44">
        <f t="shared" si="1"/>
        <v>0.30211536041138498</v>
      </c>
      <c r="AB8" s="35">
        <v>0.32597328048645802</v>
      </c>
      <c r="AD8" s="57" t="s">
        <v>54</v>
      </c>
      <c r="AE8" s="45">
        <f t="shared" si="8"/>
        <v>1.9922245016769267</v>
      </c>
      <c r="AF8" s="54">
        <v>2.1906118734114099</v>
      </c>
      <c r="AG8" s="53">
        <f t="shared" si="9"/>
        <v>2.9088109879416901E-2</v>
      </c>
      <c r="AI8" s="57" t="s">
        <v>54</v>
      </c>
      <c r="AJ8" s="42">
        <f t="shared" si="6"/>
        <v>680353.27379812137</v>
      </c>
      <c r="AK8" s="43">
        <f t="shared" si="10"/>
        <v>715300.44940283289</v>
      </c>
      <c r="AL8" s="44">
        <f t="shared" si="7"/>
        <v>-4.8856638680832787E-2</v>
      </c>
      <c r="AM8" s="44">
        <f t="shared" si="11"/>
        <v>5.1442050991593602E-2</v>
      </c>
      <c r="AN8" s="40"/>
      <c r="AO8" s="32"/>
      <c r="AP8" s="32"/>
      <c r="AQ8" s="32"/>
      <c r="AR8" s="32"/>
      <c r="AS8" s="32"/>
      <c r="AT8" s="32"/>
    </row>
    <row r="9" spans="1:46">
      <c r="A9" s="57" t="s">
        <v>55</v>
      </c>
      <c r="B9" s="49">
        <v>763024.5789952171</v>
      </c>
      <c r="D9" s="49">
        <v>13975.177678201706</v>
      </c>
      <c r="E9" s="49">
        <v>708.97173459851911</v>
      </c>
      <c r="F9" s="44">
        <v>0.81042158384827134</v>
      </c>
      <c r="G9" s="43">
        <f t="shared" si="2"/>
        <v>12034.757363127754</v>
      </c>
      <c r="H9" s="49">
        <v>14647.6237193006</v>
      </c>
      <c r="I9" s="49">
        <v>739.55106338517601</v>
      </c>
      <c r="J9" s="44">
        <v>0.82784500000000005</v>
      </c>
      <c r="K9" s="43">
        <f t="shared" si="3"/>
        <v>12865.513121289581</v>
      </c>
      <c r="M9" s="49">
        <v>2260.9567333333334</v>
      </c>
      <c r="N9" s="30">
        <v>534.20519891082301</v>
      </c>
      <c r="O9" s="43">
        <f t="shared" si="0"/>
        <v>1207814.841459098</v>
      </c>
      <c r="P9" s="49">
        <v>2250.11781597867</v>
      </c>
      <c r="Q9" s="30">
        <v>551.26012146449921</v>
      </c>
      <c r="R9" s="43">
        <f t="shared" si="4"/>
        <v>1240400.2205458353</v>
      </c>
      <c r="S9" s="41"/>
      <c r="T9" s="49">
        <v>59899.199999999997</v>
      </c>
      <c r="U9" s="49">
        <v>33101.300000000003</v>
      </c>
      <c r="V9" s="53">
        <f t="shared" si="5"/>
        <v>0.55261672943879059</v>
      </c>
      <c r="W9" s="35">
        <v>0.54805962206165404</v>
      </c>
      <c r="Y9" s="30">
        <v>23689.9</v>
      </c>
      <c r="Z9" s="30">
        <v>16160.4</v>
      </c>
      <c r="AA9" s="44">
        <f>1-Z9/Y9</f>
        <v>0.31783587098299282</v>
      </c>
      <c r="AB9" s="35">
        <v>0.32910573340704202</v>
      </c>
      <c r="AD9" s="57" t="s">
        <v>55</v>
      </c>
      <c r="AE9" s="45">
        <f t="shared" si="8"/>
        <v>2.176286457836742</v>
      </c>
      <c r="AF9" s="54">
        <v>2.24662869389158</v>
      </c>
      <c r="AG9" s="53">
        <f t="shared" si="9"/>
        <v>2.5571312362575593E-2</v>
      </c>
      <c r="AI9" s="57" t="s">
        <v>55</v>
      </c>
      <c r="AJ9" s="42">
        <f t="shared" si="6"/>
        <v>763024.5789952171</v>
      </c>
      <c r="AK9" s="43">
        <f t="shared" si="10"/>
        <v>778375.66615346796</v>
      </c>
      <c r="AL9" s="44">
        <f t="shared" si="7"/>
        <v>-1.9721951527739777E-2</v>
      </c>
      <c r="AM9" s="44">
        <f t="shared" si="11"/>
        <v>8.8180032325288371E-2</v>
      </c>
      <c r="AN9" s="40"/>
      <c r="AO9" s="32"/>
      <c r="AP9" s="32"/>
      <c r="AQ9" s="32"/>
      <c r="AR9" s="32"/>
      <c r="AS9" s="32"/>
      <c r="AT9" s="32"/>
    </row>
    <row r="10" spans="1:46">
      <c r="A10" s="57" t="s">
        <v>56</v>
      </c>
      <c r="B10" s="49">
        <v>814660.82511505764</v>
      </c>
      <c r="D10" s="49">
        <v>14277.487063731111</v>
      </c>
      <c r="E10" s="49">
        <v>761.12689238731934</v>
      </c>
      <c r="F10" s="44">
        <v>0.81735128419209435</v>
      </c>
      <c r="G10" s="43">
        <f t="shared" si="2"/>
        <v>12430.849278963957</v>
      </c>
      <c r="H10" s="49">
        <v>15446.382174484699</v>
      </c>
      <c r="I10" s="49">
        <v>800.51634419376103</v>
      </c>
      <c r="J10" s="44">
        <v>0.82784500000000005</v>
      </c>
      <c r="K10" s="43">
        <f t="shared" si="3"/>
        <v>13587.726595430047</v>
      </c>
      <c r="M10" s="49">
        <v>2270.3131333333331</v>
      </c>
      <c r="N10" s="30">
        <v>532.96989243874862</v>
      </c>
      <c r="O10" s="43">
        <f t="shared" si="0"/>
        <v>1210008.5464749448</v>
      </c>
      <c r="P10" s="49">
        <v>2239.7688589378299</v>
      </c>
      <c r="Q10" s="30">
        <v>559.24937200726674</v>
      </c>
      <c r="R10" s="43">
        <f t="shared" si="4"/>
        <v>1252589.3278024138</v>
      </c>
      <c r="S10" s="41"/>
      <c r="T10" s="49">
        <v>64593</v>
      </c>
      <c r="U10" s="49">
        <v>34883.599999999999</v>
      </c>
      <c r="V10" s="53">
        <f t="shared" si="5"/>
        <v>0.54005232765160305</v>
      </c>
      <c r="W10" s="35">
        <v>0.54272539932207897</v>
      </c>
      <c r="Y10" s="30">
        <v>26129.200000000001</v>
      </c>
      <c r="Z10" s="30">
        <v>16769.099999999999</v>
      </c>
      <c r="AA10" s="44">
        <f t="shared" si="1"/>
        <v>0.3582237496746935</v>
      </c>
      <c r="AB10" s="35">
        <v>0.32997552952297798</v>
      </c>
      <c r="AD10" s="57" t="s">
        <v>56</v>
      </c>
      <c r="AE10" s="45">
        <f t="shared" si="8"/>
        <v>2.4721389667101983</v>
      </c>
      <c r="AF10" s="54">
        <v>2.2887032012773201</v>
      </c>
      <c r="AG10" s="53">
        <f t="shared" si="9"/>
        <v>1.872784207739242E-2</v>
      </c>
      <c r="AI10" s="57" t="s">
        <v>56</v>
      </c>
      <c r="AJ10" s="42">
        <f t="shared" si="6"/>
        <v>814660.82511505764</v>
      </c>
      <c r="AK10" s="43">
        <f t="shared" si="10"/>
        <v>823195.47098840529</v>
      </c>
      <c r="AL10" s="44">
        <f t="shared" si="7"/>
        <v>-1.0367702658883867E-2</v>
      </c>
      <c r="AM10" s="44">
        <f t="shared" si="11"/>
        <v>5.7581199906242331E-2</v>
      </c>
      <c r="AN10" s="40"/>
      <c r="AO10" s="32"/>
      <c r="AP10" s="32"/>
      <c r="AQ10" s="32"/>
      <c r="AR10" s="32"/>
      <c r="AS10" s="32"/>
      <c r="AT10" s="32"/>
    </row>
    <row r="11" spans="1:46">
      <c r="A11" s="57" t="s">
        <v>57</v>
      </c>
      <c r="B11" s="49">
        <v>869898.3104078183</v>
      </c>
      <c r="D11" s="49">
        <v>14792.827030254954</v>
      </c>
      <c r="E11" s="49">
        <v>812.28672273740221</v>
      </c>
      <c r="F11" s="44">
        <v>0.83243356941567237</v>
      </c>
      <c r="G11" s="43">
        <f t="shared" si="2"/>
        <v>13126.332529281173</v>
      </c>
      <c r="H11" s="49">
        <v>16316.8003871773</v>
      </c>
      <c r="I11" s="49">
        <v>865.02192409080499</v>
      </c>
      <c r="J11" s="44">
        <v>0.82784500000000005</v>
      </c>
      <c r="K11" s="43">
        <f t="shared" si="3"/>
        <v>14372.803540613597</v>
      </c>
      <c r="M11" s="49">
        <v>2288.6794</v>
      </c>
      <c r="N11" s="30">
        <v>560.30058003257557</v>
      </c>
      <c r="O11" s="43">
        <f t="shared" si="0"/>
        <v>1282348.3953286069</v>
      </c>
      <c r="P11" s="49">
        <v>2226.4533188489399</v>
      </c>
      <c r="Q11" s="30">
        <v>568.72478427240276</v>
      </c>
      <c r="R11" s="43">
        <f t="shared" si="4"/>
        <v>1266239.1834549385</v>
      </c>
      <c r="S11" s="41"/>
      <c r="T11" s="49">
        <v>72146.899999999994</v>
      </c>
      <c r="U11" s="49">
        <v>38148.9</v>
      </c>
      <c r="V11" s="53">
        <f t="shared" si="5"/>
        <v>0.52876700176999991</v>
      </c>
      <c r="W11" s="35">
        <v>0.53813004566341605</v>
      </c>
      <c r="Y11" s="30">
        <v>29945.7</v>
      </c>
      <c r="Z11" s="30">
        <v>18553.599999999999</v>
      </c>
      <c r="AA11" s="44">
        <f t="shared" si="1"/>
        <v>0.38042523634445014</v>
      </c>
      <c r="AB11" s="35">
        <v>0.32717236791659698</v>
      </c>
      <c r="AD11" s="57" t="s">
        <v>57</v>
      </c>
      <c r="AE11" s="45">
        <f t="shared" si="8"/>
        <v>2.6523373683872804</v>
      </c>
      <c r="AF11" s="54">
        <v>2.3080924733994101</v>
      </c>
      <c r="AG11" s="53">
        <f t="shared" si="9"/>
        <v>8.4717284929163306E-3</v>
      </c>
      <c r="AI11" s="57" t="s">
        <v>57</v>
      </c>
      <c r="AJ11" s="42">
        <f t="shared" si="6"/>
        <v>869898.3104078183</v>
      </c>
      <c r="AK11" s="43">
        <f t="shared" si="10"/>
        <v>869567.87721413048</v>
      </c>
      <c r="AL11" s="44">
        <f t="shared" si="7"/>
        <v>3.7999701040755706E-4</v>
      </c>
      <c r="AM11" s="44">
        <f t="shared" si="11"/>
        <v>5.6332193093878713E-2</v>
      </c>
      <c r="AN11" s="40"/>
      <c r="AO11" s="32"/>
      <c r="AP11" s="32"/>
      <c r="AQ11" s="32"/>
      <c r="AR11" s="32"/>
      <c r="AS11" s="32"/>
      <c r="AT11" s="32"/>
    </row>
    <row r="12" spans="1:46">
      <c r="A12" s="57" t="s">
        <v>58</v>
      </c>
      <c r="B12" s="49">
        <v>921875.92235572974</v>
      </c>
      <c r="D12" s="49">
        <v>15732.886396387368</v>
      </c>
      <c r="E12" s="49">
        <v>879.4713248508375</v>
      </c>
      <c r="F12" s="44">
        <v>0.83091084772924007</v>
      </c>
      <c r="G12" s="43">
        <f t="shared" si="2"/>
        <v>13952.097297700895</v>
      </c>
      <c r="H12" s="49">
        <v>17257.895440512799</v>
      </c>
      <c r="I12" s="49">
        <v>932.87119498186905</v>
      </c>
      <c r="J12" s="44">
        <v>0.82784500000000005</v>
      </c>
      <c r="K12" s="43">
        <f t="shared" si="3"/>
        <v>15219.733645933189</v>
      </c>
      <c r="M12" s="49">
        <v>2246.0558000000005</v>
      </c>
      <c r="N12" s="30">
        <v>578.32462500052077</v>
      </c>
      <c r="O12" s="43">
        <f t="shared" si="0"/>
        <v>1298949.3782652449</v>
      </c>
      <c r="P12" s="49">
        <v>2210.02406798533</v>
      </c>
      <c r="Q12" s="30">
        <v>579.50914622360051</v>
      </c>
      <c r="R12" s="43">
        <f t="shared" si="4"/>
        <v>1280729.1607717869</v>
      </c>
      <c r="S12" s="41"/>
      <c r="T12" s="49">
        <v>80927.7</v>
      </c>
      <c r="U12" s="49">
        <v>42331.8</v>
      </c>
      <c r="V12" s="53">
        <f t="shared" si="5"/>
        <v>0.52308171367776424</v>
      </c>
      <c r="W12" s="35">
        <v>0.53454433079250796</v>
      </c>
      <c r="Y12" s="30">
        <v>33251</v>
      </c>
      <c r="Z12" s="30">
        <v>20538.8</v>
      </c>
      <c r="AA12" s="44">
        <f t="shared" si="1"/>
        <v>0.38231030645694863</v>
      </c>
      <c r="AB12" s="35">
        <v>0.31956842987174799</v>
      </c>
      <c r="AD12" s="57" t="s">
        <v>58</v>
      </c>
      <c r="AE12" s="45">
        <f t="shared" si="8"/>
        <v>2.7238880476971912</v>
      </c>
      <c r="AF12" s="54">
        <v>2.2978879457428198</v>
      </c>
      <c r="AG12" s="53">
        <f t="shared" si="9"/>
        <v>-4.4211953265290704E-3</v>
      </c>
      <c r="AI12" s="57" t="s">
        <v>58</v>
      </c>
      <c r="AJ12" s="42">
        <f t="shared" si="6"/>
        <v>921875.92235572974</v>
      </c>
      <c r="AK12" s="43">
        <f t="shared" si="10"/>
        <v>913513.75571731897</v>
      </c>
      <c r="AL12" s="44">
        <f t="shared" si="7"/>
        <v>9.1538486268819639E-3</v>
      </c>
      <c r="AM12" s="44">
        <f t="shared" si="11"/>
        <v>5.0537605694428001E-2</v>
      </c>
      <c r="AN12" s="40"/>
      <c r="AO12" s="32"/>
      <c r="AP12" s="32"/>
      <c r="AQ12" s="32"/>
      <c r="AR12" s="32"/>
      <c r="AS12" s="32"/>
      <c r="AT12" s="32"/>
    </row>
    <row r="13" spans="1:46">
      <c r="A13" s="57" t="s">
        <v>59</v>
      </c>
      <c r="B13" s="49">
        <v>938020.51009871368</v>
      </c>
      <c r="D13" s="49">
        <v>16947.490988026173</v>
      </c>
      <c r="E13" s="49">
        <v>970.74285098123778</v>
      </c>
      <c r="F13" s="44">
        <v>0.83215700371960644</v>
      </c>
      <c r="G13" s="43">
        <f t="shared" si="2"/>
        <v>15073.716172142131</v>
      </c>
      <c r="H13" s="49">
        <v>18253.4446840565</v>
      </c>
      <c r="I13" s="49">
        <v>1003.34019675897</v>
      </c>
      <c r="J13" s="44">
        <v>0.82784500000000005</v>
      </c>
      <c r="K13" s="43">
        <f t="shared" si="3"/>
        <v>16114.363111231725</v>
      </c>
      <c r="M13" s="49">
        <v>2210.0163333333335</v>
      </c>
      <c r="N13" s="30">
        <v>588.53134995179312</v>
      </c>
      <c r="O13" s="43">
        <f t="shared" si="0"/>
        <v>1300663.8960721788</v>
      </c>
      <c r="P13" s="49">
        <v>2190.95623943186</v>
      </c>
      <c r="Q13" s="30">
        <v>591.2819073940293</v>
      </c>
      <c r="R13" s="43">
        <f t="shared" si="4"/>
        <v>1295472.7842681198</v>
      </c>
      <c r="S13" s="41"/>
      <c r="T13" s="49">
        <v>89381.5</v>
      </c>
      <c r="U13" s="49">
        <v>45942.9</v>
      </c>
      <c r="V13" s="53">
        <f t="shared" si="5"/>
        <v>0.51400905108999062</v>
      </c>
      <c r="W13" s="35">
        <v>0.53214539397726801</v>
      </c>
      <c r="Y13" s="30">
        <v>37213.5</v>
      </c>
      <c r="Z13" s="30">
        <v>22637.8</v>
      </c>
      <c r="AA13" s="44">
        <f t="shared" si="1"/>
        <v>0.39167775135367544</v>
      </c>
      <c r="AB13" s="35">
        <v>0.30656842535655898</v>
      </c>
      <c r="AD13" s="57" t="s">
        <v>59</v>
      </c>
      <c r="AE13" s="45">
        <f t="shared" si="8"/>
        <v>2.8059927178101338</v>
      </c>
      <c r="AF13" s="54">
        <v>2.2546235027425698</v>
      </c>
      <c r="AG13" s="53">
        <f t="shared" si="9"/>
        <v>-1.8827916774794784E-2</v>
      </c>
      <c r="AI13" s="57" t="s">
        <v>59</v>
      </c>
      <c r="AJ13" s="42">
        <f t="shared" si="6"/>
        <v>938020.51009871368</v>
      </c>
      <c r="AK13" s="43">
        <f t="shared" si="10"/>
        <v>937198.04960806097</v>
      </c>
      <c r="AL13" s="44">
        <f t="shared" si="7"/>
        <v>8.7757383937862941E-4</v>
      </c>
      <c r="AM13" s="44">
        <f t="shared" si="11"/>
        <v>2.5926587030038029E-2</v>
      </c>
      <c r="AO13" s="32"/>
      <c r="AP13" s="32"/>
      <c r="AQ13" s="32"/>
      <c r="AR13" s="32"/>
      <c r="AS13" s="32"/>
      <c r="AT13" s="32"/>
    </row>
    <row r="14" spans="1:46">
      <c r="A14" s="57" t="s">
        <v>60</v>
      </c>
      <c r="B14" s="49">
        <v>931140.95929229981</v>
      </c>
      <c r="D14" s="49">
        <v>18943.930197413443</v>
      </c>
      <c r="E14" s="49">
        <v>1059.7251240025878</v>
      </c>
      <c r="F14" s="44">
        <v>0.83469703894930436</v>
      </c>
      <c r="G14" s="43">
        <f t="shared" si="2"/>
        <v>16872.167565845899</v>
      </c>
      <c r="H14" s="49">
        <v>19271.9753769323</v>
      </c>
      <c r="I14" s="49">
        <v>1075.1709706128499</v>
      </c>
      <c r="J14" s="44">
        <v>0.82784500000000005</v>
      </c>
      <c r="K14" s="43">
        <f t="shared" si="3"/>
        <v>17029.379426529373</v>
      </c>
      <c r="M14" s="49">
        <v>2178.4818</v>
      </c>
      <c r="N14" s="30">
        <v>604.33599903638333</v>
      </c>
      <c r="O14" s="43">
        <f t="shared" si="0"/>
        <v>1316534.9749855786</v>
      </c>
      <c r="P14" s="49">
        <v>2170.0852835935302</v>
      </c>
      <c r="Q14" s="30">
        <v>603.62061008858439</v>
      </c>
      <c r="R14" s="43">
        <f t="shared" si="4"/>
        <v>1309908.2028269854</v>
      </c>
      <c r="S14" s="41"/>
      <c r="T14" s="49">
        <v>94261.4</v>
      </c>
      <c r="U14" s="49">
        <v>49299.3</v>
      </c>
      <c r="V14" s="53">
        <f t="shared" si="5"/>
        <v>0.52300623585051786</v>
      </c>
      <c r="W14" s="35">
        <v>0.53099574831445995</v>
      </c>
      <c r="Y14" s="30">
        <v>38347.699999999997</v>
      </c>
      <c r="Z14" s="30">
        <v>25179.1</v>
      </c>
      <c r="AA14" s="44">
        <f t="shared" si="1"/>
        <v>0.34339999530610699</v>
      </c>
      <c r="AB14" s="35">
        <v>0.28820448310500402</v>
      </c>
      <c r="AD14" s="57" t="s">
        <v>60</v>
      </c>
      <c r="AE14" s="45">
        <f t="shared" si="8"/>
        <v>2.4289942909424949</v>
      </c>
      <c r="AF14" s="54">
        <v>2.1790930298532301</v>
      </c>
      <c r="AG14" s="53">
        <f t="shared" si="9"/>
        <v>-3.3500259709642433E-2</v>
      </c>
      <c r="AI14" s="57" t="s">
        <v>60</v>
      </c>
      <c r="AJ14" s="42">
        <f t="shared" si="6"/>
        <v>931140.95929229981</v>
      </c>
      <c r="AK14" s="43">
        <f>AF14*((B14*W14)^W14)*(K14^(AB14*(1-W14)))*(R14^((1-AB14)*(1-W14)))</f>
        <v>946018.03302782821</v>
      </c>
      <c r="AL14" s="44">
        <f t="shared" si="7"/>
        <v>-1.5725993814211751E-2</v>
      </c>
      <c r="AM14" s="44">
        <f t="shared" si="11"/>
        <v>9.4110134175544591E-3</v>
      </c>
      <c r="AO14" s="32"/>
      <c r="AP14" s="32"/>
      <c r="AQ14" s="32"/>
      <c r="AR14" s="32"/>
      <c r="AS14" s="32"/>
      <c r="AT14" s="32"/>
    </row>
    <row r="15" spans="1:46">
      <c r="A15" s="57" t="s">
        <v>61</v>
      </c>
      <c r="B15" s="49">
        <v>914515.97595756478</v>
      </c>
      <c r="D15" s="49">
        <v>20882.983261920435</v>
      </c>
      <c r="E15" s="49">
        <v>1126.511595140536</v>
      </c>
      <c r="F15" s="44">
        <v>0.82365230661915823</v>
      </c>
      <c r="G15" s="43">
        <f t="shared" si="2"/>
        <v>18326.828927910574</v>
      </c>
      <c r="H15" s="49">
        <v>20268.9552413038</v>
      </c>
      <c r="I15" s="49">
        <v>1146.7795842764201</v>
      </c>
      <c r="J15" s="44">
        <v>0.82784500000000005</v>
      </c>
      <c r="K15" s="43">
        <f t="shared" si="3"/>
        <v>17926.332836013567</v>
      </c>
      <c r="M15" s="49">
        <v>2139.8433333333332</v>
      </c>
      <c r="N15" s="30">
        <v>618.86100882546657</v>
      </c>
      <c r="O15" s="43">
        <f t="shared" si="0"/>
        <v>1324265.6039951157</v>
      </c>
      <c r="P15" s="49">
        <v>2148.43725181434</v>
      </c>
      <c r="Q15" s="30">
        <v>615.96835587990222</v>
      </c>
      <c r="R15" s="43">
        <f t="shared" si="4"/>
        <v>1323369.3617112145</v>
      </c>
      <c r="S15" s="41"/>
      <c r="T15" s="49">
        <v>93950.3</v>
      </c>
      <c r="U15" s="49">
        <v>48935.5</v>
      </c>
      <c r="V15" s="53">
        <f t="shared" si="5"/>
        <v>0.52086581948115118</v>
      </c>
      <c r="W15" s="35">
        <v>0.53097654347197798</v>
      </c>
      <c r="Y15" s="30">
        <v>37647.599999999999</v>
      </c>
      <c r="Z15" s="30">
        <v>26599.599999999999</v>
      </c>
      <c r="AA15" s="44">
        <f t="shared" si="1"/>
        <v>0.29345828153720288</v>
      </c>
      <c r="AB15" s="35">
        <v>0.26535982511103801</v>
      </c>
      <c r="AD15" s="57" t="s">
        <v>61</v>
      </c>
      <c r="AE15" s="45">
        <f t="shared" si="8"/>
        <v>2.1472439020737797</v>
      </c>
      <c r="AF15" s="54">
        <v>2.0776041046799198</v>
      </c>
      <c r="AG15" s="53">
        <f t="shared" si="9"/>
        <v>-4.6573929512383372E-2</v>
      </c>
      <c r="AI15" s="57" t="s">
        <v>61</v>
      </c>
      <c r="AJ15" s="42">
        <f t="shared" si="6"/>
        <v>914515.97595756478</v>
      </c>
      <c r="AK15" s="43">
        <f t="shared" si="10"/>
        <v>945222.75299003837</v>
      </c>
      <c r="AL15" s="44">
        <f t="shared" si="7"/>
        <v>-3.2486286365132816E-2</v>
      </c>
      <c r="AM15" s="44">
        <f t="shared" si="11"/>
        <v>-8.4066054771114729E-4</v>
      </c>
      <c r="AO15" s="32"/>
      <c r="AP15" s="32"/>
      <c r="AQ15" s="32"/>
      <c r="AR15" s="32"/>
      <c r="AS15" s="32"/>
      <c r="AT15" s="32"/>
    </row>
    <row r="16" spans="1:46">
      <c r="A16" s="57" t="s">
        <v>62</v>
      </c>
      <c r="B16" s="49">
        <v>876340.72052990249</v>
      </c>
      <c r="D16" s="49">
        <v>22294.723710971728</v>
      </c>
      <c r="E16" s="49">
        <v>1232.3149018762131</v>
      </c>
      <c r="F16" s="44">
        <v>0.80982216605645885</v>
      </c>
      <c r="G16" s="43">
        <f t="shared" si="2"/>
        <v>19287.076349125629</v>
      </c>
      <c r="H16" s="49">
        <v>21196.571547539399</v>
      </c>
      <c r="I16" s="49">
        <v>1216.42764701653</v>
      </c>
      <c r="J16" s="44">
        <v>0.82784500000000005</v>
      </c>
      <c r="K16" s="43">
        <f t="shared" si="3"/>
        <v>18763.903419789287</v>
      </c>
      <c r="M16" s="49">
        <v>2091.8484666666668</v>
      </c>
      <c r="N16" s="30">
        <v>640.53298907340525</v>
      </c>
      <c r="O16" s="43">
        <f t="shared" si="0"/>
        <v>1339897.9510426195</v>
      </c>
      <c r="P16" s="49">
        <v>2127.1221606023701</v>
      </c>
      <c r="Q16" s="30">
        <v>627.66488175266625</v>
      </c>
      <c r="R16" s="43">
        <f t="shared" si="4"/>
        <v>1335119.8794079626</v>
      </c>
      <c r="S16" s="41"/>
      <c r="T16" s="49">
        <v>93646.2</v>
      </c>
      <c r="U16" s="49">
        <v>48237.1</v>
      </c>
      <c r="V16" s="53">
        <f t="shared" si="5"/>
        <v>0.5150993847054125</v>
      </c>
      <c r="W16" s="35">
        <v>0.53188903399307996</v>
      </c>
      <c r="Y16" s="30">
        <v>37628</v>
      </c>
      <c r="Z16" s="30">
        <v>28010.3</v>
      </c>
      <c r="AA16" s="44">
        <f t="shared" si="1"/>
        <v>0.25559955352397157</v>
      </c>
      <c r="AB16" s="35">
        <v>0.23946962849062001</v>
      </c>
      <c r="AD16" s="57" t="s">
        <v>62</v>
      </c>
      <c r="AE16" s="45">
        <f t="shared" si="8"/>
        <v>1.9375983132246837</v>
      </c>
      <c r="AF16" s="54">
        <v>1.9589633174382699</v>
      </c>
      <c r="AG16" s="53">
        <f t="shared" si="9"/>
        <v>-5.7104617272561664E-2</v>
      </c>
      <c r="AI16" s="57" t="s">
        <v>62</v>
      </c>
      <c r="AJ16" s="42">
        <f t="shared" si="6"/>
        <v>876340.72052990249</v>
      </c>
      <c r="AK16" s="43">
        <f t="shared" si="10"/>
        <v>926469.38244747231</v>
      </c>
      <c r="AL16" s="44">
        <f t="shared" si="7"/>
        <v>-5.4107197568843503E-2</v>
      </c>
      <c r="AM16" s="44">
        <f t="shared" si="11"/>
        <v>-1.984015988108967E-2</v>
      </c>
      <c r="AO16" s="32"/>
      <c r="AP16" s="32"/>
      <c r="AQ16" s="32"/>
      <c r="AR16" s="32"/>
      <c r="AS16" s="32"/>
      <c r="AT16" s="32"/>
    </row>
    <row r="17" spans="1:46">
      <c r="A17" s="57" t="s">
        <v>63</v>
      </c>
      <c r="B17" s="43">
        <v>872986.73810545634</v>
      </c>
      <c r="D17" s="43">
        <v>23133.841261109683</v>
      </c>
      <c r="E17" s="43">
        <v>1331.947178491841</v>
      </c>
      <c r="F17" s="44">
        <v>0.80504109241560873</v>
      </c>
      <c r="G17" s="43">
        <f t="shared" si="2"/>
        <v>19955.640019104863</v>
      </c>
      <c r="H17" s="49">
        <v>22013.151846213801</v>
      </c>
      <c r="I17" s="49">
        <v>1282.1740882086599</v>
      </c>
      <c r="J17" s="44">
        <v>0.82784500000000005</v>
      </c>
      <c r="K17" s="43">
        <f>H17*J17+I17</f>
        <v>19505.651778337524</v>
      </c>
      <c r="M17" s="43">
        <v>2063.0862000000006</v>
      </c>
      <c r="N17" s="43">
        <v>654.78691854150406</v>
      </c>
      <c r="O17" s="43">
        <f t="shared" si="0"/>
        <v>1350881.8555835015</v>
      </c>
      <c r="P17" s="43">
        <v>2107.1640872808898</v>
      </c>
      <c r="Q17" s="43">
        <v>637.98091429446617</v>
      </c>
      <c r="R17" s="43">
        <f t="shared" si="4"/>
        <v>1344330.4709719263</v>
      </c>
      <c r="S17" s="41"/>
      <c r="T17" s="43">
        <v>88624.7</v>
      </c>
      <c r="U17" s="43">
        <v>48280.2</v>
      </c>
      <c r="V17" s="53">
        <f t="shared" si="5"/>
        <v>0.54477137863372171</v>
      </c>
      <c r="W17" s="35">
        <v>0.533433367181116</v>
      </c>
      <c r="Y17" s="43">
        <v>35240.300000000003</v>
      </c>
      <c r="Z17" s="43">
        <v>29892.3</v>
      </c>
      <c r="AA17" s="44">
        <f>1-Z17/Y17</f>
        <v>0.15175807243411676</v>
      </c>
      <c r="AB17" s="35">
        <v>0.212250054923974</v>
      </c>
      <c r="AD17" s="57" t="s">
        <v>63</v>
      </c>
      <c r="AE17" s="45">
        <f t="shared" si="8"/>
        <v>1.5270389059997276</v>
      </c>
      <c r="AF17" s="45">
        <v>1.8326736563180801</v>
      </c>
      <c r="AG17" s="53">
        <f t="shared" si="9"/>
        <v>-6.4467598752864008E-2</v>
      </c>
      <c r="AI17" s="57" t="s">
        <v>63</v>
      </c>
      <c r="AJ17" s="42">
        <f t="shared" si="6"/>
        <v>872986.73810545634</v>
      </c>
      <c r="AK17" s="43">
        <f t="shared" si="10"/>
        <v>920321.55735231284</v>
      </c>
      <c r="AL17" s="44">
        <f t="shared" si="7"/>
        <v>-5.1432913712284173E-2</v>
      </c>
      <c r="AM17" s="44">
        <f t="shared" si="11"/>
        <v>-6.6357563580985435E-3</v>
      </c>
      <c r="AO17" s="37"/>
      <c r="AP17" s="37"/>
      <c r="AQ17" s="38"/>
      <c r="AR17" s="37"/>
      <c r="AS17" s="37"/>
      <c r="AT17" s="38"/>
    </row>
    <row r="18" spans="1:46">
      <c r="A18" s="57" t="s">
        <v>64</v>
      </c>
      <c r="B18" s="43">
        <v>883056.79709820484</v>
      </c>
      <c r="D18" s="43">
        <v>23678.7</v>
      </c>
      <c r="E18" s="43">
        <v>1384.6</v>
      </c>
      <c r="F18" s="44">
        <v>0.80543238015226171</v>
      </c>
      <c r="G18" s="43">
        <f t="shared" si="2"/>
        <v>20456.19169991136</v>
      </c>
      <c r="H18" s="43">
        <v>22688.005209536001</v>
      </c>
      <c r="I18" s="43">
        <v>1342.2367097768699</v>
      </c>
      <c r="J18" s="44">
        <v>0.82784500000000005</v>
      </c>
      <c r="K18" s="43">
        <f t="shared" ref="K18:K43" si="12">H18*J18+I18</f>
        <v>20124.3883824652</v>
      </c>
      <c r="M18" s="43">
        <v>2065.6851999999999</v>
      </c>
      <c r="N18" s="43">
        <v>662.99189736161873</v>
      </c>
      <c r="O18" s="43">
        <f t="shared" si="0"/>
        <v>1369532.5500998148</v>
      </c>
      <c r="P18" s="43">
        <v>2089.2343722338201</v>
      </c>
      <c r="Q18" s="43">
        <v>646.23938937919286</v>
      </c>
      <c r="R18" s="43">
        <f t="shared" si="4"/>
        <v>1350145.5449824051</v>
      </c>
      <c r="S18" s="41"/>
      <c r="T18" s="43">
        <v>88094.6</v>
      </c>
      <c r="U18" s="43">
        <v>48491.9</v>
      </c>
      <c r="V18" s="53">
        <f t="shared" si="5"/>
        <v>0.55045258165653743</v>
      </c>
      <c r="W18" s="35">
        <v>0.53514179384655303</v>
      </c>
      <c r="Y18" s="43">
        <v>34426.699999999997</v>
      </c>
      <c r="Z18" s="43">
        <v>30074.5</v>
      </c>
      <c r="AA18" s="44">
        <f t="shared" ref="AA18:AA42" si="13">1-Z18/Y18</f>
        <v>0.12641931988834243</v>
      </c>
      <c r="AB18" s="35">
        <v>0.18557856534165501</v>
      </c>
      <c r="AD18" s="57" t="s">
        <v>64</v>
      </c>
      <c r="AE18" s="45">
        <f t="shared" si="8"/>
        <v>1.4481211891232053</v>
      </c>
      <c r="AF18" s="45">
        <v>1.7080244594667899</v>
      </c>
      <c r="AG18" s="53">
        <f t="shared" si="9"/>
        <v>-6.8014944407350564E-2</v>
      </c>
      <c r="AH18" s="43"/>
      <c r="AI18" s="57" t="s">
        <v>64</v>
      </c>
      <c r="AJ18" s="42">
        <f t="shared" si="6"/>
        <v>883056.79709820484</v>
      </c>
      <c r="AK18" s="43">
        <f t="shared" si="10"/>
        <v>914765.06052875903</v>
      </c>
      <c r="AL18" s="44">
        <f t="shared" si="7"/>
        <v>-3.4662739974158994E-2</v>
      </c>
      <c r="AM18" s="44">
        <f t="shared" si="11"/>
        <v>-6.0375602192123123E-3</v>
      </c>
      <c r="AO18" s="37"/>
      <c r="AP18" s="37"/>
      <c r="AQ18" s="38"/>
      <c r="AR18" s="37"/>
      <c r="AS18" s="37"/>
      <c r="AT18" s="38"/>
    </row>
    <row r="19" spans="1:46">
      <c r="A19" s="57" t="s">
        <v>65</v>
      </c>
      <c r="B19" s="43">
        <v>855111.95504074183</v>
      </c>
      <c r="D19" s="43">
        <v>24373.600000000002</v>
      </c>
      <c r="E19" s="43">
        <v>1419.1</v>
      </c>
      <c r="F19" s="44">
        <v>0.81356770739113005</v>
      </c>
      <c r="G19" s="43">
        <f t="shared" si="2"/>
        <v>21248.673872868447</v>
      </c>
      <c r="H19" s="43">
        <v>23201.647603863799</v>
      </c>
      <c r="I19" s="43">
        <v>1395.3310445480699</v>
      </c>
      <c r="J19" s="44">
        <v>0.82784500000000005</v>
      </c>
      <c r="K19" s="43">
        <f t="shared" si="12"/>
        <v>20602.699005168699</v>
      </c>
      <c r="M19" s="43">
        <v>2088.7296666666671</v>
      </c>
      <c r="N19" s="43">
        <v>669.47482644485297</v>
      </c>
      <c r="O19" s="43">
        <f t="shared" si="0"/>
        <v>1398351.9310818824</v>
      </c>
      <c r="P19" s="43">
        <v>2073.5635769722398</v>
      </c>
      <c r="Q19" s="43">
        <v>651.89082098768984</v>
      </c>
      <c r="R19" s="43">
        <f t="shared" si="4"/>
        <v>1351737.0625626042</v>
      </c>
      <c r="S19" s="41"/>
      <c r="T19" s="43">
        <v>92402.4</v>
      </c>
      <c r="U19" s="43">
        <v>51197.3</v>
      </c>
      <c r="V19" s="53">
        <f t="shared" si="5"/>
        <v>0.55406894193224421</v>
      </c>
      <c r="W19" s="35">
        <v>0.53665994491438895</v>
      </c>
      <c r="Y19" s="43">
        <v>35941.800000000003</v>
      </c>
      <c r="Z19" s="43">
        <v>30504.5</v>
      </c>
      <c r="AA19" s="44">
        <f t="shared" si="13"/>
        <v>0.15128068154627761</v>
      </c>
      <c r="AB19" s="35">
        <v>0.16072770084931801</v>
      </c>
      <c r="AD19" s="57" t="s">
        <v>65</v>
      </c>
      <c r="AE19" s="45">
        <f t="shared" si="8"/>
        <v>1.477400377700236</v>
      </c>
      <c r="AF19" s="45">
        <v>1.59124871752865</v>
      </c>
      <c r="AG19" s="53">
        <f t="shared" si="9"/>
        <v>-6.8368893250272844E-2</v>
      </c>
      <c r="AH19" s="40"/>
      <c r="AI19" s="57" t="s">
        <v>65</v>
      </c>
      <c r="AJ19" s="42">
        <f t="shared" si="6"/>
        <v>855111.95504074183</v>
      </c>
      <c r="AK19" s="43">
        <f t="shared" si="10"/>
        <v>882130.86941071053</v>
      </c>
      <c r="AL19" s="44">
        <f t="shared" si="7"/>
        <v>-3.0629145070071213E-2</v>
      </c>
      <c r="AM19" s="44">
        <f t="shared" si="11"/>
        <v>-3.5674942699697176E-2</v>
      </c>
      <c r="AO19" s="37"/>
      <c r="AP19" s="37"/>
      <c r="AQ19" s="38"/>
      <c r="AR19" s="37"/>
      <c r="AS19" s="37"/>
      <c r="AT19" s="38"/>
    </row>
    <row r="20" spans="1:46">
      <c r="A20" s="57" t="s">
        <v>66</v>
      </c>
      <c r="B20" s="43">
        <v>802443.59688947361</v>
      </c>
      <c r="D20" s="43">
        <v>24547.4</v>
      </c>
      <c r="E20" s="43">
        <v>1470.1</v>
      </c>
      <c r="F20" s="44">
        <v>0.81403646043855638</v>
      </c>
      <c r="G20" s="43">
        <f t="shared" si="2"/>
        <v>21452.578608969419</v>
      </c>
      <c r="H20" s="43">
        <v>23544.5019434598</v>
      </c>
      <c r="I20" s="43">
        <v>1440.5962582514001</v>
      </c>
      <c r="J20" s="44">
        <v>0.82784500000000005</v>
      </c>
      <c r="K20" s="43">
        <f t="shared" si="12"/>
        <v>20931.794469634879</v>
      </c>
      <c r="M20" s="43">
        <v>2071.5762666666665</v>
      </c>
      <c r="N20" s="43">
        <v>684.60342112773708</v>
      </c>
      <c r="O20" s="43">
        <f t="shared" si="0"/>
        <v>1418208.1992870253</v>
      </c>
      <c r="P20" s="43">
        <v>2060.1467712849299</v>
      </c>
      <c r="Q20" s="43">
        <v>654.54113976425742</v>
      </c>
      <c r="R20" s="43">
        <f t="shared" si="4"/>
        <v>1348450.815758493</v>
      </c>
      <c r="S20" s="41"/>
      <c r="T20" s="43">
        <v>87753</v>
      </c>
      <c r="U20" s="43">
        <v>48480.800000000003</v>
      </c>
      <c r="V20" s="53">
        <f t="shared" si="5"/>
        <v>0.55246886146342578</v>
      </c>
      <c r="W20" s="35">
        <v>0.537786559187724</v>
      </c>
      <c r="Y20" s="43">
        <v>33721.699999999997</v>
      </c>
      <c r="Z20" s="43">
        <v>31412.3</v>
      </c>
      <c r="AA20" s="44">
        <f t="shared" si="13"/>
        <v>6.8484091845903317E-2</v>
      </c>
      <c r="AB20" s="35">
        <v>0.13837841009808199</v>
      </c>
      <c r="AD20" s="57" t="s">
        <v>66</v>
      </c>
      <c r="AE20" s="45">
        <f t="shared" si="8"/>
        <v>1.2231220487723058</v>
      </c>
      <c r="AF20" s="45">
        <v>1.48598038844423</v>
      </c>
      <c r="AG20" s="53">
        <f t="shared" si="9"/>
        <v>-6.6154541351594043E-2</v>
      </c>
      <c r="AH20" s="40"/>
      <c r="AI20" s="57" t="s">
        <v>66</v>
      </c>
      <c r="AJ20" s="42">
        <f t="shared" si="6"/>
        <v>802443.59688947361</v>
      </c>
      <c r="AK20" s="43">
        <f t="shared" si="10"/>
        <v>831839.51200953161</v>
      </c>
      <c r="AL20" s="44">
        <f t="shared" si="7"/>
        <v>-3.5338445331893738E-2</v>
      </c>
      <c r="AM20" s="44">
        <f t="shared" si="11"/>
        <v>-5.7011220381364747E-2</v>
      </c>
      <c r="AO20" s="37"/>
      <c r="AP20" s="37"/>
      <c r="AQ20" s="38"/>
      <c r="AR20" s="37"/>
      <c r="AS20" s="37"/>
      <c r="AT20" s="38"/>
    </row>
    <row r="21" spans="1:46">
      <c r="A21" s="57" t="s">
        <v>67</v>
      </c>
      <c r="B21" s="43">
        <v>766874.02644940093</v>
      </c>
      <c r="D21" s="43">
        <v>24377.8</v>
      </c>
      <c r="E21" s="43">
        <v>1520.5</v>
      </c>
      <c r="F21" s="44">
        <v>0.79833957381538978</v>
      </c>
      <c r="G21" s="43">
        <f t="shared" si="2"/>
        <v>20982.26246255681</v>
      </c>
      <c r="H21" s="43">
        <v>23718.710666547799</v>
      </c>
      <c r="I21" s="43">
        <v>1477.4092061705201</v>
      </c>
      <c r="J21" s="44">
        <v>0.82784500000000005</v>
      </c>
      <c r="K21" s="43">
        <f t="shared" si="12"/>
        <v>21112.825237918783</v>
      </c>
      <c r="M21" s="43">
        <v>2050.7842666666666</v>
      </c>
      <c r="N21" s="43">
        <v>661.75412035202453</v>
      </c>
      <c r="O21" s="43">
        <f t="shared" si="0"/>
        <v>1357114.9384197716</v>
      </c>
      <c r="P21" s="43">
        <v>2049.1306858575799</v>
      </c>
      <c r="Q21" s="43">
        <v>653.98243176224071</v>
      </c>
      <c r="R21" s="43">
        <f t="shared" si="4"/>
        <v>1340095.4689357684</v>
      </c>
      <c r="S21" s="41"/>
      <c r="T21" s="43">
        <v>82626.600000000006</v>
      </c>
      <c r="U21" s="43">
        <v>44675.9</v>
      </c>
      <c r="V21" s="53">
        <f t="shared" si="5"/>
        <v>0.54069633749906199</v>
      </c>
      <c r="W21" s="35">
        <v>0.53849446543983603</v>
      </c>
      <c r="Y21" s="43">
        <v>32164.400000000001</v>
      </c>
      <c r="Z21" s="43">
        <v>29572.3</v>
      </c>
      <c r="AA21" s="44">
        <f t="shared" si="13"/>
        <v>8.0589098506423262E-2</v>
      </c>
      <c r="AB21" s="35">
        <v>0.119117171546034</v>
      </c>
      <c r="AD21" s="57" t="s">
        <v>67</v>
      </c>
      <c r="AE21" s="45">
        <f t="shared" si="8"/>
        <v>1.2518673873920207</v>
      </c>
      <c r="AF21" s="45">
        <v>1.39471494675584</v>
      </c>
      <c r="AG21" s="53">
        <f t="shared" si="9"/>
        <v>-6.1417662304373843E-2</v>
      </c>
      <c r="AH21" s="40"/>
      <c r="AI21" s="57" t="s">
        <v>67</v>
      </c>
      <c r="AJ21" s="42">
        <f t="shared" si="6"/>
        <v>766874.02644940093</v>
      </c>
      <c r="AK21" s="43">
        <f t="shared" si="10"/>
        <v>789282.09235586761</v>
      </c>
      <c r="AL21" s="44">
        <f t="shared" si="7"/>
        <v>-2.8390440025799352E-2</v>
      </c>
      <c r="AM21" s="44">
        <f t="shared" si="11"/>
        <v>-5.1160613362612573E-2</v>
      </c>
      <c r="AO21" s="37"/>
      <c r="AP21" s="37"/>
      <c r="AQ21" s="38"/>
      <c r="AR21" s="37"/>
      <c r="AS21" s="37"/>
      <c r="AT21" s="38"/>
    </row>
    <row r="22" spans="1:46">
      <c r="A22" s="57" t="s">
        <v>68</v>
      </c>
      <c r="B22" s="43">
        <v>751604.13154859724</v>
      </c>
      <c r="D22" s="43">
        <v>23971.200000000001</v>
      </c>
      <c r="E22" s="43">
        <v>1536.1</v>
      </c>
      <c r="F22" s="44">
        <v>0.78839868222937881</v>
      </c>
      <c r="G22" s="43">
        <f t="shared" si="2"/>
        <v>20434.962491456885</v>
      </c>
      <c r="H22" s="43">
        <v>23736.445191917301</v>
      </c>
      <c r="I22" s="43">
        <v>1505.4417810065399</v>
      </c>
      <c r="J22" s="44">
        <v>0.82784500000000005</v>
      </c>
      <c r="K22" s="43">
        <f t="shared" si="12"/>
        <v>21155.539250909318</v>
      </c>
      <c r="M22" s="43">
        <v>2026.5269333333335</v>
      </c>
      <c r="N22" s="43">
        <v>656.6112003019274</v>
      </c>
      <c r="O22" s="43">
        <f t="shared" si="0"/>
        <v>1330640.2821401842</v>
      </c>
      <c r="P22" s="43">
        <v>2040.7763463297299</v>
      </c>
      <c r="Q22" s="43">
        <v>650.3099776970821</v>
      </c>
      <c r="R22" s="43">
        <f t="shared" si="4"/>
        <v>1327137.2202664195</v>
      </c>
      <c r="S22" s="41"/>
      <c r="T22" s="43">
        <v>79278.100000000006</v>
      </c>
      <c r="U22" s="43">
        <v>42524.1</v>
      </c>
      <c r="V22" s="53">
        <f t="shared" si="5"/>
        <v>0.53639151291466369</v>
      </c>
      <c r="W22" s="35">
        <v>0.53890331546675296</v>
      </c>
      <c r="Y22" s="43">
        <v>31273.200000000001</v>
      </c>
      <c r="Z22" s="43">
        <v>28939</v>
      </c>
      <c r="AA22" s="44">
        <f t="shared" si="13"/>
        <v>7.4638988015297447E-2</v>
      </c>
      <c r="AB22" s="35">
        <v>0.102831520468738</v>
      </c>
      <c r="AD22" s="57" t="s">
        <v>68</v>
      </c>
      <c r="AE22" s="45">
        <f t="shared" si="8"/>
        <v>1.2383831937153722</v>
      </c>
      <c r="AF22" s="45">
        <v>1.3173192836093199</v>
      </c>
      <c r="AG22" s="53">
        <f t="shared" si="9"/>
        <v>-5.5492101326185206E-2</v>
      </c>
      <c r="AH22" s="40"/>
      <c r="AI22" s="57" t="s">
        <v>68</v>
      </c>
      <c r="AJ22" s="42">
        <f t="shared" si="6"/>
        <v>751604.13154859724</v>
      </c>
      <c r="AK22" s="43">
        <f t="shared" si="10"/>
        <v>757912.42304105207</v>
      </c>
      <c r="AL22" s="44">
        <f t="shared" si="7"/>
        <v>-8.3232459327469525E-3</v>
      </c>
      <c r="AM22" s="44">
        <f t="shared" si="11"/>
        <v>-3.9744559795069745E-2</v>
      </c>
      <c r="AO22" s="37"/>
      <c r="AP22" s="37"/>
      <c r="AQ22" s="38"/>
      <c r="AR22" s="37"/>
      <c r="AS22" s="37"/>
      <c r="AT22" s="38"/>
    </row>
    <row r="23" spans="1:46">
      <c r="A23" s="57" t="s">
        <v>69</v>
      </c>
      <c r="B23" s="43">
        <v>696493.91938198661</v>
      </c>
      <c r="D23" s="43">
        <v>23604.1</v>
      </c>
      <c r="E23" s="43">
        <v>1552.5</v>
      </c>
      <c r="F23" s="44">
        <v>0.78321155603443193</v>
      </c>
      <c r="G23" s="43">
        <f t="shared" si="2"/>
        <v>20039.503889792333</v>
      </c>
      <c r="H23" s="43">
        <v>23616.467831692102</v>
      </c>
      <c r="I23" s="43">
        <v>1524.7967833989201</v>
      </c>
      <c r="J23" s="44">
        <v>0.82784500000000005</v>
      </c>
      <c r="K23" s="43">
        <f t="shared" si="12"/>
        <v>21075.571595526071</v>
      </c>
      <c r="M23" s="43">
        <v>2017.1705333333337</v>
      </c>
      <c r="N23" s="43">
        <v>653.21341377324222</v>
      </c>
      <c r="O23" s="43">
        <f t="shared" si="0"/>
        <v>1317642.8502414585</v>
      </c>
      <c r="P23" s="43">
        <v>2035.36131414897</v>
      </c>
      <c r="Q23" s="43">
        <v>643.75636680403989</v>
      </c>
      <c r="R23" s="43">
        <f t="shared" si="4"/>
        <v>1310276.804730037</v>
      </c>
      <c r="S23" s="41"/>
      <c r="T23" s="43">
        <v>77317.2</v>
      </c>
      <c r="U23" s="43">
        <v>41621.5</v>
      </c>
      <c r="V23" s="53">
        <f t="shared" si="5"/>
        <v>0.53832135669682812</v>
      </c>
      <c r="W23" s="35">
        <v>0.53915477978509696</v>
      </c>
      <c r="Y23" s="43">
        <v>30501.599999999999</v>
      </c>
      <c r="Z23" s="43">
        <v>27540.7</v>
      </c>
      <c r="AA23" s="44">
        <f t="shared" si="13"/>
        <v>9.7073596139218843E-2</v>
      </c>
      <c r="AB23" s="35">
        <v>8.9023711411359702E-2</v>
      </c>
      <c r="AD23" s="57" t="s">
        <v>69</v>
      </c>
      <c r="AE23" s="45">
        <f t="shared" si="8"/>
        <v>1.2543803452681521</v>
      </c>
      <c r="AF23" s="45">
        <v>1.25223181455697</v>
      </c>
      <c r="AG23" s="53">
        <f t="shared" si="9"/>
        <v>-4.9409030796252362E-2</v>
      </c>
      <c r="AH23" s="40"/>
      <c r="AI23" s="57" t="s">
        <v>69</v>
      </c>
      <c r="AJ23" s="42">
        <f t="shared" si="6"/>
        <v>696493.91938198661</v>
      </c>
      <c r="AK23" s="43">
        <f t="shared" si="10"/>
        <v>706069.18040646217</v>
      </c>
      <c r="AL23" s="44">
        <f t="shared" si="7"/>
        <v>-1.3561363801438525E-2</v>
      </c>
      <c r="AM23" s="44">
        <f t="shared" si="11"/>
        <v>-6.8402682234147583E-2</v>
      </c>
      <c r="AO23" s="37"/>
      <c r="AP23" s="37"/>
      <c r="AQ23" s="38"/>
      <c r="AR23" s="37"/>
      <c r="AS23" s="37"/>
      <c r="AT23" s="38"/>
    </row>
    <row r="24" spans="1:46">
      <c r="A24" s="57" t="s">
        <v>70</v>
      </c>
      <c r="B24" s="43">
        <v>667741.27891964652</v>
      </c>
      <c r="D24" s="43">
        <v>23623.599999999999</v>
      </c>
      <c r="E24" s="43">
        <v>1564.2</v>
      </c>
      <c r="F24" s="44">
        <v>0.77738919617072988</v>
      </c>
      <c r="G24" s="43">
        <f t="shared" si="2"/>
        <v>19928.931414658855</v>
      </c>
      <c r="H24" s="43">
        <v>23379.8884460767</v>
      </c>
      <c r="I24" s="43">
        <v>1535.8835961770201</v>
      </c>
      <c r="J24" s="44">
        <v>0.82784500000000005</v>
      </c>
      <c r="K24" s="43">
        <f t="shared" si="12"/>
        <v>20890.807346819387</v>
      </c>
      <c r="M24" s="43">
        <v>1999.3240666666668</v>
      </c>
      <c r="N24" s="43">
        <v>631.46406991096273</v>
      </c>
      <c r="O24" s="43">
        <f t="shared" si="0"/>
        <v>1262501.3122082704</v>
      </c>
      <c r="P24" s="43">
        <v>2033.02065663297</v>
      </c>
      <c r="Q24" s="43">
        <v>634.68318193500932</v>
      </c>
      <c r="R24" s="43">
        <f t="shared" si="4"/>
        <v>1290324.0192914153</v>
      </c>
      <c r="S24" s="41"/>
      <c r="T24" s="43">
        <v>73356.800000000003</v>
      </c>
      <c r="U24" s="43">
        <v>39342.800000000003</v>
      </c>
      <c r="V24" s="53">
        <f t="shared" si="5"/>
        <v>0.53632110451928117</v>
      </c>
      <c r="W24" s="35">
        <v>0.53936541088597301</v>
      </c>
      <c r="Y24" s="43">
        <v>28908.9</v>
      </c>
      <c r="Z24" s="43">
        <v>25793.9</v>
      </c>
      <c r="AA24" s="44">
        <f t="shared" si="13"/>
        <v>0.10775228389873015</v>
      </c>
      <c r="AB24" s="35">
        <v>7.6914073594525095E-2</v>
      </c>
      <c r="AD24" s="57" t="s">
        <v>70</v>
      </c>
      <c r="AE24" s="45">
        <f t="shared" si="8"/>
        <v>1.2789994728426046</v>
      </c>
      <c r="AF24" s="45">
        <v>1.19710159425198</v>
      </c>
      <c r="AG24" s="53">
        <f t="shared" si="9"/>
        <v>-4.4025570716309081E-2</v>
      </c>
      <c r="AH24" s="40"/>
      <c r="AI24" s="57" t="s">
        <v>70</v>
      </c>
      <c r="AJ24" s="42">
        <f t="shared" si="6"/>
        <v>667741.27891964652</v>
      </c>
      <c r="AK24" s="43">
        <f t="shared" si="10"/>
        <v>670601.76792858157</v>
      </c>
      <c r="AL24" s="44">
        <f t="shared" si="7"/>
        <v>-4.2655554246014025E-3</v>
      </c>
      <c r="AM24" s="44">
        <f t="shared" si="11"/>
        <v>-5.0232205939739649E-2</v>
      </c>
      <c r="AO24" s="37"/>
      <c r="AP24" s="37"/>
      <c r="AQ24" s="38"/>
      <c r="AR24" s="37"/>
      <c r="AS24" s="37"/>
      <c r="AT24" s="38"/>
    </row>
    <row r="25" spans="1:46">
      <c r="A25" s="57" t="s">
        <v>71</v>
      </c>
      <c r="B25" s="43">
        <v>624622.83784950804</v>
      </c>
      <c r="D25" s="43">
        <v>23320.2</v>
      </c>
      <c r="E25" s="43">
        <v>1551.1</v>
      </c>
      <c r="F25" s="44">
        <v>0.76325161343582726</v>
      </c>
      <c r="G25" s="43">
        <f t="shared" si="2"/>
        <v>19350.280275646179</v>
      </c>
      <c r="H25" s="43">
        <v>23047.693216958902</v>
      </c>
      <c r="I25" s="43">
        <v>1539.3886343362101</v>
      </c>
      <c r="J25" s="44">
        <v>0.82784500000000005</v>
      </c>
      <c r="K25" s="43">
        <f t="shared" si="12"/>
        <v>20619.306225529552</v>
      </c>
      <c r="M25" s="43">
        <v>2009.3735333333339</v>
      </c>
      <c r="N25" s="43">
        <v>617.89090719479759</v>
      </c>
      <c r="O25" s="43">
        <f t="shared" si="0"/>
        <v>1241573.6354045495</v>
      </c>
      <c r="P25" s="43">
        <v>2033.7075332912</v>
      </c>
      <c r="Q25" s="43">
        <v>623.6206708162706</v>
      </c>
      <c r="R25" s="43">
        <f t="shared" si="4"/>
        <v>1268262.056155161</v>
      </c>
      <c r="S25" s="41"/>
      <c r="T25" s="43">
        <v>68880.3</v>
      </c>
      <c r="U25" s="43">
        <v>36922.300000000003</v>
      </c>
      <c r="V25" s="53">
        <f t="shared" si="5"/>
        <v>0.53603570251581367</v>
      </c>
      <c r="W25" s="35">
        <v>0.539643427029603</v>
      </c>
      <c r="Y25" s="43">
        <v>27034.400000000001</v>
      </c>
      <c r="Z25" s="43">
        <v>24337.8</v>
      </c>
      <c r="AA25" s="44">
        <f t="shared" si="13"/>
        <v>9.9746989021395005E-2</v>
      </c>
      <c r="AB25" s="35">
        <v>6.5803435086138604E-2</v>
      </c>
      <c r="AD25" s="57" t="s">
        <v>71</v>
      </c>
      <c r="AE25" s="45">
        <f t="shared" si="8"/>
        <v>1.2313325823223065</v>
      </c>
      <c r="AF25" s="45">
        <v>1.14959916265499</v>
      </c>
      <c r="AG25" s="53">
        <f t="shared" si="9"/>
        <v>-3.9681203186996306E-2</v>
      </c>
      <c r="AH25" s="40"/>
      <c r="AI25" s="57" t="s">
        <v>71</v>
      </c>
      <c r="AJ25" s="42">
        <f t="shared" si="6"/>
        <v>624622.83784950804</v>
      </c>
      <c r="AK25" s="43">
        <f t="shared" si="10"/>
        <v>629516.12808870315</v>
      </c>
      <c r="AL25" s="44">
        <f t="shared" si="7"/>
        <v>-7.7730974964085563E-3</v>
      </c>
      <c r="AM25" s="44">
        <f t="shared" si="11"/>
        <v>-6.1266823030884154E-2</v>
      </c>
      <c r="AO25" s="37"/>
      <c r="AP25" s="37"/>
      <c r="AQ25" s="38"/>
      <c r="AR25" s="37"/>
      <c r="AS25" s="37"/>
      <c r="AT25" s="38"/>
    </row>
    <row r="26" spans="1:46">
      <c r="A26" s="57" t="s">
        <v>72</v>
      </c>
      <c r="B26" s="43">
        <v>602368.81293877563</v>
      </c>
      <c r="D26" s="43">
        <v>22846.2</v>
      </c>
      <c r="E26" s="43">
        <v>1534.5</v>
      </c>
      <c r="F26" s="44">
        <v>0.76414698430996564</v>
      </c>
      <c r="G26" s="43">
        <f t="shared" si="2"/>
        <v>18992.354832942339</v>
      </c>
      <c r="H26" s="43">
        <v>22643.3054417657</v>
      </c>
      <c r="I26" s="43">
        <v>1536.2814769101201</v>
      </c>
      <c r="J26" s="44">
        <v>0.82784500000000005</v>
      </c>
      <c r="K26" s="43">
        <f t="shared" si="12"/>
        <v>20281.428670348647</v>
      </c>
      <c r="M26" s="43">
        <v>2019.4230000000002</v>
      </c>
      <c r="N26" s="43">
        <v>603.92237007481265</v>
      </c>
      <c r="O26" s="43">
        <f t="shared" si="0"/>
        <v>1219574.7243435886</v>
      </c>
      <c r="P26" s="43">
        <v>2037.03813773351</v>
      </c>
      <c r="Q26" s="43">
        <v>611.13671422354685</v>
      </c>
      <c r="R26" s="43">
        <f t="shared" si="4"/>
        <v>1244908.7942425101</v>
      </c>
      <c r="S26" s="41"/>
      <c r="T26" s="43">
        <v>65990.8</v>
      </c>
      <c r="U26" s="43">
        <v>35242</v>
      </c>
      <c r="V26" s="53">
        <f t="shared" si="5"/>
        <v>0.53404413948611018</v>
      </c>
      <c r="W26" s="35">
        <v>0.54006660341253998</v>
      </c>
      <c r="Y26" s="43">
        <v>26175.200000000001</v>
      </c>
      <c r="Z26" s="43">
        <v>23736.5</v>
      </c>
      <c r="AA26" s="44">
        <f t="shared" si="13"/>
        <v>9.3168342553256567E-2</v>
      </c>
      <c r="AB26" s="35">
        <v>5.5301006057148598E-2</v>
      </c>
      <c r="AD26" s="57" t="s">
        <v>72</v>
      </c>
      <c r="AE26" s="45">
        <f t="shared" si="8"/>
        <v>1.2056342091151031</v>
      </c>
      <c r="AF26" s="45">
        <v>1.1082140385121</v>
      </c>
      <c r="AG26" s="53">
        <f t="shared" si="9"/>
        <v>-3.5999612288609706E-2</v>
      </c>
      <c r="AH26" s="40"/>
      <c r="AI26" s="57" t="s">
        <v>72</v>
      </c>
      <c r="AJ26" s="42">
        <f t="shared" si="6"/>
        <v>602368.81293877563</v>
      </c>
      <c r="AK26" s="43">
        <f t="shared" si="10"/>
        <v>601889.83664617827</v>
      </c>
      <c r="AL26" s="44">
        <f t="shared" si="7"/>
        <v>7.9578730763471854E-4</v>
      </c>
      <c r="AM26" s="44">
        <f t="shared" si="11"/>
        <v>-4.3884962131791716E-2</v>
      </c>
      <c r="AO26" s="37"/>
      <c r="AP26" s="37"/>
      <c r="AQ26" s="38"/>
      <c r="AR26" s="37"/>
      <c r="AS26" s="37"/>
      <c r="AT26" s="38"/>
    </row>
    <row r="27" spans="1:46">
      <c r="A27" s="57" t="s">
        <v>73</v>
      </c>
      <c r="B27" s="43">
        <v>578148.02609135176</v>
      </c>
      <c r="D27" s="43">
        <v>21946.799999999999</v>
      </c>
      <c r="E27" s="43">
        <v>1525.8</v>
      </c>
      <c r="F27" s="44">
        <v>0.77445351621134295</v>
      </c>
      <c r="G27" s="43">
        <f t="shared" si="2"/>
        <v>18522.576429587101</v>
      </c>
      <c r="H27" s="43">
        <v>22192.873485754499</v>
      </c>
      <c r="I27" s="43">
        <v>1527.64881658897</v>
      </c>
      <c r="J27" s="44">
        <v>0.82784500000000005</v>
      </c>
      <c r="K27" s="43">
        <f t="shared" si="12"/>
        <v>19899.908167403406</v>
      </c>
      <c r="M27" s="43">
        <v>2042.6407333333334</v>
      </c>
      <c r="N27" s="43">
        <v>584.622960441141</v>
      </c>
      <c r="O27" s="43">
        <f t="shared" si="0"/>
        <v>1194174.6726389967</v>
      </c>
      <c r="P27" s="43">
        <v>2042.3853235701399</v>
      </c>
      <c r="Q27" s="43">
        <v>597.81337322575416</v>
      </c>
      <c r="R27" s="43">
        <f t="shared" si="4"/>
        <v>1220965.2597102388</v>
      </c>
      <c r="S27" s="41"/>
      <c r="T27" s="43">
        <v>64121.5</v>
      </c>
      <c r="U27" s="43">
        <v>34313.199999999997</v>
      </c>
      <c r="V27" s="53">
        <f t="shared" si="5"/>
        <v>0.53512784323510831</v>
      </c>
      <c r="W27" s="35">
        <v>0.54067663798620202</v>
      </c>
      <c r="Y27" s="43">
        <v>25399.4</v>
      </c>
      <c r="Z27" s="43">
        <v>23539.200000000001</v>
      </c>
      <c r="AA27" s="44">
        <f t="shared" si="13"/>
        <v>7.3237950502767823E-2</v>
      </c>
      <c r="AB27" s="35">
        <v>4.5355432217852203E-2</v>
      </c>
      <c r="AD27" s="57" t="s">
        <v>73</v>
      </c>
      <c r="AE27" s="45">
        <f t="shared" si="8"/>
        <v>1.1493809879294354</v>
      </c>
      <c r="AF27" s="45">
        <v>1.0722530747658801</v>
      </c>
      <c r="AG27" s="53">
        <f t="shared" si="9"/>
        <v>-3.2449475008006101E-2</v>
      </c>
      <c r="AH27" s="40"/>
      <c r="AI27" s="57" t="s">
        <v>73</v>
      </c>
      <c r="AJ27" s="42">
        <f t="shared" si="6"/>
        <v>578148.02609135176</v>
      </c>
      <c r="AK27" s="43">
        <f t="shared" si="10"/>
        <v>575203.92859205627</v>
      </c>
      <c r="AL27" s="44">
        <f t="shared" si="7"/>
        <v>5.1183542965393888E-3</v>
      </c>
      <c r="AM27" s="44">
        <f t="shared" si="11"/>
        <v>-4.4336864371759321E-2</v>
      </c>
      <c r="AO27" s="37"/>
      <c r="AP27" s="37"/>
      <c r="AQ27" s="38"/>
      <c r="AR27" s="37"/>
      <c r="AS27" s="37"/>
      <c r="AT27" s="38"/>
    </row>
    <row r="28" spans="1:46">
      <c r="A28" s="57" t="s">
        <v>74</v>
      </c>
      <c r="B28" s="43">
        <v>562554.77681610198</v>
      </c>
      <c r="D28" s="43">
        <v>21237.200000000001</v>
      </c>
      <c r="E28" s="43">
        <v>1506.3</v>
      </c>
      <c r="F28" s="44">
        <v>0.77081095721737591</v>
      </c>
      <c r="G28" s="43">
        <f t="shared" si="2"/>
        <v>17876.166460616856</v>
      </c>
      <c r="H28" s="43">
        <v>21724.574659764799</v>
      </c>
      <c r="I28" s="43">
        <v>1514.5595312939199</v>
      </c>
      <c r="J28" s="44">
        <v>0.82784500000000005</v>
      </c>
      <c r="K28" s="43">
        <f t="shared" si="12"/>
        <v>19499.140040506911</v>
      </c>
      <c r="M28" s="43">
        <v>2047.6654666666668</v>
      </c>
      <c r="N28" s="43">
        <v>568.38236275364181</v>
      </c>
      <c r="O28" s="43">
        <f t="shared" si="0"/>
        <v>1163856.9360730387</v>
      </c>
      <c r="P28" s="43">
        <v>2048.945793034</v>
      </c>
      <c r="Q28" s="43">
        <v>584.23467431787435</v>
      </c>
      <c r="R28" s="43">
        <f t="shared" si="4"/>
        <v>1197065.1780881977</v>
      </c>
      <c r="S28" s="41"/>
      <c r="T28" s="43">
        <v>63269.1</v>
      </c>
      <c r="U28" s="43">
        <v>34491.699999999997</v>
      </c>
      <c r="V28" s="53">
        <f t="shared" si="5"/>
        <v>0.54515869516082882</v>
      </c>
      <c r="W28" s="35">
        <v>0.54145500406273905</v>
      </c>
      <c r="Y28" s="43">
        <v>24575.8</v>
      </c>
      <c r="Z28" s="43">
        <v>23198.9</v>
      </c>
      <c r="AA28" s="44">
        <f t="shared" si="13"/>
        <v>5.6026660373212578E-2</v>
      </c>
      <c r="AB28" s="35">
        <v>3.6294032643504802E-2</v>
      </c>
      <c r="AD28" s="57" t="s">
        <v>74</v>
      </c>
      <c r="AE28" s="45">
        <f t="shared" si="8"/>
        <v>1.1123581297085781</v>
      </c>
      <c r="AF28" s="45">
        <v>1.0419973260647599</v>
      </c>
      <c r="AG28" s="53">
        <f t="shared" si="9"/>
        <v>-2.8216984789459554E-2</v>
      </c>
      <c r="AH28" s="40"/>
      <c r="AI28" s="57" t="s">
        <v>74</v>
      </c>
      <c r="AJ28" s="42">
        <f t="shared" si="6"/>
        <v>562554.77681610198</v>
      </c>
      <c r="AK28" s="43">
        <f t="shared" si="10"/>
        <v>555124.29412256344</v>
      </c>
      <c r="AL28" s="44">
        <f t="shared" si="7"/>
        <v>1.3385259431463455E-2</v>
      </c>
      <c r="AM28" s="44">
        <f t="shared" si="11"/>
        <v>-3.4908722752715393E-2</v>
      </c>
      <c r="AO28" s="37"/>
      <c r="AP28" s="37"/>
      <c r="AQ28" s="38"/>
      <c r="AR28" s="37"/>
      <c r="AS28" s="37"/>
      <c r="AT28" s="38"/>
    </row>
    <row r="29" spans="1:46">
      <c r="A29" s="57" t="s">
        <v>75</v>
      </c>
      <c r="B29" s="43">
        <v>522523.59306057193</v>
      </c>
      <c r="D29" s="43">
        <v>20651.600000000002</v>
      </c>
      <c r="E29" s="43">
        <v>1496.1</v>
      </c>
      <c r="F29" s="44">
        <v>0.78114730346777916</v>
      </c>
      <c r="G29" s="43">
        <f t="shared" si="2"/>
        <v>17628.041652295189</v>
      </c>
      <c r="H29" s="43">
        <v>21264.125539779001</v>
      </c>
      <c r="I29" s="43">
        <v>1498.0640107802201</v>
      </c>
      <c r="J29" s="44">
        <v>0.82784500000000005</v>
      </c>
      <c r="K29" s="43">
        <f t="shared" si="12"/>
        <v>19101.464018258568</v>
      </c>
      <c r="M29" s="43">
        <v>2085.6108666666669</v>
      </c>
      <c r="N29" s="43">
        <v>560.34188345800658</v>
      </c>
      <c r="O29" s="43">
        <f t="shared" si="0"/>
        <v>1168655.1211884855</v>
      </c>
      <c r="P29" s="43">
        <v>2055.9188024556502</v>
      </c>
      <c r="Q29" s="43">
        <v>570.89819564757352</v>
      </c>
      <c r="R29" s="43">
        <f t="shared" si="4"/>
        <v>1173720.3347198509</v>
      </c>
      <c r="S29" s="41"/>
      <c r="T29" s="43">
        <v>62855.7</v>
      </c>
      <c r="U29" s="43">
        <v>34148.1</v>
      </c>
      <c r="V29" s="53">
        <f t="shared" si="5"/>
        <v>0.54327769796533965</v>
      </c>
      <c r="W29" s="35">
        <v>0.54232768700679201</v>
      </c>
      <c r="Y29" s="43">
        <v>24573.3</v>
      </c>
      <c r="Z29" s="43">
        <v>23219</v>
      </c>
      <c r="AA29" s="44">
        <f t="shared" si="13"/>
        <v>5.5112662930904666E-2</v>
      </c>
      <c r="AB29" s="35">
        <v>2.8722951592213601E-2</v>
      </c>
      <c r="AD29" s="57" t="s">
        <v>75</v>
      </c>
      <c r="AE29" s="45">
        <f t="shared" si="8"/>
        <v>1.0718755737078436</v>
      </c>
      <c r="AF29" s="45">
        <v>1.0184991261885199</v>
      </c>
      <c r="AG29" s="53">
        <f t="shared" si="9"/>
        <v>-2.2551113413106449E-2</v>
      </c>
      <c r="AH29" s="40"/>
      <c r="AI29" s="57" t="s">
        <v>75</v>
      </c>
      <c r="AJ29" s="42">
        <f t="shared" si="6"/>
        <v>522523.59306057193</v>
      </c>
      <c r="AK29" s="43">
        <f t="shared" si="10"/>
        <v>523951.68247711117</v>
      </c>
      <c r="AL29" s="44">
        <f t="shared" si="7"/>
        <v>-2.7256128080123581E-3</v>
      </c>
      <c r="AM29" s="44">
        <f t="shared" si="11"/>
        <v>-5.6154291886511776E-2</v>
      </c>
      <c r="AO29" s="37"/>
      <c r="AP29" s="37"/>
      <c r="AQ29" s="38"/>
      <c r="AR29" s="37"/>
      <c r="AS29" s="37"/>
      <c r="AT29" s="38"/>
    </row>
    <row r="30" spans="1:46">
      <c r="A30" s="57" t="s">
        <v>76</v>
      </c>
      <c r="B30" s="43">
        <v>501684.99681737344</v>
      </c>
      <c r="D30" s="43">
        <v>20117.2</v>
      </c>
      <c r="E30" s="43">
        <v>1478.5</v>
      </c>
      <c r="F30" s="44">
        <v>0.80269948234469124</v>
      </c>
      <c r="G30" s="43">
        <f t="shared" si="2"/>
        <v>17626.566026224624</v>
      </c>
      <c r="H30" s="43">
        <v>20832.368955181399</v>
      </c>
      <c r="I30" s="43">
        <v>1479.13004949019</v>
      </c>
      <c r="J30" s="44">
        <v>0.82784500000000005</v>
      </c>
      <c r="K30" s="43">
        <f t="shared" si="12"/>
        <v>18725.102527192339</v>
      </c>
      <c r="M30" s="43">
        <v>2090.9821333333334</v>
      </c>
      <c r="N30" s="43">
        <v>554.40823842778673</v>
      </c>
      <c r="O30" s="43">
        <f t="shared" si="0"/>
        <v>1159257.7211253089</v>
      </c>
      <c r="P30" s="43">
        <v>2062.49080490195</v>
      </c>
      <c r="Q30" s="43">
        <v>558.16699999607943</v>
      </c>
      <c r="R30" s="43">
        <f t="shared" si="4"/>
        <v>1151214.3050916207</v>
      </c>
      <c r="S30" s="41"/>
      <c r="T30" s="43">
        <v>59503.1</v>
      </c>
      <c r="U30" s="43">
        <v>32424.6</v>
      </c>
      <c r="V30" s="53">
        <f t="shared" si="5"/>
        <v>0.54492286956477898</v>
      </c>
      <c r="W30" s="35">
        <v>0.54325770909398197</v>
      </c>
      <c r="Y30" s="43">
        <v>23078.7</v>
      </c>
      <c r="Z30" s="43">
        <v>23429.8</v>
      </c>
      <c r="AA30" s="44">
        <f t="shared" si="13"/>
        <v>-1.5213161919865437E-2</v>
      </c>
      <c r="AB30" s="35">
        <v>2.3445659599380601E-2</v>
      </c>
      <c r="AD30" s="57" t="s">
        <v>76</v>
      </c>
      <c r="AE30" s="45">
        <f t="shared" si="8"/>
        <v>0.92375516022710902</v>
      </c>
      <c r="AF30" s="45">
        <v>1.0035144169532999</v>
      </c>
      <c r="AG30" s="53">
        <f t="shared" si="9"/>
        <v>-1.4712540099368177E-2</v>
      </c>
      <c r="AH30" s="40"/>
      <c r="AI30" s="57" t="s">
        <v>76</v>
      </c>
      <c r="AJ30" s="42">
        <f t="shared" si="6"/>
        <v>501684.99681737344</v>
      </c>
      <c r="AK30" s="43">
        <f t="shared" si="10"/>
        <v>505356.87026060064</v>
      </c>
      <c r="AL30" s="44">
        <f t="shared" si="7"/>
        <v>-7.265901898857543E-3</v>
      </c>
      <c r="AM30" s="44">
        <f t="shared" si="11"/>
        <v>-3.5489555312808507E-2</v>
      </c>
      <c r="AO30" s="37"/>
      <c r="AP30" s="37"/>
      <c r="AQ30" s="38"/>
      <c r="AR30" s="37"/>
      <c r="AS30" s="37"/>
      <c r="AT30" s="38"/>
    </row>
    <row r="31" spans="1:46">
      <c r="A31" s="57" t="s">
        <v>77</v>
      </c>
      <c r="B31" s="43">
        <v>468658.16167911794</v>
      </c>
      <c r="D31" s="43">
        <v>20501</v>
      </c>
      <c r="E31" s="43">
        <v>1460.3</v>
      </c>
      <c r="F31" s="44">
        <v>0.82947020449778019</v>
      </c>
      <c r="G31" s="43">
        <f t="shared" si="2"/>
        <v>18465.268662408991</v>
      </c>
      <c r="H31" s="43">
        <v>20444.0224799588</v>
      </c>
      <c r="I31" s="43">
        <v>1458.7058017583399</v>
      </c>
      <c r="J31" s="44">
        <v>0.82784500000000005</v>
      </c>
      <c r="K31" s="43">
        <f t="shared" si="12"/>
        <v>18383.187591679834</v>
      </c>
      <c r="M31" s="43">
        <v>2093.7543999999998</v>
      </c>
      <c r="N31" s="43">
        <v>540.66009748481758</v>
      </c>
      <c r="O31" s="43">
        <f t="shared" si="0"/>
        <v>1132009.4580132656</v>
      </c>
      <c r="P31" s="43">
        <v>2068.1451740819102</v>
      </c>
      <c r="Q31" s="43">
        <v>546.31359463342756</v>
      </c>
      <c r="R31" s="43">
        <f t="shared" si="4"/>
        <v>1129855.8242764641</v>
      </c>
      <c r="S31" s="41"/>
      <c r="T31" s="43">
        <v>57465</v>
      </c>
      <c r="U31" s="43">
        <v>31541.5</v>
      </c>
      <c r="V31" s="53">
        <f t="shared" si="5"/>
        <v>0.54888192813016623</v>
      </c>
      <c r="W31" s="35">
        <v>0.54421759270951298</v>
      </c>
      <c r="Y31" s="43">
        <v>21902</v>
      </c>
      <c r="Z31" s="43">
        <v>22724.6</v>
      </c>
      <c r="AA31" s="44">
        <f t="shared" si="13"/>
        <v>-3.7558213861747625E-2</v>
      </c>
      <c r="AB31" s="35">
        <v>2.1529524313795501E-2</v>
      </c>
      <c r="AD31" s="57" t="s">
        <v>77</v>
      </c>
      <c r="AE31" s="45">
        <f t="shared" si="8"/>
        <v>0.87083122658584811</v>
      </c>
      <c r="AF31" s="45">
        <v>0.99933290465033098</v>
      </c>
      <c r="AG31" s="53">
        <f t="shared" si="9"/>
        <v>-4.1668681907571781E-3</v>
      </c>
      <c r="AH31" s="40"/>
      <c r="AI31" s="57" t="s">
        <v>77</v>
      </c>
      <c r="AJ31" s="42">
        <f t="shared" si="6"/>
        <v>468658.16167911794</v>
      </c>
      <c r="AK31" s="43">
        <f t="shared" si="10"/>
        <v>482395.1436529659</v>
      </c>
      <c r="AL31" s="44">
        <f t="shared" si="7"/>
        <v>-2.8476617467215453E-2</v>
      </c>
      <c r="AM31" s="44">
        <f t="shared" si="11"/>
        <v>-4.5436656665603259E-2</v>
      </c>
      <c r="AO31" s="37"/>
      <c r="AP31" s="37"/>
      <c r="AQ31" s="38"/>
      <c r="AR31" s="37"/>
      <c r="AS31" s="37"/>
      <c r="AT31" s="38"/>
    </row>
    <row r="32" spans="1:46">
      <c r="A32" s="57" t="s">
        <v>78</v>
      </c>
      <c r="B32" s="43">
        <v>445129.41915783682</v>
      </c>
      <c r="D32" s="43">
        <v>20119.8</v>
      </c>
      <c r="E32" s="43">
        <v>1443.4</v>
      </c>
      <c r="F32" s="44">
        <v>0.81524850440541596</v>
      </c>
      <c r="G32" s="43">
        <f t="shared" si="2"/>
        <v>17846.036858936088</v>
      </c>
      <c r="H32" s="43">
        <v>20106.651998546098</v>
      </c>
      <c r="I32" s="43">
        <v>1437.7331214242699</v>
      </c>
      <c r="J32" s="44">
        <v>0.82784500000000005</v>
      </c>
      <c r="K32" s="43">
        <f t="shared" si="12"/>
        <v>18082.924445160665</v>
      </c>
      <c r="M32" s="43">
        <v>2055.635733333334</v>
      </c>
      <c r="N32" s="43">
        <v>521.4729421695323</v>
      </c>
      <c r="O32" s="43">
        <f t="shared" si="0"/>
        <v>1071958.4138901578</v>
      </c>
      <c r="P32" s="43">
        <v>2072.65019698881</v>
      </c>
      <c r="Q32" s="43">
        <v>535.57759675627949</v>
      </c>
      <c r="R32" s="43">
        <f t="shared" si="4"/>
        <v>1110065.011419696</v>
      </c>
      <c r="S32" s="41"/>
      <c r="T32" s="43">
        <v>52928.2</v>
      </c>
      <c r="U32" s="43">
        <v>28004.6</v>
      </c>
      <c r="V32" s="53">
        <f t="shared" si="5"/>
        <v>0.52910546740678888</v>
      </c>
      <c r="W32" s="35">
        <v>0.54519651184329898</v>
      </c>
      <c r="Y32" s="43">
        <v>21062.1</v>
      </c>
      <c r="Z32" s="43">
        <v>21646</v>
      </c>
      <c r="AA32" s="44">
        <f t="shared" si="13"/>
        <v>-2.7722781678940045E-2</v>
      </c>
      <c r="AB32" s="35">
        <v>2.36553251690544E-2</v>
      </c>
      <c r="AD32" s="57" t="s">
        <v>78</v>
      </c>
      <c r="AE32" s="45">
        <f t="shared" si="8"/>
        <v>0.87764641775517416</v>
      </c>
      <c r="AF32" s="45">
        <v>1.0074467030033301</v>
      </c>
      <c r="AG32" s="53">
        <f t="shared" si="9"/>
        <v>8.1192146433306522E-3</v>
      </c>
      <c r="AH32" s="40"/>
      <c r="AI32" s="57" t="s">
        <v>78</v>
      </c>
      <c r="AJ32" s="42">
        <f t="shared" si="6"/>
        <v>445129.41915783682</v>
      </c>
      <c r="AK32" s="43">
        <f t="shared" si="10"/>
        <v>467019.70500080922</v>
      </c>
      <c r="AL32" s="44">
        <f t="shared" si="7"/>
        <v>-4.6872295983601958E-2</v>
      </c>
      <c r="AM32" s="44">
        <f t="shared" si="11"/>
        <v>-3.1873120727802684E-2</v>
      </c>
      <c r="AO32" s="37"/>
      <c r="AP32" s="37"/>
      <c r="AQ32" s="38"/>
      <c r="AR32" s="37"/>
      <c r="AS32" s="37"/>
      <c r="AT32" s="38"/>
    </row>
    <row r="33" spans="1:46">
      <c r="A33" s="57" t="s">
        <v>79</v>
      </c>
      <c r="B33" s="43">
        <v>441477.07590113312</v>
      </c>
      <c r="D33" s="43">
        <v>19455.599999999999</v>
      </c>
      <c r="E33" s="43">
        <v>1406.4</v>
      </c>
      <c r="F33" s="44">
        <v>0.82184488674126488</v>
      </c>
      <c r="G33" s="43">
        <f t="shared" si="2"/>
        <v>17395.885378483352</v>
      </c>
      <c r="H33" s="43">
        <v>19828.393170578602</v>
      </c>
      <c r="I33" s="43">
        <v>1417.16980431002</v>
      </c>
      <c r="J33" s="44">
        <v>0.82784500000000005</v>
      </c>
      <c r="K33" s="43">
        <f t="shared" si="12"/>
        <v>17832.005948607661</v>
      </c>
      <c r="M33" s="43">
        <v>2088.5563999999999</v>
      </c>
      <c r="N33" s="43">
        <v>504.21138608240295</v>
      </c>
      <c r="O33" s="43">
        <f t="shared" si="0"/>
        <v>1053073.9173552736</v>
      </c>
      <c r="P33" s="43">
        <v>2076.0302528751399</v>
      </c>
      <c r="Q33" s="43">
        <v>526.1529486621663</v>
      </c>
      <c r="R33" s="43">
        <f t="shared" si="4"/>
        <v>1092309.4390621176</v>
      </c>
      <c r="S33" s="41"/>
      <c r="T33" s="43">
        <v>50690.3</v>
      </c>
      <c r="U33" s="43">
        <v>27225.7</v>
      </c>
      <c r="V33" s="53">
        <f t="shared" si="5"/>
        <v>0.53709881377699475</v>
      </c>
      <c r="W33" s="35">
        <v>0.54623028383946004</v>
      </c>
      <c r="Y33" s="43">
        <v>19803.2</v>
      </c>
      <c r="Z33" s="43">
        <v>20116.3</v>
      </c>
      <c r="AA33" s="44">
        <f t="shared" si="13"/>
        <v>-1.5810576068514104E-2</v>
      </c>
      <c r="AB33" s="35">
        <v>2.99129642169953E-2</v>
      </c>
      <c r="AD33" s="57" t="s">
        <v>79</v>
      </c>
      <c r="AE33" s="45">
        <f t="shared" si="8"/>
        <v>0.90610146243494161</v>
      </c>
      <c r="AF33" s="45">
        <v>1.02806290895551</v>
      </c>
      <c r="AG33" s="53">
        <f t="shared" si="9"/>
        <v>2.0463817977388166E-2</v>
      </c>
      <c r="AH33" s="40"/>
      <c r="AI33" s="57" t="s">
        <v>79</v>
      </c>
      <c r="AJ33" s="42">
        <f t="shared" si="6"/>
        <v>441477.07590113312</v>
      </c>
      <c r="AK33" s="43">
        <f t="shared" si="10"/>
        <v>465314.49948805349</v>
      </c>
      <c r="AL33" s="44">
        <f t="shared" si="7"/>
        <v>-5.1228628407553788E-2</v>
      </c>
      <c r="AM33" s="44">
        <f t="shared" si="11"/>
        <v>-3.6512496035959741E-3</v>
      </c>
      <c r="AO33" s="37"/>
      <c r="AP33" s="37"/>
      <c r="AQ33" s="38"/>
      <c r="AR33" s="37"/>
      <c r="AS33" s="37"/>
      <c r="AT33" s="38"/>
    </row>
    <row r="34" spans="1:46">
      <c r="A34" s="57" t="s">
        <v>80</v>
      </c>
      <c r="B34" s="43">
        <v>449019.97389370791</v>
      </c>
      <c r="D34" s="43">
        <v>19285.8</v>
      </c>
      <c r="E34" s="43">
        <v>1377.9</v>
      </c>
      <c r="F34" s="44">
        <v>0.81732443470112026</v>
      </c>
      <c r="G34" s="43">
        <f t="shared" si="2"/>
        <v>17140.655582758864</v>
      </c>
      <c r="H34" s="43">
        <v>19617.513135706198</v>
      </c>
      <c r="I34" s="43">
        <v>1398.0303150233599</v>
      </c>
      <c r="J34" s="44">
        <v>0.82784500000000005</v>
      </c>
      <c r="K34" s="43">
        <f t="shared" si="12"/>
        <v>17638.29047685206</v>
      </c>
      <c r="M34" s="43">
        <v>2090.4623333333334</v>
      </c>
      <c r="N34" s="43">
        <v>501.52420233814854</v>
      </c>
      <c r="O34" s="43">
        <f t="shared" si="0"/>
        <v>1048417.4542429448</v>
      </c>
      <c r="P34" s="43">
        <v>2078.1395763568298</v>
      </c>
      <c r="Q34" s="43">
        <v>518.14616247855122</v>
      </c>
      <c r="R34" s="43">
        <f t="shared" si="4"/>
        <v>1076780.0465840935</v>
      </c>
      <c r="S34" s="41"/>
      <c r="T34" s="43">
        <v>52853.5</v>
      </c>
      <c r="U34" s="43">
        <v>29241.9</v>
      </c>
      <c r="V34" s="53">
        <f t="shared" si="5"/>
        <v>0.55326326544126692</v>
      </c>
      <c r="W34" s="35">
        <v>0.54719381559775304</v>
      </c>
      <c r="Y34" s="43">
        <v>19963.8</v>
      </c>
      <c r="Z34" s="43">
        <v>19690.3</v>
      </c>
      <c r="AA34" s="44">
        <f t="shared" si="13"/>
        <v>1.3699796631903793E-2</v>
      </c>
      <c r="AB34" s="35">
        <v>3.9878562440975797E-2</v>
      </c>
      <c r="AD34" s="57" t="s">
        <v>80</v>
      </c>
      <c r="AE34" s="45">
        <f t="shared" si="8"/>
        <v>0.97418413239525325</v>
      </c>
      <c r="AF34" s="45">
        <v>1.0600906165980599</v>
      </c>
      <c r="AG34" s="53">
        <f t="shared" si="9"/>
        <v>3.1153451178478342E-2</v>
      </c>
      <c r="AH34" s="40"/>
      <c r="AI34" s="57" t="s">
        <v>80</v>
      </c>
      <c r="AJ34" s="42">
        <f t="shared" si="6"/>
        <v>449019.97389370791</v>
      </c>
      <c r="AK34" s="43">
        <f>AF34*((B34*W34)^W34)*(K34^(AB34*(1-W34)))*(R34^((1-AB34)*(1-W34)))</f>
        <v>472150.41020149359</v>
      </c>
      <c r="AL34" s="44">
        <f t="shared" si="7"/>
        <v>-4.8989550380597158E-2</v>
      </c>
      <c r="AM34" s="44">
        <f t="shared" si="11"/>
        <v>1.4690947135670873E-2</v>
      </c>
      <c r="AO34" s="37"/>
      <c r="AP34" s="37"/>
      <c r="AQ34" s="38"/>
      <c r="AR34" s="37"/>
      <c r="AS34" s="37"/>
      <c r="AT34" s="38"/>
    </row>
    <row r="35" spans="1:46">
      <c r="A35" s="57" t="s">
        <v>81</v>
      </c>
      <c r="B35" s="43">
        <v>486748.93760943471</v>
      </c>
      <c r="D35" s="43">
        <v>18955.5</v>
      </c>
      <c r="E35" s="43">
        <v>1352.7</v>
      </c>
      <c r="F35" s="44">
        <v>0.82828787227443701</v>
      </c>
      <c r="G35" s="43">
        <f t="shared" si="2"/>
        <v>17053.310762898091</v>
      </c>
      <c r="H35" s="43">
        <v>19478.551101872999</v>
      </c>
      <c r="I35" s="43">
        <v>1381.2214201289901</v>
      </c>
      <c r="J35" s="44">
        <v>0.82784500000000005</v>
      </c>
      <c r="K35" s="43">
        <f t="shared" si="12"/>
        <v>17506.442557059047</v>
      </c>
      <c r="M35" s="43">
        <v>2092.7148000000002</v>
      </c>
      <c r="N35" s="43">
        <v>503.53490434140031</v>
      </c>
      <c r="O35" s="43">
        <f t="shared" si="0"/>
        <v>1053754.9466318327</v>
      </c>
      <c r="P35" s="43">
        <v>2078.9576635210501</v>
      </c>
      <c r="Q35" s="43">
        <v>511.51863517977591</v>
      </c>
      <c r="R35" s="43">
        <f t="shared" si="4"/>
        <v>1063425.5866408234</v>
      </c>
      <c r="S35" s="41"/>
      <c r="T35" s="43">
        <v>53352.800000000003</v>
      </c>
      <c r="U35" s="43">
        <v>29905.3</v>
      </c>
      <c r="V35" s="53">
        <f t="shared" si="5"/>
        <v>0.56051978527837332</v>
      </c>
      <c r="W35" s="35">
        <v>0.54787069931730903</v>
      </c>
      <c r="Y35" s="43">
        <v>19822.8</v>
      </c>
      <c r="Z35" s="43">
        <v>19499.8</v>
      </c>
      <c r="AA35" s="44">
        <f t="shared" si="13"/>
        <v>1.6294368101378187E-2</v>
      </c>
      <c r="AB35" s="35">
        <v>5.2671005421493403E-2</v>
      </c>
      <c r="AD35" s="57" t="s">
        <v>81</v>
      </c>
      <c r="AE35" s="45">
        <f t="shared" si="8"/>
        <v>1.0146770144053623</v>
      </c>
      <c r="AF35" s="45">
        <v>1.10121930555658</v>
      </c>
      <c r="AG35" s="53">
        <f t="shared" si="9"/>
        <v>3.8797333279400492E-2</v>
      </c>
      <c r="AH35" s="40"/>
      <c r="AI35" s="57" t="s">
        <v>81</v>
      </c>
      <c r="AJ35" s="42">
        <f t="shared" si="6"/>
        <v>486748.93760943471</v>
      </c>
      <c r="AK35" s="43">
        <f t="shared" si="10"/>
        <v>497724.65998266928</v>
      </c>
      <c r="AL35" s="44">
        <f t="shared" si="7"/>
        <v>-2.2051795411577049E-2</v>
      </c>
      <c r="AM35" s="44">
        <f t="shared" si="11"/>
        <v>5.4165471910236684E-2</v>
      </c>
      <c r="AO35" s="37"/>
      <c r="AP35" s="37"/>
      <c r="AQ35" s="38"/>
      <c r="AR35" s="37"/>
      <c r="AS35" s="37"/>
      <c r="AT35" s="38"/>
    </row>
    <row r="36" spans="1:46">
      <c r="A36" s="57" t="s">
        <v>82</v>
      </c>
      <c r="B36" s="43">
        <v>483928.61031785968</v>
      </c>
      <c r="D36" s="43">
        <v>18809.300000000003</v>
      </c>
      <c r="E36" s="43">
        <v>1340.1</v>
      </c>
      <c r="F36" s="44">
        <v>0.82018173665614291</v>
      </c>
      <c r="G36" s="43">
        <f t="shared" si="2"/>
        <v>16767.144339286391</v>
      </c>
      <c r="H36" s="43">
        <v>19412.729145665999</v>
      </c>
      <c r="I36" s="43">
        <v>1367.4485830413601</v>
      </c>
      <c r="J36" s="44">
        <v>0.82784500000000005</v>
      </c>
      <c r="K36" s="43">
        <f t="shared" si="12"/>
        <v>17438.179342635231</v>
      </c>
      <c r="M36" s="43">
        <v>2068.4574666666672</v>
      </c>
      <c r="N36" s="43">
        <v>500.09838364605929</v>
      </c>
      <c r="O36" s="43">
        <f t="shared" si="0"/>
        <v>1034432.2357206228</v>
      </c>
      <c r="P36" s="43">
        <v>2078.5872380247301</v>
      </c>
      <c r="Q36" s="43">
        <v>506.10828273030887</v>
      </c>
      <c r="R36" s="43">
        <f t="shared" si="4"/>
        <v>1051990.217541832</v>
      </c>
      <c r="S36" s="41"/>
      <c r="T36" s="43">
        <v>58306</v>
      </c>
      <c r="U36" s="43">
        <v>32955.300000000003</v>
      </c>
      <c r="V36" s="53">
        <f t="shared" si="5"/>
        <v>0.56521284258909898</v>
      </c>
      <c r="W36" s="35">
        <v>0.54810522169569198</v>
      </c>
      <c r="Y36" s="43">
        <v>21651.599999999999</v>
      </c>
      <c r="Z36" s="43">
        <v>19274.8</v>
      </c>
      <c r="AA36" s="44">
        <f t="shared" si="13"/>
        <v>0.10977479724362171</v>
      </c>
      <c r="AB36" s="35">
        <v>6.7147391080955895E-2</v>
      </c>
      <c r="AD36" s="57" t="s">
        <v>82</v>
      </c>
      <c r="AE36" s="45">
        <f t="shared" si="8"/>
        <v>1.2079628062717005</v>
      </c>
      <c r="AF36" s="45">
        <v>1.1482793906147299</v>
      </c>
      <c r="AG36" s="53">
        <f t="shared" si="9"/>
        <v>4.2734526011932505E-2</v>
      </c>
      <c r="AH36" s="40"/>
      <c r="AI36" s="57" t="s">
        <v>82</v>
      </c>
      <c r="AJ36" s="42">
        <f t="shared" si="6"/>
        <v>483928.61031785968</v>
      </c>
      <c r="AK36" s="43">
        <f t="shared" si="10"/>
        <v>501261.63660952402</v>
      </c>
      <c r="AL36" s="44">
        <f t="shared" si="7"/>
        <v>-3.4578800821269573E-2</v>
      </c>
      <c r="AM36" s="44">
        <f t="shared" si="11"/>
        <v>7.1062917135307213E-3</v>
      </c>
      <c r="AO36" s="37"/>
      <c r="AP36" s="37"/>
      <c r="AQ36" s="38"/>
      <c r="AR36" s="37"/>
      <c r="AS36" s="37"/>
      <c r="AT36" s="38"/>
    </row>
    <row r="37" spans="1:46">
      <c r="A37" s="57" t="s">
        <v>83</v>
      </c>
      <c r="B37" s="43">
        <v>545260.32700008084</v>
      </c>
      <c r="D37" s="43">
        <v>19168.599999999999</v>
      </c>
      <c r="E37" s="43">
        <v>1329.7</v>
      </c>
      <c r="F37" s="44">
        <v>0.8309276485655982</v>
      </c>
      <c r="G37" s="43">
        <f t="shared" si="2"/>
        <v>17257.419724294523</v>
      </c>
      <c r="H37" s="43">
        <v>19416.038832653499</v>
      </c>
      <c r="I37" s="43">
        <v>1357.1320529736099</v>
      </c>
      <c r="J37" s="44">
        <v>0.82784500000000005</v>
      </c>
      <c r="K37" s="43">
        <f t="shared" si="12"/>
        <v>17430.602720391649</v>
      </c>
      <c r="M37" s="43">
        <v>2046.7991333333337</v>
      </c>
      <c r="N37" s="43">
        <v>506.82191189504192</v>
      </c>
      <c r="O37" s="43">
        <f t="shared" si="0"/>
        <v>1037362.650021115</v>
      </c>
      <c r="P37" s="43">
        <v>2077.2685948896201</v>
      </c>
      <c r="Q37" s="43">
        <v>501.70783432242024</v>
      </c>
      <c r="R37" s="43">
        <f t="shared" si="4"/>
        <v>1042181.9280480482</v>
      </c>
      <c r="S37" s="41"/>
      <c r="T37" s="43">
        <v>59448.1</v>
      </c>
      <c r="U37" s="43">
        <v>33031.300000000003</v>
      </c>
      <c r="V37" s="53">
        <f t="shared" si="5"/>
        <v>0.55563256016592633</v>
      </c>
      <c r="W37" s="35">
        <v>0.54786816029007301</v>
      </c>
      <c r="Y37" s="43">
        <v>22199.3</v>
      </c>
      <c r="Z37" s="43">
        <v>19945.599999999999</v>
      </c>
      <c r="AA37" s="44">
        <f t="shared" si="13"/>
        <v>0.10152121913754042</v>
      </c>
      <c r="AB37" s="35">
        <v>8.18010509685662E-2</v>
      </c>
      <c r="AD37" s="57" t="s">
        <v>83</v>
      </c>
      <c r="AE37" s="45">
        <f t="shared" si="8"/>
        <v>1.2529509550086226</v>
      </c>
      <c r="AF37" s="45">
        <v>1.1972358636445799</v>
      </c>
      <c r="AG37" s="53">
        <f t="shared" si="9"/>
        <v>4.2634635289971801E-2</v>
      </c>
      <c r="AH37" s="40"/>
      <c r="AI37" s="57" t="s">
        <v>83</v>
      </c>
      <c r="AJ37" s="42">
        <f t="shared" si="6"/>
        <v>545260.32700008084</v>
      </c>
      <c r="AK37" s="43">
        <f t="shared" si="10"/>
        <v>540887.2041414408</v>
      </c>
      <c r="AL37" s="44">
        <f t="shared" si="7"/>
        <v>8.0850920952762594E-3</v>
      </c>
      <c r="AM37" s="44">
        <f t="shared" si="11"/>
        <v>7.905166611181258E-2</v>
      </c>
      <c r="AO37" s="37"/>
      <c r="AP37" s="37"/>
      <c r="AQ37" s="38"/>
      <c r="AR37" s="37"/>
      <c r="AS37" s="37"/>
      <c r="AT37" s="38"/>
    </row>
    <row r="38" spans="1:46">
      <c r="A38" s="57" t="s">
        <v>84</v>
      </c>
      <c r="B38" s="43">
        <v>576265.23792121804</v>
      </c>
      <c r="D38" s="43">
        <v>19493.300000000003</v>
      </c>
      <c r="E38" s="43">
        <v>1306.0999999999999</v>
      </c>
      <c r="F38" s="44">
        <v>0.86021596084353424</v>
      </c>
      <c r="G38" s="43">
        <f t="shared" si="2"/>
        <v>18074.547789511267</v>
      </c>
      <c r="H38" s="43">
        <v>19478.437436947199</v>
      </c>
      <c r="I38" s="43">
        <v>1350.41859330851</v>
      </c>
      <c r="J38" s="44">
        <v>0.82784500000000005</v>
      </c>
      <c r="K38" s="43">
        <f t="shared" si="12"/>
        <v>17475.545633298065</v>
      </c>
      <c r="M38" s="43">
        <v>2078.8534666666669</v>
      </c>
      <c r="N38" s="43">
        <v>502.45036586146904</v>
      </c>
      <c r="O38" s="43">
        <f t="shared" si="0"/>
        <v>1044520.68489905</v>
      </c>
      <c r="P38" s="43">
        <v>2075.14073142385</v>
      </c>
      <c r="Q38" s="43">
        <v>498.06839522401111</v>
      </c>
      <c r="R38" s="43">
        <f t="shared" si="4"/>
        <v>1033562.0139642576</v>
      </c>
      <c r="S38" s="41"/>
      <c r="T38" s="43">
        <v>60891.3</v>
      </c>
      <c r="U38" s="43">
        <v>32996.6</v>
      </c>
      <c r="V38" s="53">
        <f t="shared" si="5"/>
        <v>0.54189350531192459</v>
      </c>
      <c r="W38" s="35">
        <v>0.547301368866557</v>
      </c>
      <c r="Y38" s="43">
        <v>23189.5</v>
      </c>
      <c r="Z38" s="43">
        <v>19825.599999999999</v>
      </c>
      <c r="AA38" s="44">
        <f t="shared" si="13"/>
        <v>0.14506134241790469</v>
      </c>
      <c r="AB38" s="35">
        <v>9.5551590695157604E-2</v>
      </c>
      <c r="AD38" s="57" t="s">
        <v>84</v>
      </c>
      <c r="AE38" s="45">
        <f t="shared" si="8"/>
        <v>1.3897766447463269</v>
      </c>
      <c r="AF38" s="45">
        <v>1.24465055067507</v>
      </c>
      <c r="AG38" s="53">
        <f t="shared" si="9"/>
        <v>3.9603463670184524E-2</v>
      </c>
      <c r="AH38" s="40"/>
      <c r="AI38" s="57" t="s">
        <v>84</v>
      </c>
      <c r="AJ38" s="42">
        <f t="shared" si="6"/>
        <v>576265.23792121804</v>
      </c>
      <c r="AK38" s="43">
        <f t="shared" si="10"/>
        <v>563133.3224047228</v>
      </c>
      <c r="AL38" s="44">
        <f t="shared" si="7"/>
        <v>2.3319372152261587E-2</v>
      </c>
      <c r="AM38" s="44">
        <f t="shared" si="11"/>
        <v>4.1128941659090756E-2</v>
      </c>
      <c r="AO38" s="37"/>
      <c r="AP38" s="37"/>
      <c r="AQ38" s="38"/>
      <c r="AR38" s="37"/>
      <c r="AS38" s="37"/>
      <c r="AT38" s="38"/>
    </row>
    <row r="39" spans="1:46">
      <c r="A39" s="57" t="s">
        <v>85</v>
      </c>
      <c r="B39" s="43">
        <v>597005.03327586385</v>
      </c>
      <c r="D39" s="43">
        <v>19687</v>
      </c>
      <c r="E39" s="43">
        <v>1321</v>
      </c>
      <c r="F39" s="44">
        <v>0.8636903548096978</v>
      </c>
      <c r="G39" s="43">
        <f t="shared" si="2"/>
        <v>18324.472015138519</v>
      </c>
      <c r="H39" s="43">
        <v>19587.407844332</v>
      </c>
      <c r="I39" s="43">
        <v>1347.1806468990701</v>
      </c>
      <c r="J39" s="44">
        <v>0.82784500000000005</v>
      </c>
      <c r="K39" s="43">
        <f t="shared" si="12"/>
        <v>17562.518293790094</v>
      </c>
      <c r="M39" s="43">
        <v>2101.2048666666669</v>
      </c>
      <c r="N39" s="43">
        <v>494.74849043027524</v>
      </c>
      <c r="O39" s="43">
        <f t="shared" si="0"/>
        <v>1039567.9358680812</v>
      </c>
      <c r="P39" s="43">
        <v>2072.0379503200202</v>
      </c>
      <c r="Q39" s="43">
        <v>494.993451469165</v>
      </c>
      <c r="R39" s="43">
        <f t="shared" si="4"/>
        <v>1025645.216604001</v>
      </c>
      <c r="S39" s="41"/>
      <c r="T39" s="43">
        <v>62981.4</v>
      </c>
      <c r="U39" s="43">
        <v>33699.9</v>
      </c>
      <c r="V39" s="53">
        <f t="shared" si="5"/>
        <v>0.53507702274004709</v>
      </c>
      <c r="W39" s="35">
        <v>0.54662434519000802</v>
      </c>
      <c r="Y39" s="43">
        <v>24385.4</v>
      </c>
      <c r="Z39" s="43">
        <v>19954.7</v>
      </c>
      <c r="AA39" s="44">
        <f t="shared" si="13"/>
        <v>0.18169478458421839</v>
      </c>
      <c r="AB39" s="35">
        <v>0.107515817553257</v>
      </c>
      <c r="AD39" s="57" t="s">
        <v>85</v>
      </c>
      <c r="AE39" s="45">
        <f t="shared" si="8"/>
        <v>1.5187363192865315</v>
      </c>
      <c r="AF39" s="45">
        <v>1.2876424286486601</v>
      </c>
      <c r="AG39" s="53">
        <f t="shared" si="9"/>
        <v>3.4541324028878773E-2</v>
      </c>
      <c r="AH39" s="40"/>
      <c r="AI39" s="57" t="s">
        <v>85</v>
      </c>
      <c r="AJ39" s="42">
        <f t="shared" si="6"/>
        <v>597005.03327586385</v>
      </c>
      <c r="AK39" s="43">
        <f t="shared" si="10"/>
        <v>579209.76546665758</v>
      </c>
      <c r="AL39" s="44">
        <f t="shared" si="7"/>
        <v>3.0723355975997717E-2</v>
      </c>
      <c r="AM39" s="44">
        <f t="shared" si="11"/>
        <v>2.8548200616657304E-2</v>
      </c>
      <c r="AO39" s="37"/>
      <c r="AP39" s="37"/>
      <c r="AQ39" s="38"/>
      <c r="AR39" s="37"/>
      <c r="AS39" s="37"/>
      <c r="AT39" s="38"/>
    </row>
    <row r="40" spans="1:46">
      <c r="A40" s="57" t="s">
        <v>86</v>
      </c>
      <c r="B40" s="43">
        <v>591954.65616563207</v>
      </c>
      <c r="D40" s="43">
        <v>19724.5</v>
      </c>
      <c r="E40" s="43">
        <v>1344.5</v>
      </c>
      <c r="F40" s="44">
        <v>0.8539268500491014</v>
      </c>
      <c r="G40" s="43">
        <f t="shared" si="2"/>
        <v>18187.780153793501</v>
      </c>
      <c r="H40" s="43">
        <v>19730.581566223798</v>
      </c>
      <c r="I40" s="43">
        <v>1346.8474706652</v>
      </c>
      <c r="J40" s="44">
        <v>0.82784500000000005</v>
      </c>
      <c r="K40" s="43">
        <f t="shared" si="12"/>
        <v>17680.71076735574</v>
      </c>
      <c r="M40" s="43">
        <v>2078.6802000000002</v>
      </c>
      <c r="N40" s="43">
        <v>498.42111480473017</v>
      </c>
      <c r="O40" s="43">
        <f t="shared" si="0"/>
        <v>1036058.1026065196</v>
      </c>
      <c r="P40" s="43">
        <v>2067.83168162313</v>
      </c>
      <c r="Q40" s="43">
        <v>492.32077320968466</v>
      </c>
      <c r="R40" s="43">
        <f t="shared" si="4"/>
        <v>1018036.4923641818</v>
      </c>
      <c r="S40" s="41"/>
      <c r="T40" s="43">
        <v>65040.4</v>
      </c>
      <c r="U40" s="43">
        <v>34917.5</v>
      </c>
      <c r="V40" s="53">
        <f t="shared" si="5"/>
        <v>0.53685862940572315</v>
      </c>
      <c r="W40" s="35">
        <v>0.54600250838974396</v>
      </c>
      <c r="Y40" s="43">
        <v>25147.1</v>
      </c>
      <c r="Z40" s="43">
        <v>20513.099999999999</v>
      </c>
      <c r="AA40" s="44">
        <f t="shared" si="13"/>
        <v>0.18427572165378914</v>
      </c>
      <c r="AB40" s="35">
        <v>0.11730563635262201</v>
      </c>
      <c r="AD40" s="57" t="s">
        <v>86</v>
      </c>
      <c r="AE40" s="45">
        <f t="shared" si="8"/>
        <v>1.5215024886819182</v>
      </c>
      <c r="AF40" s="45">
        <v>1.3247817354481</v>
      </c>
      <c r="AG40" s="53">
        <f t="shared" si="9"/>
        <v>2.8842872814012877E-2</v>
      </c>
      <c r="AH40" s="40"/>
      <c r="AI40" s="57" t="s">
        <v>86</v>
      </c>
      <c r="AJ40" s="42">
        <f t="shared" si="6"/>
        <v>591954.65616563207</v>
      </c>
      <c r="AK40" s="43">
        <f t="shared" si="10"/>
        <v>580898.13822734565</v>
      </c>
      <c r="AL40" s="44">
        <f t="shared" si="7"/>
        <v>1.9033488335883138E-2</v>
      </c>
      <c r="AM40" s="44">
        <f t="shared" si="11"/>
        <v>2.9149590724317775E-3</v>
      </c>
      <c r="AO40" s="37"/>
      <c r="AP40" s="37"/>
      <c r="AQ40" s="38"/>
      <c r="AR40" s="37"/>
      <c r="AS40" s="37"/>
      <c r="AT40" s="38"/>
    </row>
    <row r="41" spans="1:46">
      <c r="A41" s="57" t="s">
        <v>87</v>
      </c>
      <c r="B41" s="43">
        <v>578817.48974194156</v>
      </c>
      <c r="D41" s="43">
        <v>20270</v>
      </c>
      <c r="E41" s="43">
        <v>1359.8</v>
      </c>
      <c r="F41" s="44">
        <v>0.85804502460534893</v>
      </c>
      <c r="G41" s="43">
        <f t="shared" si="2"/>
        <v>18752.372648750421</v>
      </c>
      <c r="H41" s="43">
        <v>19896.586035594701</v>
      </c>
      <c r="I41" s="43">
        <v>1348.58651505785</v>
      </c>
      <c r="J41" s="44">
        <v>0.82784500000000005</v>
      </c>
      <c r="K41" s="43">
        <f t="shared" si="12"/>
        <v>17819.875781694747</v>
      </c>
      <c r="M41" s="43">
        <v>2074.3485333333338</v>
      </c>
      <c r="N41" s="43">
        <v>503.61086818734481</v>
      </c>
      <c r="O41" s="43">
        <f t="shared" si="0"/>
        <v>1044664.4657951456</v>
      </c>
      <c r="P41" s="43">
        <v>2062.6850245416799</v>
      </c>
      <c r="Q41" s="43">
        <v>489.86417456731556</v>
      </c>
      <c r="R41" s="43">
        <f t="shared" si="4"/>
        <v>1010435.4969394731</v>
      </c>
      <c r="S41" s="41"/>
      <c r="T41" s="43">
        <v>65472.1</v>
      </c>
      <c r="U41" s="43">
        <v>35569.1</v>
      </c>
      <c r="V41" s="53">
        <f t="shared" si="5"/>
        <v>0.54327110326383299</v>
      </c>
      <c r="W41" s="35">
        <v>0.54548580437058403</v>
      </c>
      <c r="Y41" s="43">
        <v>24761.599999999999</v>
      </c>
      <c r="Z41" s="43">
        <v>22219.4</v>
      </c>
      <c r="AA41" s="44">
        <f t="shared" si="13"/>
        <v>0.10266703282501932</v>
      </c>
      <c r="AB41" s="35">
        <v>0.125274741573316</v>
      </c>
      <c r="AD41" s="57" t="s">
        <v>87</v>
      </c>
      <c r="AE41" s="45">
        <f t="shared" si="8"/>
        <v>1.2844122219728311</v>
      </c>
      <c r="AF41" s="45">
        <v>1.3569496478626399</v>
      </c>
      <c r="AG41" s="53">
        <f t="shared" si="9"/>
        <v>2.4281669616813772E-2</v>
      </c>
      <c r="AH41" s="40"/>
      <c r="AI41" s="57" t="s">
        <v>87</v>
      </c>
      <c r="AJ41" s="42">
        <f t="shared" si="6"/>
        <v>578817.48974194156</v>
      </c>
      <c r="AK41" s="43">
        <f>AF41*((B41*W41)^W41)*(K41^(AB41*(1-W41)))*(R41^((1-AB41)*(1-W41)))</f>
        <v>577634.58440136921</v>
      </c>
      <c r="AL41" s="44">
        <f t="shared" si="7"/>
        <v>2.0478436930819435E-3</v>
      </c>
      <c r="AM41" s="44">
        <f t="shared" si="11"/>
        <v>-5.6181172071499974E-3</v>
      </c>
      <c r="AO41" s="37"/>
      <c r="AP41" s="37"/>
      <c r="AQ41" s="38"/>
      <c r="AR41" s="37"/>
      <c r="AS41" s="37"/>
      <c r="AT41" s="38"/>
    </row>
    <row r="42" spans="1:46">
      <c r="A42" s="57" t="s">
        <v>88</v>
      </c>
      <c r="B42" s="43">
        <v>570532.1832492376</v>
      </c>
      <c r="D42" s="43">
        <v>20474.099999999999</v>
      </c>
      <c r="E42" s="43">
        <v>1378.7</v>
      </c>
      <c r="F42" s="44">
        <v>0.88227157290845415</v>
      </c>
      <c r="G42" s="43">
        <f t="shared" si="2"/>
        <v>19442.41641088498</v>
      </c>
      <c r="H42" s="43">
        <v>20073.987869754899</v>
      </c>
      <c r="I42" s="43">
        <v>1351.5417558213001</v>
      </c>
      <c r="J42" s="44">
        <v>0.82784500000000005</v>
      </c>
      <c r="K42" s="43">
        <f t="shared" si="12"/>
        <v>17969.692243858546</v>
      </c>
      <c r="M42" s="43">
        <v>2046.1060666666669</v>
      </c>
      <c r="N42" s="43">
        <v>498.80678007050886</v>
      </c>
      <c r="O42" s="43">
        <f t="shared" si="0"/>
        <v>1020611.5787967341</v>
      </c>
      <c r="P42" s="43">
        <v>2056.8695634679102</v>
      </c>
      <c r="Q42" s="43">
        <v>487.46262083239253</v>
      </c>
      <c r="R42" s="43">
        <f t="shared" si="4"/>
        <v>1002647.0281184467</v>
      </c>
      <c r="S42" s="41"/>
      <c r="T42" s="43">
        <v>66920.600000000006</v>
      </c>
      <c r="U42" s="43">
        <v>36899.800000000003</v>
      </c>
      <c r="V42" s="53">
        <f t="shared" si="5"/>
        <v>0.55139672985597854</v>
      </c>
      <c r="W42" s="35">
        <v>0.54503274024750903</v>
      </c>
      <c r="Y42" s="43">
        <v>24693.3</v>
      </c>
      <c r="Z42" s="43">
        <v>23391.599999999999</v>
      </c>
      <c r="AA42" s="44">
        <f t="shared" si="13"/>
        <v>5.2714703988531286E-2</v>
      </c>
      <c r="AB42" s="35">
        <v>0.13244652854841499</v>
      </c>
      <c r="AD42" s="57" t="s">
        <v>88</v>
      </c>
      <c r="AE42" s="45">
        <f t="shared" si="8"/>
        <v>1.1746935438571102</v>
      </c>
      <c r="AF42" s="45">
        <v>1.38699455021403</v>
      </c>
      <c r="AG42" s="53">
        <f t="shared" si="9"/>
        <v>2.2141501269936192E-2</v>
      </c>
      <c r="AH42" s="40"/>
      <c r="AI42" s="57" t="s">
        <v>88</v>
      </c>
      <c r="AJ42" s="42">
        <f t="shared" si="6"/>
        <v>570532.1832492376</v>
      </c>
      <c r="AK42" s="43">
        <f>AF42*((B42*W42)^W42)*(K42^(AB42*(1-W42)))*(R42^((1-AB42)*(1-W42)))</f>
        <v>576573.85523495974</v>
      </c>
      <c r="AL42" s="44">
        <f t="shared" si="7"/>
        <v>-1.047857430729339E-2</v>
      </c>
      <c r="AM42" s="44">
        <f t="shared" si="11"/>
        <v>-1.8363325102993544E-3</v>
      </c>
      <c r="AO42" s="37"/>
      <c r="AP42" s="37"/>
      <c r="AQ42" s="38"/>
      <c r="AR42" s="37"/>
      <c r="AS42" s="37"/>
      <c r="AT42" s="38"/>
    </row>
    <row r="43" spans="1:46" outlineLevel="1">
      <c r="A43" s="57" t="s">
        <v>89</v>
      </c>
      <c r="B43" s="43">
        <v>576350.4384254975</v>
      </c>
      <c r="D43" s="43">
        <v>20624.899999999998</v>
      </c>
      <c r="E43" s="43">
        <v>1402.2</v>
      </c>
      <c r="F43" s="44">
        <v>0.85909212732457485</v>
      </c>
      <c r="G43" s="43">
        <f t="shared" si="2"/>
        <v>19120.889216856624</v>
      </c>
      <c r="H43" s="43">
        <v>20255.087825658498</v>
      </c>
      <c r="I43" s="43">
        <v>1354.9693035492601</v>
      </c>
      <c r="J43" s="44">
        <v>0.82784500000000005</v>
      </c>
      <c r="K43" s="43">
        <f t="shared" si="12"/>
        <v>18123.042484581521</v>
      </c>
      <c r="M43" s="43">
        <v>2022.7150666666671</v>
      </c>
      <c r="N43" s="43">
        <v>491.90102752179155</v>
      </c>
      <c r="O43" s="43">
        <f t="shared" si="0"/>
        <v>994975.61967714259</v>
      </c>
      <c r="P43" s="43">
        <v>2050.7735178819798</v>
      </c>
      <c r="Q43" s="43">
        <v>485.03628546980445</v>
      </c>
      <c r="R43" s="43">
        <f t="shared" si="4"/>
        <v>994699.56945331907</v>
      </c>
      <c r="S43" s="41"/>
      <c r="T43" s="46"/>
      <c r="U43" s="46"/>
      <c r="V43" s="53" t="e">
        <f t="shared" si="5"/>
        <v>#DIV/0!</v>
      </c>
      <c r="W43" s="35" t="e">
        <f>V43</f>
        <v>#DIV/0!</v>
      </c>
      <c r="Y43" s="46"/>
      <c r="Z43" s="46"/>
      <c r="AA43" s="44" t="e">
        <f>1-Z43/Y43</f>
        <v>#DIV/0!</v>
      </c>
      <c r="AB43" s="35" t="e">
        <f>AA43</f>
        <v>#DIV/0!</v>
      </c>
      <c r="AD43" s="57" t="s">
        <v>89</v>
      </c>
      <c r="AE43" s="45" t="e">
        <f t="shared" si="8"/>
        <v>#DIV/0!</v>
      </c>
      <c r="AF43" s="48"/>
      <c r="AG43" s="53">
        <f t="shared" si="9"/>
        <v>-1</v>
      </c>
      <c r="AI43" s="57" t="s">
        <v>89</v>
      </c>
      <c r="AJ43" s="42">
        <f t="shared" si="6"/>
        <v>576350.4384254975</v>
      </c>
      <c r="AK43" s="43" t="e">
        <f>AF43*(B43*W43)^W43*K43^(AB43*(1-W43))*R43^((1-AB43)*(1-W43))</f>
        <v>#DIV/0!</v>
      </c>
      <c r="AL43" s="44" t="e">
        <f t="shared" si="7"/>
        <v>#DIV/0!</v>
      </c>
      <c r="AM43" s="44" t="e">
        <f t="shared" si="11"/>
        <v>#DIV/0!</v>
      </c>
    </row>
    <row r="44" spans="1:46">
      <c r="N44" s="51"/>
      <c r="AK44" s="55"/>
    </row>
    <row r="45" spans="1:46">
      <c r="N45" s="51"/>
    </row>
    <row r="46" spans="1:46">
      <c r="N46" s="51"/>
    </row>
    <row r="47" spans="1:46">
      <c r="N47" s="51"/>
    </row>
    <row r="48" spans="1:46">
      <c r="N48" s="51"/>
    </row>
    <row r="49" spans="14:14">
      <c r="N49" s="51"/>
    </row>
    <row r="50" spans="14:14">
      <c r="N50" s="51"/>
    </row>
    <row r="51" spans="14:14">
      <c r="N51" s="51"/>
    </row>
    <row r="52" spans="14:14">
      <c r="N52" s="51"/>
    </row>
    <row r="53" spans="14:14">
      <c r="N53" s="51"/>
    </row>
    <row r="54" spans="14:14">
      <c r="N54" s="51"/>
    </row>
    <row r="55" spans="14:14">
      <c r="N55" s="51"/>
    </row>
    <row r="56" spans="14:14">
      <c r="N56" s="51"/>
    </row>
    <row r="57" spans="14:14">
      <c r="N57" s="51"/>
    </row>
    <row r="58" spans="14:14">
      <c r="N58" s="51"/>
    </row>
    <row r="59" spans="14:14">
      <c r="N59" s="51"/>
    </row>
    <row r="60" spans="14:14">
      <c r="N60" s="51"/>
    </row>
    <row r="61" spans="14:14">
      <c r="N61" s="51"/>
    </row>
    <row r="62" spans="14:14">
      <c r="N62" s="51"/>
    </row>
    <row r="63" spans="14:14">
      <c r="N63" s="51"/>
    </row>
    <row r="64" spans="14:14">
      <c r="N64" s="51"/>
    </row>
    <row r="65" spans="14:14">
      <c r="N65" s="51"/>
    </row>
    <row r="66" spans="14:14">
      <c r="N66" s="51"/>
    </row>
    <row r="67" spans="14:14">
      <c r="N67" s="51"/>
    </row>
    <row r="68" spans="14:14">
      <c r="N68" s="51"/>
    </row>
    <row r="69" spans="14:14">
      <c r="N69" s="52"/>
    </row>
  </sheetData>
  <mergeCells count="6">
    <mergeCell ref="D1:K1"/>
    <mergeCell ref="AJ1:AM1"/>
    <mergeCell ref="T1:W1"/>
    <mergeCell ref="AE1:AG1"/>
    <mergeCell ref="Y1:AB1"/>
    <mergeCell ref="M1:R1"/>
  </mergeCells>
  <phoneticPr fontId="1"/>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EF60B-509F-4A1A-A986-BCBAA972CA5D}">
  <dimension ref="A1:AU66"/>
  <sheetViews>
    <sheetView topLeftCell="H37" zoomScale="85" zoomScaleNormal="85" workbookViewId="0">
      <selection activeCell="I44" sqref="I44"/>
    </sheetView>
  </sheetViews>
  <sheetFormatPr defaultColWidth="8.84375" defaultRowHeight="18.45" outlineLevelCol="1"/>
  <cols>
    <col min="1" max="1" width="8.84375" style="57"/>
    <col min="2" max="2" width="19.3046875" style="43" hidden="1" customWidth="1" outlineLevel="1"/>
    <col min="3" max="3" width="16.765625" style="24" hidden="1" customWidth="1" outlineLevel="1"/>
    <col min="4" max="7" width="19.07421875" style="43" hidden="1" customWidth="1" outlineLevel="1"/>
    <col min="8" max="8" width="19.07421875" style="43" bestFit="1" customWidth="1" collapsed="1"/>
    <col min="9" max="9" width="19.07421875" style="43" bestFit="1" customWidth="1"/>
    <col min="10" max="11" width="16.765625" style="43" bestFit="1" customWidth="1"/>
    <col min="12" max="12" width="8.84375" style="24"/>
    <col min="13" max="14" width="19.07421875" style="24" hidden="1" customWidth="1" outlineLevel="1"/>
    <col min="15" max="15" width="19.07421875" style="43" hidden="1" customWidth="1" outlineLevel="1"/>
    <col min="16" max="16" width="19.07421875" style="24" bestFit="1" customWidth="1" collapsed="1"/>
    <col min="17" max="17" width="23.23046875" style="43" bestFit="1" customWidth="1"/>
    <col min="18" max="18" width="14.4609375" style="43" bestFit="1" customWidth="1"/>
    <col min="19" max="19" width="16.765625" style="43" bestFit="1" customWidth="1"/>
    <col min="20" max="20" width="24.07421875" style="43" customWidth="1"/>
    <col min="21" max="21" width="14.07421875" style="43" hidden="1" customWidth="1" outlineLevel="1"/>
    <col min="22" max="22" width="12.3046875" style="43" hidden="1" customWidth="1" outlineLevel="1"/>
    <col min="23" max="23" width="16.4609375" style="44" hidden="1" customWidth="1" outlineLevel="1"/>
    <col min="24" max="24" width="16.4609375" style="44" bestFit="1" customWidth="1" collapsed="1"/>
    <col min="25" max="25" width="8.84375" style="24"/>
    <col min="26" max="26" width="14.07421875" style="43" hidden="1" customWidth="1" outlineLevel="1"/>
    <col min="27" max="27" width="11.84375" style="43" hidden="1" customWidth="1" outlineLevel="1"/>
    <col min="28" max="28" width="16.4609375" style="44" hidden="1" customWidth="1" outlineLevel="1"/>
    <col min="29" max="29" width="16.4609375" style="44" customWidth="1" collapsed="1"/>
    <col min="30" max="30" width="8.84375" style="24"/>
    <col min="31" max="31" width="8.84375" style="57" hidden="1" customWidth="1" outlineLevel="1"/>
    <col min="32" max="32" width="9.69140625" style="45" hidden="1" customWidth="1" outlineLevel="1"/>
    <col min="33" max="33" width="5.765625" style="45" customWidth="1" collapsed="1"/>
    <col min="34" max="34" width="11.765625" style="44" bestFit="1" customWidth="1"/>
    <col min="35" max="35" width="13.765625" style="24" bestFit="1" customWidth="1"/>
    <col min="36" max="36" width="8.84375" style="57" hidden="1" customWidth="1" outlineLevel="1"/>
    <col min="37" max="37" width="16.4609375" style="24" hidden="1" customWidth="1" outlineLevel="1"/>
    <col min="38" max="38" width="18.765625" style="24" bestFit="1" customWidth="1" collapsed="1"/>
    <col min="39" max="39" width="14.07421875" style="24" hidden="1" customWidth="1" outlineLevel="1"/>
    <col min="40" max="40" width="11.84375" style="24" bestFit="1" customWidth="1" collapsed="1"/>
    <col min="41" max="41" width="8.84375" style="24"/>
    <col min="42" max="42" width="20.4609375" style="24" bestFit="1" customWidth="1"/>
    <col min="43" max="44" width="19" style="24" bestFit="1" customWidth="1"/>
    <col min="45" max="47" width="22.4609375" style="24" customWidth="1"/>
    <col min="48" max="16384" width="8.84375" style="24"/>
  </cols>
  <sheetData>
    <row r="1" spans="1:47" s="59" customFormat="1">
      <c r="A1" s="58"/>
      <c r="B1" s="56" t="s">
        <v>0</v>
      </c>
      <c r="D1" s="407" t="s">
        <v>1</v>
      </c>
      <c r="E1" s="407"/>
      <c r="F1" s="407"/>
      <c r="G1" s="407"/>
      <c r="H1" s="407"/>
      <c r="I1" s="407"/>
      <c r="J1" s="407"/>
      <c r="K1" s="407"/>
      <c r="M1" s="407" t="s">
        <v>3</v>
      </c>
      <c r="N1" s="407"/>
      <c r="O1" s="407"/>
      <c r="P1" s="407"/>
      <c r="Q1" s="407"/>
      <c r="R1" s="407"/>
      <c r="S1" s="407"/>
      <c r="T1" s="60"/>
      <c r="U1" s="407" t="s">
        <v>372</v>
      </c>
      <c r="V1" s="407"/>
      <c r="W1" s="407"/>
      <c r="X1" s="407"/>
      <c r="Z1" s="407" t="s">
        <v>4</v>
      </c>
      <c r="AA1" s="407"/>
      <c r="AB1" s="407"/>
      <c r="AC1" s="407"/>
      <c r="AE1" s="58"/>
      <c r="AF1" s="407" t="s">
        <v>5</v>
      </c>
      <c r="AG1" s="407"/>
      <c r="AH1" s="407"/>
      <c r="AJ1" s="58"/>
      <c r="AK1" s="407" t="s">
        <v>6</v>
      </c>
      <c r="AL1" s="407"/>
      <c r="AM1" s="407"/>
      <c r="AN1" s="407"/>
    </row>
    <row r="2" spans="1:47" ht="55.3">
      <c r="A2" s="57" t="s">
        <v>7</v>
      </c>
      <c r="B2" s="49" t="s">
        <v>8</v>
      </c>
      <c r="D2" s="49" t="s">
        <v>377</v>
      </c>
      <c r="E2" s="49" t="s">
        <v>378</v>
      </c>
      <c r="F2" s="43" t="s">
        <v>11</v>
      </c>
      <c r="G2" s="49" t="s">
        <v>12</v>
      </c>
      <c r="H2" s="49" t="s">
        <v>379</v>
      </c>
      <c r="I2" s="49" t="s">
        <v>380</v>
      </c>
      <c r="J2" s="43" t="s">
        <v>19</v>
      </c>
      <c r="K2" s="49" t="s">
        <v>20</v>
      </c>
      <c r="M2" s="50" t="s">
        <v>28</v>
      </c>
      <c r="N2" s="32" t="s">
        <v>29</v>
      </c>
      <c r="O2" s="30" t="s">
        <v>30</v>
      </c>
      <c r="P2" s="50" t="s">
        <v>31</v>
      </c>
      <c r="Q2" s="30" t="s">
        <v>32</v>
      </c>
      <c r="R2" s="30" t="s">
        <v>33</v>
      </c>
      <c r="S2" s="30" t="s">
        <v>34</v>
      </c>
      <c r="T2" s="49"/>
      <c r="U2" s="49" t="s">
        <v>373</v>
      </c>
      <c r="V2" s="49" t="s">
        <v>374</v>
      </c>
      <c r="W2" s="53" t="s">
        <v>375</v>
      </c>
      <c r="X2" s="53" t="s">
        <v>376</v>
      </c>
      <c r="Z2" s="30" t="s">
        <v>35</v>
      </c>
      <c r="AA2" s="30" t="s">
        <v>36</v>
      </c>
      <c r="AB2" s="35" t="s">
        <v>37</v>
      </c>
      <c r="AC2" s="35" t="s">
        <v>38</v>
      </c>
      <c r="AE2" s="57" t="s">
        <v>7</v>
      </c>
      <c r="AF2" s="39" t="s">
        <v>39</v>
      </c>
      <c r="AG2" s="54" t="s">
        <v>40</v>
      </c>
      <c r="AH2" s="53" t="s">
        <v>41</v>
      </c>
      <c r="AJ2" s="57" t="s">
        <v>7</v>
      </c>
      <c r="AK2" s="32" t="s">
        <v>42</v>
      </c>
      <c r="AL2" s="32" t="s">
        <v>43</v>
      </c>
      <c r="AM2" s="32" t="s">
        <v>44</v>
      </c>
      <c r="AN2" s="32" t="s">
        <v>45</v>
      </c>
      <c r="AP2" s="32"/>
      <c r="AQ2" s="32"/>
      <c r="AR2" s="32"/>
      <c r="AS2" s="32"/>
      <c r="AT2" s="32"/>
      <c r="AU2" s="32"/>
    </row>
    <row r="3" spans="1:47">
      <c r="A3" s="57" t="s">
        <v>49</v>
      </c>
      <c r="B3" s="49">
        <v>672729.84744445409</v>
      </c>
      <c r="D3" s="49"/>
      <c r="E3" s="49"/>
      <c r="F3" s="44"/>
      <c r="H3" s="49"/>
      <c r="I3" s="49"/>
      <c r="J3" s="44"/>
      <c r="M3" s="49">
        <v>2280.8823999999995</v>
      </c>
      <c r="N3" s="30">
        <v>548.02883189833722</v>
      </c>
      <c r="O3" s="43">
        <f t="shared" ref="O3:O43" si="0">M3*N3</f>
        <v>1249989.3173694757</v>
      </c>
      <c r="P3" s="49">
        <v>2278.0755795411901</v>
      </c>
      <c r="Q3" s="49">
        <v>5536.083333333333</v>
      </c>
      <c r="R3" s="30">
        <v>518.43212547841347</v>
      </c>
      <c r="S3" s="43">
        <f>P3*R3</f>
        <v>1181027.5647020077</v>
      </c>
      <c r="T3" s="41"/>
      <c r="U3" s="49">
        <v>54556.9</v>
      </c>
      <c r="V3" s="49">
        <v>32329.1</v>
      </c>
      <c r="W3" s="53">
        <f>V3/U3</f>
        <v>0.59257582450615776</v>
      </c>
      <c r="X3" s="35">
        <v>0.58379598020265899</v>
      </c>
      <c r="Z3" s="30">
        <v>19489.3</v>
      </c>
      <c r="AA3" s="30">
        <v>13415.4</v>
      </c>
      <c r="AB3" s="44">
        <f t="shared" ref="AB3:AB16" si="1">1-AA3/Z3</f>
        <v>0.31165306091034572</v>
      </c>
      <c r="AC3" s="35">
        <v>0.308037193656299</v>
      </c>
      <c r="AE3" s="57" t="s">
        <v>49</v>
      </c>
      <c r="AG3" s="54"/>
      <c r="AH3" s="53"/>
      <c r="AJ3" s="57" t="s">
        <v>49</v>
      </c>
      <c r="AK3" s="42"/>
      <c r="AL3" s="43"/>
      <c r="AM3" s="44"/>
      <c r="AN3" s="44"/>
      <c r="AP3" s="32"/>
      <c r="AQ3" s="32"/>
      <c r="AR3" s="32"/>
      <c r="AS3" s="32"/>
      <c r="AT3" s="32"/>
      <c r="AU3" s="32"/>
    </row>
    <row r="4" spans="1:47">
      <c r="A4" s="57" t="s">
        <v>50</v>
      </c>
      <c r="B4" s="49">
        <v>651330.72414749418</v>
      </c>
      <c r="D4" s="49">
        <v>11608.412051853184</v>
      </c>
      <c r="E4" s="49">
        <v>532.10204873840848</v>
      </c>
      <c r="F4" s="44">
        <v>0.80789743103963818</v>
      </c>
      <c r="G4" s="43">
        <f t="shared" ref="G4:G43" si="2">D4*F4+E4</f>
        <v>9910.5083238801708</v>
      </c>
      <c r="H4" s="49">
        <v>11241.132312989799</v>
      </c>
      <c r="I4" s="49">
        <v>472.81342905605402</v>
      </c>
      <c r="J4" s="44">
        <v>0.82784500000000005</v>
      </c>
      <c r="K4" s="43">
        <f t="shared" ref="K4:K16" si="3">H4*J4+I4</f>
        <v>9778.7286087030952</v>
      </c>
      <c r="M4" s="49">
        <v>2292.1447333333331</v>
      </c>
      <c r="N4" s="30">
        <v>543.47471465378021</v>
      </c>
      <c r="O4" s="43">
        <f t="shared" si="0"/>
        <v>1245722.7048934982</v>
      </c>
      <c r="P4" s="49">
        <v>2274.9449153820601</v>
      </c>
      <c r="Q4" s="49">
        <v>5581.75</v>
      </c>
      <c r="R4" s="30">
        <v>524.38561843499588</v>
      </c>
      <c r="S4" s="43">
        <f t="shared" ref="S4:S63" si="4">P4*R4</f>
        <v>1192948.396358171</v>
      </c>
      <c r="T4" s="41"/>
      <c r="U4" s="49">
        <v>55837.4</v>
      </c>
      <c r="V4" s="49">
        <v>31637.8</v>
      </c>
      <c r="W4" s="53">
        <f t="shared" ref="W4:W43" si="5">V4/U4</f>
        <v>0.56660589497361979</v>
      </c>
      <c r="X4" s="35">
        <v>0.57770710002931402</v>
      </c>
      <c r="Z4" s="30">
        <v>21185.1</v>
      </c>
      <c r="AA4" s="30">
        <v>14162.7</v>
      </c>
      <c r="AB4" s="44">
        <f t="shared" si="1"/>
        <v>0.33147825594403602</v>
      </c>
      <c r="AC4" s="35">
        <v>0.311199733868668</v>
      </c>
      <c r="AE4" s="57" t="s">
        <v>50</v>
      </c>
      <c r="AF4" s="45">
        <f t="shared" ref="AF4:AF43" si="6">EXP(LOG(B4,EXP(1))-W4*LOG(B4*W4,EXP(1))-(1-W4)*AB4*LOG(G4,EXP(1))-(1-W4)*(1-AB4)*LOG(O4,EXP(1)))</f>
        <v>2.0860784264461483</v>
      </c>
      <c r="AG4" s="54">
        <v>1.9499702997221899</v>
      </c>
      <c r="AH4" s="53"/>
      <c r="AJ4" s="57" t="s">
        <v>50</v>
      </c>
      <c r="AK4" s="42">
        <f t="shared" ref="AK4:AK43" si="7">B4</f>
        <v>651330.72414749418</v>
      </c>
      <c r="AL4" s="43">
        <f t="shared" ref="AL4:AL42" si="8">AG4*((B4*X4)^X4)*(K4^(AC4*(1-X4)))*(S4^((1-AC4)*(1-X4)))</f>
        <v>635290.13116446184</v>
      </c>
      <c r="AM4" s="44">
        <f t="shared" ref="AM4:AM43" si="9">(AK4-AL4)/AL4</f>
        <v>2.5249239986823921E-2</v>
      </c>
      <c r="AN4" s="44"/>
      <c r="AO4" s="40"/>
      <c r="AP4" s="66"/>
      <c r="AQ4" s="32"/>
      <c r="AR4" s="32"/>
      <c r="AS4" s="32"/>
      <c r="AT4" s="32"/>
      <c r="AU4" s="32"/>
    </row>
    <row r="5" spans="1:47">
      <c r="A5" s="57" t="s">
        <v>51</v>
      </c>
      <c r="B5" s="49">
        <v>635334.08977780421</v>
      </c>
      <c r="D5" s="49">
        <v>12409.547405379732</v>
      </c>
      <c r="E5" s="49">
        <v>546.73336208755643</v>
      </c>
      <c r="F5" s="44">
        <v>0.79672072435186447</v>
      </c>
      <c r="G5" s="43">
        <f t="shared" si="2"/>
        <v>10433.676959780496</v>
      </c>
      <c r="H5" s="49">
        <v>11892.6473065052</v>
      </c>
      <c r="I5" s="49">
        <v>523.38944473409902</v>
      </c>
      <c r="J5" s="44">
        <v>0.82784500000000005</v>
      </c>
      <c r="K5" s="43">
        <f t="shared" si="3"/>
        <v>10368.658054187898</v>
      </c>
      <c r="M5" s="49">
        <v>2275.8576666666668</v>
      </c>
      <c r="N5" s="30">
        <v>541.05959882112359</v>
      </c>
      <c r="O5" s="43">
        <f t="shared" si="0"/>
        <v>1231374.6361006452</v>
      </c>
      <c r="P5" s="49">
        <v>2271.8301885385499</v>
      </c>
      <c r="Q5" s="49">
        <v>5638.583333333333</v>
      </c>
      <c r="R5" s="30">
        <v>529.53917409834207</v>
      </c>
      <c r="S5" s="43">
        <f t="shared" si="4"/>
        <v>1203023.0817303844</v>
      </c>
      <c r="T5" s="41"/>
      <c r="U5" s="49">
        <v>55654.1</v>
      </c>
      <c r="V5" s="49">
        <v>31405.1</v>
      </c>
      <c r="W5" s="53">
        <f t="shared" si="5"/>
        <v>0.56429086087098701</v>
      </c>
      <c r="X5" s="35">
        <v>0.57170601829900303</v>
      </c>
      <c r="Z5" s="30">
        <v>21667.1</v>
      </c>
      <c r="AA5" s="30">
        <v>14821</v>
      </c>
      <c r="AB5" s="44">
        <f t="shared" si="1"/>
        <v>0.31596752680331008</v>
      </c>
      <c r="AC5" s="35">
        <v>0.31439843275357399</v>
      </c>
      <c r="AE5" s="57" t="s">
        <v>51</v>
      </c>
      <c r="AF5" s="45">
        <f t="shared" si="6"/>
        <v>1.9964231499114091</v>
      </c>
      <c r="AG5" s="54">
        <v>2.0077673185696998</v>
      </c>
      <c r="AH5" s="53">
        <f t="shared" ref="AH5:AH42" si="10">AG5/AG4-1</f>
        <v>2.9639948288311846E-2</v>
      </c>
      <c r="AJ5" s="57" t="s">
        <v>51</v>
      </c>
      <c r="AK5" s="42">
        <f t="shared" si="7"/>
        <v>635334.08977780421</v>
      </c>
      <c r="AL5" s="43">
        <f t="shared" si="8"/>
        <v>642157.42834934336</v>
      </c>
      <c r="AM5" s="44">
        <f t="shared" si="9"/>
        <v>-1.0625647653221803E-2</v>
      </c>
      <c r="AN5" s="44">
        <f t="shared" ref="AN5:AN41" si="11">AL5/AL4-1</f>
        <v>1.0809702288770096E-2</v>
      </c>
      <c r="AO5" s="40"/>
      <c r="AP5" s="66"/>
      <c r="AQ5" s="32"/>
      <c r="AR5" s="32"/>
      <c r="AS5" s="32"/>
      <c r="AT5" s="32"/>
      <c r="AU5" s="32"/>
    </row>
    <row r="6" spans="1:47">
      <c r="A6" s="57" t="s">
        <v>52</v>
      </c>
      <c r="B6" s="49">
        <v>624447.63493421394</v>
      </c>
      <c r="D6" s="49">
        <v>13070.107346447743</v>
      </c>
      <c r="E6" s="49">
        <v>569.42682769031705</v>
      </c>
      <c r="F6" s="44">
        <v>0.79459224052434818</v>
      </c>
      <c r="G6" s="43">
        <f t="shared" si="2"/>
        <v>10954.832707997972</v>
      </c>
      <c r="H6" s="49">
        <v>12547.835097409101</v>
      </c>
      <c r="I6" s="49">
        <v>574.55834660896699</v>
      </c>
      <c r="J6" s="44">
        <v>0.82784500000000005</v>
      </c>
      <c r="K6" s="43">
        <f t="shared" si="3"/>
        <v>10962.220892823605</v>
      </c>
      <c r="M6" s="49">
        <v>2252.8132000000005</v>
      </c>
      <c r="N6" s="30">
        <v>540.40654355710569</v>
      </c>
      <c r="O6" s="43">
        <f t="shared" si="0"/>
        <v>1217434.9946918229</v>
      </c>
      <c r="P6" s="49">
        <v>2268.2678566087998</v>
      </c>
      <c r="Q6" s="49">
        <v>5732.666666666667</v>
      </c>
      <c r="R6" s="30">
        <v>534.29373986375072</v>
      </c>
      <c r="S6" s="43">
        <f t="shared" si="4"/>
        <v>1211921.3161202495</v>
      </c>
      <c r="T6" s="41"/>
      <c r="U6" s="49">
        <v>53364.7</v>
      </c>
      <c r="V6" s="49">
        <v>30909.3</v>
      </c>
      <c r="W6" s="53">
        <f t="shared" si="5"/>
        <v>0.57920872786692323</v>
      </c>
      <c r="X6" s="35">
        <v>0.565769521404207</v>
      </c>
      <c r="Z6" s="30">
        <v>20032</v>
      </c>
      <c r="AA6" s="30">
        <v>15047.4</v>
      </c>
      <c r="AB6" s="44">
        <f t="shared" si="1"/>
        <v>0.24883186900958465</v>
      </c>
      <c r="AC6" s="35">
        <v>0.31787223420430799</v>
      </c>
      <c r="AE6" s="57" t="s">
        <v>52</v>
      </c>
      <c r="AF6" s="45">
        <f t="shared" si="6"/>
        <v>1.6965706565251752</v>
      </c>
      <c r="AG6" s="54">
        <v>2.06692541868399</v>
      </c>
      <c r="AH6" s="53">
        <f t="shared" si="10"/>
        <v>2.9464619513994927E-2</v>
      </c>
      <c r="AJ6" s="57" t="s">
        <v>52</v>
      </c>
      <c r="AK6" s="42">
        <f t="shared" si="7"/>
        <v>624447.63493421394</v>
      </c>
      <c r="AL6" s="43">
        <f t="shared" si="8"/>
        <v>651398.01385152095</v>
      </c>
      <c r="AM6" s="44">
        <f t="shared" si="9"/>
        <v>-4.1373136460698595E-2</v>
      </c>
      <c r="AN6" s="44">
        <f t="shared" si="11"/>
        <v>1.4389906733509816E-2</v>
      </c>
      <c r="AO6" s="40"/>
      <c r="AP6" s="66"/>
      <c r="AQ6" s="32"/>
      <c r="AR6" s="32"/>
      <c r="AS6" s="32"/>
      <c r="AT6" s="32"/>
      <c r="AU6" s="32"/>
    </row>
    <row r="7" spans="1:47">
      <c r="A7" s="57" t="s">
        <v>53</v>
      </c>
      <c r="B7" s="49">
        <v>647211.48335997341</v>
      </c>
      <c r="D7" s="49">
        <v>13503.496595282833</v>
      </c>
      <c r="E7" s="49">
        <v>614.21656243260713</v>
      </c>
      <c r="F7" s="44">
        <v>0.80249055041149842</v>
      </c>
      <c r="G7" s="43">
        <f t="shared" si="2"/>
        <v>11450.644977660922</v>
      </c>
      <c r="H7" s="49">
        <v>13215.537484079199</v>
      </c>
      <c r="I7" s="49">
        <v>627.14646005101895</v>
      </c>
      <c r="J7" s="44">
        <v>0.82784500000000005</v>
      </c>
      <c r="K7" s="43">
        <f t="shared" si="3"/>
        <v>11567.563088558565</v>
      </c>
      <c r="M7" s="49">
        <v>2271.1794666666669</v>
      </c>
      <c r="N7" s="30">
        <v>526.85398165299546</v>
      </c>
      <c r="O7" s="43">
        <f t="shared" si="0"/>
        <v>1196579.9450618601</v>
      </c>
      <c r="P7" s="49">
        <v>2263.8346519721999</v>
      </c>
      <c r="Q7" s="49">
        <v>5766</v>
      </c>
      <c r="R7" s="30">
        <v>539.14589247768799</v>
      </c>
      <c r="S7" s="43">
        <f t="shared" si="4"/>
        <v>1220537.1538594679</v>
      </c>
      <c r="T7" s="41"/>
      <c r="U7" s="49">
        <v>53481.9</v>
      </c>
      <c r="V7" s="49">
        <v>30731.599999999999</v>
      </c>
      <c r="W7" s="53">
        <f t="shared" si="5"/>
        <v>0.57461683298461719</v>
      </c>
      <c r="X7" s="35">
        <v>0.55980024416312801</v>
      </c>
      <c r="Z7" s="30">
        <v>20268.900000000001</v>
      </c>
      <c r="AA7" s="30">
        <v>15008.1</v>
      </c>
      <c r="AB7" s="44">
        <f t="shared" si="1"/>
        <v>0.25955034560336288</v>
      </c>
      <c r="AC7" s="35">
        <v>0.32187577305465498</v>
      </c>
      <c r="AE7" s="57" t="s">
        <v>53</v>
      </c>
      <c r="AF7" s="45">
        <f t="shared" si="6"/>
        <v>1.7687204347434899</v>
      </c>
      <c r="AG7" s="54">
        <v>2.12869223964515</v>
      </c>
      <c r="AH7" s="53">
        <f t="shared" si="10"/>
        <v>2.9883429950020579E-2</v>
      </c>
      <c r="AJ7" s="57" t="s">
        <v>53</v>
      </c>
      <c r="AK7" s="42">
        <f t="shared" si="7"/>
        <v>647211.48335997341</v>
      </c>
      <c r="AL7" s="43">
        <f t="shared" si="8"/>
        <v>680304.20576031518</v>
      </c>
      <c r="AM7" s="44">
        <f t="shared" si="9"/>
        <v>-4.8644006784225285E-2</v>
      </c>
      <c r="AN7" s="44">
        <f t="shared" si="11"/>
        <v>4.4375621807442478E-2</v>
      </c>
      <c r="AO7" s="40"/>
      <c r="AP7" s="66"/>
      <c r="AQ7" s="32"/>
      <c r="AR7" s="32"/>
      <c r="AS7" s="32"/>
      <c r="AT7" s="32"/>
      <c r="AU7" s="32"/>
    </row>
    <row r="8" spans="1:47">
      <c r="A8" s="57" t="s">
        <v>54</v>
      </c>
      <c r="B8" s="49">
        <v>680353.27379812137</v>
      </c>
      <c r="D8" s="49">
        <v>13958.457254693421</v>
      </c>
      <c r="E8" s="49">
        <v>667.66564589174027</v>
      </c>
      <c r="F8" s="44">
        <v>0.80482308224348664</v>
      </c>
      <c r="G8" s="43">
        <f t="shared" si="2"/>
        <v>11901.754236978057</v>
      </c>
      <c r="H8" s="49">
        <v>13909.8189873831</v>
      </c>
      <c r="I8" s="49">
        <v>681.92879524142597</v>
      </c>
      <c r="J8" s="44">
        <v>0.82784500000000005</v>
      </c>
      <c r="K8" s="43">
        <f t="shared" si="3"/>
        <v>12197.102894851589</v>
      </c>
      <c r="M8" s="49">
        <v>2252.2934000000005</v>
      </c>
      <c r="N8" s="30">
        <v>529.99930416760583</v>
      </c>
      <c r="O8" s="43">
        <f t="shared" si="0"/>
        <v>1193713.9347812913</v>
      </c>
      <c r="P8" s="49">
        <v>2257.95276044208</v>
      </c>
      <c r="Q8" s="49">
        <v>5807.25</v>
      </c>
      <c r="R8" s="30">
        <v>544.6544879631216</v>
      </c>
      <c r="S8" s="43">
        <f t="shared" si="4"/>
        <v>1229804.1045834981</v>
      </c>
      <c r="T8" s="41"/>
      <c r="U8" s="49">
        <v>56902.400000000001</v>
      </c>
      <c r="V8" s="49">
        <v>31894.3</v>
      </c>
      <c r="W8" s="53">
        <f t="shared" si="5"/>
        <v>0.56050887133055893</v>
      </c>
      <c r="X8" s="35">
        <v>0.55383521345859399</v>
      </c>
      <c r="Z8" s="30">
        <v>22246.799999999999</v>
      </c>
      <c r="AA8" s="30">
        <v>15525.7</v>
      </c>
      <c r="AB8" s="44">
        <f t="shared" si="1"/>
        <v>0.30211536041138498</v>
      </c>
      <c r="AC8" s="35">
        <v>0.32597328048645802</v>
      </c>
      <c r="AE8" s="57" t="s">
        <v>54</v>
      </c>
      <c r="AF8" s="45">
        <f t="shared" si="6"/>
        <v>1.9922245016769267</v>
      </c>
      <c r="AG8" s="54">
        <v>2.1906118734114099</v>
      </c>
      <c r="AH8" s="53">
        <f t="shared" si="10"/>
        <v>2.9088109879416901E-2</v>
      </c>
      <c r="AJ8" s="57" t="s">
        <v>54</v>
      </c>
      <c r="AK8" s="42">
        <f t="shared" si="7"/>
        <v>680353.27379812137</v>
      </c>
      <c r="AL8" s="43">
        <f t="shared" si="8"/>
        <v>715300.44940283289</v>
      </c>
      <c r="AM8" s="44">
        <f t="shared" si="9"/>
        <v>-4.8856638680832787E-2</v>
      </c>
      <c r="AN8" s="44">
        <f t="shared" si="11"/>
        <v>5.1442050991593602E-2</v>
      </c>
      <c r="AO8" s="40"/>
      <c r="AP8" s="66"/>
      <c r="AQ8" s="32"/>
      <c r="AR8" s="32"/>
      <c r="AS8" s="32"/>
      <c r="AT8" s="32"/>
      <c r="AU8" s="32"/>
    </row>
    <row r="9" spans="1:47">
      <c r="A9" s="57" t="s">
        <v>55</v>
      </c>
      <c r="B9" s="49">
        <v>763024.5789952171</v>
      </c>
      <c r="D9" s="49">
        <v>13975.177678201706</v>
      </c>
      <c r="E9" s="49">
        <v>708.97173459851911</v>
      </c>
      <c r="F9" s="44">
        <v>0.81042158384827134</v>
      </c>
      <c r="G9" s="43">
        <f t="shared" si="2"/>
        <v>12034.757363127754</v>
      </c>
      <c r="H9" s="49">
        <v>14647.6237193006</v>
      </c>
      <c r="I9" s="49">
        <v>739.55106338517601</v>
      </c>
      <c r="J9" s="44">
        <v>0.82784500000000005</v>
      </c>
      <c r="K9" s="43">
        <f t="shared" si="3"/>
        <v>12865.513121289581</v>
      </c>
      <c r="M9" s="49">
        <v>2260.9567333333334</v>
      </c>
      <c r="N9" s="30">
        <v>534.20519891082301</v>
      </c>
      <c r="O9" s="43">
        <f t="shared" si="0"/>
        <v>1207814.841459098</v>
      </c>
      <c r="P9" s="49">
        <v>2250.11781597867</v>
      </c>
      <c r="Q9" s="49">
        <v>5853.583333333333</v>
      </c>
      <c r="R9" s="30">
        <v>551.26012146449921</v>
      </c>
      <c r="S9" s="43">
        <f t="shared" si="4"/>
        <v>1240400.2205458353</v>
      </c>
      <c r="T9" s="41"/>
      <c r="U9" s="49">
        <v>59899.199999999997</v>
      </c>
      <c r="V9" s="49">
        <v>33101.300000000003</v>
      </c>
      <c r="W9" s="53">
        <f t="shared" si="5"/>
        <v>0.55261672943879059</v>
      </c>
      <c r="X9" s="35">
        <v>0.54805962206165404</v>
      </c>
      <c r="Z9" s="30">
        <v>23689.9</v>
      </c>
      <c r="AA9" s="30">
        <v>16160.4</v>
      </c>
      <c r="AB9" s="44">
        <f>1-AA9/Z9</f>
        <v>0.31783587098299282</v>
      </c>
      <c r="AC9" s="35">
        <v>0.32910573340704202</v>
      </c>
      <c r="AE9" s="57" t="s">
        <v>55</v>
      </c>
      <c r="AF9" s="45">
        <f t="shared" si="6"/>
        <v>2.176286457836742</v>
      </c>
      <c r="AG9" s="54">
        <v>2.24662869389158</v>
      </c>
      <c r="AH9" s="53">
        <f t="shared" si="10"/>
        <v>2.5571312362575593E-2</v>
      </c>
      <c r="AJ9" s="57" t="s">
        <v>55</v>
      </c>
      <c r="AK9" s="42">
        <f t="shared" si="7"/>
        <v>763024.5789952171</v>
      </c>
      <c r="AL9" s="43">
        <f t="shared" si="8"/>
        <v>778375.66615346796</v>
      </c>
      <c r="AM9" s="44">
        <f t="shared" si="9"/>
        <v>-1.9721951527739777E-2</v>
      </c>
      <c r="AN9" s="44">
        <f t="shared" si="11"/>
        <v>8.8180032325288371E-2</v>
      </c>
      <c r="AO9" s="40"/>
      <c r="AP9" s="66"/>
      <c r="AQ9" s="32"/>
      <c r="AR9" s="32"/>
      <c r="AS9" s="32"/>
      <c r="AT9" s="32"/>
      <c r="AU9" s="32"/>
    </row>
    <row r="10" spans="1:47">
      <c r="A10" s="57" t="s">
        <v>56</v>
      </c>
      <c r="B10" s="49">
        <v>814660.82511505764</v>
      </c>
      <c r="D10" s="49">
        <v>14277.487063731111</v>
      </c>
      <c r="E10" s="49">
        <v>761.12689238731934</v>
      </c>
      <c r="F10" s="44">
        <v>0.81735128419209435</v>
      </c>
      <c r="G10" s="43">
        <f t="shared" si="2"/>
        <v>12430.849278963957</v>
      </c>
      <c r="H10" s="49">
        <v>15446.382174484699</v>
      </c>
      <c r="I10" s="49">
        <v>800.51634419376103</v>
      </c>
      <c r="J10" s="44">
        <v>0.82784500000000005</v>
      </c>
      <c r="K10" s="43">
        <f t="shared" si="3"/>
        <v>13587.726595430047</v>
      </c>
      <c r="M10" s="49">
        <v>2270.3131333333331</v>
      </c>
      <c r="N10" s="30">
        <v>532.96989243874862</v>
      </c>
      <c r="O10" s="43">
        <f t="shared" si="0"/>
        <v>1210008.5464749448</v>
      </c>
      <c r="P10" s="49">
        <v>2239.7688589378299</v>
      </c>
      <c r="Q10" s="49">
        <v>5910.666666666667</v>
      </c>
      <c r="R10" s="30">
        <v>559.24937200726674</v>
      </c>
      <c r="S10" s="43">
        <f t="shared" si="4"/>
        <v>1252589.3278024138</v>
      </c>
      <c r="T10" s="41"/>
      <c r="U10" s="49">
        <v>64593</v>
      </c>
      <c r="V10" s="49">
        <v>34883.599999999999</v>
      </c>
      <c r="W10" s="53">
        <f t="shared" si="5"/>
        <v>0.54005232765160305</v>
      </c>
      <c r="X10" s="35">
        <v>0.54272539932207897</v>
      </c>
      <c r="Z10" s="30">
        <v>26129.200000000001</v>
      </c>
      <c r="AA10" s="30">
        <v>16769.099999999999</v>
      </c>
      <c r="AB10" s="44">
        <f t="shared" si="1"/>
        <v>0.3582237496746935</v>
      </c>
      <c r="AC10" s="35">
        <v>0.32997552952297798</v>
      </c>
      <c r="AE10" s="57" t="s">
        <v>56</v>
      </c>
      <c r="AF10" s="45">
        <f t="shared" si="6"/>
        <v>2.4721389667101983</v>
      </c>
      <c r="AG10" s="54">
        <v>2.2887032012773201</v>
      </c>
      <c r="AH10" s="53">
        <f t="shared" si="10"/>
        <v>1.872784207739242E-2</v>
      </c>
      <c r="AJ10" s="57" t="s">
        <v>56</v>
      </c>
      <c r="AK10" s="42">
        <f t="shared" si="7"/>
        <v>814660.82511505764</v>
      </c>
      <c r="AL10" s="43">
        <f t="shared" si="8"/>
        <v>823195.47098840529</v>
      </c>
      <c r="AM10" s="44">
        <f t="shared" si="9"/>
        <v>-1.0367702658883867E-2</v>
      </c>
      <c r="AN10" s="44">
        <f t="shared" si="11"/>
        <v>5.7581199906242331E-2</v>
      </c>
      <c r="AO10" s="40"/>
      <c r="AP10" s="66"/>
      <c r="AQ10" s="32"/>
      <c r="AR10" s="32"/>
      <c r="AS10" s="32"/>
      <c r="AT10" s="32"/>
      <c r="AU10" s="32"/>
    </row>
    <row r="11" spans="1:47">
      <c r="A11" s="57" t="s">
        <v>57</v>
      </c>
      <c r="B11" s="49">
        <v>869898.3104078183</v>
      </c>
      <c r="D11" s="49">
        <v>14792.827030254954</v>
      </c>
      <c r="E11" s="49">
        <v>812.28672273740221</v>
      </c>
      <c r="F11" s="44">
        <v>0.83243356941567237</v>
      </c>
      <c r="G11" s="43">
        <f t="shared" si="2"/>
        <v>13126.332529281173</v>
      </c>
      <c r="H11" s="49">
        <v>16316.8003871773</v>
      </c>
      <c r="I11" s="49">
        <v>865.02192409080499</v>
      </c>
      <c r="J11" s="44">
        <v>0.82784500000000005</v>
      </c>
      <c r="K11" s="43">
        <f t="shared" si="3"/>
        <v>14372.803540613597</v>
      </c>
      <c r="M11" s="49">
        <v>2288.6794</v>
      </c>
      <c r="N11" s="30">
        <v>560.30058003257557</v>
      </c>
      <c r="O11" s="43">
        <f t="shared" si="0"/>
        <v>1282348.3953286069</v>
      </c>
      <c r="P11" s="49">
        <v>2226.4533188489399</v>
      </c>
      <c r="Q11" s="49">
        <v>6010.416666666667</v>
      </c>
      <c r="R11" s="30">
        <v>568.72478427240276</v>
      </c>
      <c r="S11" s="43">
        <f t="shared" si="4"/>
        <v>1266239.1834549385</v>
      </c>
      <c r="T11" s="41"/>
      <c r="U11" s="49">
        <v>72146.899999999994</v>
      </c>
      <c r="V11" s="49">
        <v>38148.9</v>
      </c>
      <c r="W11" s="53">
        <f t="shared" si="5"/>
        <v>0.52876700176999991</v>
      </c>
      <c r="X11" s="35">
        <v>0.53813004566341605</v>
      </c>
      <c r="Z11" s="30">
        <v>29945.7</v>
      </c>
      <c r="AA11" s="30">
        <v>18553.599999999999</v>
      </c>
      <c r="AB11" s="44">
        <f t="shared" si="1"/>
        <v>0.38042523634445014</v>
      </c>
      <c r="AC11" s="35">
        <v>0.32717236791659698</v>
      </c>
      <c r="AE11" s="57" t="s">
        <v>57</v>
      </c>
      <c r="AF11" s="45">
        <f t="shared" si="6"/>
        <v>2.6523373683872804</v>
      </c>
      <c r="AG11" s="54">
        <v>2.3080924733994101</v>
      </c>
      <c r="AH11" s="53">
        <f t="shared" si="10"/>
        <v>8.4717284929163306E-3</v>
      </c>
      <c r="AJ11" s="57" t="s">
        <v>57</v>
      </c>
      <c r="AK11" s="42">
        <f t="shared" si="7"/>
        <v>869898.3104078183</v>
      </c>
      <c r="AL11" s="43">
        <f t="shared" si="8"/>
        <v>869567.87721413048</v>
      </c>
      <c r="AM11" s="44">
        <f t="shared" si="9"/>
        <v>3.7999701040755706E-4</v>
      </c>
      <c r="AN11" s="44">
        <f t="shared" si="11"/>
        <v>5.6332193093878713E-2</v>
      </c>
      <c r="AO11" s="40"/>
      <c r="AP11" s="66"/>
      <c r="AQ11" s="32"/>
      <c r="AR11" s="32"/>
      <c r="AS11" s="32"/>
      <c r="AT11" s="32"/>
      <c r="AU11" s="32"/>
    </row>
    <row r="12" spans="1:47">
      <c r="A12" s="57" t="s">
        <v>58</v>
      </c>
      <c r="B12" s="49">
        <v>921875.92235572974</v>
      </c>
      <c r="D12" s="49">
        <v>15732.886396387368</v>
      </c>
      <c r="E12" s="49">
        <v>879.4713248508375</v>
      </c>
      <c r="F12" s="44">
        <v>0.83091084772924007</v>
      </c>
      <c r="G12" s="43">
        <f t="shared" si="2"/>
        <v>13952.097297700895</v>
      </c>
      <c r="H12" s="49">
        <v>17257.895440512799</v>
      </c>
      <c r="I12" s="49">
        <v>932.87119498186905</v>
      </c>
      <c r="J12" s="44">
        <v>0.82784500000000005</v>
      </c>
      <c r="K12" s="43">
        <f t="shared" si="3"/>
        <v>15219.733645933189</v>
      </c>
      <c r="M12" s="49">
        <v>2246.0558000000005</v>
      </c>
      <c r="N12" s="30">
        <v>578.32462500052077</v>
      </c>
      <c r="O12" s="43">
        <f t="shared" si="0"/>
        <v>1298949.3782652449</v>
      </c>
      <c r="P12" s="49">
        <v>2210.02406798533</v>
      </c>
      <c r="Q12" s="49">
        <v>6127.833333333333</v>
      </c>
      <c r="R12" s="30">
        <v>579.50914622360051</v>
      </c>
      <c r="S12" s="43">
        <f t="shared" si="4"/>
        <v>1280729.1607717869</v>
      </c>
      <c r="T12" s="41"/>
      <c r="U12" s="49">
        <v>80927.7</v>
      </c>
      <c r="V12" s="49">
        <v>42331.8</v>
      </c>
      <c r="W12" s="53">
        <f t="shared" si="5"/>
        <v>0.52308171367776424</v>
      </c>
      <c r="X12" s="35">
        <v>0.53454433079250796</v>
      </c>
      <c r="Z12" s="30">
        <v>33251</v>
      </c>
      <c r="AA12" s="30">
        <v>20538.8</v>
      </c>
      <c r="AB12" s="44">
        <f t="shared" si="1"/>
        <v>0.38231030645694863</v>
      </c>
      <c r="AC12" s="35">
        <v>0.31956842987174799</v>
      </c>
      <c r="AE12" s="57" t="s">
        <v>58</v>
      </c>
      <c r="AF12" s="45">
        <f t="shared" si="6"/>
        <v>2.7238880476971912</v>
      </c>
      <c r="AG12" s="54">
        <v>2.2978879457428198</v>
      </c>
      <c r="AH12" s="53">
        <f t="shared" si="10"/>
        <v>-4.4211953265290704E-3</v>
      </c>
      <c r="AJ12" s="57" t="s">
        <v>58</v>
      </c>
      <c r="AK12" s="42">
        <f t="shared" si="7"/>
        <v>921875.92235572974</v>
      </c>
      <c r="AL12" s="43">
        <f t="shared" si="8"/>
        <v>913513.75571731897</v>
      </c>
      <c r="AM12" s="44">
        <f t="shared" si="9"/>
        <v>9.1538486268819639E-3</v>
      </c>
      <c r="AN12" s="44">
        <f t="shared" si="11"/>
        <v>5.0537605694428001E-2</v>
      </c>
      <c r="AO12" s="40"/>
      <c r="AP12" s="66"/>
      <c r="AQ12" s="32"/>
      <c r="AR12" s="32"/>
      <c r="AS12" s="32"/>
      <c r="AT12" s="32"/>
      <c r="AU12" s="32"/>
    </row>
    <row r="13" spans="1:47">
      <c r="A13" s="57" t="s">
        <v>59</v>
      </c>
      <c r="B13" s="49">
        <v>938020.51009871368</v>
      </c>
      <c r="D13" s="49">
        <v>16947.490988026173</v>
      </c>
      <c r="E13" s="49">
        <v>970.74285098123778</v>
      </c>
      <c r="F13" s="44">
        <v>0.83215700371960644</v>
      </c>
      <c r="G13" s="43">
        <f t="shared" si="2"/>
        <v>15073.716172142131</v>
      </c>
      <c r="H13" s="49">
        <v>18253.4446840565</v>
      </c>
      <c r="I13" s="49">
        <v>1003.34019675897</v>
      </c>
      <c r="J13" s="44">
        <v>0.82784500000000005</v>
      </c>
      <c r="K13" s="43">
        <f t="shared" si="3"/>
        <v>16114.363111231725</v>
      </c>
      <c r="M13" s="49">
        <v>2210.0163333333335</v>
      </c>
      <c r="N13" s="30">
        <v>588.53134995179312</v>
      </c>
      <c r="O13" s="43">
        <f t="shared" si="0"/>
        <v>1300663.8960721788</v>
      </c>
      <c r="P13" s="49">
        <v>2190.95623943186</v>
      </c>
      <c r="Q13" s="49">
        <v>6249.166666666667</v>
      </c>
      <c r="R13" s="30">
        <v>591.2819073940293</v>
      </c>
      <c r="S13" s="43">
        <f t="shared" si="4"/>
        <v>1295472.7842681198</v>
      </c>
      <c r="T13" s="41"/>
      <c r="U13" s="49">
        <v>89381.5</v>
      </c>
      <c r="V13" s="49">
        <v>45942.9</v>
      </c>
      <c r="W13" s="53">
        <f t="shared" si="5"/>
        <v>0.51400905108999062</v>
      </c>
      <c r="X13" s="35">
        <v>0.53214539397726801</v>
      </c>
      <c r="Z13" s="30">
        <v>37213.5</v>
      </c>
      <c r="AA13" s="30">
        <v>22637.8</v>
      </c>
      <c r="AB13" s="44">
        <f t="shared" si="1"/>
        <v>0.39167775135367544</v>
      </c>
      <c r="AC13" s="35">
        <v>0.30656842535655898</v>
      </c>
      <c r="AE13" s="57" t="s">
        <v>59</v>
      </c>
      <c r="AF13" s="45">
        <f t="shared" si="6"/>
        <v>2.8059927178101338</v>
      </c>
      <c r="AG13" s="54">
        <v>2.2546235027425698</v>
      </c>
      <c r="AH13" s="53">
        <f t="shared" si="10"/>
        <v>-1.8827916774794784E-2</v>
      </c>
      <c r="AJ13" s="57" t="s">
        <v>59</v>
      </c>
      <c r="AK13" s="42">
        <f t="shared" si="7"/>
        <v>938020.51009871368</v>
      </c>
      <c r="AL13" s="43">
        <f t="shared" si="8"/>
        <v>937198.04960806097</v>
      </c>
      <c r="AM13" s="44">
        <f t="shared" si="9"/>
        <v>8.7757383937862941E-4</v>
      </c>
      <c r="AN13" s="44">
        <f t="shared" si="11"/>
        <v>2.5926587030038029E-2</v>
      </c>
      <c r="AP13" s="66"/>
      <c r="AQ13" s="32"/>
      <c r="AR13" s="32"/>
      <c r="AS13" s="32"/>
      <c r="AT13" s="32"/>
      <c r="AU13" s="32"/>
    </row>
    <row r="14" spans="1:47">
      <c r="A14" s="57" t="s">
        <v>60</v>
      </c>
      <c r="B14" s="49">
        <v>931140.95929229981</v>
      </c>
      <c r="D14" s="49">
        <v>18943.930197413443</v>
      </c>
      <c r="E14" s="49">
        <v>1059.7251240025878</v>
      </c>
      <c r="F14" s="44">
        <v>0.83469703894930436</v>
      </c>
      <c r="G14" s="43">
        <f t="shared" si="2"/>
        <v>16872.167565845899</v>
      </c>
      <c r="H14" s="49">
        <v>19271.9753769323</v>
      </c>
      <c r="I14" s="49">
        <v>1075.1709706128499</v>
      </c>
      <c r="J14" s="44">
        <v>0.82784500000000005</v>
      </c>
      <c r="K14" s="43">
        <f t="shared" si="3"/>
        <v>17029.379426529373</v>
      </c>
      <c r="M14" s="49">
        <v>2178.4818</v>
      </c>
      <c r="N14" s="30">
        <v>604.33599903638333</v>
      </c>
      <c r="O14" s="43">
        <f t="shared" si="0"/>
        <v>1316534.9749855786</v>
      </c>
      <c r="P14" s="49">
        <v>2170.0852835935302</v>
      </c>
      <c r="Q14" s="49">
        <v>6368.583333333333</v>
      </c>
      <c r="R14" s="30">
        <v>603.62061008858439</v>
      </c>
      <c r="S14" s="43">
        <f t="shared" si="4"/>
        <v>1309908.2028269854</v>
      </c>
      <c r="T14" s="41"/>
      <c r="U14" s="49">
        <v>94261.4</v>
      </c>
      <c r="V14" s="49">
        <v>49299.3</v>
      </c>
      <c r="W14" s="53">
        <f t="shared" si="5"/>
        <v>0.52300623585051786</v>
      </c>
      <c r="X14" s="35">
        <v>0.53099574831445995</v>
      </c>
      <c r="Z14" s="30">
        <v>38347.699999999997</v>
      </c>
      <c r="AA14" s="30">
        <v>25179.1</v>
      </c>
      <c r="AB14" s="44">
        <f t="shared" si="1"/>
        <v>0.34339999530610699</v>
      </c>
      <c r="AC14" s="35">
        <v>0.28820448310500402</v>
      </c>
      <c r="AE14" s="57" t="s">
        <v>60</v>
      </c>
      <c r="AF14" s="45">
        <f t="shared" si="6"/>
        <v>2.4289942909424949</v>
      </c>
      <c r="AG14" s="54">
        <v>2.1790930298532301</v>
      </c>
      <c r="AH14" s="53">
        <f t="shared" si="10"/>
        <v>-3.3500259709642433E-2</v>
      </c>
      <c r="AJ14" s="57" t="s">
        <v>60</v>
      </c>
      <c r="AK14" s="42">
        <f t="shared" si="7"/>
        <v>931140.95929229981</v>
      </c>
      <c r="AL14" s="43">
        <f t="shared" si="8"/>
        <v>946018.03302782821</v>
      </c>
      <c r="AM14" s="44">
        <f t="shared" si="9"/>
        <v>-1.5725993814211751E-2</v>
      </c>
      <c r="AN14" s="44">
        <f t="shared" si="11"/>
        <v>9.4110134175544591E-3</v>
      </c>
      <c r="AP14" s="66"/>
      <c r="AQ14" s="32"/>
      <c r="AR14" s="32"/>
      <c r="AS14" s="32"/>
      <c r="AT14" s="32"/>
      <c r="AU14" s="32"/>
    </row>
    <row r="15" spans="1:47">
      <c r="A15" s="57" t="s">
        <v>61</v>
      </c>
      <c r="B15" s="49">
        <v>914515.97595756478</v>
      </c>
      <c r="D15" s="49">
        <v>20882.983261920435</v>
      </c>
      <c r="E15" s="49">
        <v>1126.511595140536</v>
      </c>
      <c r="F15" s="44">
        <v>0.82365230661915823</v>
      </c>
      <c r="G15" s="43">
        <f t="shared" si="2"/>
        <v>18326.828927910574</v>
      </c>
      <c r="H15" s="49">
        <v>20268.9552413038</v>
      </c>
      <c r="I15" s="49">
        <v>1146.7795842764201</v>
      </c>
      <c r="J15" s="44">
        <v>0.82784500000000005</v>
      </c>
      <c r="K15" s="43">
        <f t="shared" si="3"/>
        <v>17926.332836013567</v>
      </c>
      <c r="M15" s="49">
        <v>2139.8433333333332</v>
      </c>
      <c r="N15" s="30">
        <v>618.86100882546657</v>
      </c>
      <c r="O15" s="43">
        <f t="shared" si="0"/>
        <v>1324265.6039951157</v>
      </c>
      <c r="P15" s="49">
        <v>2148.43725181434</v>
      </c>
      <c r="Q15" s="49">
        <v>6436.25</v>
      </c>
      <c r="R15" s="30">
        <v>615.96835587990222</v>
      </c>
      <c r="S15" s="43">
        <f t="shared" si="4"/>
        <v>1323369.3617112145</v>
      </c>
      <c r="T15" s="41"/>
      <c r="U15" s="49">
        <v>93950.3</v>
      </c>
      <c r="V15" s="49">
        <v>48935.5</v>
      </c>
      <c r="W15" s="53">
        <f t="shared" si="5"/>
        <v>0.52086581948115118</v>
      </c>
      <c r="X15" s="35">
        <v>0.53097654347197798</v>
      </c>
      <c r="Z15" s="30">
        <v>37647.599999999999</v>
      </c>
      <c r="AA15" s="30">
        <v>26599.599999999999</v>
      </c>
      <c r="AB15" s="44">
        <f t="shared" si="1"/>
        <v>0.29345828153720288</v>
      </c>
      <c r="AC15" s="35">
        <v>0.26535982511103801</v>
      </c>
      <c r="AE15" s="57" t="s">
        <v>61</v>
      </c>
      <c r="AF15" s="45">
        <f t="shared" si="6"/>
        <v>2.1472439020737797</v>
      </c>
      <c r="AG15" s="54">
        <v>2.0776041046799198</v>
      </c>
      <c r="AH15" s="53">
        <f t="shared" si="10"/>
        <v>-4.6573929512383372E-2</v>
      </c>
      <c r="AJ15" s="57" t="s">
        <v>61</v>
      </c>
      <c r="AK15" s="42">
        <f t="shared" si="7"/>
        <v>914515.97595756478</v>
      </c>
      <c r="AL15" s="43">
        <f t="shared" si="8"/>
        <v>945222.75299003837</v>
      </c>
      <c r="AM15" s="44">
        <f t="shared" si="9"/>
        <v>-3.2486286365132816E-2</v>
      </c>
      <c r="AN15" s="44">
        <f t="shared" si="11"/>
        <v>-8.4066054771114729E-4</v>
      </c>
      <c r="AP15" s="66"/>
      <c r="AQ15" s="32"/>
      <c r="AR15" s="32"/>
      <c r="AS15" s="32"/>
      <c r="AT15" s="32"/>
      <c r="AU15" s="32"/>
    </row>
    <row r="16" spans="1:47">
      <c r="A16" s="57" t="s">
        <v>62</v>
      </c>
      <c r="B16" s="49">
        <v>876340.72052990249</v>
      </c>
      <c r="D16" s="49">
        <v>22294.723710971728</v>
      </c>
      <c r="E16" s="49">
        <v>1232.3149018762131</v>
      </c>
      <c r="F16" s="44">
        <v>0.80982216605645885</v>
      </c>
      <c r="G16" s="43">
        <f t="shared" si="2"/>
        <v>19287.076349125629</v>
      </c>
      <c r="H16" s="49">
        <v>21196.571547539399</v>
      </c>
      <c r="I16" s="49">
        <v>1216.42764701653</v>
      </c>
      <c r="J16" s="44">
        <v>0.82784500000000005</v>
      </c>
      <c r="K16" s="43">
        <f t="shared" si="3"/>
        <v>18763.903419789287</v>
      </c>
      <c r="M16" s="49">
        <v>2091.8484666666668</v>
      </c>
      <c r="N16" s="30">
        <v>640.53298907340525</v>
      </c>
      <c r="O16" s="43">
        <f t="shared" si="0"/>
        <v>1339897.9510426195</v>
      </c>
      <c r="P16" s="49">
        <v>2127.1221606023701</v>
      </c>
      <c r="Q16" s="49">
        <v>6450</v>
      </c>
      <c r="R16" s="30">
        <v>627.66488175266625</v>
      </c>
      <c r="S16" s="43">
        <f t="shared" si="4"/>
        <v>1335119.8794079626</v>
      </c>
      <c r="T16" s="41"/>
      <c r="U16" s="49">
        <v>93646.2</v>
      </c>
      <c r="V16" s="49">
        <v>48237.1</v>
      </c>
      <c r="W16" s="53">
        <f t="shared" si="5"/>
        <v>0.5150993847054125</v>
      </c>
      <c r="X16" s="35">
        <v>0.53188903399307996</v>
      </c>
      <c r="Z16" s="30">
        <v>37628</v>
      </c>
      <c r="AA16" s="30">
        <v>28010.3</v>
      </c>
      <c r="AB16" s="44">
        <f t="shared" si="1"/>
        <v>0.25559955352397157</v>
      </c>
      <c r="AC16" s="35">
        <v>0.23946962849062001</v>
      </c>
      <c r="AE16" s="57" t="s">
        <v>62</v>
      </c>
      <c r="AF16" s="45">
        <f t="shared" si="6"/>
        <v>1.9375983132246837</v>
      </c>
      <c r="AG16" s="54">
        <v>1.9589633174382699</v>
      </c>
      <c r="AH16" s="53">
        <f t="shared" si="10"/>
        <v>-5.7104617272561664E-2</v>
      </c>
      <c r="AJ16" s="57" t="s">
        <v>62</v>
      </c>
      <c r="AK16" s="42">
        <f t="shared" si="7"/>
        <v>876340.72052990249</v>
      </c>
      <c r="AL16" s="43">
        <f t="shared" si="8"/>
        <v>926469.38244747231</v>
      </c>
      <c r="AM16" s="44">
        <f t="shared" si="9"/>
        <v>-5.4107197568843503E-2</v>
      </c>
      <c r="AN16" s="44">
        <f t="shared" si="11"/>
        <v>-1.984015988108967E-2</v>
      </c>
      <c r="AP16" s="66"/>
      <c r="AQ16" s="32"/>
      <c r="AR16" s="32"/>
      <c r="AS16" s="32"/>
      <c r="AT16" s="32"/>
      <c r="AU16" s="32"/>
    </row>
    <row r="17" spans="1:47">
      <c r="A17" s="57" t="s">
        <v>63</v>
      </c>
      <c r="B17" s="43">
        <v>872986.73810545634</v>
      </c>
      <c r="D17" s="49">
        <v>23133.841261109683</v>
      </c>
      <c r="E17" s="49">
        <v>1331.947178491841</v>
      </c>
      <c r="F17" s="44">
        <v>0.80504109241560873</v>
      </c>
      <c r="G17" s="43">
        <f t="shared" si="2"/>
        <v>19955.640019104863</v>
      </c>
      <c r="H17" s="49">
        <v>22013.151846213801</v>
      </c>
      <c r="I17" s="49">
        <v>1282.1740882086599</v>
      </c>
      <c r="J17" s="44">
        <v>0.82784500000000005</v>
      </c>
      <c r="K17" s="43">
        <f>H17*J17+I17</f>
        <v>19505.651778337524</v>
      </c>
      <c r="M17" s="43">
        <v>2063.0862000000006</v>
      </c>
      <c r="N17" s="43">
        <v>654.78691854150406</v>
      </c>
      <c r="O17" s="43">
        <f t="shared" si="0"/>
        <v>1350881.8555835015</v>
      </c>
      <c r="P17" s="43">
        <v>2107.1640872808898</v>
      </c>
      <c r="Q17" s="43">
        <v>6453.666666666667</v>
      </c>
      <c r="R17" s="43">
        <v>637.98091429446617</v>
      </c>
      <c r="S17" s="43">
        <f t="shared" si="4"/>
        <v>1344330.4709719263</v>
      </c>
      <c r="T17" s="41"/>
      <c r="U17" s="43">
        <v>88624.7</v>
      </c>
      <c r="V17" s="43">
        <v>48280.2</v>
      </c>
      <c r="W17" s="53">
        <f t="shared" si="5"/>
        <v>0.54477137863372171</v>
      </c>
      <c r="X17" s="35">
        <v>0.533433367181116</v>
      </c>
      <c r="Z17" s="43">
        <v>35240.300000000003</v>
      </c>
      <c r="AA17" s="43">
        <v>29892.3</v>
      </c>
      <c r="AB17" s="44">
        <f>1-AA17/Z17</f>
        <v>0.15175807243411676</v>
      </c>
      <c r="AC17" s="35">
        <v>0.212250054923974</v>
      </c>
      <c r="AE17" s="57" t="s">
        <v>63</v>
      </c>
      <c r="AF17" s="45">
        <f t="shared" si="6"/>
        <v>1.5270389059997276</v>
      </c>
      <c r="AG17" s="45">
        <v>1.8326736563180801</v>
      </c>
      <c r="AH17" s="53">
        <f t="shared" si="10"/>
        <v>-6.4467598752864008E-2</v>
      </c>
      <c r="AJ17" s="57" t="s">
        <v>63</v>
      </c>
      <c r="AK17" s="42">
        <f t="shared" si="7"/>
        <v>872986.73810545634</v>
      </c>
      <c r="AL17" s="43">
        <f t="shared" si="8"/>
        <v>920321.55735231284</v>
      </c>
      <c r="AM17" s="44">
        <f t="shared" si="9"/>
        <v>-5.1432913712284173E-2</v>
      </c>
      <c r="AN17" s="44">
        <f t="shared" si="11"/>
        <v>-6.6357563580985435E-3</v>
      </c>
      <c r="AP17" s="66"/>
      <c r="AQ17" s="37"/>
      <c r="AR17" s="38"/>
      <c r="AS17" s="37"/>
      <c r="AT17" s="37"/>
      <c r="AU17" s="38"/>
    </row>
    <row r="18" spans="1:47">
      <c r="A18" s="57" t="s">
        <v>64</v>
      </c>
      <c r="B18" s="43">
        <v>883056.79709820484</v>
      </c>
      <c r="D18" s="43">
        <v>23678.7</v>
      </c>
      <c r="E18" s="43">
        <v>1384.6</v>
      </c>
      <c r="F18" s="44">
        <v>0.80543238015226171</v>
      </c>
      <c r="G18" s="43">
        <f t="shared" si="2"/>
        <v>20456.19169991136</v>
      </c>
      <c r="H18" s="43">
        <v>22688.005209536001</v>
      </c>
      <c r="I18" s="43">
        <v>1342.2367097768699</v>
      </c>
      <c r="J18" s="44">
        <v>0.82784500000000005</v>
      </c>
      <c r="K18" s="43">
        <f t="shared" ref="K18:K63" si="12">H18*J18+I18</f>
        <v>20124.3883824652</v>
      </c>
      <c r="M18" s="43">
        <v>2065.6851999999999</v>
      </c>
      <c r="N18" s="43">
        <v>662.99189736161873</v>
      </c>
      <c r="O18" s="43">
        <f t="shared" si="0"/>
        <v>1369532.5500998148</v>
      </c>
      <c r="P18" s="43">
        <v>2089.2343722338201</v>
      </c>
      <c r="Q18" s="43">
        <v>6457.333333333333</v>
      </c>
      <c r="R18" s="43">
        <v>646.23938937919286</v>
      </c>
      <c r="S18" s="43">
        <f t="shared" si="4"/>
        <v>1350145.5449824051</v>
      </c>
      <c r="T18" s="41"/>
      <c r="U18" s="43">
        <v>88094.6</v>
      </c>
      <c r="V18" s="43">
        <v>48491.9</v>
      </c>
      <c r="W18" s="53">
        <f t="shared" si="5"/>
        <v>0.55045258165653743</v>
      </c>
      <c r="X18" s="35">
        <v>0.53514179384655303</v>
      </c>
      <c r="Z18" s="43">
        <v>34426.699999999997</v>
      </c>
      <c r="AA18" s="43">
        <v>30074.5</v>
      </c>
      <c r="AB18" s="44">
        <f t="shared" ref="AB18:AB42" si="13">1-AA18/Z18</f>
        <v>0.12641931988834243</v>
      </c>
      <c r="AC18" s="35">
        <v>0.18557856534165501</v>
      </c>
      <c r="AE18" s="57" t="s">
        <v>64</v>
      </c>
      <c r="AF18" s="45">
        <f t="shared" si="6"/>
        <v>1.4481211891232053</v>
      </c>
      <c r="AG18" s="45">
        <v>1.7080244594667899</v>
      </c>
      <c r="AH18" s="53">
        <f t="shared" si="10"/>
        <v>-6.8014944407350564E-2</v>
      </c>
      <c r="AI18" s="43"/>
      <c r="AJ18" s="57" t="s">
        <v>64</v>
      </c>
      <c r="AK18" s="42">
        <f t="shared" si="7"/>
        <v>883056.79709820484</v>
      </c>
      <c r="AL18" s="43">
        <f t="shared" si="8"/>
        <v>914765.06052875903</v>
      </c>
      <c r="AM18" s="44">
        <f t="shared" si="9"/>
        <v>-3.4662739974158994E-2</v>
      </c>
      <c r="AN18" s="44">
        <f t="shared" si="11"/>
        <v>-6.0375602192123123E-3</v>
      </c>
      <c r="AP18" s="66"/>
      <c r="AQ18" s="37"/>
      <c r="AR18" s="38"/>
      <c r="AS18" s="37"/>
      <c r="AT18" s="37"/>
      <c r="AU18" s="38"/>
    </row>
    <row r="19" spans="1:47">
      <c r="A19" s="57" t="s">
        <v>65</v>
      </c>
      <c r="B19" s="43">
        <v>855111.95504074183</v>
      </c>
      <c r="D19" s="43">
        <v>24373.600000000002</v>
      </c>
      <c r="E19" s="43">
        <v>1419.1</v>
      </c>
      <c r="F19" s="44">
        <v>0.81356770739113005</v>
      </c>
      <c r="G19" s="43">
        <f t="shared" si="2"/>
        <v>21248.673872868447</v>
      </c>
      <c r="H19" s="43">
        <v>23201.647603863799</v>
      </c>
      <c r="I19" s="43">
        <v>1395.3310445480699</v>
      </c>
      <c r="J19" s="44">
        <v>0.82784500000000005</v>
      </c>
      <c r="K19" s="43">
        <f t="shared" si="12"/>
        <v>20602.699005168699</v>
      </c>
      <c r="M19" s="43">
        <v>2088.7296666666671</v>
      </c>
      <c r="N19" s="43">
        <v>669.47482644485297</v>
      </c>
      <c r="O19" s="43">
        <f t="shared" si="0"/>
        <v>1398351.9310818824</v>
      </c>
      <c r="P19" s="43">
        <v>2073.5635769722398</v>
      </c>
      <c r="Q19" s="43">
        <v>6486.25</v>
      </c>
      <c r="R19" s="43">
        <v>651.89082098768984</v>
      </c>
      <c r="S19" s="43">
        <f t="shared" si="4"/>
        <v>1351737.0625626042</v>
      </c>
      <c r="T19" s="41"/>
      <c r="U19" s="43">
        <v>92402.4</v>
      </c>
      <c r="V19" s="43">
        <v>51197.3</v>
      </c>
      <c r="W19" s="53">
        <f t="shared" si="5"/>
        <v>0.55406894193224421</v>
      </c>
      <c r="X19" s="35">
        <v>0.53665994491438895</v>
      </c>
      <c r="Z19" s="43">
        <v>35941.800000000003</v>
      </c>
      <c r="AA19" s="43">
        <v>30504.5</v>
      </c>
      <c r="AB19" s="44">
        <f t="shared" si="13"/>
        <v>0.15128068154627761</v>
      </c>
      <c r="AC19" s="35">
        <v>0.16072770084931801</v>
      </c>
      <c r="AE19" s="57" t="s">
        <v>65</v>
      </c>
      <c r="AF19" s="45">
        <f t="shared" si="6"/>
        <v>1.477400377700236</v>
      </c>
      <c r="AG19" s="45">
        <v>1.59124871752865</v>
      </c>
      <c r="AH19" s="53">
        <f t="shared" si="10"/>
        <v>-6.8368893250272844E-2</v>
      </c>
      <c r="AI19" s="40"/>
      <c r="AJ19" s="57" t="s">
        <v>65</v>
      </c>
      <c r="AK19" s="42">
        <f t="shared" si="7"/>
        <v>855111.95504074183</v>
      </c>
      <c r="AL19" s="43">
        <f t="shared" si="8"/>
        <v>882130.86941071053</v>
      </c>
      <c r="AM19" s="44">
        <f t="shared" si="9"/>
        <v>-3.0629145070071213E-2</v>
      </c>
      <c r="AN19" s="44">
        <f t="shared" si="11"/>
        <v>-3.5674942699697176E-2</v>
      </c>
      <c r="AP19" s="66"/>
      <c r="AQ19" s="37"/>
      <c r="AR19" s="38"/>
      <c r="AS19" s="37"/>
      <c r="AT19" s="37"/>
      <c r="AU19" s="38"/>
    </row>
    <row r="20" spans="1:47">
      <c r="A20" s="57" t="s">
        <v>66</v>
      </c>
      <c r="B20" s="43">
        <v>802443.59688947361</v>
      </c>
      <c r="D20" s="43">
        <v>24547.4</v>
      </c>
      <c r="E20" s="43">
        <v>1470.1</v>
      </c>
      <c r="F20" s="44">
        <v>0.81403646043855638</v>
      </c>
      <c r="G20" s="43">
        <f t="shared" si="2"/>
        <v>21452.578608969419</v>
      </c>
      <c r="H20" s="43">
        <v>23544.5019434598</v>
      </c>
      <c r="I20" s="43">
        <v>1440.5962582514001</v>
      </c>
      <c r="J20" s="44">
        <v>0.82784500000000005</v>
      </c>
      <c r="K20" s="43">
        <f t="shared" si="12"/>
        <v>20931.794469634879</v>
      </c>
      <c r="M20" s="43">
        <v>2071.5762666666665</v>
      </c>
      <c r="N20" s="43">
        <v>684.60342112773708</v>
      </c>
      <c r="O20" s="43">
        <f t="shared" si="0"/>
        <v>1418208.1992870253</v>
      </c>
      <c r="P20" s="43">
        <v>2060.1467712849299</v>
      </c>
      <c r="Q20" s="43">
        <v>6556.916666666667</v>
      </c>
      <c r="R20" s="43">
        <v>654.54113976425742</v>
      </c>
      <c r="S20" s="43">
        <f t="shared" si="4"/>
        <v>1348450.815758493</v>
      </c>
      <c r="T20" s="41"/>
      <c r="U20" s="43">
        <v>87753</v>
      </c>
      <c r="V20" s="43">
        <v>48480.800000000003</v>
      </c>
      <c r="W20" s="53">
        <f t="shared" si="5"/>
        <v>0.55246886146342578</v>
      </c>
      <c r="X20" s="35">
        <v>0.537786559187724</v>
      </c>
      <c r="Z20" s="43">
        <v>33721.699999999997</v>
      </c>
      <c r="AA20" s="43">
        <v>31412.3</v>
      </c>
      <c r="AB20" s="44">
        <f t="shared" si="13"/>
        <v>6.8484091845903317E-2</v>
      </c>
      <c r="AC20" s="35">
        <v>0.13837841009808199</v>
      </c>
      <c r="AE20" s="57" t="s">
        <v>66</v>
      </c>
      <c r="AF20" s="45">
        <f t="shared" si="6"/>
        <v>1.2231220487723058</v>
      </c>
      <c r="AG20" s="45">
        <v>1.48598038844423</v>
      </c>
      <c r="AH20" s="53">
        <f t="shared" si="10"/>
        <v>-6.6154541351594043E-2</v>
      </c>
      <c r="AI20" s="40"/>
      <c r="AJ20" s="57" t="s">
        <v>66</v>
      </c>
      <c r="AK20" s="42">
        <f t="shared" si="7"/>
        <v>802443.59688947361</v>
      </c>
      <c r="AL20" s="43">
        <f t="shared" si="8"/>
        <v>831839.51200953161</v>
      </c>
      <c r="AM20" s="44">
        <f t="shared" si="9"/>
        <v>-3.5338445331893738E-2</v>
      </c>
      <c r="AN20" s="44">
        <f t="shared" si="11"/>
        <v>-5.7011220381364747E-2</v>
      </c>
      <c r="AP20" s="66"/>
      <c r="AQ20" s="37"/>
      <c r="AR20" s="38"/>
      <c r="AS20" s="37"/>
      <c r="AT20" s="37"/>
      <c r="AU20" s="38"/>
    </row>
    <row r="21" spans="1:47">
      <c r="A21" s="57" t="s">
        <v>67</v>
      </c>
      <c r="B21" s="43">
        <v>766874.02644940093</v>
      </c>
      <c r="D21" s="43">
        <v>24377.8</v>
      </c>
      <c r="E21" s="43">
        <v>1520.5</v>
      </c>
      <c r="F21" s="44">
        <v>0.79833957381538978</v>
      </c>
      <c r="G21" s="43">
        <f t="shared" si="2"/>
        <v>20982.26246255681</v>
      </c>
      <c r="H21" s="43">
        <v>23718.710666547799</v>
      </c>
      <c r="I21" s="43">
        <v>1477.4092061705201</v>
      </c>
      <c r="J21" s="44">
        <v>0.82784500000000005</v>
      </c>
      <c r="K21" s="43">
        <f t="shared" si="12"/>
        <v>21112.825237918783</v>
      </c>
      <c r="M21" s="43">
        <v>2050.7842666666666</v>
      </c>
      <c r="N21" s="43">
        <v>661.75412035202453</v>
      </c>
      <c r="O21" s="43">
        <f t="shared" si="0"/>
        <v>1357114.9384197716</v>
      </c>
      <c r="P21" s="43">
        <v>2049.1306858575799</v>
      </c>
      <c r="Q21" s="43">
        <v>6514</v>
      </c>
      <c r="R21" s="43">
        <v>653.98243176224071</v>
      </c>
      <c r="S21" s="43">
        <f t="shared" si="4"/>
        <v>1340095.4689357684</v>
      </c>
      <c r="T21" s="41"/>
      <c r="U21" s="43">
        <v>82626.600000000006</v>
      </c>
      <c r="V21" s="43">
        <v>44675.9</v>
      </c>
      <c r="W21" s="53">
        <f t="shared" si="5"/>
        <v>0.54069633749906199</v>
      </c>
      <c r="X21" s="35">
        <v>0.53849446543983603</v>
      </c>
      <c r="Z21" s="43">
        <v>32164.400000000001</v>
      </c>
      <c r="AA21" s="43">
        <v>29572.3</v>
      </c>
      <c r="AB21" s="44">
        <f t="shared" si="13"/>
        <v>8.0589098506423262E-2</v>
      </c>
      <c r="AC21" s="35">
        <v>0.119117171546034</v>
      </c>
      <c r="AE21" s="57" t="s">
        <v>67</v>
      </c>
      <c r="AF21" s="45">
        <f t="shared" si="6"/>
        <v>1.2518673873920207</v>
      </c>
      <c r="AG21" s="45">
        <v>1.39471494675584</v>
      </c>
      <c r="AH21" s="53">
        <f t="shared" si="10"/>
        <v>-6.1417662304373843E-2</v>
      </c>
      <c r="AI21" s="40"/>
      <c r="AJ21" s="57" t="s">
        <v>67</v>
      </c>
      <c r="AK21" s="42">
        <f t="shared" si="7"/>
        <v>766874.02644940093</v>
      </c>
      <c r="AL21" s="43">
        <f t="shared" si="8"/>
        <v>789282.09235586761</v>
      </c>
      <c r="AM21" s="44">
        <f t="shared" si="9"/>
        <v>-2.8390440025799352E-2</v>
      </c>
      <c r="AN21" s="44">
        <f t="shared" si="11"/>
        <v>-5.1160613362612573E-2</v>
      </c>
      <c r="AP21" s="66"/>
      <c r="AQ21" s="37"/>
      <c r="AR21" s="38"/>
      <c r="AS21" s="37"/>
      <c r="AT21" s="37"/>
      <c r="AU21" s="38"/>
    </row>
    <row r="22" spans="1:47">
      <c r="A22" s="57" t="s">
        <v>68</v>
      </c>
      <c r="B22" s="43">
        <v>751604.13154859724</v>
      </c>
      <c r="D22" s="43">
        <v>23971.200000000001</v>
      </c>
      <c r="E22" s="43">
        <v>1536.1</v>
      </c>
      <c r="F22" s="44">
        <v>0.78839868222937881</v>
      </c>
      <c r="G22" s="43">
        <f t="shared" si="2"/>
        <v>20434.962491456885</v>
      </c>
      <c r="H22" s="43">
        <v>23736.445191917301</v>
      </c>
      <c r="I22" s="43">
        <v>1505.4417810065399</v>
      </c>
      <c r="J22" s="44">
        <v>0.82784500000000005</v>
      </c>
      <c r="K22" s="43">
        <f t="shared" si="12"/>
        <v>21155.539250909318</v>
      </c>
      <c r="M22" s="43">
        <v>2026.5269333333335</v>
      </c>
      <c r="N22" s="43">
        <v>656.6112003019274</v>
      </c>
      <c r="O22" s="43">
        <f t="shared" si="0"/>
        <v>1330640.2821401842</v>
      </c>
      <c r="P22" s="43">
        <v>2040.7763463297299</v>
      </c>
      <c r="Q22" s="43">
        <v>6461.833333333333</v>
      </c>
      <c r="R22" s="43">
        <v>650.3099776970821</v>
      </c>
      <c r="S22" s="43">
        <f t="shared" si="4"/>
        <v>1327137.2202664195</v>
      </c>
      <c r="T22" s="41"/>
      <c r="U22" s="43">
        <v>79278.100000000006</v>
      </c>
      <c r="V22" s="43">
        <v>42524.1</v>
      </c>
      <c r="W22" s="53">
        <f t="shared" si="5"/>
        <v>0.53639151291466369</v>
      </c>
      <c r="X22" s="35">
        <v>0.53890331546675296</v>
      </c>
      <c r="Z22" s="43">
        <v>31273.200000000001</v>
      </c>
      <c r="AA22" s="43">
        <v>28939</v>
      </c>
      <c r="AB22" s="44">
        <f t="shared" si="13"/>
        <v>7.4638988015297447E-2</v>
      </c>
      <c r="AC22" s="35">
        <v>0.102831520468738</v>
      </c>
      <c r="AE22" s="57" t="s">
        <v>68</v>
      </c>
      <c r="AF22" s="45">
        <f t="shared" si="6"/>
        <v>1.2383831937153722</v>
      </c>
      <c r="AG22" s="45">
        <v>1.3173192836093199</v>
      </c>
      <c r="AH22" s="53">
        <f t="shared" si="10"/>
        <v>-5.5492101326185206E-2</v>
      </c>
      <c r="AI22" s="40"/>
      <c r="AJ22" s="57" t="s">
        <v>68</v>
      </c>
      <c r="AK22" s="42">
        <f t="shared" si="7"/>
        <v>751604.13154859724</v>
      </c>
      <c r="AL22" s="43">
        <f t="shared" si="8"/>
        <v>757912.42304105207</v>
      </c>
      <c r="AM22" s="44">
        <f t="shared" si="9"/>
        <v>-8.3232459327469525E-3</v>
      </c>
      <c r="AN22" s="44">
        <f t="shared" si="11"/>
        <v>-3.9744559795069745E-2</v>
      </c>
      <c r="AP22" s="66"/>
      <c r="AQ22" s="37"/>
      <c r="AR22" s="38"/>
      <c r="AS22" s="37"/>
      <c r="AT22" s="37"/>
      <c r="AU22" s="38"/>
    </row>
    <row r="23" spans="1:47">
      <c r="A23" s="57" t="s">
        <v>69</v>
      </c>
      <c r="B23" s="43">
        <v>696493.91938198661</v>
      </c>
      <c r="D23" s="43">
        <v>23604.1</v>
      </c>
      <c r="E23" s="43">
        <v>1552.5</v>
      </c>
      <c r="F23" s="44">
        <v>0.78321155603443193</v>
      </c>
      <c r="G23" s="43">
        <f t="shared" si="2"/>
        <v>20039.503889792333</v>
      </c>
      <c r="H23" s="43">
        <v>23616.467831692102</v>
      </c>
      <c r="I23" s="43">
        <v>1524.7967833989201</v>
      </c>
      <c r="J23" s="44">
        <v>0.82784500000000005</v>
      </c>
      <c r="K23" s="43">
        <f t="shared" si="12"/>
        <v>21075.571595526071</v>
      </c>
      <c r="M23" s="43">
        <v>2017.1705333333337</v>
      </c>
      <c r="N23" s="43">
        <v>653.21341377324222</v>
      </c>
      <c r="O23" s="43">
        <f t="shared" si="0"/>
        <v>1317642.8502414585</v>
      </c>
      <c r="P23" s="43">
        <v>2035.36131414897</v>
      </c>
      <c r="Q23" s="43">
        <v>6445.833333333333</v>
      </c>
      <c r="R23" s="43">
        <v>643.75636680403989</v>
      </c>
      <c r="S23" s="43">
        <f t="shared" si="4"/>
        <v>1310276.804730037</v>
      </c>
      <c r="T23" s="41"/>
      <c r="U23" s="43">
        <v>77317.2</v>
      </c>
      <c r="V23" s="43">
        <v>41621.5</v>
      </c>
      <c r="W23" s="53">
        <f t="shared" si="5"/>
        <v>0.53832135669682812</v>
      </c>
      <c r="X23" s="35">
        <v>0.53915477978509696</v>
      </c>
      <c r="Z23" s="43">
        <v>30501.599999999999</v>
      </c>
      <c r="AA23" s="43">
        <v>27540.7</v>
      </c>
      <c r="AB23" s="44">
        <f t="shared" si="13"/>
        <v>9.7073596139218843E-2</v>
      </c>
      <c r="AC23" s="35">
        <v>8.9023711411359702E-2</v>
      </c>
      <c r="AE23" s="57" t="s">
        <v>69</v>
      </c>
      <c r="AF23" s="45">
        <f t="shared" si="6"/>
        <v>1.2543803452681521</v>
      </c>
      <c r="AG23" s="45">
        <v>1.25223181455697</v>
      </c>
      <c r="AH23" s="53">
        <f t="shared" si="10"/>
        <v>-4.9409030796252362E-2</v>
      </c>
      <c r="AI23" s="40"/>
      <c r="AJ23" s="57" t="s">
        <v>69</v>
      </c>
      <c r="AK23" s="42">
        <f t="shared" si="7"/>
        <v>696493.91938198661</v>
      </c>
      <c r="AL23" s="43">
        <f t="shared" si="8"/>
        <v>706069.18040646217</v>
      </c>
      <c r="AM23" s="44">
        <f t="shared" si="9"/>
        <v>-1.3561363801438525E-2</v>
      </c>
      <c r="AN23" s="44">
        <f t="shared" si="11"/>
        <v>-6.8402682234147583E-2</v>
      </c>
      <c r="AP23" s="66"/>
      <c r="AQ23" s="37"/>
      <c r="AR23" s="38"/>
      <c r="AS23" s="37"/>
      <c r="AT23" s="37"/>
      <c r="AU23" s="38"/>
    </row>
    <row r="24" spans="1:47">
      <c r="A24" s="57" t="s">
        <v>70</v>
      </c>
      <c r="B24" s="43">
        <v>667741.27891964652</v>
      </c>
      <c r="D24" s="43">
        <v>23623.599999999999</v>
      </c>
      <c r="E24" s="43">
        <v>1564.2</v>
      </c>
      <c r="F24" s="44">
        <v>0.77738919617072988</v>
      </c>
      <c r="G24" s="43">
        <f t="shared" si="2"/>
        <v>19928.931414658855</v>
      </c>
      <c r="H24" s="43">
        <v>23379.8884460767</v>
      </c>
      <c r="I24" s="43">
        <v>1535.8835961770201</v>
      </c>
      <c r="J24" s="44">
        <v>0.82784500000000005</v>
      </c>
      <c r="K24" s="43">
        <f t="shared" si="12"/>
        <v>20890.807346819387</v>
      </c>
      <c r="M24" s="43">
        <v>1999.3240666666668</v>
      </c>
      <c r="N24" s="43">
        <v>631.46406991096273</v>
      </c>
      <c r="O24" s="43">
        <f t="shared" si="0"/>
        <v>1262501.3122082704</v>
      </c>
      <c r="P24" s="43">
        <v>2033.02065663297</v>
      </c>
      <c r="Q24" s="43">
        <v>6412.166666666667</v>
      </c>
      <c r="R24" s="43">
        <v>634.68318193500932</v>
      </c>
      <c r="S24" s="43">
        <f t="shared" si="4"/>
        <v>1290324.0192914153</v>
      </c>
      <c r="T24" s="41"/>
      <c r="U24" s="43">
        <v>73356.800000000003</v>
      </c>
      <c r="V24" s="43">
        <v>39342.800000000003</v>
      </c>
      <c r="W24" s="53">
        <f t="shared" si="5"/>
        <v>0.53632110451928117</v>
      </c>
      <c r="X24" s="35">
        <v>0.53936541088597301</v>
      </c>
      <c r="Z24" s="43">
        <v>28908.9</v>
      </c>
      <c r="AA24" s="43">
        <v>25793.9</v>
      </c>
      <c r="AB24" s="44">
        <f t="shared" si="13"/>
        <v>0.10775228389873015</v>
      </c>
      <c r="AC24" s="35">
        <v>7.6914073594525095E-2</v>
      </c>
      <c r="AE24" s="57" t="s">
        <v>70</v>
      </c>
      <c r="AF24" s="45">
        <f t="shared" si="6"/>
        <v>1.2789994728426046</v>
      </c>
      <c r="AG24" s="45">
        <v>1.19710159425198</v>
      </c>
      <c r="AH24" s="53">
        <f t="shared" si="10"/>
        <v>-4.4025570716309081E-2</v>
      </c>
      <c r="AI24" s="40"/>
      <c r="AJ24" s="57" t="s">
        <v>70</v>
      </c>
      <c r="AK24" s="42">
        <f t="shared" si="7"/>
        <v>667741.27891964652</v>
      </c>
      <c r="AL24" s="43">
        <f t="shared" si="8"/>
        <v>670601.76792858157</v>
      </c>
      <c r="AM24" s="44">
        <f t="shared" si="9"/>
        <v>-4.2655554246014025E-3</v>
      </c>
      <c r="AN24" s="44">
        <f t="shared" si="11"/>
        <v>-5.0232205939739649E-2</v>
      </c>
      <c r="AP24" s="66"/>
      <c r="AQ24" s="37"/>
      <c r="AR24" s="38"/>
      <c r="AS24" s="37"/>
      <c r="AT24" s="37"/>
      <c r="AU24" s="38"/>
    </row>
    <row r="25" spans="1:47">
      <c r="A25" s="57" t="s">
        <v>71</v>
      </c>
      <c r="B25" s="43">
        <v>624622.83784950804</v>
      </c>
      <c r="D25" s="43">
        <v>23320.2</v>
      </c>
      <c r="E25" s="43">
        <v>1551.1</v>
      </c>
      <c r="F25" s="44">
        <v>0.76325161343582726</v>
      </c>
      <c r="G25" s="43">
        <f t="shared" si="2"/>
        <v>19350.280275646179</v>
      </c>
      <c r="H25" s="43">
        <v>23047.693216958902</v>
      </c>
      <c r="I25" s="43">
        <v>1539.3886343362101</v>
      </c>
      <c r="J25" s="44">
        <v>0.82784500000000005</v>
      </c>
      <c r="K25" s="43">
        <f t="shared" si="12"/>
        <v>20619.306225529552</v>
      </c>
      <c r="M25" s="43">
        <v>2009.3735333333339</v>
      </c>
      <c r="N25" s="43">
        <v>617.89090719479759</v>
      </c>
      <c r="O25" s="43">
        <f t="shared" si="0"/>
        <v>1241573.6354045495</v>
      </c>
      <c r="P25" s="43">
        <v>2033.7075332912</v>
      </c>
      <c r="Q25" s="43">
        <v>6331</v>
      </c>
      <c r="R25" s="43">
        <v>623.6206708162706</v>
      </c>
      <c r="S25" s="43">
        <f t="shared" si="4"/>
        <v>1268262.056155161</v>
      </c>
      <c r="T25" s="41"/>
      <c r="U25" s="43">
        <v>68880.3</v>
      </c>
      <c r="V25" s="43">
        <v>36922.300000000003</v>
      </c>
      <c r="W25" s="53">
        <f t="shared" si="5"/>
        <v>0.53603570251581367</v>
      </c>
      <c r="X25" s="35">
        <v>0.539643427029603</v>
      </c>
      <c r="Z25" s="43">
        <v>27034.400000000001</v>
      </c>
      <c r="AA25" s="43">
        <v>24337.8</v>
      </c>
      <c r="AB25" s="44">
        <f t="shared" si="13"/>
        <v>9.9746989021395005E-2</v>
      </c>
      <c r="AC25" s="35">
        <v>6.5803435086138604E-2</v>
      </c>
      <c r="AE25" s="57" t="s">
        <v>71</v>
      </c>
      <c r="AF25" s="45">
        <f t="shared" si="6"/>
        <v>1.2313325823223065</v>
      </c>
      <c r="AG25" s="45">
        <v>1.14959916265499</v>
      </c>
      <c r="AH25" s="53">
        <f t="shared" si="10"/>
        <v>-3.9681203186996306E-2</v>
      </c>
      <c r="AI25" s="40"/>
      <c r="AJ25" s="57" t="s">
        <v>71</v>
      </c>
      <c r="AK25" s="42">
        <f t="shared" si="7"/>
        <v>624622.83784950804</v>
      </c>
      <c r="AL25" s="43">
        <f t="shared" si="8"/>
        <v>629516.12808870315</v>
      </c>
      <c r="AM25" s="44">
        <f t="shared" si="9"/>
        <v>-7.7730974964085563E-3</v>
      </c>
      <c r="AN25" s="44">
        <f t="shared" si="11"/>
        <v>-6.1266823030884154E-2</v>
      </c>
      <c r="AP25" s="66"/>
      <c r="AQ25" s="37"/>
      <c r="AR25" s="38"/>
      <c r="AS25" s="37"/>
      <c r="AT25" s="37"/>
      <c r="AU25" s="38"/>
    </row>
    <row r="26" spans="1:47">
      <c r="A26" s="57" t="s">
        <v>72</v>
      </c>
      <c r="B26" s="43">
        <v>602368.81293877563</v>
      </c>
      <c r="D26" s="43">
        <v>22846.2</v>
      </c>
      <c r="E26" s="43">
        <v>1534.5</v>
      </c>
      <c r="F26" s="44">
        <v>0.76414698430996564</v>
      </c>
      <c r="G26" s="43">
        <f t="shared" si="2"/>
        <v>18992.354832942339</v>
      </c>
      <c r="H26" s="43">
        <v>22643.3054417657</v>
      </c>
      <c r="I26" s="43">
        <v>1536.2814769101201</v>
      </c>
      <c r="J26" s="44">
        <v>0.82784500000000005</v>
      </c>
      <c r="K26" s="43">
        <f t="shared" si="12"/>
        <v>20281.428670348647</v>
      </c>
      <c r="M26" s="43">
        <v>2019.4230000000002</v>
      </c>
      <c r="N26" s="43">
        <v>603.92237007481265</v>
      </c>
      <c r="O26" s="43">
        <f t="shared" si="0"/>
        <v>1219574.7243435886</v>
      </c>
      <c r="P26" s="43">
        <v>2037.03813773351</v>
      </c>
      <c r="Q26" s="43">
        <v>6316.666666666667</v>
      </c>
      <c r="R26" s="43">
        <v>611.13671422354685</v>
      </c>
      <c r="S26" s="43">
        <f t="shared" si="4"/>
        <v>1244908.7942425101</v>
      </c>
      <c r="T26" s="41"/>
      <c r="U26" s="43">
        <v>65990.8</v>
      </c>
      <c r="V26" s="43">
        <v>35242</v>
      </c>
      <c r="W26" s="53">
        <f t="shared" si="5"/>
        <v>0.53404413948611018</v>
      </c>
      <c r="X26" s="35">
        <v>0.54006660341253998</v>
      </c>
      <c r="Z26" s="43">
        <v>26175.200000000001</v>
      </c>
      <c r="AA26" s="43">
        <v>23736.5</v>
      </c>
      <c r="AB26" s="44">
        <f t="shared" si="13"/>
        <v>9.3168342553256567E-2</v>
      </c>
      <c r="AC26" s="35">
        <v>5.5301006057148598E-2</v>
      </c>
      <c r="AE26" s="57" t="s">
        <v>72</v>
      </c>
      <c r="AF26" s="45">
        <f t="shared" si="6"/>
        <v>1.2056342091151031</v>
      </c>
      <c r="AG26" s="45">
        <v>1.1082140385121</v>
      </c>
      <c r="AH26" s="53">
        <f t="shared" si="10"/>
        <v>-3.5999612288609706E-2</v>
      </c>
      <c r="AI26" s="40"/>
      <c r="AJ26" s="57" t="s">
        <v>72</v>
      </c>
      <c r="AK26" s="42">
        <f t="shared" si="7"/>
        <v>602368.81293877563</v>
      </c>
      <c r="AL26" s="43">
        <f t="shared" si="8"/>
        <v>601889.83664617827</v>
      </c>
      <c r="AM26" s="44">
        <f t="shared" si="9"/>
        <v>7.9578730763471854E-4</v>
      </c>
      <c r="AN26" s="44">
        <f t="shared" si="11"/>
        <v>-4.3884962131791716E-2</v>
      </c>
      <c r="AP26" s="66"/>
      <c r="AQ26" s="37"/>
      <c r="AR26" s="38"/>
      <c r="AS26" s="37"/>
      <c r="AT26" s="37"/>
      <c r="AU26" s="38"/>
    </row>
    <row r="27" spans="1:47">
      <c r="A27" s="57" t="s">
        <v>73</v>
      </c>
      <c r="B27" s="43">
        <v>578148.02609135176</v>
      </c>
      <c r="D27" s="43">
        <v>21946.799999999999</v>
      </c>
      <c r="E27" s="43">
        <v>1525.8</v>
      </c>
      <c r="F27" s="44">
        <v>0.77445351621134295</v>
      </c>
      <c r="G27" s="43">
        <f t="shared" si="2"/>
        <v>18522.576429587101</v>
      </c>
      <c r="H27" s="43">
        <v>22192.873485754499</v>
      </c>
      <c r="I27" s="43">
        <v>1527.64881658897</v>
      </c>
      <c r="J27" s="44">
        <v>0.82784500000000005</v>
      </c>
      <c r="K27" s="43">
        <f t="shared" si="12"/>
        <v>19899.908167403406</v>
      </c>
      <c r="M27" s="43">
        <v>2042.6407333333334</v>
      </c>
      <c r="N27" s="43">
        <v>584.622960441141</v>
      </c>
      <c r="O27" s="43">
        <f t="shared" si="0"/>
        <v>1194174.6726389967</v>
      </c>
      <c r="P27" s="43">
        <v>2042.3853235701399</v>
      </c>
      <c r="Q27" s="43">
        <v>6329.166666666667</v>
      </c>
      <c r="R27" s="43">
        <v>597.81337322575416</v>
      </c>
      <c r="S27" s="43">
        <f t="shared" si="4"/>
        <v>1220965.2597102388</v>
      </c>
      <c r="T27" s="41"/>
      <c r="U27" s="43">
        <v>64121.5</v>
      </c>
      <c r="V27" s="43">
        <v>34313.199999999997</v>
      </c>
      <c r="W27" s="53">
        <f t="shared" si="5"/>
        <v>0.53512784323510831</v>
      </c>
      <c r="X27" s="35">
        <v>0.54067663798620202</v>
      </c>
      <c r="Z27" s="43">
        <v>25399.4</v>
      </c>
      <c r="AA27" s="43">
        <v>23539.200000000001</v>
      </c>
      <c r="AB27" s="44">
        <f t="shared" si="13"/>
        <v>7.3237950502767823E-2</v>
      </c>
      <c r="AC27" s="35">
        <v>4.5355432217852203E-2</v>
      </c>
      <c r="AE27" s="57" t="s">
        <v>73</v>
      </c>
      <c r="AF27" s="45">
        <f t="shared" si="6"/>
        <v>1.1493809879294354</v>
      </c>
      <c r="AG27" s="45">
        <v>1.0722530747658801</v>
      </c>
      <c r="AH27" s="53">
        <f t="shared" si="10"/>
        <v>-3.2449475008006101E-2</v>
      </c>
      <c r="AI27" s="40"/>
      <c r="AJ27" s="57" t="s">
        <v>73</v>
      </c>
      <c r="AK27" s="42">
        <f t="shared" si="7"/>
        <v>578148.02609135176</v>
      </c>
      <c r="AL27" s="43">
        <f t="shared" si="8"/>
        <v>575203.92859205627</v>
      </c>
      <c r="AM27" s="44">
        <f t="shared" si="9"/>
        <v>5.1183542965393888E-3</v>
      </c>
      <c r="AN27" s="44">
        <f t="shared" si="11"/>
        <v>-4.4336864371759321E-2</v>
      </c>
      <c r="AP27" s="66"/>
      <c r="AQ27" s="37"/>
      <c r="AR27" s="38"/>
      <c r="AS27" s="37"/>
      <c r="AT27" s="37"/>
      <c r="AU27" s="38"/>
    </row>
    <row r="28" spans="1:47">
      <c r="A28" s="57" t="s">
        <v>74</v>
      </c>
      <c r="B28" s="43">
        <v>562554.77681610198</v>
      </c>
      <c r="D28" s="43">
        <v>21237.200000000001</v>
      </c>
      <c r="E28" s="43">
        <v>1506.3</v>
      </c>
      <c r="F28" s="44">
        <v>0.77081095721737591</v>
      </c>
      <c r="G28" s="43">
        <f t="shared" si="2"/>
        <v>17876.166460616856</v>
      </c>
      <c r="H28" s="43">
        <v>21724.574659764799</v>
      </c>
      <c r="I28" s="43">
        <v>1514.5595312939199</v>
      </c>
      <c r="J28" s="44">
        <v>0.82784500000000005</v>
      </c>
      <c r="K28" s="43">
        <f t="shared" si="12"/>
        <v>19499.140040506911</v>
      </c>
      <c r="M28" s="43">
        <v>2047.6654666666668</v>
      </c>
      <c r="N28" s="43">
        <v>568.38236275364181</v>
      </c>
      <c r="O28" s="43">
        <f t="shared" si="0"/>
        <v>1163856.9360730387</v>
      </c>
      <c r="P28" s="43">
        <v>2048.945793034</v>
      </c>
      <c r="Q28" s="43">
        <v>6356.583333333333</v>
      </c>
      <c r="R28" s="43">
        <v>584.23467431787435</v>
      </c>
      <c r="S28" s="43">
        <f t="shared" si="4"/>
        <v>1197065.1780881977</v>
      </c>
      <c r="T28" s="41"/>
      <c r="U28" s="43">
        <v>63269.1</v>
      </c>
      <c r="V28" s="43">
        <v>34491.699999999997</v>
      </c>
      <c r="W28" s="53">
        <f t="shared" si="5"/>
        <v>0.54515869516082882</v>
      </c>
      <c r="X28" s="35">
        <v>0.54145500406273905</v>
      </c>
      <c r="Z28" s="43">
        <v>24575.8</v>
      </c>
      <c r="AA28" s="43">
        <v>23198.9</v>
      </c>
      <c r="AB28" s="44">
        <f t="shared" si="13"/>
        <v>5.6026660373212578E-2</v>
      </c>
      <c r="AC28" s="35">
        <v>3.6294032643504802E-2</v>
      </c>
      <c r="AE28" s="57" t="s">
        <v>74</v>
      </c>
      <c r="AF28" s="45">
        <f t="shared" si="6"/>
        <v>1.1123581297085781</v>
      </c>
      <c r="AG28" s="45">
        <v>1.0419973260647599</v>
      </c>
      <c r="AH28" s="53">
        <f t="shared" si="10"/>
        <v>-2.8216984789459554E-2</v>
      </c>
      <c r="AI28" s="40"/>
      <c r="AJ28" s="57" t="s">
        <v>74</v>
      </c>
      <c r="AK28" s="42">
        <f t="shared" si="7"/>
        <v>562554.77681610198</v>
      </c>
      <c r="AL28" s="43">
        <f t="shared" si="8"/>
        <v>555124.29412256344</v>
      </c>
      <c r="AM28" s="44">
        <f t="shared" si="9"/>
        <v>1.3385259431463455E-2</v>
      </c>
      <c r="AN28" s="44">
        <f t="shared" si="11"/>
        <v>-3.4908722752715393E-2</v>
      </c>
      <c r="AP28" s="66"/>
      <c r="AQ28" s="37"/>
      <c r="AR28" s="38"/>
      <c r="AS28" s="37"/>
      <c r="AT28" s="37"/>
      <c r="AU28" s="38"/>
    </row>
    <row r="29" spans="1:47">
      <c r="A29" s="57" t="s">
        <v>75</v>
      </c>
      <c r="B29" s="43">
        <v>522523.59306057193</v>
      </c>
      <c r="D29" s="43">
        <v>20651.600000000002</v>
      </c>
      <c r="E29" s="43">
        <v>1496.1</v>
      </c>
      <c r="F29" s="44">
        <v>0.78114730346777916</v>
      </c>
      <c r="G29" s="43">
        <f t="shared" si="2"/>
        <v>17628.041652295189</v>
      </c>
      <c r="H29" s="43">
        <v>21264.125539779001</v>
      </c>
      <c r="I29" s="43">
        <v>1498.0640107802201</v>
      </c>
      <c r="J29" s="44">
        <v>0.82784500000000005</v>
      </c>
      <c r="K29" s="43">
        <f t="shared" si="12"/>
        <v>19101.464018258568</v>
      </c>
      <c r="M29" s="43">
        <v>2085.6108666666669</v>
      </c>
      <c r="N29" s="43">
        <v>560.34188345800658</v>
      </c>
      <c r="O29" s="43">
        <f t="shared" si="0"/>
        <v>1168655.1211884855</v>
      </c>
      <c r="P29" s="43">
        <v>2055.9188024556502</v>
      </c>
      <c r="Q29" s="43">
        <v>6389.5</v>
      </c>
      <c r="R29" s="43">
        <v>570.89819564757352</v>
      </c>
      <c r="S29" s="43">
        <f t="shared" si="4"/>
        <v>1173720.3347198509</v>
      </c>
      <c r="T29" s="41"/>
      <c r="U29" s="43">
        <v>62855.7</v>
      </c>
      <c r="V29" s="43">
        <v>34148.1</v>
      </c>
      <c r="W29" s="53">
        <f t="shared" si="5"/>
        <v>0.54327769796533965</v>
      </c>
      <c r="X29" s="35">
        <v>0.54232768700679201</v>
      </c>
      <c r="Z29" s="43">
        <v>24573.3</v>
      </c>
      <c r="AA29" s="43">
        <v>23219</v>
      </c>
      <c r="AB29" s="44">
        <f t="shared" si="13"/>
        <v>5.5112662930904666E-2</v>
      </c>
      <c r="AC29" s="35">
        <v>2.8722951592213601E-2</v>
      </c>
      <c r="AE29" s="57" t="s">
        <v>75</v>
      </c>
      <c r="AF29" s="45">
        <f t="shared" si="6"/>
        <v>1.0718755737078436</v>
      </c>
      <c r="AG29" s="45">
        <v>1.0184991261885199</v>
      </c>
      <c r="AH29" s="53">
        <f t="shared" si="10"/>
        <v>-2.2551113413106449E-2</v>
      </c>
      <c r="AI29" s="40"/>
      <c r="AJ29" s="57" t="s">
        <v>75</v>
      </c>
      <c r="AK29" s="42">
        <f t="shared" si="7"/>
        <v>522523.59306057193</v>
      </c>
      <c r="AL29" s="43">
        <f t="shared" si="8"/>
        <v>523951.68247711117</v>
      </c>
      <c r="AM29" s="44">
        <f t="shared" si="9"/>
        <v>-2.7256128080123581E-3</v>
      </c>
      <c r="AN29" s="44">
        <f t="shared" si="11"/>
        <v>-5.6154291886511776E-2</v>
      </c>
      <c r="AP29" s="66"/>
      <c r="AQ29" s="37"/>
      <c r="AR29" s="38"/>
      <c r="AS29" s="37"/>
      <c r="AT29" s="37"/>
      <c r="AU29" s="38"/>
    </row>
    <row r="30" spans="1:47">
      <c r="A30" s="57" t="s">
        <v>76</v>
      </c>
      <c r="B30" s="43">
        <v>501684.99681737344</v>
      </c>
      <c r="D30" s="43">
        <v>20117.2</v>
      </c>
      <c r="E30" s="43">
        <v>1478.5</v>
      </c>
      <c r="F30" s="44">
        <v>0.80269948234469124</v>
      </c>
      <c r="G30" s="43">
        <f t="shared" si="2"/>
        <v>17626.566026224624</v>
      </c>
      <c r="H30" s="43">
        <v>20832.368955181399</v>
      </c>
      <c r="I30" s="43">
        <v>1479.13004949019</v>
      </c>
      <c r="J30" s="44">
        <v>0.82784500000000005</v>
      </c>
      <c r="K30" s="43">
        <f t="shared" si="12"/>
        <v>18725.102527192339</v>
      </c>
      <c r="M30" s="43">
        <v>2090.9821333333334</v>
      </c>
      <c r="N30" s="43">
        <v>554.40823842778673</v>
      </c>
      <c r="O30" s="43">
        <f t="shared" si="0"/>
        <v>1159257.7211253089</v>
      </c>
      <c r="P30" s="43">
        <v>2062.49080490195</v>
      </c>
      <c r="Q30" s="43">
        <v>6428.166666666667</v>
      </c>
      <c r="R30" s="43">
        <v>558.16699999607943</v>
      </c>
      <c r="S30" s="43">
        <f t="shared" si="4"/>
        <v>1151214.3050916207</v>
      </c>
      <c r="T30" s="41"/>
      <c r="U30" s="43">
        <v>59503.1</v>
      </c>
      <c r="V30" s="43">
        <v>32424.6</v>
      </c>
      <c r="W30" s="53">
        <f t="shared" si="5"/>
        <v>0.54492286956477898</v>
      </c>
      <c r="X30" s="35">
        <v>0.54325770909398197</v>
      </c>
      <c r="Z30" s="43">
        <v>23078.7</v>
      </c>
      <c r="AA30" s="43">
        <v>23429.8</v>
      </c>
      <c r="AB30" s="44">
        <f t="shared" si="13"/>
        <v>-1.5213161919865437E-2</v>
      </c>
      <c r="AC30" s="35">
        <v>2.3445659599380601E-2</v>
      </c>
      <c r="AE30" s="57" t="s">
        <v>76</v>
      </c>
      <c r="AF30" s="45">
        <f t="shared" si="6"/>
        <v>0.92375516022710902</v>
      </c>
      <c r="AG30" s="45">
        <v>1.0035144169532999</v>
      </c>
      <c r="AH30" s="53">
        <f t="shared" si="10"/>
        <v>-1.4712540099368177E-2</v>
      </c>
      <c r="AI30" s="40"/>
      <c r="AJ30" s="57" t="s">
        <v>76</v>
      </c>
      <c r="AK30" s="42">
        <f t="shared" si="7"/>
        <v>501684.99681737344</v>
      </c>
      <c r="AL30" s="43">
        <f t="shared" si="8"/>
        <v>505356.87026060064</v>
      </c>
      <c r="AM30" s="44">
        <f t="shared" si="9"/>
        <v>-7.265901898857543E-3</v>
      </c>
      <c r="AN30" s="44">
        <f t="shared" si="11"/>
        <v>-3.5489555312808507E-2</v>
      </c>
      <c r="AP30" s="66"/>
      <c r="AQ30" s="37"/>
      <c r="AR30" s="38"/>
      <c r="AS30" s="37"/>
      <c r="AT30" s="37"/>
      <c r="AU30" s="38"/>
    </row>
    <row r="31" spans="1:47">
      <c r="A31" s="57" t="s">
        <v>77</v>
      </c>
      <c r="B31" s="43">
        <v>468658.16167911794</v>
      </c>
      <c r="D31" s="43">
        <v>20501</v>
      </c>
      <c r="E31" s="43">
        <v>1460.3</v>
      </c>
      <c r="F31" s="44">
        <v>0.82947020449778019</v>
      </c>
      <c r="G31" s="43">
        <f t="shared" si="2"/>
        <v>18465.268662408991</v>
      </c>
      <c r="H31" s="43">
        <v>20444.0224799588</v>
      </c>
      <c r="I31" s="43">
        <v>1458.7058017583399</v>
      </c>
      <c r="J31" s="44">
        <v>0.82784500000000005</v>
      </c>
      <c r="K31" s="43">
        <f t="shared" si="12"/>
        <v>18383.187591679834</v>
      </c>
      <c r="M31" s="43">
        <v>2093.7543999999998</v>
      </c>
      <c r="N31" s="43">
        <v>540.66009748481758</v>
      </c>
      <c r="O31" s="43">
        <f t="shared" si="0"/>
        <v>1132009.4580132656</v>
      </c>
      <c r="P31" s="43">
        <v>2068.1451740819102</v>
      </c>
      <c r="Q31" s="43">
        <v>6409.833333333333</v>
      </c>
      <c r="R31" s="43">
        <v>546.31359463342756</v>
      </c>
      <c r="S31" s="43">
        <f t="shared" si="4"/>
        <v>1129855.8242764641</v>
      </c>
      <c r="T31" s="41"/>
      <c r="U31" s="43">
        <v>57465</v>
      </c>
      <c r="V31" s="43">
        <v>31541.5</v>
      </c>
      <c r="W31" s="53">
        <f t="shared" si="5"/>
        <v>0.54888192813016623</v>
      </c>
      <c r="X31" s="35">
        <v>0.54421759270951298</v>
      </c>
      <c r="Z31" s="43">
        <v>21902</v>
      </c>
      <c r="AA31" s="43">
        <v>22724.6</v>
      </c>
      <c r="AB31" s="44">
        <f t="shared" si="13"/>
        <v>-3.7558213861747625E-2</v>
      </c>
      <c r="AC31" s="35">
        <v>2.1529524313795501E-2</v>
      </c>
      <c r="AE31" s="57" t="s">
        <v>77</v>
      </c>
      <c r="AF31" s="45">
        <f t="shared" si="6"/>
        <v>0.87083122658584811</v>
      </c>
      <c r="AG31" s="45">
        <v>0.99933290465033098</v>
      </c>
      <c r="AH31" s="53">
        <f t="shared" si="10"/>
        <v>-4.1668681907571781E-3</v>
      </c>
      <c r="AI31" s="40"/>
      <c r="AJ31" s="57" t="s">
        <v>77</v>
      </c>
      <c r="AK31" s="42">
        <f t="shared" si="7"/>
        <v>468658.16167911794</v>
      </c>
      <c r="AL31" s="43">
        <f t="shared" si="8"/>
        <v>482395.1436529659</v>
      </c>
      <c r="AM31" s="44">
        <f t="shared" si="9"/>
        <v>-2.8476617467215453E-2</v>
      </c>
      <c r="AN31" s="44">
        <f t="shared" si="11"/>
        <v>-4.5436656665603259E-2</v>
      </c>
      <c r="AP31" s="66"/>
      <c r="AQ31" s="37"/>
      <c r="AR31" s="38"/>
      <c r="AS31" s="37"/>
      <c r="AT31" s="37"/>
      <c r="AU31" s="38"/>
    </row>
    <row r="32" spans="1:47">
      <c r="A32" s="57" t="s">
        <v>78</v>
      </c>
      <c r="B32" s="43">
        <v>445129.41915783682</v>
      </c>
      <c r="D32" s="43">
        <v>20119.8</v>
      </c>
      <c r="E32" s="43">
        <v>1443.4</v>
      </c>
      <c r="F32" s="44">
        <v>0.81524850440541596</v>
      </c>
      <c r="G32" s="43">
        <f t="shared" si="2"/>
        <v>17846.036858936088</v>
      </c>
      <c r="H32" s="43">
        <v>20106.651998546098</v>
      </c>
      <c r="I32" s="43">
        <v>1437.7331214242699</v>
      </c>
      <c r="J32" s="44">
        <v>0.82784500000000005</v>
      </c>
      <c r="K32" s="43">
        <f t="shared" si="12"/>
        <v>18082.924445160665</v>
      </c>
      <c r="M32" s="43">
        <v>2055.635733333334</v>
      </c>
      <c r="N32" s="43">
        <v>521.4729421695323</v>
      </c>
      <c r="O32" s="43">
        <f t="shared" si="0"/>
        <v>1071958.4138901578</v>
      </c>
      <c r="P32" s="43">
        <v>2072.65019698881</v>
      </c>
      <c r="Q32" s="43">
        <v>6315.25</v>
      </c>
      <c r="R32" s="43">
        <v>535.57759675627949</v>
      </c>
      <c r="S32" s="43">
        <f t="shared" si="4"/>
        <v>1110065.011419696</v>
      </c>
      <c r="T32" s="41"/>
      <c r="U32" s="43">
        <v>52928.2</v>
      </c>
      <c r="V32" s="43">
        <v>28004.6</v>
      </c>
      <c r="W32" s="53">
        <f t="shared" si="5"/>
        <v>0.52910546740678888</v>
      </c>
      <c r="X32" s="35">
        <v>0.54519651184329898</v>
      </c>
      <c r="Z32" s="43">
        <v>21062.1</v>
      </c>
      <c r="AA32" s="43">
        <v>21646</v>
      </c>
      <c r="AB32" s="44">
        <f t="shared" si="13"/>
        <v>-2.7722781678940045E-2</v>
      </c>
      <c r="AC32" s="35">
        <v>2.36553251690544E-2</v>
      </c>
      <c r="AE32" s="57" t="s">
        <v>78</v>
      </c>
      <c r="AF32" s="45">
        <f t="shared" si="6"/>
        <v>0.87764641775517416</v>
      </c>
      <c r="AG32" s="45">
        <v>1.0074467030033301</v>
      </c>
      <c r="AH32" s="53">
        <f t="shared" si="10"/>
        <v>8.1192146433306522E-3</v>
      </c>
      <c r="AI32" s="40"/>
      <c r="AJ32" s="57" t="s">
        <v>78</v>
      </c>
      <c r="AK32" s="42">
        <f t="shared" si="7"/>
        <v>445129.41915783682</v>
      </c>
      <c r="AL32" s="43">
        <f t="shared" si="8"/>
        <v>467019.70500080922</v>
      </c>
      <c r="AM32" s="44">
        <f t="shared" si="9"/>
        <v>-4.6872295983601958E-2</v>
      </c>
      <c r="AN32" s="44">
        <f t="shared" si="11"/>
        <v>-3.1873120727802684E-2</v>
      </c>
      <c r="AP32" s="66"/>
      <c r="AQ32" s="37"/>
      <c r="AR32" s="38"/>
      <c r="AS32" s="37"/>
      <c r="AT32" s="37"/>
      <c r="AU32" s="38"/>
    </row>
    <row r="33" spans="1:47">
      <c r="A33" s="57" t="s">
        <v>79</v>
      </c>
      <c r="B33" s="43">
        <v>441477.07590113312</v>
      </c>
      <c r="D33" s="43">
        <v>19455.599999999999</v>
      </c>
      <c r="E33" s="43">
        <v>1406.4</v>
      </c>
      <c r="F33" s="44">
        <v>0.82184488674126488</v>
      </c>
      <c r="G33" s="43">
        <f t="shared" si="2"/>
        <v>17395.885378483352</v>
      </c>
      <c r="H33" s="43">
        <v>19828.393170578602</v>
      </c>
      <c r="I33" s="43">
        <v>1417.16980431002</v>
      </c>
      <c r="J33" s="44">
        <v>0.82784500000000005</v>
      </c>
      <c r="K33" s="43">
        <f t="shared" si="12"/>
        <v>17832.005948607661</v>
      </c>
      <c r="M33" s="43">
        <v>2088.5563999999999</v>
      </c>
      <c r="N33" s="43">
        <v>504.21138608240295</v>
      </c>
      <c r="O33" s="43">
        <f t="shared" si="0"/>
        <v>1053073.9173552736</v>
      </c>
      <c r="P33" s="43">
        <v>2076.0302528751399</v>
      </c>
      <c r="Q33" s="43">
        <v>6298.416666666667</v>
      </c>
      <c r="R33" s="43">
        <v>526.1529486621663</v>
      </c>
      <c r="S33" s="43">
        <f t="shared" si="4"/>
        <v>1092309.4390621176</v>
      </c>
      <c r="T33" s="41"/>
      <c r="U33" s="43">
        <v>50690.3</v>
      </c>
      <c r="V33" s="43">
        <v>27225.7</v>
      </c>
      <c r="W33" s="53">
        <f t="shared" si="5"/>
        <v>0.53709881377699475</v>
      </c>
      <c r="X33" s="35">
        <v>0.54623028383946004</v>
      </c>
      <c r="Z33" s="43">
        <v>19803.2</v>
      </c>
      <c r="AA33" s="43">
        <v>20116.3</v>
      </c>
      <c r="AB33" s="44">
        <f t="shared" si="13"/>
        <v>-1.5810576068514104E-2</v>
      </c>
      <c r="AC33" s="35">
        <v>2.99129642169953E-2</v>
      </c>
      <c r="AE33" s="57" t="s">
        <v>79</v>
      </c>
      <c r="AF33" s="45">
        <f t="shared" si="6"/>
        <v>0.90610146243494161</v>
      </c>
      <c r="AG33" s="45">
        <v>1.02806290895551</v>
      </c>
      <c r="AH33" s="53">
        <f t="shared" si="10"/>
        <v>2.0463817977388166E-2</v>
      </c>
      <c r="AI33" s="40"/>
      <c r="AJ33" s="57" t="s">
        <v>79</v>
      </c>
      <c r="AK33" s="42">
        <f t="shared" si="7"/>
        <v>441477.07590113312</v>
      </c>
      <c r="AL33" s="43">
        <f t="shared" si="8"/>
        <v>465314.49948805349</v>
      </c>
      <c r="AM33" s="44">
        <f t="shared" si="9"/>
        <v>-5.1228628407553788E-2</v>
      </c>
      <c r="AN33" s="44">
        <f t="shared" si="11"/>
        <v>-3.6512496035959741E-3</v>
      </c>
      <c r="AP33" s="66"/>
      <c r="AQ33" s="37"/>
      <c r="AR33" s="38"/>
      <c r="AS33" s="37"/>
      <c r="AT33" s="37"/>
      <c r="AU33" s="38"/>
    </row>
    <row r="34" spans="1:47">
      <c r="A34" s="57" t="s">
        <v>80</v>
      </c>
      <c r="B34" s="43">
        <v>449019.97389370791</v>
      </c>
      <c r="D34" s="43">
        <v>19285.8</v>
      </c>
      <c r="E34" s="43">
        <v>1377.9</v>
      </c>
      <c r="F34" s="44">
        <v>0.81732443470112026</v>
      </c>
      <c r="G34" s="43">
        <f t="shared" si="2"/>
        <v>17140.655582758864</v>
      </c>
      <c r="H34" s="43">
        <v>19617.513135706198</v>
      </c>
      <c r="I34" s="43">
        <v>1398.0303150233599</v>
      </c>
      <c r="J34" s="44">
        <v>0.82784500000000005</v>
      </c>
      <c r="K34" s="43">
        <f t="shared" si="12"/>
        <v>17638.29047685206</v>
      </c>
      <c r="M34" s="43">
        <v>2090.4623333333334</v>
      </c>
      <c r="N34" s="43">
        <v>501.52420233814854</v>
      </c>
      <c r="O34" s="43">
        <f t="shared" si="0"/>
        <v>1048417.4542429448</v>
      </c>
      <c r="P34" s="43">
        <v>2078.1395763568298</v>
      </c>
      <c r="Q34" s="43">
        <v>6302.833333333333</v>
      </c>
      <c r="R34" s="43">
        <v>518.14616247855122</v>
      </c>
      <c r="S34" s="43">
        <f t="shared" si="4"/>
        <v>1076780.0465840935</v>
      </c>
      <c r="T34" s="41"/>
      <c r="U34" s="43">
        <v>52853.5</v>
      </c>
      <c r="V34" s="43">
        <v>29241.9</v>
      </c>
      <c r="W34" s="53">
        <f t="shared" si="5"/>
        <v>0.55326326544126692</v>
      </c>
      <c r="X34" s="35">
        <v>0.54719381559775304</v>
      </c>
      <c r="Z34" s="43">
        <v>19963.8</v>
      </c>
      <c r="AA34" s="43">
        <v>19690.3</v>
      </c>
      <c r="AB34" s="44">
        <f t="shared" si="13"/>
        <v>1.3699796631903793E-2</v>
      </c>
      <c r="AC34" s="35">
        <v>3.9878562440975797E-2</v>
      </c>
      <c r="AE34" s="57" t="s">
        <v>80</v>
      </c>
      <c r="AF34" s="45">
        <f t="shared" si="6"/>
        <v>0.97418413239525325</v>
      </c>
      <c r="AG34" s="45">
        <v>1.0600906165980599</v>
      </c>
      <c r="AH34" s="53">
        <f t="shared" si="10"/>
        <v>3.1153451178478342E-2</v>
      </c>
      <c r="AI34" s="40"/>
      <c r="AJ34" s="57" t="s">
        <v>80</v>
      </c>
      <c r="AK34" s="42">
        <f t="shared" si="7"/>
        <v>449019.97389370791</v>
      </c>
      <c r="AL34" s="43">
        <f t="shared" si="8"/>
        <v>472150.41020149359</v>
      </c>
      <c r="AM34" s="44">
        <f t="shared" si="9"/>
        <v>-4.8989550380597158E-2</v>
      </c>
      <c r="AN34" s="44">
        <f t="shared" si="11"/>
        <v>1.4690947135670873E-2</v>
      </c>
      <c r="AP34" s="66"/>
      <c r="AQ34" s="37"/>
      <c r="AR34" s="38"/>
      <c r="AS34" s="37"/>
      <c r="AT34" s="37"/>
      <c r="AU34" s="38"/>
    </row>
    <row r="35" spans="1:47">
      <c r="A35" s="57" t="s">
        <v>81</v>
      </c>
      <c r="B35" s="43">
        <v>486748.93760943471</v>
      </c>
      <c r="D35" s="43">
        <v>18955.5</v>
      </c>
      <c r="E35" s="43">
        <v>1352.7</v>
      </c>
      <c r="F35" s="44">
        <v>0.82828787227443701</v>
      </c>
      <c r="G35" s="43">
        <f t="shared" si="2"/>
        <v>17053.310762898091</v>
      </c>
      <c r="H35" s="43">
        <v>19478.551101872999</v>
      </c>
      <c r="I35" s="43">
        <v>1381.2214201289901</v>
      </c>
      <c r="J35" s="44">
        <v>0.82784500000000005</v>
      </c>
      <c r="K35" s="43">
        <f t="shared" si="12"/>
        <v>17506.442557059047</v>
      </c>
      <c r="M35" s="43">
        <v>2092.7148000000002</v>
      </c>
      <c r="N35" s="43">
        <v>503.53490434140031</v>
      </c>
      <c r="O35" s="43">
        <f t="shared" si="0"/>
        <v>1053754.9466318327</v>
      </c>
      <c r="P35" s="43">
        <v>2078.9576635210501</v>
      </c>
      <c r="Q35" s="43">
        <v>6279.333333333333</v>
      </c>
      <c r="R35" s="43">
        <v>511.51863517977591</v>
      </c>
      <c r="S35" s="43">
        <f t="shared" si="4"/>
        <v>1063425.5866408234</v>
      </c>
      <c r="T35" s="41"/>
      <c r="U35" s="43">
        <v>53352.800000000003</v>
      </c>
      <c r="V35" s="43">
        <v>29905.3</v>
      </c>
      <c r="W35" s="53">
        <f t="shared" si="5"/>
        <v>0.56051978527837332</v>
      </c>
      <c r="X35" s="35">
        <v>0.54787069931730903</v>
      </c>
      <c r="Z35" s="43">
        <v>19822.8</v>
      </c>
      <c r="AA35" s="43">
        <v>19499.8</v>
      </c>
      <c r="AB35" s="44">
        <f t="shared" si="13"/>
        <v>1.6294368101378187E-2</v>
      </c>
      <c r="AC35" s="35">
        <v>5.2671005421493403E-2</v>
      </c>
      <c r="AE35" s="57" t="s">
        <v>81</v>
      </c>
      <c r="AF35" s="45">
        <f t="shared" si="6"/>
        <v>1.0146770144053623</v>
      </c>
      <c r="AG35" s="45">
        <v>1.10121930555658</v>
      </c>
      <c r="AH35" s="53">
        <f t="shared" si="10"/>
        <v>3.8797333279400492E-2</v>
      </c>
      <c r="AI35" s="40"/>
      <c r="AJ35" s="57" t="s">
        <v>81</v>
      </c>
      <c r="AK35" s="42">
        <f t="shared" si="7"/>
        <v>486748.93760943471</v>
      </c>
      <c r="AL35" s="43">
        <f t="shared" si="8"/>
        <v>497724.65998266928</v>
      </c>
      <c r="AM35" s="44">
        <f t="shared" si="9"/>
        <v>-2.2051795411577049E-2</v>
      </c>
      <c r="AN35" s="44">
        <f t="shared" si="11"/>
        <v>5.4165471910236684E-2</v>
      </c>
      <c r="AP35" s="66"/>
      <c r="AQ35" s="37"/>
      <c r="AR35" s="38"/>
      <c r="AS35" s="37"/>
      <c r="AT35" s="37"/>
      <c r="AU35" s="38"/>
    </row>
    <row r="36" spans="1:47">
      <c r="A36" s="57" t="s">
        <v>82</v>
      </c>
      <c r="B36" s="43">
        <v>483928.61031785968</v>
      </c>
      <c r="D36" s="43">
        <v>18809.300000000003</v>
      </c>
      <c r="E36" s="43">
        <v>1340.1</v>
      </c>
      <c r="F36" s="44">
        <v>0.82018173665614291</v>
      </c>
      <c r="G36" s="43">
        <f t="shared" si="2"/>
        <v>16767.144339286391</v>
      </c>
      <c r="H36" s="43">
        <v>19412.729145665999</v>
      </c>
      <c r="I36" s="43">
        <v>1367.4485830413601</v>
      </c>
      <c r="J36" s="44">
        <v>0.82784500000000005</v>
      </c>
      <c r="K36" s="43">
        <f t="shared" si="12"/>
        <v>17438.179342635231</v>
      </c>
      <c r="M36" s="43">
        <v>2068.4574666666672</v>
      </c>
      <c r="N36" s="43">
        <v>500.09838364605929</v>
      </c>
      <c r="O36" s="43">
        <f t="shared" si="0"/>
        <v>1034432.2357206228</v>
      </c>
      <c r="P36" s="43">
        <v>2078.5872380247301</v>
      </c>
      <c r="Q36" s="43">
        <v>6326.333333333333</v>
      </c>
      <c r="R36" s="43">
        <v>506.10828273030887</v>
      </c>
      <c r="S36" s="43">
        <f t="shared" si="4"/>
        <v>1051990.217541832</v>
      </c>
      <c r="T36" s="41"/>
      <c r="U36" s="43">
        <v>58306</v>
      </c>
      <c r="V36" s="43">
        <v>32955.300000000003</v>
      </c>
      <c r="W36" s="53">
        <f t="shared" si="5"/>
        <v>0.56521284258909898</v>
      </c>
      <c r="X36" s="35">
        <v>0.54810522169569198</v>
      </c>
      <c r="Z36" s="43">
        <v>21651.599999999999</v>
      </c>
      <c r="AA36" s="43">
        <v>19274.8</v>
      </c>
      <c r="AB36" s="44">
        <f t="shared" si="13"/>
        <v>0.10977479724362171</v>
      </c>
      <c r="AC36" s="35">
        <v>6.7147391080955895E-2</v>
      </c>
      <c r="AE36" s="57" t="s">
        <v>82</v>
      </c>
      <c r="AF36" s="45">
        <f t="shared" si="6"/>
        <v>1.2079628062717005</v>
      </c>
      <c r="AG36" s="45">
        <v>1.1482793906147299</v>
      </c>
      <c r="AH36" s="53">
        <f t="shared" si="10"/>
        <v>4.2734526011932505E-2</v>
      </c>
      <c r="AI36" s="40"/>
      <c r="AJ36" s="57" t="s">
        <v>82</v>
      </c>
      <c r="AK36" s="42">
        <f t="shared" si="7"/>
        <v>483928.61031785968</v>
      </c>
      <c r="AL36" s="43">
        <f t="shared" si="8"/>
        <v>501261.63660952402</v>
      </c>
      <c r="AM36" s="44">
        <f t="shared" si="9"/>
        <v>-3.4578800821269573E-2</v>
      </c>
      <c r="AN36" s="44">
        <f t="shared" si="11"/>
        <v>7.1062917135307213E-3</v>
      </c>
      <c r="AP36" s="66"/>
      <c r="AQ36" s="37"/>
      <c r="AR36" s="38"/>
      <c r="AS36" s="37"/>
      <c r="AT36" s="37"/>
      <c r="AU36" s="38"/>
    </row>
    <row r="37" spans="1:47">
      <c r="A37" s="57" t="s">
        <v>83</v>
      </c>
      <c r="B37" s="43">
        <v>545260.32700008084</v>
      </c>
      <c r="D37" s="43">
        <v>19168.599999999999</v>
      </c>
      <c r="E37" s="43">
        <v>1329.7</v>
      </c>
      <c r="F37" s="44">
        <v>0.8309276485655982</v>
      </c>
      <c r="G37" s="43">
        <f t="shared" si="2"/>
        <v>17257.419724294523</v>
      </c>
      <c r="H37" s="43">
        <v>19416.038832653499</v>
      </c>
      <c r="I37" s="43">
        <v>1357.1320529736099</v>
      </c>
      <c r="J37" s="44">
        <v>0.82784500000000005</v>
      </c>
      <c r="K37" s="43">
        <f t="shared" si="12"/>
        <v>17430.602720391649</v>
      </c>
      <c r="M37" s="43">
        <v>2046.7991333333337</v>
      </c>
      <c r="N37" s="43">
        <v>506.82191189504192</v>
      </c>
      <c r="O37" s="43">
        <f t="shared" si="0"/>
        <v>1037362.650021115</v>
      </c>
      <c r="P37" s="43">
        <v>2077.2685948896201</v>
      </c>
      <c r="Q37" s="43">
        <v>6371.166666666667</v>
      </c>
      <c r="R37" s="43">
        <v>501.70783432242024</v>
      </c>
      <c r="S37" s="43">
        <f t="shared" si="4"/>
        <v>1042181.9280480482</v>
      </c>
      <c r="T37" s="41"/>
      <c r="U37" s="43">
        <v>59448.1</v>
      </c>
      <c r="V37" s="43">
        <v>33031.300000000003</v>
      </c>
      <c r="W37" s="53">
        <f t="shared" si="5"/>
        <v>0.55563256016592633</v>
      </c>
      <c r="X37" s="35">
        <v>0.54786816029007301</v>
      </c>
      <c r="Z37" s="43">
        <v>22199.3</v>
      </c>
      <c r="AA37" s="43">
        <v>19945.599999999999</v>
      </c>
      <c r="AB37" s="44">
        <f t="shared" si="13"/>
        <v>0.10152121913754042</v>
      </c>
      <c r="AC37" s="35">
        <v>8.18010509685662E-2</v>
      </c>
      <c r="AE37" s="57" t="s">
        <v>83</v>
      </c>
      <c r="AF37" s="45">
        <f t="shared" si="6"/>
        <v>1.2529509550086226</v>
      </c>
      <c r="AG37" s="45">
        <v>1.1972358636445799</v>
      </c>
      <c r="AH37" s="53">
        <f t="shared" si="10"/>
        <v>4.2634635289971801E-2</v>
      </c>
      <c r="AI37" s="40"/>
      <c r="AJ37" s="57" t="s">
        <v>83</v>
      </c>
      <c r="AK37" s="42">
        <f t="shared" si="7"/>
        <v>545260.32700008084</v>
      </c>
      <c r="AL37" s="43">
        <f t="shared" si="8"/>
        <v>540887.2041414408</v>
      </c>
      <c r="AM37" s="44">
        <f t="shared" si="9"/>
        <v>8.0850920952762594E-3</v>
      </c>
      <c r="AN37" s="44">
        <f t="shared" si="11"/>
        <v>7.905166611181258E-2</v>
      </c>
      <c r="AP37" s="66"/>
      <c r="AQ37" s="37"/>
      <c r="AR37" s="38"/>
      <c r="AS37" s="37"/>
      <c r="AT37" s="37"/>
      <c r="AU37" s="38"/>
    </row>
    <row r="38" spans="1:47">
      <c r="A38" s="57" t="s">
        <v>84</v>
      </c>
      <c r="B38" s="43">
        <v>576265.23792121804</v>
      </c>
      <c r="D38" s="43">
        <v>19493.300000000003</v>
      </c>
      <c r="E38" s="43">
        <v>1306.0999999999999</v>
      </c>
      <c r="F38" s="44">
        <v>0.86021596084353424</v>
      </c>
      <c r="G38" s="43">
        <f t="shared" si="2"/>
        <v>18074.547789511267</v>
      </c>
      <c r="H38" s="43">
        <v>19478.437436947199</v>
      </c>
      <c r="I38" s="43">
        <v>1350.41859330851</v>
      </c>
      <c r="J38" s="44">
        <v>0.82784500000000005</v>
      </c>
      <c r="K38" s="43">
        <f t="shared" si="12"/>
        <v>17475.545633298065</v>
      </c>
      <c r="M38" s="43">
        <v>2078.8534666666669</v>
      </c>
      <c r="N38" s="43">
        <v>502.45036586146904</v>
      </c>
      <c r="O38" s="43">
        <f t="shared" si="0"/>
        <v>1044520.68489905</v>
      </c>
      <c r="P38" s="43">
        <v>2075.14073142385</v>
      </c>
      <c r="Q38" s="43">
        <v>6401.916666666667</v>
      </c>
      <c r="R38" s="43">
        <v>498.06839522401111</v>
      </c>
      <c r="S38" s="43">
        <f t="shared" si="4"/>
        <v>1033562.0139642576</v>
      </c>
      <c r="T38" s="41"/>
      <c r="U38" s="43">
        <v>60891.3</v>
      </c>
      <c r="V38" s="43">
        <v>32996.6</v>
      </c>
      <c r="W38" s="53">
        <f t="shared" si="5"/>
        <v>0.54189350531192459</v>
      </c>
      <c r="X38" s="35">
        <v>0.547301368866557</v>
      </c>
      <c r="Z38" s="43">
        <v>23189.5</v>
      </c>
      <c r="AA38" s="43">
        <v>19825.599999999999</v>
      </c>
      <c r="AB38" s="44">
        <f t="shared" si="13"/>
        <v>0.14506134241790469</v>
      </c>
      <c r="AC38" s="35">
        <v>9.5551590695157604E-2</v>
      </c>
      <c r="AE38" s="57" t="s">
        <v>84</v>
      </c>
      <c r="AF38" s="45">
        <f t="shared" si="6"/>
        <v>1.3897766447463269</v>
      </c>
      <c r="AG38" s="45">
        <v>1.24465055067507</v>
      </c>
      <c r="AH38" s="53">
        <f t="shared" si="10"/>
        <v>3.9603463670184524E-2</v>
      </c>
      <c r="AI38" s="40"/>
      <c r="AJ38" s="57" t="s">
        <v>84</v>
      </c>
      <c r="AK38" s="42">
        <f t="shared" si="7"/>
        <v>576265.23792121804</v>
      </c>
      <c r="AL38" s="43">
        <f t="shared" si="8"/>
        <v>563133.3224047228</v>
      </c>
      <c r="AM38" s="44">
        <f t="shared" si="9"/>
        <v>2.3319372152261587E-2</v>
      </c>
      <c r="AN38" s="44">
        <f t="shared" si="11"/>
        <v>4.1128941659090756E-2</v>
      </c>
      <c r="AP38" s="66"/>
      <c r="AQ38" s="37"/>
      <c r="AR38" s="38"/>
      <c r="AS38" s="37"/>
      <c r="AT38" s="37"/>
      <c r="AU38" s="38"/>
    </row>
    <row r="39" spans="1:47">
      <c r="A39" s="57" t="s">
        <v>85</v>
      </c>
      <c r="B39" s="43">
        <v>597005.03327586385</v>
      </c>
      <c r="D39" s="43">
        <v>19687</v>
      </c>
      <c r="E39" s="43">
        <v>1321</v>
      </c>
      <c r="F39" s="44">
        <v>0.8636903548096978</v>
      </c>
      <c r="G39" s="43">
        <f t="shared" si="2"/>
        <v>18324.472015138519</v>
      </c>
      <c r="H39" s="43">
        <v>19587.407844332</v>
      </c>
      <c r="I39" s="43">
        <v>1347.1806468990701</v>
      </c>
      <c r="J39" s="44">
        <v>0.82784500000000005</v>
      </c>
      <c r="K39" s="43">
        <f t="shared" si="12"/>
        <v>17562.518293790094</v>
      </c>
      <c r="M39" s="43">
        <v>2101.2048666666669</v>
      </c>
      <c r="N39" s="43">
        <v>494.74849043027524</v>
      </c>
      <c r="O39" s="43">
        <f t="shared" si="0"/>
        <v>1039567.9358680812</v>
      </c>
      <c r="P39" s="43">
        <v>2072.0379503200202</v>
      </c>
      <c r="Q39" s="43">
        <v>6465.25</v>
      </c>
      <c r="R39" s="43">
        <v>494.993451469165</v>
      </c>
      <c r="S39" s="43">
        <f t="shared" si="4"/>
        <v>1025645.216604001</v>
      </c>
      <c r="T39" s="41"/>
      <c r="U39" s="43">
        <v>62981.4</v>
      </c>
      <c r="V39" s="43">
        <v>33699.9</v>
      </c>
      <c r="W39" s="53">
        <f t="shared" si="5"/>
        <v>0.53507702274004709</v>
      </c>
      <c r="X39" s="35">
        <v>0.54662434519000802</v>
      </c>
      <c r="Z39" s="43">
        <v>24385.4</v>
      </c>
      <c r="AA39" s="43">
        <v>19954.7</v>
      </c>
      <c r="AB39" s="44">
        <f t="shared" si="13"/>
        <v>0.18169478458421839</v>
      </c>
      <c r="AC39" s="35">
        <v>0.107515817553257</v>
      </c>
      <c r="AE39" s="57" t="s">
        <v>85</v>
      </c>
      <c r="AF39" s="45">
        <f t="shared" si="6"/>
        <v>1.5187363192865315</v>
      </c>
      <c r="AG39" s="45">
        <v>1.2876424286486601</v>
      </c>
      <c r="AH39" s="53">
        <f t="shared" si="10"/>
        <v>3.4541324028878773E-2</v>
      </c>
      <c r="AI39" s="40"/>
      <c r="AJ39" s="57" t="s">
        <v>85</v>
      </c>
      <c r="AK39" s="42">
        <f t="shared" si="7"/>
        <v>597005.03327586385</v>
      </c>
      <c r="AL39" s="43">
        <f t="shared" si="8"/>
        <v>579209.76546665758</v>
      </c>
      <c r="AM39" s="44">
        <f t="shared" si="9"/>
        <v>3.0723355975997717E-2</v>
      </c>
      <c r="AN39" s="44">
        <f t="shared" si="11"/>
        <v>2.8548200616657304E-2</v>
      </c>
      <c r="AP39" s="66"/>
      <c r="AQ39" s="37"/>
      <c r="AR39" s="38"/>
      <c r="AS39" s="37"/>
      <c r="AT39" s="37"/>
      <c r="AU39" s="38"/>
    </row>
    <row r="40" spans="1:47">
      <c r="A40" s="57" t="s">
        <v>86</v>
      </c>
      <c r="B40" s="43">
        <v>591954.65616563207</v>
      </c>
      <c r="D40" s="43">
        <v>19724.5</v>
      </c>
      <c r="E40" s="43">
        <v>1344.5</v>
      </c>
      <c r="F40" s="44">
        <v>0.8539268500491014</v>
      </c>
      <c r="G40" s="43">
        <f t="shared" si="2"/>
        <v>18187.780153793501</v>
      </c>
      <c r="H40" s="43">
        <v>19730.581566223798</v>
      </c>
      <c r="I40" s="43">
        <v>1346.8474706652</v>
      </c>
      <c r="J40" s="44">
        <v>0.82784500000000005</v>
      </c>
      <c r="K40" s="43">
        <f t="shared" si="12"/>
        <v>17680.71076735574</v>
      </c>
      <c r="M40" s="43">
        <v>2078.6802000000002</v>
      </c>
      <c r="N40" s="43">
        <v>498.42111480473017</v>
      </c>
      <c r="O40" s="43">
        <f t="shared" si="0"/>
        <v>1036058.1026065196</v>
      </c>
      <c r="P40" s="43">
        <v>2067.83168162313</v>
      </c>
      <c r="Q40" s="43">
        <v>6530.416666666667</v>
      </c>
      <c r="R40" s="43">
        <v>492.32077320968466</v>
      </c>
      <c r="S40" s="43">
        <f t="shared" si="4"/>
        <v>1018036.4923641818</v>
      </c>
      <c r="T40" s="41"/>
      <c r="U40" s="43">
        <v>65040.4</v>
      </c>
      <c r="V40" s="43">
        <v>34917.5</v>
      </c>
      <c r="W40" s="53">
        <f t="shared" si="5"/>
        <v>0.53685862940572315</v>
      </c>
      <c r="X40" s="35">
        <v>0.54600250838974396</v>
      </c>
      <c r="Z40" s="43">
        <v>25147.1</v>
      </c>
      <c r="AA40" s="43">
        <v>20513.099999999999</v>
      </c>
      <c r="AB40" s="44">
        <f t="shared" si="13"/>
        <v>0.18427572165378914</v>
      </c>
      <c r="AC40" s="35">
        <v>0.11730563635262201</v>
      </c>
      <c r="AE40" s="57" t="s">
        <v>86</v>
      </c>
      <c r="AF40" s="45">
        <f t="shared" si="6"/>
        <v>1.5215024886819182</v>
      </c>
      <c r="AG40" s="45">
        <v>1.3247817354481</v>
      </c>
      <c r="AH40" s="53">
        <f t="shared" si="10"/>
        <v>2.8842872814012877E-2</v>
      </c>
      <c r="AI40" s="40"/>
      <c r="AJ40" s="57" t="s">
        <v>86</v>
      </c>
      <c r="AK40" s="42">
        <f t="shared" si="7"/>
        <v>591954.65616563207</v>
      </c>
      <c r="AL40" s="43">
        <f t="shared" si="8"/>
        <v>580898.13822734565</v>
      </c>
      <c r="AM40" s="44">
        <f t="shared" si="9"/>
        <v>1.9033488335883138E-2</v>
      </c>
      <c r="AN40" s="44">
        <f t="shared" si="11"/>
        <v>2.9149590724317775E-3</v>
      </c>
      <c r="AP40" s="66"/>
      <c r="AQ40" s="37"/>
      <c r="AR40" s="38"/>
      <c r="AS40" s="37"/>
      <c r="AT40" s="37"/>
      <c r="AU40" s="38"/>
    </row>
    <row r="41" spans="1:47">
      <c r="A41" s="57" t="s">
        <v>87</v>
      </c>
      <c r="B41" s="43">
        <v>578817.48974194156</v>
      </c>
      <c r="D41" s="43">
        <v>20270</v>
      </c>
      <c r="E41" s="43">
        <v>1359.8</v>
      </c>
      <c r="F41" s="44">
        <v>0.85804502460534893</v>
      </c>
      <c r="G41" s="43">
        <f t="shared" si="2"/>
        <v>18752.372648750421</v>
      </c>
      <c r="H41" s="43">
        <v>19896.586035594701</v>
      </c>
      <c r="I41" s="43">
        <v>1348.58651505785</v>
      </c>
      <c r="J41" s="44">
        <v>0.82784500000000005</v>
      </c>
      <c r="K41" s="43">
        <f t="shared" si="12"/>
        <v>17819.875781694747</v>
      </c>
      <c r="M41" s="43">
        <v>2074.3485333333338</v>
      </c>
      <c r="N41" s="43">
        <v>503.61086818734481</v>
      </c>
      <c r="O41" s="43">
        <f t="shared" si="0"/>
        <v>1044664.4657951456</v>
      </c>
      <c r="P41" s="43">
        <v>2062.6850245416799</v>
      </c>
      <c r="Q41" s="43">
        <v>6663.333333333333</v>
      </c>
      <c r="R41" s="43">
        <v>489.86417456731556</v>
      </c>
      <c r="S41" s="43">
        <f t="shared" si="4"/>
        <v>1010435.4969394731</v>
      </c>
      <c r="T41" s="41"/>
      <c r="U41" s="43">
        <v>65472.1</v>
      </c>
      <c r="V41" s="43">
        <v>35569.1</v>
      </c>
      <c r="W41" s="53">
        <f t="shared" si="5"/>
        <v>0.54327110326383299</v>
      </c>
      <c r="X41" s="35">
        <v>0.54548580437058403</v>
      </c>
      <c r="Z41" s="43">
        <v>24761.599999999999</v>
      </c>
      <c r="AA41" s="43">
        <v>22219.4</v>
      </c>
      <c r="AB41" s="44">
        <f t="shared" si="13"/>
        <v>0.10266703282501932</v>
      </c>
      <c r="AC41" s="35">
        <v>0.125274741573316</v>
      </c>
      <c r="AE41" s="57" t="s">
        <v>87</v>
      </c>
      <c r="AF41" s="45">
        <f t="shared" si="6"/>
        <v>1.2844122219728311</v>
      </c>
      <c r="AG41" s="45">
        <v>1.3569496478626399</v>
      </c>
      <c r="AH41" s="53">
        <f t="shared" si="10"/>
        <v>2.4281669616813772E-2</v>
      </c>
      <c r="AI41" s="40"/>
      <c r="AJ41" s="57" t="s">
        <v>87</v>
      </c>
      <c r="AK41" s="42">
        <f t="shared" si="7"/>
        <v>578817.48974194156</v>
      </c>
      <c r="AL41" s="43">
        <f t="shared" si="8"/>
        <v>577634.58440136921</v>
      </c>
      <c r="AM41" s="44">
        <f t="shared" si="9"/>
        <v>2.0478436930819435E-3</v>
      </c>
      <c r="AN41" s="44">
        <f t="shared" si="11"/>
        <v>-5.6181172071499974E-3</v>
      </c>
      <c r="AP41" s="66"/>
      <c r="AQ41" s="37"/>
      <c r="AR41" s="38"/>
      <c r="AS41" s="37"/>
      <c r="AT41" s="37"/>
      <c r="AU41" s="38"/>
    </row>
    <row r="42" spans="1:47">
      <c r="A42" s="57" t="s">
        <v>88</v>
      </c>
      <c r="B42" s="43">
        <v>570532.1832492376</v>
      </c>
      <c r="D42" s="43">
        <v>20474.099999999999</v>
      </c>
      <c r="E42" s="43">
        <v>1378.7</v>
      </c>
      <c r="F42" s="44">
        <v>0.88227157290845415</v>
      </c>
      <c r="G42" s="43">
        <f t="shared" si="2"/>
        <v>19442.41641088498</v>
      </c>
      <c r="H42" s="43">
        <v>20073.987869754899</v>
      </c>
      <c r="I42" s="43">
        <v>1351.5417558213001</v>
      </c>
      <c r="J42" s="44">
        <v>0.82784500000000005</v>
      </c>
      <c r="K42" s="43">
        <f t="shared" si="12"/>
        <v>17969.692243858546</v>
      </c>
      <c r="M42" s="43">
        <v>2046.1060666666669</v>
      </c>
      <c r="N42" s="43">
        <v>498.80678007050886</v>
      </c>
      <c r="O42" s="43">
        <f t="shared" si="0"/>
        <v>1020611.5787967341</v>
      </c>
      <c r="P42" s="43">
        <v>2056.8695634679102</v>
      </c>
      <c r="Q42" s="43">
        <v>6724</v>
      </c>
      <c r="R42" s="43">
        <v>487.46262083239253</v>
      </c>
      <c r="S42" s="43">
        <f t="shared" si="4"/>
        <v>1002647.0281184467</v>
      </c>
      <c r="T42" s="41"/>
      <c r="U42" s="43">
        <v>66920.600000000006</v>
      </c>
      <c r="V42" s="43">
        <v>36899.800000000003</v>
      </c>
      <c r="W42" s="53">
        <f t="shared" si="5"/>
        <v>0.55139672985597854</v>
      </c>
      <c r="X42" s="35">
        <v>0.54503274024750903</v>
      </c>
      <c r="Z42" s="43">
        <v>24693.3</v>
      </c>
      <c r="AA42" s="43">
        <v>23391.599999999999</v>
      </c>
      <c r="AB42" s="44">
        <f t="shared" si="13"/>
        <v>5.2714703988531286E-2</v>
      </c>
      <c r="AC42" s="35">
        <v>0.13244652854841499</v>
      </c>
      <c r="AE42" s="57" t="s">
        <v>88</v>
      </c>
      <c r="AF42" s="45">
        <f t="shared" si="6"/>
        <v>1.1746935438571102</v>
      </c>
      <c r="AG42" s="45">
        <v>1.38699455021403</v>
      </c>
      <c r="AH42" s="53">
        <f t="shared" si="10"/>
        <v>2.2141501269936192E-2</v>
      </c>
      <c r="AI42" s="40"/>
      <c r="AJ42" s="57" t="s">
        <v>88</v>
      </c>
      <c r="AK42" s="42">
        <f t="shared" si="7"/>
        <v>570532.1832492376</v>
      </c>
      <c r="AL42" s="43">
        <f t="shared" si="8"/>
        <v>576573.85523495974</v>
      </c>
      <c r="AM42" s="44">
        <f t="shared" si="9"/>
        <v>-1.047857430729339E-2</v>
      </c>
      <c r="AN42" s="44">
        <f>AL42/AL41-1</f>
        <v>-1.8363325102993544E-3</v>
      </c>
      <c r="AP42" s="66"/>
      <c r="AQ42" s="37"/>
      <c r="AR42" s="38"/>
      <c r="AS42" s="37"/>
      <c r="AT42" s="37"/>
      <c r="AU42" s="38"/>
    </row>
    <row r="43" spans="1:47">
      <c r="A43" s="57" t="s">
        <v>89</v>
      </c>
      <c r="B43" s="43">
        <v>576350.4384254975</v>
      </c>
      <c r="D43" s="43">
        <v>20624.899999999998</v>
      </c>
      <c r="E43" s="43">
        <v>1402.2</v>
      </c>
      <c r="F43" s="44">
        <v>0.85909212732457496</v>
      </c>
      <c r="G43" s="43">
        <f t="shared" si="2"/>
        <v>19120.889216856624</v>
      </c>
      <c r="H43" s="43">
        <v>20255.087825658498</v>
      </c>
      <c r="I43" s="43">
        <v>1354.9693035492601</v>
      </c>
      <c r="J43" s="44">
        <v>0.82784500000000005</v>
      </c>
      <c r="K43" s="43">
        <f t="shared" si="12"/>
        <v>18123.042484581521</v>
      </c>
      <c r="M43" s="43">
        <v>2022.7150666666671</v>
      </c>
      <c r="N43" s="43">
        <v>491.90102752179155</v>
      </c>
      <c r="O43" s="43">
        <f t="shared" si="0"/>
        <v>994975.61967714259</v>
      </c>
      <c r="P43" s="43">
        <v>2050.7735178819798</v>
      </c>
      <c r="Q43" s="43">
        <v>6676.333333333333</v>
      </c>
      <c r="R43" s="43">
        <v>485.03628546980445</v>
      </c>
      <c r="S43" s="43">
        <f t="shared" si="4"/>
        <v>994699.56945331907</v>
      </c>
      <c r="T43" s="41"/>
      <c r="U43" s="46"/>
      <c r="V43" s="46"/>
      <c r="W43" s="53" t="e">
        <f t="shared" si="5"/>
        <v>#DIV/0!</v>
      </c>
      <c r="X43" s="63">
        <f>AVERAGE(X3:X42)</f>
        <v>0.54513939882025375</v>
      </c>
      <c r="Z43" s="46"/>
      <c r="AA43" s="46"/>
      <c r="AB43" s="44" t="e">
        <f>1-AA43/Z43</f>
        <v>#DIV/0!</v>
      </c>
      <c r="AC43" s="63">
        <f>AVERAGE(AC3:AC42)</f>
        <v>0.16348037336425186</v>
      </c>
      <c r="AE43" s="57" t="s">
        <v>89</v>
      </c>
      <c r="AF43" s="45" t="e">
        <f t="shared" si="6"/>
        <v>#DIV/0!</v>
      </c>
      <c r="AG43" s="45">
        <f>AG42*(1+AH43)</f>
        <v>1.4245301508112032</v>
      </c>
      <c r="AH43" s="64">
        <f>AVERAGE(AH5:AH10)</f>
        <v>2.7062543678618711E-2</v>
      </c>
      <c r="AJ43" s="57" t="s">
        <v>89</v>
      </c>
      <c r="AK43" s="42">
        <f t="shared" si="7"/>
        <v>576350.4384254975</v>
      </c>
      <c r="AL43" s="43">
        <f>EXP((1/(1-X43))*LOG(AG43,EXP(1))+AC43*LOG(K43,EXP(1))+(1-AC43)*LOG(S43,EXP(1))+(X43/(1-X43))*LOG(X43,EXP(1)))</f>
        <v>543723.77777710662</v>
      </c>
      <c r="AM43" s="44">
        <f t="shared" si="9"/>
        <v>6.0005947839503561E-2</v>
      </c>
      <c r="AN43" s="44">
        <f t="shared" ref="AN43:AN63" si="14">AL43/AL42-1</f>
        <v>-5.6974622001315645E-2</v>
      </c>
      <c r="AP43" s="66"/>
    </row>
    <row r="44" spans="1:47">
      <c r="A44" s="57" t="s">
        <v>90</v>
      </c>
      <c r="H44" s="65">
        <f t="shared" ref="H44:H63" si="15">H43</f>
        <v>20255.087825658498</v>
      </c>
      <c r="I44" s="65">
        <f t="shared" ref="I44:I63" si="16">I43</f>
        <v>1354.9693035492601</v>
      </c>
      <c r="J44" s="62">
        <f>J43</f>
        <v>0.82784500000000005</v>
      </c>
      <c r="K44" s="43">
        <f t="shared" si="12"/>
        <v>18123.042484581521</v>
      </c>
      <c r="N44" s="51"/>
      <c r="P44" s="65">
        <v>1700</v>
      </c>
      <c r="Q44" s="43">
        <f>(Q$48-Q$43)/5+Q43</f>
        <v>6639.0666666666666</v>
      </c>
      <c r="R44" s="43">
        <f>Q44*0.0734908144536897+4</f>
        <v>491.91041654567613</v>
      </c>
      <c r="S44" s="43">
        <f t="shared" si="4"/>
        <v>836247.70812764938</v>
      </c>
      <c r="X44" s="63">
        <f t="shared" ref="X44:X63" si="17">X43</f>
        <v>0.54513939882025375</v>
      </c>
      <c r="AC44" s="62">
        <f>AC43</f>
        <v>0.16348037336425186</v>
      </c>
      <c r="AE44" s="57" t="s">
        <v>90</v>
      </c>
      <c r="AG44" s="45">
        <f>AG43*(1+AH44)</f>
        <v>1.4630815602390406</v>
      </c>
      <c r="AH44" s="62">
        <f>AH43</f>
        <v>2.7062543678618711E-2</v>
      </c>
      <c r="AJ44" s="57" t="s">
        <v>90</v>
      </c>
      <c r="AL44" s="43">
        <f t="shared" ref="AL44:AL62" si="18">EXP((1/(1-X44))*LOG(AG44,EXP(1))+AC44*LOG(K44,EXP(1))+(1-AC44)*LOG(S44,EXP(1))+(X44/(1-X44))*LOG(X44,EXP(1)))</f>
        <v>498696.37202984223</v>
      </c>
      <c r="AN44" s="44">
        <f t="shared" si="14"/>
        <v>-8.2813015703210313E-2</v>
      </c>
    </row>
    <row r="45" spans="1:47">
      <c r="A45" s="57" t="s">
        <v>91</v>
      </c>
      <c r="H45" s="65">
        <f t="shared" si="15"/>
        <v>20255.087825658498</v>
      </c>
      <c r="I45" s="65">
        <f t="shared" si="16"/>
        <v>1354.9693035492601</v>
      </c>
      <c r="J45" s="62">
        <f t="shared" ref="J45:J63" si="19">J44</f>
        <v>0.82784500000000005</v>
      </c>
      <c r="K45" s="43">
        <f t="shared" si="12"/>
        <v>18123.042484581521</v>
      </c>
      <c r="N45" s="51"/>
      <c r="P45" s="65">
        <v>1700</v>
      </c>
      <c r="Q45" s="43">
        <f>(Q$48-Q$43)/5+Q44</f>
        <v>6601.8</v>
      </c>
      <c r="R45" s="43">
        <f t="shared" ref="R45:R63" si="20">Q45*0.0734908144536897+4</f>
        <v>489.17165886036867</v>
      </c>
      <c r="S45" s="43">
        <f t="shared" si="4"/>
        <v>831591.82006262674</v>
      </c>
      <c r="X45" s="63">
        <f t="shared" si="17"/>
        <v>0.54513939882025375</v>
      </c>
      <c r="AC45" s="62">
        <f t="shared" ref="AC45:AC63" si="21">AC44</f>
        <v>0.16348037336425186</v>
      </c>
      <c r="AE45" s="57" t="s">
        <v>91</v>
      </c>
      <c r="AG45" s="45">
        <f t="shared" ref="AG45:AG63" si="22">AG44*(1+AH45)</f>
        <v>1.5026762688683912</v>
      </c>
      <c r="AH45" s="62">
        <f t="shared" ref="AH45:AH63" si="23">AH44</f>
        <v>2.7062543678618711E-2</v>
      </c>
      <c r="AJ45" s="57" t="s">
        <v>91</v>
      </c>
      <c r="AL45" s="43">
        <f t="shared" si="18"/>
        <v>526384.82035998232</v>
      </c>
      <c r="AN45" s="44">
        <f>AL45/AL44-1</f>
        <v>5.5521655827251992E-2</v>
      </c>
    </row>
    <row r="46" spans="1:47">
      <c r="A46" s="57" t="s">
        <v>92</v>
      </c>
      <c r="H46" s="65">
        <f t="shared" si="15"/>
        <v>20255.087825658498</v>
      </c>
      <c r="I46" s="65">
        <f t="shared" si="16"/>
        <v>1354.9693035492601</v>
      </c>
      <c r="J46" s="62">
        <f t="shared" si="19"/>
        <v>0.82784500000000005</v>
      </c>
      <c r="K46" s="43">
        <f t="shared" si="12"/>
        <v>18123.042484581521</v>
      </c>
      <c r="N46" s="51"/>
      <c r="P46" s="65">
        <v>1700</v>
      </c>
      <c r="Q46" s="43">
        <f>(Q$48-Q$43)/5+Q45</f>
        <v>6564.5333333333338</v>
      </c>
      <c r="R46" s="43">
        <f t="shared" si="20"/>
        <v>486.4329011750612</v>
      </c>
      <c r="S46" s="43">
        <f t="shared" si="4"/>
        <v>826935.93199760409</v>
      </c>
      <c r="X46" s="63">
        <f t="shared" si="17"/>
        <v>0.54513939882025375</v>
      </c>
      <c r="AC46" s="62">
        <f t="shared" si="21"/>
        <v>0.16348037336425186</v>
      </c>
      <c r="AE46" s="57" t="s">
        <v>92</v>
      </c>
      <c r="AG46" s="45">
        <f t="shared" si="22"/>
        <v>1.5433425110294658</v>
      </c>
      <c r="AH46" s="62">
        <f t="shared" si="23"/>
        <v>2.7062543678618711E-2</v>
      </c>
      <c r="AJ46" s="57" t="s">
        <v>92</v>
      </c>
      <c r="AL46" s="43">
        <f t="shared" si="18"/>
        <v>555596.008099698</v>
      </c>
      <c r="AN46" s="44">
        <f t="shared" si="14"/>
        <v>5.5493978188312587E-2</v>
      </c>
    </row>
    <row r="47" spans="1:47">
      <c r="A47" s="57" t="s">
        <v>93</v>
      </c>
      <c r="H47" s="65">
        <f t="shared" si="15"/>
        <v>20255.087825658498</v>
      </c>
      <c r="I47" s="65">
        <f t="shared" si="16"/>
        <v>1354.9693035492601</v>
      </c>
      <c r="J47" s="62">
        <f t="shared" si="19"/>
        <v>0.82784500000000005</v>
      </c>
      <c r="K47" s="43">
        <f t="shared" si="12"/>
        <v>18123.042484581521</v>
      </c>
      <c r="N47" s="51"/>
      <c r="P47" s="65">
        <v>1700</v>
      </c>
      <c r="Q47" s="43">
        <f>(Q$48-Q$43)/5+Q46</f>
        <v>6527.2666666666673</v>
      </c>
      <c r="R47" s="43">
        <f t="shared" si="20"/>
        <v>483.69414348975369</v>
      </c>
      <c r="S47" s="43">
        <f t="shared" si="4"/>
        <v>822280.04393258132</v>
      </c>
      <c r="X47" s="63">
        <f t="shared" si="17"/>
        <v>0.54513939882025375</v>
      </c>
      <c r="AC47" s="62">
        <f t="shared" si="21"/>
        <v>0.16348037336425186</v>
      </c>
      <c r="AE47" s="57" t="s">
        <v>93</v>
      </c>
      <c r="AG47" s="45">
        <f t="shared" si="22"/>
        <v>1.5851092851452699</v>
      </c>
      <c r="AH47" s="62">
        <f t="shared" si="23"/>
        <v>2.7062543678618711E-2</v>
      </c>
      <c r="AJ47" s="57" t="s">
        <v>93</v>
      </c>
      <c r="AL47" s="43">
        <f t="shared" si="18"/>
        <v>586412.69002835383</v>
      </c>
      <c r="AN47" s="44">
        <f t="shared" si="14"/>
        <v>5.5465988738936378E-2</v>
      </c>
    </row>
    <row r="48" spans="1:47">
      <c r="A48" s="57" t="s">
        <v>94</v>
      </c>
      <c r="H48" s="65">
        <f t="shared" si="15"/>
        <v>20255.087825658498</v>
      </c>
      <c r="I48" s="65">
        <f t="shared" si="16"/>
        <v>1354.9693035492601</v>
      </c>
      <c r="J48" s="62">
        <f t="shared" si="19"/>
        <v>0.82784500000000005</v>
      </c>
      <c r="K48" s="43">
        <f t="shared" si="12"/>
        <v>18123.042484581521</v>
      </c>
      <c r="N48" s="51"/>
      <c r="P48" s="65">
        <v>1700</v>
      </c>
      <c r="Q48" s="61">
        <v>6490</v>
      </c>
      <c r="R48" s="43">
        <f t="shared" si="20"/>
        <v>480.95538580444617</v>
      </c>
      <c r="S48" s="43">
        <f t="shared" si="4"/>
        <v>817624.15586755844</v>
      </c>
      <c r="X48" s="63">
        <f t="shared" si="17"/>
        <v>0.54513939882025375</v>
      </c>
      <c r="AC48" s="62">
        <f t="shared" si="21"/>
        <v>0.16348037336425186</v>
      </c>
      <c r="AE48" s="57" t="s">
        <v>94</v>
      </c>
      <c r="AG48" s="45">
        <f t="shared" si="22"/>
        <v>1.6280063744098978</v>
      </c>
      <c r="AH48" s="62">
        <f t="shared" si="23"/>
        <v>2.7062543678618711E-2</v>
      </c>
      <c r="AJ48" s="57" t="s">
        <v>94</v>
      </c>
      <c r="AL48" s="43">
        <f t="shared" si="18"/>
        <v>618922.05036451132</v>
      </c>
      <c r="AN48" s="44">
        <f t="shared" si="14"/>
        <v>5.5437682180079717E-2</v>
      </c>
    </row>
    <row r="49" spans="1:47">
      <c r="A49" s="57" t="s">
        <v>95</v>
      </c>
      <c r="H49" s="65">
        <f t="shared" si="15"/>
        <v>20255.087825658498</v>
      </c>
      <c r="I49" s="65">
        <f t="shared" si="16"/>
        <v>1354.9693035492601</v>
      </c>
      <c r="J49" s="62">
        <f t="shared" si="19"/>
        <v>0.82784500000000005</v>
      </c>
      <c r="K49" s="43">
        <f t="shared" si="12"/>
        <v>18123.042484581521</v>
      </c>
      <c r="N49" s="51"/>
      <c r="P49" s="65">
        <v>1700</v>
      </c>
      <c r="Q49" s="43">
        <f>(Q$53-Q$48)/5+Q48</f>
        <v>6465.2</v>
      </c>
      <c r="R49" s="43">
        <f t="shared" si="20"/>
        <v>479.13281360599461</v>
      </c>
      <c r="S49" s="43">
        <f t="shared" si="4"/>
        <v>814525.7831301908</v>
      </c>
      <c r="X49" s="63">
        <f t="shared" si="17"/>
        <v>0.54513939882025375</v>
      </c>
      <c r="AC49" s="62">
        <f t="shared" si="21"/>
        <v>0.16348037336425186</v>
      </c>
      <c r="AE49" s="57" t="s">
        <v>95</v>
      </c>
      <c r="AG49" s="45">
        <f t="shared" si="22"/>
        <v>1.6720643680264353</v>
      </c>
      <c r="AH49" s="62">
        <f t="shared" si="23"/>
        <v>2.7062543678618711E-2</v>
      </c>
      <c r="AJ49" s="57" t="s">
        <v>95</v>
      </c>
      <c r="AL49" s="43">
        <f t="shared" si="18"/>
        <v>654262.63860937243</v>
      </c>
      <c r="AN49" s="44">
        <f t="shared" si="14"/>
        <v>5.7100224857148607E-2</v>
      </c>
    </row>
    <row r="50" spans="1:47">
      <c r="A50" s="57" t="s">
        <v>96</v>
      </c>
      <c r="H50" s="65">
        <f t="shared" si="15"/>
        <v>20255.087825658498</v>
      </c>
      <c r="I50" s="65">
        <f t="shared" si="16"/>
        <v>1354.9693035492601</v>
      </c>
      <c r="J50" s="62">
        <f t="shared" si="19"/>
        <v>0.82784500000000005</v>
      </c>
      <c r="K50" s="43">
        <f t="shared" si="12"/>
        <v>18123.042484581521</v>
      </c>
      <c r="N50" s="51"/>
      <c r="P50" s="65">
        <v>1700</v>
      </c>
      <c r="Q50" s="43">
        <f>(Q$53-Q$48)/5+Q49</f>
        <v>6440.4</v>
      </c>
      <c r="R50" s="43">
        <f t="shared" si="20"/>
        <v>477.31024140754312</v>
      </c>
      <c r="S50" s="43">
        <f t="shared" si="4"/>
        <v>811427.41039282328</v>
      </c>
      <c r="X50" s="63">
        <f t="shared" si="17"/>
        <v>0.54513939882025375</v>
      </c>
      <c r="AC50" s="62">
        <f t="shared" si="21"/>
        <v>0.16348037336425186</v>
      </c>
      <c r="AE50" s="57" t="s">
        <v>96</v>
      </c>
      <c r="AG50" s="45">
        <f t="shared" si="22"/>
        <v>1.7173146830196127</v>
      </c>
      <c r="AH50" s="62">
        <f t="shared" si="23"/>
        <v>2.7062543678618711E-2</v>
      </c>
      <c r="AJ50" s="57" t="s">
        <v>96</v>
      </c>
      <c r="AL50" s="43">
        <f t="shared" si="18"/>
        <v>691612.81090297224</v>
      </c>
      <c r="AN50" s="44">
        <f t="shared" si="14"/>
        <v>5.7087429557321379E-2</v>
      </c>
    </row>
    <row r="51" spans="1:47">
      <c r="A51" s="57" t="s">
        <v>97</v>
      </c>
      <c r="H51" s="65">
        <f t="shared" si="15"/>
        <v>20255.087825658498</v>
      </c>
      <c r="I51" s="65">
        <f t="shared" si="16"/>
        <v>1354.9693035492601</v>
      </c>
      <c r="J51" s="62">
        <f t="shared" si="19"/>
        <v>0.82784500000000005</v>
      </c>
      <c r="K51" s="43">
        <f t="shared" si="12"/>
        <v>18123.042484581521</v>
      </c>
      <c r="N51" s="51"/>
      <c r="P51" s="65">
        <v>1700</v>
      </c>
      <c r="Q51" s="43">
        <f>(Q$53-Q$48)/5+Q50</f>
        <v>6415.5999999999995</v>
      </c>
      <c r="R51" s="43">
        <f t="shared" si="20"/>
        <v>475.48766920909156</v>
      </c>
      <c r="S51" s="43">
        <f t="shared" si="4"/>
        <v>808329.03765545564</v>
      </c>
      <c r="X51" s="63">
        <f t="shared" si="17"/>
        <v>0.54513939882025375</v>
      </c>
      <c r="AC51" s="62">
        <f t="shared" si="21"/>
        <v>0.16348037336425186</v>
      </c>
      <c r="AE51" s="57" t="s">
        <v>97</v>
      </c>
      <c r="AG51" s="45">
        <f t="shared" si="22"/>
        <v>1.7637895866387641</v>
      </c>
      <c r="AH51" s="62">
        <f t="shared" si="23"/>
        <v>2.7062543678618711E-2</v>
      </c>
      <c r="AJ51" s="57" t="s">
        <v>97</v>
      </c>
      <c r="AL51" s="43">
        <f t="shared" si="18"/>
        <v>731086.29153044231</v>
      </c>
      <c r="AN51" s="44">
        <f t="shared" si="14"/>
        <v>5.7074536511163343E-2</v>
      </c>
    </row>
    <row r="52" spans="1:47">
      <c r="A52" s="57" t="s">
        <v>98</v>
      </c>
      <c r="H52" s="65">
        <f t="shared" si="15"/>
        <v>20255.087825658498</v>
      </c>
      <c r="I52" s="65">
        <f t="shared" si="16"/>
        <v>1354.9693035492601</v>
      </c>
      <c r="J52" s="62">
        <f t="shared" si="19"/>
        <v>0.82784500000000005</v>
      </c>
      <c r="K52" s="43">
        <f t="shared" si="12"/>
        <v>18123.042484581521</v>
      </c>
      <c r="N52" s="51"/>
      <c r="P52" s="65">
        <v>1700</v>
      </c>
      <c r="Q52" s="43">
        <f>(Q$53-Q$48)/5+Q51</f>
        <v>6390.7999999999993</v>
      </c>
      <c r="R52" s="43">
        <f t="shared" si="20"/>
        <v>473.66509701064007</v>
      </c>
      <c r="S52" s="43">
        <f t="shared" si="4"/>
        <v>805230.66491808812</v>
      </c>
      <c r="X52" s="63">
        <f t="shared" si="17"/>
        <v>0.54513939882025375</v>
      </c>
      <c r="AC52" s="62">
        <f t="shared" si="21"/>
        <v>0.16348037336425186</v>
      </c>
      <c r="AE52" s="57" t="s">
        <v>98</v>
      </c>
      <c r="AG52" s="45">
        <f t="shared" si="22"/>
        <v>1.8115222193670684</v>
      </c>
      <c r="AH52" s="62">
        <f t="shared" si="23"/>
        <v>2.7062543678618711E-2</v>
      </c>
      <c r="AJ52" s="57" t="s">
        <v>98</v>
      </c>
      <c r="AL52" s="43">
        <f t="shared" si="18"/>
        <v>772803.20455689065</v>
      </c>
      <c r="AN52" s="44">
        <f t="shared" si="14"/>
        <v>5.7061544594303459E-2</v>
      </c>
    </row>
    <row r="53" spans="1:47">
      <c r="A53" s="57" t="s">
        <v>99</v>
      </c>
      <c r="H53" s="65">
        <f t="shared" si="15"/>
        <v>20255.087825658498</v>
      </c>
      <c r="I53" s="65">
        <f t="shared" si="16"/>
        <v>1354.9693035492601</v>
      </c>
      <c r="J53" s="62">
        <f t="shared" si="19"/>
        <v>0.82784500000000005</v>
      </c>
      <c r="K53" s="43">
        <f t="shared" si="12"/>
        <v>18123.042484581521</v>
      </c>
      <c r="N53" s="51"/>
      <c r="P53" s="65">
        <v>1700</v>
      </c>
      <c r="Q53" s="61">
        <v>6366</v>
      </c>
      <c r="R53" s="43">
        <f t="shared" si="20"/>
        <v>471.84252481218863</v>
      </c>
      <c r="S53" s="43">
        <f t="shared" si="4"/>
        <v>802132.29218072072</v>
      </c>
      <c r="X53" s="63">
        <f t="shared" si="17"/>
        <v>0.54513939882025375</v>
      </c>
      <c r="AC53" s="62">
        <f t="shared" si="21"/>
        <v>0.16348037336425186</v>
      </c>
      <c r="AE53" s="57" t="s">
        <v>99</v>
      </c>
      <c r="AG53" s="45">
        <f t="shared" si="22"/>
        <v>1.860546618553478</v>
      </c>
      <c r="AH53" s="62">
        <f t="shared" si="23"/>
        <v>2.7062543678618711E-2</v>
      </c>
      <c r="AJ53" s="57" t="s">
        <v>99</v>
      </c>
      <c r="AL53" s="43">
        <f t="shared" si="18"/>
        <v>816890.43159147829</v>
      </c>
      <c r="AN53" s="44">
        <f t="shared" si="14"/>
        <v>5.7048452665082294E-2</v>
      </c>
    </row>
    <row r="54" spans="1:47">
      <c r="A54" s="57" t="s">
        <v>100</v>
      </c>
      <c r="H54" s="65">
        <f t="shared" si="15"/>
        <v>20255.087825658498</v>
      </c>
      <c r="I54" s="65">
        <f t="shared" si="16"/>
        <v>1354.9693035492601</v>
      </c>
      <c r="J54" s="62">
        <f t="shared" si="19"/>
        <v>0.82784500000000005</v>
      </c>
      <c r="K54" s="43">
        <f t="shared" si="12"/>
        <v>18123.042484581521</v>
      </c>
      <c r="N54" s="51"/>
      <c r="P54" s="65">
        <v>1700</v>
      </c>
      <c r="Q54" s="43">
        <f>(Q$58-Q$53)/5+Q53</f>
        <v>6334.6</v>
      </c>
      <c r="R54" s="43">
        <f t="shared" si="20"/>
        <v>469.53491323834277</v>
      </c>
      <c r="S54" s="43">
        <f t="shared" si="4"/>
        <v>798209.35250518273</v>
      </c>
      <c r="X54" s="63">
        <f t="shared" si="17"/>
        <v>0.54513939882025375</v>
      </c>
      <c r="AC54" s="62">
        <f t="shared" si="21"/>
        <v>0.16348037336425186</v>
      </c>
      <c r="AE54" s="57" t="s">
        <v>100</v>
      </c>
      <c r="AG54" s="45">
        <f t="shared" si="22"/>
        <v>1.9108977426841878</v>
      </c>
      <c r="AH54" s="62">
        <f t="shared" si="23"/>
        <v>2.7062543678618711E-2</v>
      </c>
      <c r="AJ54" s="57" t="s">
        <v>100</v>
      </c>
      <c r="AL54" s="43">
        <f t="shared" si="18"/>
        <v>862736.52523579577</v>
      </c>
      <c r="AN54" s="44">
        <f t="shared" si="14"/>
        <v>5.6122696351087686E-2</v>
      </c>
    </row>
    <row r="55" spans="1:47">
      <c r="A55" s="57" t="s">
        <v>101</v>
      </c>
      <c r="H55" s="65">
        <f t="shared" si="15"/>
        <v>20255.087825658498</v>
      </c>
      <c r="I55" s="65">
        <f t="shared" si="16"/>
        <v>1354.9693035492601</v>
      </c>
      <c r="J55" s="62">
        <f t="shared" si="19"/>
        <v>0.82784500000000005</v>
      </c>
      <c r="K55" s="43">
        <f t="shared" si="12"/>
        <v>18123.042484581521</v>
      </c>
      <c r="N55" s="51"/>
      <c r="P55" s="65">
        <v>1700</v>
      </c>
      <c r="Q55" s="43">
        <f>(Q$58-Q$53)/5+Q54</f>
        <v>6303.2000000000007</v>
      </c>
      <c r="R55" s="43">
        <f t="shared" si="20"/>
        <v>467.22730166449696</v>
      </c>
      <c r="S55" s="43">
        <f t="shared" si="4"/>
        <v>794286.41282964486</v>
      </c>
      <c r="X55" s="63">
        <f t="shared" si="17"/>
        <v>0.54513939882025375</v>
      </c>
      <c r="AC55" s="62">
        <f t="shared" si="21"/>
        <v>0.16348037336425186</v>
      </c>
      <c r="AE55" s="57" t="s">
        <v>101</v>
      </c>
      <c r="AG55" s="45">
        <f t="shared" si="22"/>
        <v>1.9626114963109524</v>
      </c>
      <c r="AH55" s="62">
        <f t="shared" si="23"/>
        <v>2.7062543678618711E-2</v>
      </c>
      <c r="AJ55" s="57" t="s">
        <v>101</v>
      </c>
      <c r="AL55" s="43">
        <f t="shared" si="18"/>
        <v>911137.21504367387</v>
      </c>
      <c r="AN55" s="44">
        <f t="shared" si="14"/>
        <v>5.6101357010067021E-2</v>
      </c>
    </row>
    <row r="56" spans="1:47">
      <c r="A56" s="57" t="s">
        <v>102</v>
      </c>
      <c r="H56" s="65">
        <f t="shared" si="15"/>
        <v>20255.087825658498</v>
      </c>
      <c r="I56" s="65">
        <f t="shared" si="16"/>
        <v>1354.9693035492601</v>
      </c>
      <c r="J56" s="62">
        <f t="shared" si="19"/>
        <v>0.82784500000000005</v>
      </c>
      <c r="K56" s="43">
        <f t="shared" si="12"/>
        <v>18123.042484581521</v>
      </c>
      <c r="N56" s="51"/>
      <c r="P56" s="65">
        <v>1700</v>
      </c>
      <c r="Q56" s="43">
        <f>(Q$58-Q$53)/5+Q55</f>
        <v>6271.8000000000011</v>
      </c>
      <c r="R56" s="43">
        <f t="shared" si="20"/>
        <v>464.91969009065116</v>
      </c>
      <c r="S56" s="43">
        <f t="shared" si="4"/>
        <v>790363.47315410699</v>
      </c>
      <c r="X56" s="63">
        <f t="shared" si="17"/>
        <v>0.54513939882025375</v>
      </c>
      <c r="AC56" s="62">
        <f t="shared" si="21"/>
        <v>0.16348037336425186</v>
      </c>
      <c r="AE56" s="57" t="s">
        <v>102</v>
      </c>
      <c r="AG56" s="45">
        <f t="shared" si="22"/>
        <v>2.015724755654027</v>
      </c>
      <c r="AH56" s="62">
        <f t="shared" si="23"/>
        <v>2.7062543678618711E-2</v>
      </c>
      <c r="AJ56" s="57" t="s">
        <v>102</v>
      </c>
      <c r="AL56" s="43">
        <f t="shared" si="18"/>
        <v>962233.614027709</v>
      </c>
      <c r="AN56" s="44">
        <f t="shared" si="14"/>
        <v>5.6079806795715115E-2</v>
      </c>
    </row>
    <row r="57" spans="1:47">
      <c r="A57" s="57" t="s">
        <v>103</v>
      </c>
      <c r="H57" s="65">
        <f t="shared" si="15"/>
        <v>20255.087825658498</v>
      </c>
      <c r="I57" s="65">
        <f t="shared" si="16"/>
        <v>1354.9693035492601</v>
      </c>
      <c r="J57" s="62">
        <f t="shared" si="19"/>
        <v>0.82784500000000005</v>
      </c>
      <c r="K57" s="43">
        <f t="shared" si="12"/>
        <v>18123.042484581521</v>
      </c>
      <c r="N57" s="51"/>
      <c r="P57" s="65">
        <v>1700</v>
      </c>
      <c r="Q57" s="43">
        <f>(Q$58-Q$53)/5+Q56</f>
        <v>6240.4000000000015</v>
      </c>
      <c r="R57" s="43">
        <f t="shared" si="20"/>
        <v>462.6120785168053</v>
      </c>
      <c r="S57" s="43">
        <f t="shared" si="4"/>
        <v>786440.53347856901</v>
      </c>
      <c r="X57" s="63">
        <f t="shared" si="17"/>
        <v>0.54513939882025375</v>
      </c>
      <c r="AC57" s="62">
        <f t="shared" si="21"/>
        <v>0.16348037336425186</v>
      </c>
      <c r="AE57" s="57" t="s">
        <v>103</v>
      </c>
      <c r="AG57" s="45">
        <f t="shared" si="22"/>
        <v>2.0702753948979873</v>
      </c>
      <c r="AH57" s="62">
        <f t="shared" si="23"/>
        <v>2.7062543678618711E-2</v>
      </c>
      <c r="AJ57" s="57" t="s">
        <v>103</v>
      </c>
      <c r="AL57" s="43">
        <f t="shared" si="18"/>
        <v>1016174.5469220459</v>
      </c>
      <c r="AN57" s="44">
        <f t="shared" si="14"/>
        <v>5.6058042566764499E-2</v>
      </c>
    </row>
    <row r="58" spans="1:47">
      <c r="A58" s="57" t="s">
        <v>104</v>
      </c>
      <c r="H58" s="65">
        <f t="shared" si="15"/>
        <v>20255.087825658498</v>
      </c>
      <c r="I58" s="65">
        <f t="shared" si="16"/>
        <v>1354.9693035492601</v>
      </c>
      <c r="J58" s="62">
        <f t="shared" si="19"/>
        <v>0.82784500000000005</v>
      </c>
      <c r="K58" s="43">
        <f t="shared" si="12"/>
        <v>18123.042484581521</v>
      </c>
      <c r="N58" s="51"/>
      <c r="P58" s="65">
        <v>1700</v>
      </c>
      <c r="Q58" s="61">
        <v>6209</v>
      </c>
      <c r="R58" s="43">
        <f t="shared" si="20"/>
        <v>460.30446694295932</v>
      </c>
      <c r="S58" s="43">
        <f t="shared" si="4"/>
        <v>782517.5938030309</v>
      </c>
      <c r="X58" s="63">
        <f t="shared" si="17"/>
        <v>0.54513939882025375</v>
      </c>
      <c r="AC58" s="62">
        <f t="shared" si="21"/>
        <v>0.16348037336425186</v>
      </c>
      <c r="AE58" s="57" t="s">
        <v>104</v>
      </c>
      <c r="AG58" s="45">
        <f t="shared" si="22"/>
        <v>2.1263023131991838</v>
      </c>
      <c r="AH58" s="62">
        <f t="shared" si="23"/>
        <v>2.7062543678618711E-2</v>
      </c>
      <c r="AJ58" s="57" t="s">
        <v>104</v>
      </c>
      <c r="AL58" s="43">
        <f t="shared" si="18"/>
        <v>1073116.9659411917</v>
      </c>
      <c r="AN58" s="44">
        <f t="shared" si="14"/>
        <v>5.6036061119245861E-2</v>
      </c>
    </row>
    <row r="59" spans="1:47">
      <c r="A59" s="57" t="s">
        <v>105</v>
      </c>
      <c r="H59" s="65">
        <f t="shared" si="15"/>
        <v>20255.087825658498</v>
      </c>
      <c r="I59" s="65">
        <f t="shared" si="16"/>
        <v>1354.9693035492601</v>
      </c>
      <c r="J59" s="62">
        <f t="shared" si="19"/>
        <v>0.82784500000000005</v>
      </c>
      <c r="K59" s="43">
        <f t="shared" si="12"/>
        <v>18123.042484581521</v>
      </c>
      <c r="N59" s="51"/>
      <c r="P59" s="65">
        <v>1700</v>
      </c>
      <c r="Q59" s="43">
        <f>(Q$63-Q$58)/5+Q58</f>
        <v>6172</v>
      </c>
      <c r="R59" s="43">
        <f t="shared" si="20"/>
        <v>457.58530680817285</v>
      </c>
      <c r="S59" s="43">
        <f t="shared" si="4"/>
        <v>777895.02157389384</v>
      </c>
      <c r="X59" s="63">
        <f t="shared" si="17"/>
        <v>0.54513939882025375</v>
      </c>
      <c r="AC59" s="62">
        <f t="shared" si="21"/>
        <v>0.16348037336425186</v>
      </c>
      <c r="AE59" s="57" t="s">
        <v>105</v>
      </c>
      <c r="AG59" s="45">
        <f t="shared" si="22"/>
        <v>2.1838454624240846</v>
      </c>
      <c r="AH59" s="62">
        <f t="shared" si="23"/>
        <v>2.7062543678618711E-2</v>
      </c>
      <c r="AJ59" s="57" t="s">
        <v>105</v>
      </c>
      <c r="AL59" s="43">
        <f t="shared" si="18"/>
        <v>1132374.498964265</v>
      </c>
      <c r="AN59" s="44">
        <f t="shared" si="14"/>
        <v>5.5220013198748363E-2</v>
      </c>
    </row>
    <row r="60" spans="1:47">
      <c r="A60" s="57" t="s">
        <v>106</v>
      </c>
      <c r="H60" s="65">
        <f t="shared" si="15"/>
        <v>20255.087825658498</v>
      </c>
      <c r="I60" s="65">
        <f t="shared" si="16"/>
        <v>1354.9693035492601</v>
      </c>
      <c r="J60" s="62">
        <f t="shared" si="19"/>
        <v>0.82784500000000005</v>
      </c>
      <c r="K60" s="43">
        <f t="shared" si="12"/>
        <v>18123.042484581521</v>
      </c>
      <c r="N60" s="51"/>
      <c r="P60" s="65">
        <v>1700</v>
      </c>
      <c r="Q60" s="43">
        <f>(Q$63-Q$58)/5+Q59</f>
        <v>6135</v>
      </c>
      <c r="R60" s="43">
        <f t="shared" si="20"/>
        <v>454.86614667338631</v>
      </c>
      <c r="S60" s="43">
        <f t="shared" si="4"/>
        <v>773272.44934475678</v>
      </c>
      <c r="X60" s="63">
        <f t="shared" si="17"/>
        <v>0.54513939882025375</v>
      </c>
      <c r="AC60" s="62">
        <f t="shared" si="21"/>
        <v>0.16348037336425186</v>
      </c>
      <c r="AE60" s="57" t="s">
        <v>106</v>
      </c>
      <c r="AG60" s="45">
        <f t="shared" si="22"/>
        <v>2.2429458756382896</v>
      </c>
      <c r="AH60" s="62">
        <f t="shared" si="23"/>
        <v>2.7062543678618711E-2</v>
      </c>
      <c r="AJ60" s="57" t="s">
        <v>106</v>
      </c>
      <c r="AL60" s="43">
        <f t="shared" si="18"/>
        <v>1194868.9368957039</v>
      </c>
      <c r="AN60" s="44">
        <f t="shared" si="14"/>
        <v>5.5188842550410566E-2</v>
      </c>
    </row>
    <row r="61" spans="1:47">
      <c r="A61" s="57" t="s">
        <v>107</v>
      </c>
      <c r="H61" s="65">
        <f t="shared" si="15"/>
        <v>20255.087825658498</v>
      </c>
      <c r="I61" s="65">
        <f t="shared" si="16"/>
        <v>1354.9693035492601</v>
      </c>
      <c r="J61" s="62">
        <f t="shared" si="19"/>
        <v>0.82784500000000005</v>
      </c>
      <c r="K61" s="43">
        <f t="shared" si="12"/>
        <v>18123.042484581521</v>
      </c>
      <c r="N61" s="51"/>
      <c r="P61" s="65">
        <v>1700</v>
      </c>
      <c r="Q61" s="43">
        <f>(Q$63-Q$58)/5+Q60</f>
        <v>6098</v>
      </c>
      <c r="R61" s="43">
        <f t="shared" si="20"/>
        <v>452.14698653859978</v>
      </c>
      <c r="S61" s="43">
        <f t="shared" si="4"/>
        <v>768649.8771156196</v>
      </c>
      <c r="X61" s="63">
        <f t="shared" si="17"/>
        <v>0.54513939882025375</v>
      </c>
      <c r="AC61" s="62">
        <f t="shared" si="21"/>
        <v>0.16348037336425186</v>
      </c>
      <c r="AE61" s="57" t="s">
        <v>107</v>
      </c>
      <c r="AG61" s="45">
        <f t="shared" si="22"/>
        <v>2.3036456963665284</v>
      </c>
      <c r="AH61" s="62">
        <f t="shared" si="23"/>
        <v>2.7062543678618711E-2</v>
      </c>
      <c r="AJ61" s="57" t="s">
        <v>107</v>
      </c>
      <c r="AL61" s="43">
        <f t="shared" si="18"/>
        <v>1260774.6801696504</v>
      </c>
      <c r="AN61" s="44">
        <f t="shared" si="14"/>
        <v>5.5157299046681318E-2</v>
      </c>
    </row>
    <row r="62" spans="1:47">
      <c r="A62" s="57" t="s">
        <v>108</v>
      </c>
      <c r="H62" s="65">
        <f t="shared" si="15"/>
        <v>20255.087825658498</v>
      </c>
      <c r="I62" s="65">
        <f t="shared" si="16"/>
        <v>1354.9693035492601</v>
      </c>
      <c r="J62" s="62">
        <f t="shared" si="19"/>
        <v>0.82784500000000005</v>
      </c>
      <c r="K62" s="43">
        <f t="shared" si="12"/>
        <v>18123.042484581521</v>
      </c>
      <c r="N62" s="51"/>
      <c r="P62" s="65">
        <v>1700</v>
      </c>
      <c r="Q62" s="43">
        <f>(Q$63-Q$58)/5+Q61</f>
        <v>6061</v>
      </c>
      <c r="R62" s="43">
        <f t="shared" si="20"/>
        <v>449.42782640381324</v>
      </c>
      <c r="S62" s="43">
        <f t="shared" si="4"/>
        <v>764027.30488648254</v>
      </c>
      <c r="X62" s="63">
        <f t="shared" si="17"/>
        <v>0.54513939882025375</v>
      </c>
      <c r="AC62" s="62">
        <f t="shared" si="21"/>
        <v>0.16348037336425186</v>
      </c>
      <c r="AE62" s="57" t="s">
        <v>108</v>
      </c>
      <c r="AG62" s="45">
        <f t="shared" si="22"/>
        <v>2.3659882086445094</v>
      </c>
      <c r="AH62" s="62">
        <f t="shared" si="23"/>
        <v>2.7062543678618711E-2</v>
      </c>
      <c r="AJ62" s="57" t="s">
        <v>108</v>
      </c>
      <c r="AL62" s="43">
        <f t="shared" si="18"/>
        <v>1330275.3584114383</v>
      </c>
      <c r="AN62" s="44">
        <f t="shared" si="14"/>
        <v>5.5125375957293166E-2</v>
      </c>
    </row>
    <row r="63" spans="1:47">
      <c r="A63" s="57" t="s">
        <v>109</v>
      </c>
      <c r="H63" s="65">
        <f t="shared" si="15"/>
        <v>20255.087825658498</v>
      </c>
      <c r="I63" s="65">
        <f t="shared" si="16"/>
        <v>1354.9693035492601</v>
      </c>
      <c r="J63" s="62">
        <f t="shared" si="19"/>
        <v>0.82784500000000005</v>
      </c>
      <c r="K63" s="43">
        <f t="shared" si="12"/>
        <v>18123.042484581521</v>
      </c>
      <c r="N63" s="51"/>
      <c r="P63" s="65">
        <v>1700</v>
      </c>
      <c r="Q63" s="61">
        <v>6024</v>
      </c>
      <c r="R63" s="43">
        <f t="shared" si="20"/>
        <v>446.70866626902676</v>
      </c>
      <c r="S63" s="43">
        <f t="shared" si="4"/>
        <v>759404.73265734548</v>
      </c>
      <c r="X63" s="63">
        <f t="shared" si="17"/>
        <v>0.54513939882025375</v>
      </c>
      <c r="AC63" s="62">
        <f t="shared" si="21"/>
        <v>0.16348037336425186</v>
      </c>
      <c r="AE63" s="57" t="s">
        <v>109</v>
      </c>
      <c r="AG63" s="45">
        <f t="shared" si="22"/>
        <v>2.4300178678840485</v>
      </c>
      <c r="AH63" s="62">
        <f t="shared" si="23"/>
        <v>2.7062543678618711E-2</v>
      </c>
      <c r="AJ63" s="57" t="s">
        <v>109</v>
      </c>
      <c r="AL63" s="43">
        <f>EXP(1/(1-X63)*LOG(AG63,EXP(1))+AC63*LOG(K63,EXP(1))+(1-AC63)*LOG(S63,EXP(1))+X63/(1-X63)*LOG(X63,EXP(1)))</f>
        <v>1403564.3070480966</v>
      </c>
      <c r="AN63" s="44">
        <f t="shared" si="14"/>
        <v>5.5093066389034773E-2</v>
      </c>
    </row>
    <row r="64" spans="1:47" s="43" customFormat="1">
      <c r="A64" s="57"/>
      <c r="C64" s="24"/>
      <c r="L64" s="24"/>
      <c r="M64" s="24"/>
      <c r="N64" s="51"/>
      <c r="P64" s="24"/>
      <c r="W64" s="44"/>
      <c r="X64" s="44"/>
      <c r="Y64" s="24"/>
      <c r="AB64" s="44"/>
      <c r="AC64" s="44"/>
      <c r="AD64" s="24"/>
      <c r="AE64" s="57"/>
      <c r="AF64" s="45"/>
      <c r="AG64" s="45"/>
      <c r="AH64" s="44"/>
      <c r="AI64" s="24"/>
      <c r="AJ64" s="57"/>
      <c r="AK64" s="24"/>
      <c r="AL64" s="24"/>
      <c r="AM64" s="24"/>
      <c r="AN64" s="24"/>
      <c r="AO64" s="24"/>
      <c r="AP64" s="24"/>
      <c r="AQ64" s="24"/>
      <c r="AR64" s="24"/>
      <c r="AS64" s="24"/>
      <c r="AT64" s="24"/>
      <c r="AU64" s="24"/>
    </row>
    <row r="65" spans="1:47" s="43" customFormat="1">
      <c r="A65" s="57"/>
      <c r="C65" s="24"/>
      <c r="L65" s="24"/>
      <c r="M65" s="24"/>
      <c r="N65" s="51"/>
      <c r="P65" s="24"/>
      <c r="W65" s="44"/>
      <c r="X65" s="44"/>
      <c r="Y65" s="24"/>
      <c r="AB65" s="44"/>
      <c r="AC65" s="44"/>
      <c r="AD65" s="24"/>
      <c r="AE65" s="57"/>
      <c r="AF65" s="45"/>
      <c r="AG65" s="45"/>
      <c r="AH65" s="44"/>
      <c r="AI65" s="24"/>
      <c r="AJ65" s="57"/>
      <c r="AK65" s="24"/>
      <c r="AL65" s="24"/>
      <c r="AM65" s="24"/>
      <c r="AN65" s="24"/>
      <c r="AO65" s="24"/>
      <c r="AP65" s="24"/>
      <c r="AQ65" s="24"/>
      <c r="AR65" s="24"/>
      <c r="AS65" s="24"/>
      <c r="AT65" s="24"/>
      <c r="AU65" s="24"/>
    </row>
    <row r="66" spans="1:47" s="43" customFormat="1">
      <c r="A66" s="57"/>
      <c r="C66" s="24"/>
      <c r="L66" s="24"/>
      <c r="M66" s="24"/>
      <c r="N66" s="52"/>
      <c r="P66" s="24"/>
      <c r="W66" s="44"/>
      <c r="X66" s="44"/>
      <c r="Y66" s="24"/>
      <c r="AB66" s="44"/>
      <c r="AC66" s="44"/>
      <c r="AD66" s="24"/>
      <c r="AE66" s="57"/>
      <c r="AF66" s="45"/>
      <c r="AG66" s="45"/>
      <c r="AH66" s="44"/>
      <c r="AI66" s="24"/>
      <c r="AJ66" s="57"/>
      <c r="AK66" s="24"/>
      <c r="AL66" s="24"/>
      <c r="AM66" s="24"/>
      <c r="AN66" s="24"/>
      <c r="AO66" s="24"/>
      <c r="AP66" s="24"/>
      <c r="AQ66" s="24"/>
      <c r="AR66" s="24"/>
      <c r="AS66" s="24"/>
      <c r="AT66" s="24"/>
      <c r="AU66" s="24"/>
    </row>
  </sheetData>
  <mergeCells count="6">
    <mergeCell ref="D1:K1"/>
    <mergeCell ref="M1:S1"/>
    <mergeCell ref="U1:X1"/>
    <mergeCell ref="Z1:AC1"/>
    <mergeCell ref="AK1:AN1"/>
    <mergeCell ref="AF1:AH1"/>
  </mergeCells>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46475-F43F-418A-B15A-EBF4FB5762E1}">
  <dimension ref="A1:AY69"/>
  <sheetViews>
    <sheetView topLeftCell="M31" zoomScale="70" zoomScaleNormal="70" workbookViewId="0">
      <selection activeCell="AP44" sqref="AP44"/>
    </sheetView>
  </sheetViews>
  <sheetFormatPr defaultColWidth="8.84375" defaultRowHeight="18.45" outlineLevelCol="1"/>
  <cols>
    <col min="1" max="1" width="8.84375" style="57"/>
    <col min="2" max="2" width="19.3046875" style="43" hidden="1" customWidth="1" outlineLevel="1"/>
    <col min="3" max="3" width="16.765625" style="24" hidden="1" customWidth="1" outlineLevel="1"/>
    <col min="4" max="7" width="19.07421875" style="43" hidden="1" customWidth="1" outlineLevel="1"/>
    <col min="8" max="8" width="19.07421875" style="43" bestFit="1" customWidth="1" collapsed="1"/>
    <col min="9" max="9" width="23.23046875" style="44" bestFit="1" customWidth="1"/>
    <col min="10" max="10" width="20.765625" style="44" bestFit="1" customWidth="1"/>
    <col min="11" max="11" width="19.07421875" style="43" bestFit="1" customWidth="1"/>
    <col min="12" max="12" width="22.84375" style="44" bestFit="1" customWidth="1"/>
    <col min="13" max="13" width="24.07421875" style="44" bestFit="1" customWidth="1"/>
    <col min="14" max="15" width="16.765625" style="43" bestFit="1" customWidth="1"/>
    <col min="16" max="16" width="8.84375" style="24"/>
    <col min="17" max="18" width="19.07421875" style="24" hidden="1" customWidth="1" outlineLevel="1"/>
    <col min="19" max="19" width="19.07421875" style="43" hidden="1" customWidth="1" outlineLevel="1"/>
    <col min="20" max="20" width="19.07421875" style="24" bestFit="1" customWidth="1" collapsed="1"/>
    <col min="21" max="21" width="22.69140625" style="24" bestFit="1" customWidth="1"/>
    <col min="22" max="22" width="16.4609375" style="43" bestFit="1" customWidth="1"/>
    <col min="23" max="23" width="16.765625" style="43" bestFit="1" customWidth="1"/>
    <col min="24" max="24" width="24.07421875" style="43" customWidth="1"/>
    <col min="25" max="25" width="14.07421875" style="43" hidden="1" customWidth="1" outlineLevel="1"/>
    <col min="26" max="26" width="12.3046875" style="43" hidden="1" customWidth="1" outlineLevel="1"/>
    <col min="27" max="27" width="16.4609375" style="44" hidden="1" customWidth="1" outlineLevel="1"/>
    <col min="28" max="28" width="16.4609375" style="44" bestFit="1" customWidth="1" collapsed="1"/>
    <col min="29" max="29" width="8.84375" style="24"/>
    <col min="30" max="30" width="14.07421875" style="43" hidden="1" customWidth="1" outlineLevel="1"/>
    <col min="31" max="31" width="11.84375" style="43" hidden="1" customWidth="1" outlineLevel="1"/>
    <col min="32" max="32" width="16.4609375" style="44" hidden="1" customWidth="1" outlineLevel="1"/>
    <col min="33" max="33" width="18.84375" style="44" bestFit="1" customWidth="1" collapsed="1"/>
    <col min="34" max="34" width="8.84375" style="24"/>
    <col min="35" max="35" width="8.84375" style="57" hidden="1" customWidth="1" outlineLevel="1"/>
    <col min="36" max="36" width="9.69140625" style="45" hidden="1" customWidth="1" outlineLevel="1"/>
    <col min="37" max="37" width="5.765625" style="45" bestFit="1" customWidth="1" collapsed="1"/>
    <col min="38" max="38" width="11.765625" style="44" bestFit="1" customWidth="1"/>
    <col min="39" max="39" width="13.765625" style="24" bestFit="1" customWidth="1"/>
    <col min="40" max="40" width="8.84375" style="57" hidden="1" customWidth="1" outlineLevel="1"/>
    <col min="41" max="41" width="16.4609375" style="24" hidden="1" customWidth="1" outlineLevel="1"/>
    <col min="42" max="42" width="18.765625" style="24" bestFit="1" customWidth="1" collapsed="1"/>
    <col min="43" max="43" width="14.07421875" style="24" hidden="1" customWidth="1" outlineLevel="1"/>
    <col min="44" max="44" width="11.84375" style="24" bestFit="1" customWidth="1" collapsed="1"/>
    <col min="45" max="45" width="8.84375" style="24"/>
    <col min="46" max="46" width="20.4609375" style="24" bestFit="1" customWidth="1"/>
    <col min="47" max="48" width="19" style="24" bestFit="1" customWidth="1"/>
    <col min="49" max="51" width="22.4609375" style="24" customWidth="1"/>
    <col min="52" max="16384" width="8.84375" style="24"/>
  </cols>
  <sheetData>
    <row r="1" spans="1:51" s="59" customFormat="1">
      <c r="A1" s="58"/>
      <c r="B1" s="56" t="s">
        <v>0</v>
      </c>
      <c r="D1" s="407" t="s">
        <v>1</v>
      </c>
      <c r="E1" s="407"/>
      <c r="F1" s="407"/>
      <c r="G1" s="407"/>
      <c r="H1" s="407"/>
      <c r="I1" s="407"/>
      <c r="J1" s="407"/>
      <c r="K1" s="407"/>
      <c r="L1" s="407"/>
      <c r="M1" s="407"/>
      <c r="N1" s="407"/>
      <c r="O1" s="407"/>
      <c r="Q1" s="407" t="s">
        <v>3</v>
      </c>
      <c r="R1" s="407"/>
      <c r="S1" s="407"/>
      <c r="T1" s="407"/>
      <c r="U1" s="407"/>
      <c r="V1" s="407"/>
      <c r="W1" s="407"/>
      <c r="X1" s="60"/>
      <c r="Y1" s="407" t="s">
        <v>372</v>
      </c>
      <c r="Z1" s="407"/>
      <c r="AA1" s="407"/>
      <c r="AB1" s="407"/>
      <c r="AD1" s="407" t="s">
        <v>4</v>
      </c>
      <c r="AE1" s="407"/>
      <c r="AF1" s="407"/>
      <c r="AG1" s="407"/>
      <c r="AI1" s="58"/>
      <c r="AJ1" s="407" t="s">
        <v>5</v>
      </c>
      <c r="AK1" s="407"/>
      <c r="AL1" s="407"/>
      <c r="AN1" s="58"/>
      <c r="AO1" s="407" t="s">
        <v>6</v>
      </c>
      <c r="AP1" s="407"/>
      <c r="AQ1" s="407"/>
      <c r="AR1" s="407"/>
    </row>
    <row r="2" spans="1:51" ht="55.3">
      <c r="A2" s="57" t="s">
        <v>7</v>
      </c>
      <c r="B2" s="49" t="s">
        <v>8</v>
      </c>
      <c r="D2" s="49" t="s">
        <v>9</v>
      </c>
      <c r="E2" s="49" t="s">
        <v>10</v>
      </c>
      <c r="F2" s="43" t="s">
        <v>11</v>
      </c>
      <c r="G2" s="49" t="s">
        <v>12</v>
      </c>
      <c r="H2" s="49" t="s">
        <v>13</v>
      </c>
      <c r="I2" s="53" t="s">
        <v>14</v>
      </c>
      <c r="J2" s="53" t="s">
        <v>381</v>
      </c>
      <c r="K2" s="49" t="s">
        <v>16</v>
      </c>
      <c r="L2" s="53" t="s">
        <v>17</v>
      </c>
      <c r="M2" s="53" t="s">
        <v>382</v>
      </c>
      <c r="N2" s="43" t="s">
        <v>19</v>
      </c>
      <c r="O2" s="49" t="s">
        <v>20</v>
      </c>
      <c r="Q2" s="50" t="s">
        <v>28</v>
      </c>
      <c r="R2" s="32" t="s">
        <v>29</v>
      </c>
      <c r="S2" s="30" t="s">
        <v>30</v>
      </c>
      <c r="T2" s="50" t="s">
        <v>31</v>
      </c>
      <c r="U2" s="30" t="s">
        <v>32</v>
      </c>
      <c r="V2" s="30" t="s">
        <v>33</v>
      </c>
      <c r="W2" s="30" t="s">
        <v>34</v>
      </c>
      <c r="X2" s="49"/>
      <c r="Y2" s="49" t="s">
        <v>373</v>
      </c>
      <c r="Z2" s="49" t="s">
        <v>374</v>
      </c>
      <c r="AA2" s="53" t="s">
        <v>375</v>
      </c>
      <c r="AB2" s="53" t="s">
        <v>376</v>
      </c>
      <c r="AD2" s="30" t="s">
        <v>35</v>
      </c>
      <c r="AE2" s="30" t="s">
        <v>36</v>
      </c>
      <c r="AF2" s="35" t="s">
        <v>37</v>
      </c>
      <c r="AG2" s="35" t="s">
        <v>38</v>
      </c>
      <c r="AI2" s="57" t="s">
        <v>7</v>
      </c>
      <c r="AJ2" s="39" t="s">
        <v>39</v>
      </c>
      <c r="AK2" s="54" t="s">
        <v>40</v>
      </c>
      <c r="AL2" s="53" t="s">
        <v>41</v>
      </c>
      <c r="AN2" s="57" t="s">
        <v>7</v>
      </c>
      <c r="AO2" s="32" t="s">
        <v>42</v>
      </c>
      <c r="AP2" s="32" t="s">
        <v>43</v>
      </c>
      <c r="AQ2" s="32" t="s">
        <v>44</v>
      </c>
      <c r="AR2" s="32" t="s">
        <v>45</v>
      </c>
      <c r="AT2" s="32"/>
      <c r="AU2" s="32"/>
      <c r="AV2" s="32"/>
      <c r="AW2" s="32"/>
      <c r="AX2" s="32"/>
      <c r="AY2" s="32"/>
    </row>
    <row r="3" spans="1:51">
      <c r="A3" s="57" t="s">
        <v>49</v>
      </c>
      <c r="B3" s="49">
        <v>672729.84744445409</v>
      </c>
      <c r="D3" s="49"/>
      <c r="E3" s="49"/>
      <c r="F3" s="44"/>
      <c r="H3" s="49"/>
      <c r="I3" s="53"/>
      <c r="J3" s="77">
        <v>3.0076727933746966E-2</v>
      </c>
      <c r="K3" s="49"/>
      <c r="L3" s="53"/>
      <c r="M3" s="77">
        <v>1.5827775574795225E-3</v>
      </c>
      <c r="N3" s="44"/>
      <c r="Q3" s="49">
        <v>2280.8823999999995</v>
      </c>
      <c r="R3" s="30">
        <v>548.02883189833722</v>
      </c>
      <c r="S3" s="43">
        <f t="shared" ref="S3:S43" si="0">Q3*R3</f>
        <v>1249989.3173694757</v>
      </c>
      <c r="T3" s="49">
        <v>2278.0755795411901</v>
      </c>
      <c r="U3" s="49">
        <v>5536.083333333333</v>
      </c>
      <c r="V3" s="30">
        <v>518.43212547841347</v>
      </c>
      <c r="W3" s="43">
        <f>T3*V3</f>
        <v>1181027.5647020077</v>
      </c>
      <c r="X3" s="41"/>
      <c r="Y3" s="49">
        <v>54556.9</v>
      </c>
      <c r="Z3" s="49">
        <v>32329.1</v>
      </c>
      <c r="AA3" s="53">
        <f>Z3/Y3</f>
        <v>0.59257582450615776</v>
      </c>
      <c r="AB3" s="35">
        <v>0.58379598020265899</v>
      </c>
      <c r="AD3" s="30">
        <v>19489.3</v>
      </c>
      <c r="AE3" s="30">
        <v>13415.4</v>
      </c>
      <c r="AF3" s="44">
        <f t="shared" ref="AF3:AF16" si="1">1-AE3/AD3</f>
        <v>0.31165306091034572</v>
      </c>
      <c r="AG3" s="35">
        <v>0.308037193656299</v>
      </c>
      <c r="AI3" s="57" t="s">
        <v>49</v>
      </c>
      <c r="AK3" s="54"/>
      <c r="AL3" s="53"/>
      <c r="AN3" s="57" t="s">
        <v>49</v>
      </c>
      <c r="AO3" s="42"/>
      <c r="AP3" s="43"/>
      <c r="AQ3" s="44"/>
      <c r="AR3" s="44"/>
      <c r="AT3" s="32"/>
      <c r="AU3" s="32"/>
      <c r="AV3" s="32"/>
      <c r="AW3" s="32"/>
      <c r="AX3" s="32"/>
      <c r="AY3" s="32"/>
    </row>
    <row r="4" spans="1:51">
      <c r="A4" s="57" t="s">
        <v>50</v>
      </c>
      <c r="B4" s="49">
        <v>651330.72414749418</v>
      </c>
      <c r="D4" s="49">
        <v>11608.412051853184</v>
      </c>
      <c r="E4" s="49">
        <v>532.10204873840848</v>
      </c>
      <c r="F4" s="44">
        <v>0.80789743103963818</v>
      </c>
      <c r="G4" s="43">
        <f t="shared" ref="G4:G43" si="2">D4*F4+E4</f>
        <v>9910.5083238801708</v>
      </c>
      <c r="H4" s="49">
        <v>11241.132312989799</v>
      </c>
      <c r="I4" s="53">
        <v>9.9397659666527638E-2</v>
      </c>
      <c r="J4" s="77">
        <v>3.0015232990648254E-2</v>
      </c>
      <c r="K4" s="49">
        <v>472.81342905605402</v>
      </c>
      <c r="L4" s="53">
        <v>0.16529717456579643</v>
      </c>
      <c r="M4" s="77">
        <v>1.5750259397105892E-3</v>
      </c>
      <c r="N4" s="44">
        <v>0.82784500000000005</v>
      </c>
      <c r="O4" s="43">
        <f t="shared" ref="O4:O16" si="3">H4*N4+K4</f>
        <v>9778.7286087030952</v>
      </c>
      <c r="Q4" s="49">
        <v>2292.1447333333331</v>
      </c>
      <c r="R4" s="30">
        <v>543.47471465378021</v>
      </c>
      <c r="S4" s="43">
        <f t="shared" si="0"/>
        <v>1245722.7048934982</v>
      </c>
      <c r="T4" s="49">
        <v>2274.9449153820601</v>
      </c>
      <c r="U4" s="49">
        <v>5581.75</v>
      </c>
      <c r="V4" s="30">
        <v>524.38561843499588</v>
      </c>
      <c r="W4" s="43">
        <f t="shared" ref="W4:W63" si="4">T4*V4</f>
        <v>1192948.396358171</v>
      </c>
      <c r="X4" s="41"/>
      <c r="Y4" s="49">
        <v>55837.4</v>
      </c>
      <c r="Z4" s="49">
        <v>31637.8</v>
      </c>
      <c r="AA4" s="53">
        <f t="shared" ref="AA4:AA43" si="5">Z4/Y4</f>
        <v>0.56660589497361979</v>
      </c>
      <c r="AB4" s="35">
        <v>0.57770710002931402</v>
      </c>
      <c r="AD4" s="30">
        <v>21185.1</v>
      </c>
      <c r="AE4" s="30">
        <v>14162.7</v>
      </c>
      <c r="AF4" s="44">
        <f t="shared" si="1"/>
        <v>0.33147825594403602</v>
      </c>
      <c r="AG4" s="35">
        <v>0.311199733868668</v>
      </c>
      <c r="AI4" s="57" t="s">
        <v>50</v>
      </c>
      <c r="AJ4" s="45">
        <f t="shared" ref="AJ4:AJ43" si="6">EXP(LOG(B4,EXP(1))-AF4*LOG(G4,EXP(1))-(1-AF4)*LOG(S4,EXP(1)))</f>
        <v>2.5957384094341149</v>
      </c>
      <c r="AK4" s="54">
        <v>1.9499702997221899</v>
      </c>
      <c r="AL4" s="53"/>
      <c r="AN4" s="57" t="s">
        <v>50</v>
      </c>
      <c r="AO4" s="42">
        <f t="shared" ref="AO4:AO43" si="7">B4</f>
        <v>651330.72414749418</v>
      </c>
      <c r="AP4" s="43">
        <f>AK4*((B4*AB4)^AB4)*(O4^(AG4*(1-AB4)))*(W4^((1-AG4)*(1-AB4)))</f>
        <v>635290.13116446184</v>
      </c>
      <c r="AQ4" s="44">
        <f t="shared" ref="AQ4:AQ63" si="8">(AO4-AP4)/AP4</f>
        <v>2.5249239986823921E-2</v>
      </c>
      <c r="AR4" s="44"/>
      <c r="AS4" s="40"/>
      <c r="AT4" s="32"/>
      <c r="AU4" s="32"/>
      <c r="AV4" s="32"/>
      <c r="AW4" s="32"/>
      <c r="AX4" s="32"/>
      <c r="AY4" s="32"/>
    </row>
    <row r="5" spans="1:51">
      <c r="A5" s="57" t="s">
        <v>51</v>
      </c>
      <c r="B5" s="49">
        <v>635334.08977780421</v>
      </c>
      <c r="D5" s="49">
        <v>12409.547405379732</v>
      </c>
      <c r="E5" s="49">
        <v>546.73336208755643</v>
      </c>
      <c r="F5" s="44">
        <v>0.79672072435186447</v>
      </c>
      <c r="G5" s="43">
        <f t="shared" si="2"/>
        <v>10433.676959780496</v>
      </c>
      <c r="H5" s="49">
        <v>11892.6473065052</v>
      </c>
      <c r="I5" s="53">
        <v>0.10155024626748284</v>
      </c>
      <c r="J5" s="77">
        <v>3.023216551820904E-2</v>
      </c>
      <c r="K5" s="49">
        <v>523.38944473409902</v>
      </c>
      <c r="L5" s="53">
        <v>0.16547513255097859</v>
      </c>
      <c r="M5" s="77">
        <v>1.78117691125024E-3</v>
      </c>
      <c r="N5" s="44">
        <v>0.82784500000000005</v>
      </c>
      <c r="O5" s="43">
        <f t="shared" si="3"/>
        <v>10368.658054187898</v>
      </c>
      <c r="Q5" s="49">
        <v>2275.8576666666668</v>
      </c>
      <c r="R5" s="30">
        <v>541.05959882112359</v>
      </c>
      <c r="S5" s="43">
        <f t="shared" si="0"/>
        <v>1231374.6361006452</v>
      </c>
      <c r="T5" s="49">
        <v>2271.8301885385499</v>
      </c>
      <c r="U5" s="49">
        <v>5638.583333333333</v>
      </c>
      <c r="V5" s="30">
        <v>529.53917409834207</v>
      </c>
      <c r="W5" s="43">
        <f t="shared" si="4"/>
        <v>1203023.0817303844</v>
      </c>
      <c r="X5" s="41"/>
      <c r="Y5" s="49">
        <v>55654.1</v>
      </c>
      <c r="Z5" s="49">
        <v>31405.1</v>
      </c>
      <c r="AA5" s="53">
        <f t="shared" si="5"/>
        <v>0.56429086087098701</v>
      </c>
      <c r="AB5" s="35">
        <v>0.57170601829900303</v>
      </c>
      <c r="AD5" s="30">
        <v>21667.1</v>
      </c>
      <c r="AE5" s="30">
        <v>14821</v>
      </c>
      <c r="AF5" s="44">
        <f t="shared" si="1"/>
        <v>0.31596752680331008</v>
      </c>
      <c r="AG5" s="35">
        <v>0.31439843275357399</v>
      </c>
      <c r="AI5" s="57" t="s">
        <v>51</v>
      </c>
      <c r="AJ5" s="45">
        <f t="shared" si="6"/>
        <v>2.3296021707688053</v>
      </c>
      <c r="AK5" s="54">
        <v>2.0077673185696998</v>
      </c>
      <c r="AL5" s="53">
        <f>AK5/AK4-1</f>
        <v>2.9639948288311846E-2</v>
      </c>
      <c r="AN5" s="57" t="s">
        <v>51</v>
      </c>
      <c r="AO5" s="42">
        <f t="shared" si="7"/>
        <v>635334.08977780421</v>
      </c>
      <c r="AP5" s="43">
        <f t="shared" ref="AP5:AP41" si="9">AK5*((B5*AB5)^AB5)*(O5^(AG5*(1-AB5)))*(W5^((1-AG5)*(1-AB5)))</f>
        <v>642157.42834934336</v>
      </c>
      <c r="AQ5" s="44">
        <f t="shared" si="8"/>
        <v>-1.0625647653221803E-2</v>
      </c>
      <c r="AR5" s="44">
        <f t="shared" ref="AR5:AR41" si="10">AP5/AP4-1</f>
        <v>1.0809702288770096E-2</v>
      </c>
      <c r="AS5" s="40"/>
      <c r="AT5" s="32"/>
      <c r="AU5" s="32"/>
      <c r="AV5" s="32"/>
      <c r="AW5" s="32"/>
      <c r="AX5" s="32"/>
      <c r="AY5" s="32"/>
    </row>
    <row r="6" spans="1:51">
      <c r="A6" s="57" t="s">
        <v>52</v>
      </c>
      <c r="B6" s="49">
        <v>624447.63493421394</v>
      </c>
      <c r="D6" s="49">
        <v>13070.107346447743</v>
      </c>
      <c r="E6" s="49">
        <v>569.42682769031705</v>
      </c>
      <c r="F6" s="44">
        <v>0.79459224052434818</v>
      </c>
      <c r="G6" s="43">
        <f t="shared" si="2"/>
        <v>10954.832707997972</v>
      </c>
      <c r="H6" s="49">
        <v>12547.835097409101</v>
      </c>
      <c r="I6" s="53">
        <v>0.10577141616732792</v>
      </c>
      <c r="J6" s="77">
        <v>2.9079027779793962E-2</v>
      </c>
      <c r="K6" s="49">
        <v>574.55834660896699</v>
      </c>
      <c r="L6" s="53">
        <v>0.16564104074701808</v>
      </c>
      <c r="M6" s="77">
        <v>2.2277318277431298E-3</v>
      </c>
      <c r="N6" s="44">
        <v>0.82784500000000005</v>
      </c>
      <c r="O6" s="43">
        <f t="shared" si="3"/>
        <v>10962.220892823605</v>
      </c>
      <c r="Q6" s="49">
        <v>2252.8132000000005</v>
      </c>
      <c r="R6" s="30">
        <v>540.40654355710569</v>
      </c>
      <c r="S6" s="43">
        <f t="shared" si="0"/>
        <v>1217434.9946918229</v>
      </c>
      <c r="T6" s="49">
        <v>2268.2678566087998</v>
      </c>
      <c r="U6" s="49">
        <v>5732.666666666667</v>
      </c>
      <c r="V6" s="30">
        <v>534.29373986375072</v>
      </c>
      <c r="W6" s="43">
        <f t="shared" si="4"/>
        <v>1211921.3161202495</v>
      </c>
      <c r="X6" s="41"/>
      <c r="Y6" s="49">
        <v>53364.7</v>
      </c>
      <c r="Z6" s="49">
        <v>30909.3</v>
      </c>
      <c r="AA6" s="53">
        <f t="shared" si="5"/>
        <v>0.57920872786692323</v>
      </c>
      <c r="AB6" s="35">
        <v>0.565769521404207</v>
      </c>
      <c r="AD6" s="30">
        <v>20032</v>
      </c>
      <c r="AE6" s="30">
        <v>15047.4</v>
      </c>
      <c r="AF6" s="44">
        <f>1-AE6/AD6</f>
        <v>0.24883186900958465</v>
      </c>
      <c r="AG6" s="35">
        <v>0.31787223420430799</v>
      </c>
      <c r="AI6" s="57" t="s">
        <v>52</v>
      </c>
      <c r="AJ6" s="45">
        <f t="shared" si="6"/>
        <v>1.6562292206040363</v>
      </c>
      <c r="AK6" s="54">
        <v>2.06692541868399</v>
      </c>
      <c r="AL6" s="53">
        <f t="shared" ref="AL6:AL42" si="11">AK6/AK5-1</f>
        <v>2.9464619513994927E-2</v>
      </c>
      <c r="AN6" s="57" t="s">
        <v>52</v>
      </c>
      <c r="AO6" s="42">
        <f t="shared" si="7"/>
        <v>624447.63493421394</v>
      </c>
      <c r="AP6" s="43">
        <f t="shared" si="9"/>
        <v>651398.01385152095</v>
      </c>
      <c r="AQ6" s="44">
        <f t="shared" si="8"/>
        <v>-4.1373136460698595E-2</v>
      </c>
      <c r="AR6" s="44">
        <f t="shared" si="10"/>
        <v>1.4389906733509816E-2</v>
      </c>
      <c r="AS6" s="40"/>
      <c r="AT6" s="32"/>
      <c r="AU6" s="32"/>
      <c r="AV6" s="32"/>
      <c r="AW6" s="32"/>
      <c r="AX6" s="32"/>
      <c r="AY6" s="32"/>
    </row>
    <row r="7" spans="1:51">
      <c r="A7" s="57" t="s">
        <v>53</v>
      </c>
      <c r="B7" s="49">
        <v>647211.48335997341</v>
      </c>
      <c r="D7" s="49">
        <v>13503.496595282833</v>
      </c>
      <c r="E7" s="49">
        <v>614.21656243260713</v>
      </c>
      <c r="F7" s="44">
        <v>0.80249055041149842</v>
      </c>
      <c r="G7" s="43">
        <f t="shared" si="2"/>
        <v>11450.644977660922</v>
      </c>
      <c r="H7" s="49">
        <v>13215.537484079199</v>
      </c>
      <c r="I7" s="53">
        <v>0.1081193944932954</v>
      </c>
      <c r="J7" s="77">
        <v>2.9587709490156947E-2</v>
      </c>
      <c r="K7" s="49">
        <v>627.14646005101895</v>
      </c>
      <c r="L7" s="53">
        <v>0.1662716480849635</v>
      </c>
      <c r="M7" s="77">
        <v>2.4037874415981839E-3</v>
      </c>
      <c r="N7" s="44">
        <v>0.82784500000000005</v>
      </c>
      <c r="O7" s="43">
        <f t="shared" si="3"/>
        <v>11567.563088558565</v>
      </c>
      <c r="Q7" s="49">
        <v>2271.1794666666669</v>
      </c>
      <c r="R7" s="30">
        <v>526.85398165299546</v>
      </c>
      <c r="S7" s="43">
        <f t="shared" si="0"/>
        <v>1196579.9450618601</v>
      </c>
      <c r="T7" s="49">
        <v>2263.8346519721999</v>
      </c>
      <c r="U7" s="49">
        <v>5766</v>
      </c>
      <c r="V7" s="30">
        <v>539.14589247768799</v>
      </c>
      <c r="W7" s="43">
        <f t="shared" si="4"/>
        <v>1220537.1538594679</v>
      </c>
      <c r="X7" s="41"/>
      <c r="Y7" s="49">
        <v>53481.9</v>
      </c>
      <c r="Z7" s="49">
        <v>30731.599999999999</v>
      </c>
      <c r="AA7" s="53">
        <f t="shared" si="5"/>
        <v>0.57461683298461719</v>
      </c>
      <c r="AB7" s="35">
        <v>0.55980024416312801</v>
      </c>
      <c r="AD7" s="30">
        <v>20268.900000000001</v>
      </c>
      <c r="AE7" s="30">
        <v>15008.1</v>
      </c>
      <c r="AF7" s="44">
        <f t="shared" si="1"/>
        <v>0.25955034560336288</v>
      </c>
      <c r="AG7" s="35">
        <v>0.32187577305465498</v>
      </c>
      <c r="AI7" s="57" t="s">
        <v>53</v>
      </c>
      <c r="AJ7" s="45">
        <f t="shared" si="6"/>
        <v>1.8078635651681458</v>
      </c>
      <c r="AK7" s="54">
        <v>2.12869223964515</v>
      </c>
      <c r="AL7" s="53">
        <f t="shared" si="11"/>
        <v>2.9883429950020579E-2</v>
      </c>
      <c r="AN7" s="57" t="s">
        <v>53</v>
      </c>
      <c r="AO7" s="42">
        <f t="shared" si="7"/>
        <v>647211.48335997341</v>
      </c>
      <c r="AP7" s="43">
        <f t="shared" si="9"/>
        <v>680304.20576031518</v>
      </c>
      <c r="AQ7" s="44">
        <f t="shared" si="8"/>
        <v>-4.8644006784225285E-2</v>
      </c>
      <c r="AR7" s="44">
        <f t="shared" si="10"/>
        <v>4.4375621807442478E-2</v>
      </c>
      <c r="AS7" s="40"/>
      <c r="AT7" s="32"/>
      <c r="AU7" s="32"/>
      <c r="AV7" s="32"/>
      <c r="AW7" s="32"/>
      <c r="AX7" s="32"/>
      <c r="AY7" s="32"/>
    </row>
    <row r="8" spans="1:51">
      <c r="A8" s="57" t="s">
        <v>54</v>
      </c>
      <c r="B8" s="49">
        <v>680353.27379812137</v>
      </c>
      <c r="D8" s="49">
        <v>13958.457254693421</v>
      </c>
      <c r="E8" s="49">
        <v>667.66564589174027</v>
      </c>
      <c r="F8" s="44">
        <v>0.80482308224348664</v>
      </c>
      <c r="G8" s="43">
        <f t="shared" si="2"/>
        <v>11901.754236978057</v>
      </c>
      <c r="H8" s="49">
        <v>13909.8189873831</v>
      </c>
      <c r="I8" s="53">
        <v>0.11717576103466582</v>
      </c>
      <c r="J8" s="77">
        <v>2.4286107509598358E-2</v>
      </c>
      <c r="K8" s="49">
        <v>681.92879524142597</v>
      </c>
      <c r="L8" s="53">
        <v>0.16756109163692762</v>
      </c>
      <c r="M8" s="77">
        <v>2.2514902048715057E-3</v>
      </c>
      <c r="N8" s="44">
        <v>0.82784500000000005</v>
      </c>
      <c r="O8" s="43">
        <f t="shared" si="3"/>
        <v>12197.102894851589</v>
      </c>
      <c r="Q8" s="49">
        <v>2252.2934000000005</v>
      </c>
      <c r="R8" s="30">
        <v>529.99930416760583</v>
      </c>
      <c r="S8" s="43">
        <f t="shared" si="0"/>
        <v>1193713.9347812913</v>
      </c>
      <c r="T8" s="49">
        <v>2257.95276044208</v>
      </c>
      <c r="U8" s="49">
        <v>5807.25</v>
      </c>
      <c r="V8" s="30">
        <v>544.6544879631216</v>
      </c>
      <c r="W8" s="43">
        <f t="shared" si="4"/>
        <v>1229804.1045834981</v>
      </c>
      <c r="X8" s="41"/>
      <c r="Y8" s="49">
        <v>56902.400000000001</v>
      </c>
      <c r="Z8" s="49">
        <v>31894.3</v>
      </c>
      <c r="AA8" s="53">
        <f t="shared" si="5"/>
        <v>0.56050887133055893</v>
      </c>
      <c r="AB8" s="35">
        <v>0.55383521345859399</v>
      </c>
      <c r="AD8" s="30">
        <v>22246.799999999999</v>
      </c>
      <c r="AE8" s="30">
        <v>15525.7</v>
      </c>
      <c r="AF8" s="44">
        <f t="shared" si="1"/>
        <v>0.30211536041138498</v>
      </c>
      <c r="AG8" s="35">
        <v>0.32597328048645802</v>
      </c>
      <c r="AI8" s="57" t="s">
        <v>54</v>
      </c>
      <c r="AJ8" s="45">
        <f t="shared" si="6"/>
        <v>2.293266088842377</v>
      </c>
      <c r="AK8" s="54">
        <v>2.1906118734114099</v>
      </c>
      <c r="AL8" s="53">
        <f t="shared" si="11"/>
        <v>2.9088109879416901E-2</v>
      </c>
      <c r="AN8" s="57" t="s">
        <v>54</v>
      </c>
      <c r="AO8" s="42">
        <f t="shared" si="7"/>
        <v>680353.27379812137</v>
      </c>
      <c r="AP8" s="43">
        <f t="shared" si="9"/>
        <v>715300.44940283289</v>
      </c>
      <c r="AQ8" s="44">
        <f t="shared" si="8"/>
        <v>-4.8856638680832787E-2</v>
      </c>
      <c r="AR8" s="44">
        <f t="shared" si="10"/>
        <v>5.1442050991593602E-2</v>
      </c>
      <c r="AS8" s="40"/>
      <c r="AT8" s="32"/>
      <c r="AU8" s="32"/>
      <c r="AV8" s="32"/>
      <c r="AW8" s="32"/>
      <c r="AX8" s="32"/>
      <c r="AY8" s="32"/>
    </row>
    <row r="9" spans="1:51">
      <c r="A9" s="57" t="s">
        <v>55</v>
      </c>
      <c r="B9" s="49">
        <v>763024.5789952171</v>
      </c>
      <c r="D9" s="49">
        <v>13975.177678201706</v>
      </c>
      <c r="E9" s="49">
        <v>708.97173459851911</v>
      </c>
      <c r="F9" s="44">
        <v>0.81042158384827134</v>
      </c>
      <c r="G9" s="43">
        <f t="shared" si="2"/>
        <v>12034.757363127754</v>
      </c>
      <c r="H9" s="49">
        <v>14647.6237193006</v>
      </c>
      <c r="I9" s="53">
        <v>0.11315827810043899</v>
      </c>
      <c r="J9" s="77">
        <v>2.468749342547992E-2</v>
      </c>
      <c r="K9" s="49">
        <v>739.55106338517601</v>
      </c>
      <c r="L9" s="53">
        <v>0.16923977148471012</v>
      </c>
      <c r="M9" s="77">
        <v>2.2560396726414131E-3</v>
      </c>
      <c r="N9" s="44">
        <v>0.82784500000000005</v>
      </c>
      <c r="O9" s="43">
        <f t="shared" si="3"/>
        <v>12865.513121289581</v>
      </c>
      <c r="Q9" s="49">
        <v>2260.9567333333334</v>
      </c>
      <c r="R9" s="30">
        <v>534.20519891082301</v>
      </c>
      <c r="S9" s="43">
        <f t="shared" si="0"/>
        <v>1207814.841459098</v>
      </c>
      <c r="T9" s="49">
        <v>2250.11781597867</v>
      </c>
      <c r="U9" s="49">
        <v>5853.583333333333</v>
      </c>
      <c r="V9" s="30">
        <v>551.26012146449921</v>
      </c>
      <c r="W9" s="43">
        <f t="shared" si="4"/>
        <v>1240400.2205458353</v>
      </c>
      <c r="X9" s="41"/>
      <c r="Y9" s="49">
        <v>59899.199999999997</v>
      </c>
      <c r="Z9" s="49">
        <v>33101.300000000003</v>
      </c>
      <c r="AA9" s="53">
        <f t="shared" si="5"/>
        <v>0.55261672943879059</v>
      </c>
      <c r="AB9" s="35">
        <v>0.54805962206165404</v>
      </c>
      <c r="AD9" s="30">
        <v>23689.9</v>
      </c>
      <c r="AE9" s="30">
        <v>16160.4</v>
      </c>
      <c r="AF9" s="44">
        <f>1-AE9/AD9</f>
        <v>0.31783587098299282</v>
      </c>
      <c r="AG9" s="35">
        <v>0.32910573340704202</v>
      </c>
      <c r="AI9" s="57" t="s">
        <v>55</v>
      </c>
      <c r="AJ9" s="45">
        <f t="shared" si="6"/>
        <v>2.7334220461249492</v>
      </c>
      <c r="AK9" s="54">
        <v>2.24662869389158</v>
      </c>
      <c r="AL9" s="53">
        <f t="shared" si="11"/>
        <v>2.5571312362575593E-2</v>
      </c>
      <c r="AN9" s="57" t="s">
        <v>55</v>
      </c>
      <c r="AO9" s="42">
        <f t="shared" si="7"/>
        <v>763024.5789952171</v>
      </c>
      <c r="AP9" s="43">
        <f t="shared" si="9"/>
        <v>778375.66615346796</v>
      </c>
      <c r="AQ9" s="44">
        <f t="shared" si="8"/>
        <v>-1.9721951527739777E-2</v>
      </c>
      <c r="AR9" s="44">
        <f t="shared" si="10"/>
        <v>8.8180032325288371E-2</v>
      </c>
      <c r="AS9" s="40"/>
      <c r="AT9" s="32"/>
      <c r="AU9" s="32"/>
      <c r="AV9" s="32"/>
      <c r="AW9" s="32"/>
      <c r="AX9" s="32"/>
      <c r="AY9" s="32"/>
    </row>
    <row r="10" spans="1:51">
      <c r="A10" s="57" t="s">
        <v>56</v>
      </c>
      <c r="B10" s="49">
        <v>814660.82511505764</v>
      </c>
      <c r="D10" s="49">
        <v>14277.487063731111</v>
      </c>
      <c r="E10" s="49">
        <v>761.12689238731934</v>
      </c>
      <c r="F10" s="44">
        <v>0.81735128419209435</v>
      </c>
      <c r="G10" s="43">
        <f t="shared" si="2"/>
        <v>12430.849278963957</v>
      </c>
      <c r="H10" s="49">
        <v>15446.382174484699</v>
      </c>
      <c r="I10" s="53">
        <v>0.11060647451739838</v>
      </c>
      <c r="J10" s="77">
        <v>2.571036204318633E-2</v>
      </c>
      <c r="K10" s="49">
        <v>800.51634419376103</v>
      </c>
      <c r="L10" s="53">
        <v>0.17035721082788821</v>
      </c>
      <c r="M10" s="77">
        <v>2.2196143382461832E-3</v>
      </c>
      <c r="N10" s="44">
        <v>0.82784500000000005</v>
      </c>
      <c r="O10" s="43">
        <f t="shared" si="3"/>
        <v>13587.726595430047</v>
      </c>
      <c r="Q10" s="49">
        <v>2270.3131333333331</v>
      </c>
      <c r="R10" s="30">
        <v>532.96989243874862</v>
      </c>
      <c r="S10" s="43">
        <f t="shared" si="0"/>
        <v>1210008.5464749448</v>
      </c>
      <c r="T10" s="49">
        <v>2239.7688589378299</v>
      </c>
      <c r="U10" s="49">
        <v>5910.666666666667</v>
      </c>
      <c r="V10" s="30">
        <v>559.24937200726674</v>
      </c>
      <c r="W10" s="43">
        <f t="shared" si="4"/>
        <v>1252589.3278024138</v>
      </c>
      <c r="X10" s="41"/>
      <c r="Y10" s="49">
        <v>64593</v>
      </c>
      <c r="Z10" s="49">
        <v>34883.599999999999</v>
      </c>
      <c r="AA10" s="53">
        <f t="shared" si="5"/>
        <v>0.54005232765160305</v>
      </c>
      <c r="AB10" s="35">
        <v>0.54272539932207897</v>
      </c>
      <c r="AD10" s="30">
        <v>26129.200000000001</v>
      </c>
      <c r="AE10" s="30">
        <v>16769.099999999999</v>
      </c>
      <c r="AF10" s="44">
        <f t="shared" si="1"/>
        <v>0.3582237496746935</v>
      </c>
      <c r="AG10" s="35">
        <v>0.32997552952297798</v>
      </c>
      <c r="AI10" s="57" t="s">
        <v>56</v>
      </c>
      <c r="AJ10" s="45">
        <f t="shared" si="6"/>
        <v>3.4708851851190863</v>
      </c>
      <c r="AK10" s="54">
        <v>2.2887032012773201</v>
      </c>
      <c r="AL10" s="53">
        <f t="shared" si="11"/>
        <v>1.872784207739242E-2</v>
      </c>
      <c r="AN10" s="57" t="s">
        <v>56</v>
      </c>
      <c r="AO10" s="42">
        <f t="shared" si="7"/>
        <v>814660.82511505764</v>
      </c>
      <c r="AP10" s="43">
        <f t="shared" si="9"/>
        <v>823195.47098840529</v>
      </c>
      <c r="AQ10" s="44">
        <f t="shared" si="8"/>
        <v>-1.0367702658883867E-2</v>
      </c>
      <c r="AR10" s="44">
        <f t="shared" si="10"/>
        <v>5.7581199906242331E-2</v>
      </c>
      <c r="AS10" s="40"/>
      <c r="AT10" s="32"/>
      <c r="AU10" s="32"/>
      <c r="AV10" s="32"/>
      <c r="AW10" s="32"/>
      <c r="AX10" s="32"/>
      <c r="AY10" s="32"/>
    </row>
    <row r="11" spans="1:51">
      <c r="A11" s="57" t="s">
        <v>57</v>
      </c>
      <c r="B11" s="49">
        <v>869898.3104078183</v>
      </c>
      <c r="D11" s="49">
        <v>14792.827030254954</v>
      </c>
      <c r="E11" s="49">
        <v>812.28672273740221</v>
      </c>
      <c r="F11" s="44">
        <v>0.83243356941567237</v>
      </c>
      <c r="G11" s="43">
        <f t="shared" si="2"/>
        <v>13126.332529281173</v>
      </c>
      <c r="H11" s="49">
        <v>16316.8003871773</v>
      </c>
      <c r="I11" s="53">
        <v>0.10622289444240661</v>
      </c>
      <c r="J11" s="77">
        <v>2.8869998254101616E-2</v>
      </c>
      <c r="K11" s="49">
        <v>865.02192409080499</v>
      </c>
      <c r="L11" s="53">
        <v>0.17073589395908595</v>
      </c>
      <c r="M11" s="77">
        <v>2.3666111246334887E-3</v>
      </c>
      <c r="N11" s="44">
        <v>0.82784500000000005</v>
      </c>
      <c r="O11" s="43">
        <f t="shared" si="3"/>
        <v>14372.803540613597</v>
      </c>
      <c r="Q11" s="49">
        <v>2288.6794</v>
      </c>
      <c r="R11" s="30">
        <v>560.30058003257557</v>
      </c>
      <c r="S11" s="43">
        <f t="shared" si="0"/>
        <v>1282348.3953286069</v>
      </c>
      <c r="T11" s="49">
        <v>2226.4533188489399</v>
      </c>
      <c r="U11" s="49">
        <v>6010.416666666667</v>
      </c>
      <c r="V11" s="30">
        <v>568.72478427240276</v>
      </c>
      <c r="W11" s="43">
        <f t="shared" si="4"/>
        <v>1266239.1834549385</v>
      </c>
      <c r="X11" s="41"/>
      <c r="Y11" s="49">
        <v>72146.899999999994</v>
      </c>
      <c r="Z11" s="49">
        <v>38148.9</v>
      </c>
      <c r="AA11" s="53">
        <f t="shared" si="5"/>
        <v>0.52876700176999991</v>
      </c>
      <c r="AB11" s="35">
        <v>0.53813004566341605</v>
      </c>
      <c r="AD11" s="30">
        <v>29945.7</v>
      </c>
      <c r="AE11" s="30">
        <v>18553.599999999999</v>
      </c>
      <c r="AF11" s="44">
        <f t="shared" si="1"/>
        <v>0.38042523634445014</v>
      </c>
      <c r="AG11" s="35">
        <v>0.32717236791659698</v>
      </c>
      <c r="AI11" s="57" t="s">
        <v>57</v>
      </c>
      <c r="AJ11" s="45">
        <f t="shared" si="6"/>
        <v>3.8766484228900753</v>
      </c>
      <c r="AK11" s="54">
        <v>2.3080924733994101</v>
      </c>
      <c r="AL11" s="53">
        <f t="shared" si="11"/>
        <v>8.4717284929163306E-3</v>
      </c>
      <c r="AN11" s="57" t="s">
        <v>57</v>
      </c>
      <c r="AO11" s="42">
        <f t="shared" si="7"/>
        <v>869898.3104078183</v>
      </c>
      <c r="AP11" s="43">
        <f t="shared" si="9"/>
        <v>869567.87721413048</v>
      </c>
      <c r="AQ11" s="44">
        <f t="shared" si="8"/>
        <v>3.7999701040755706E-4</v>
      </c>
      <c r="AR11" s="44">
        <f t="shared" si="10"/>
        <v>5.6332193093878713E-2</v>
      </c>
      <c r="AS11" s="40"/>
      <c r="AT11" s="32"/>
      <c r="AU11" s="32"/>
      <c r="AV11" s="32"/>
      <c r="AW11" s="32"/>
      <c r="AX11" s="32"/>
      <c r="AY11" s="32"/>
    </row>
    <row r="12" spans="1:51">
      <c r="A12" s="57" t="s">
        <v>58</v>
      </c>
      <c r="B12" s="49">
        <v>921875.92235572974</v>
      </c>
      <c r="D12" s="49">
        <v>15732.886396387368</v>
      </c>
      <c r="E12" s="49">
        <v>879.4713248508375</v>
      </c>
      <c r="F12" s="44">
        <v>0.83091084772924007</v>
      </c>
      <c r="G12" s="43">
        <f t="shared" si="2"/>
        <v>13952.097297700895</v>
      </c>
      <c r="H12" s="49">
        <v>17257.895440512799</v>
      </c>
      <c r="I12" s="53">
        <v>0.10562191321004738</v>
      </c>
      <c r="J12" s="77">
        <v>3.1200968410059586E-2</v>
      </c>
      <c r="K12" s="49">
        <v>932.87119498186905</v>
      </c>
      <c r="L12" s="53">
        <v>0.17172099635020205</v>
      </c>
      <c r="M12" s="77">
        <v>2.6282844840557883E-3</v>
      </c>
      <c r="N12" s="44">
        <v>0.82784500000000005</v>
      </c>
      <c r="O12" s="43">
        <f t="shared" si="3"/>
        <v>15219.733645933189</v>
      </c>
      <c r="Q12" s="49">
        <v>2246.0558000000005</v>
      </c>
      <c r="R12" s="30">
        <v>578.32462500052077</v>
      </c>
      <c r="S12" s="43">
        <f t="shared" si="0"/>
        <v>1298949.3782652449</v>
      </c>
      <c r="T12" s="49">
        <v>2210.02406798533</v>
      </c>
      <c r="U12" s="49">
        <v>6127.833333333333</v>
      </c>
      <c r="V12" s="30">
        <v>579.50914622360051</v>
      </c>
      <c r="W12" s="43">
        <f t="shared" si="4"/>
        <v>1280729.1607717869</v>
      </c>
      <c r="X12" s="41"/>
      <c r="Y12" s="49">
        <v>80927.7</v>
      </c>
      <c r="Z12" s="49">
        <v>42331.8</v>
      </c>
      <c r="AA12" s="53">
        <f t="shared" si="5"/>
        <v>0.52308171367776424</v>
      </c>
      <c r="AB12" s="35">
        <v>0.53454433079250796</v>
      </c>
      <c r="AD12" s="30">
        <v>33251</v>
      </c>
      <c r="AE12" s="30">
        <v>20538.8</v>
      </c>
      <c r="AF12" s="44">
        <f t="shared" si="1"/>
        <v>0.38231030645694863</v>
      </c>
      <c r="AG12" s="35">
        <v>0.31956842987174799</v>
      </c>
      <c r="AI12" s="57" t="s">
        <v>58</v>
      </c>
      <c r="AJ12" s="45">
        <f t="shared" si="6"/>
        <v>4.0163464450564419</v>
      </c>
      <c r="AK12" s="54">
        <v>2.2978879457428198</v>
      </c>
      <c r="AL12" s="53">
        <f t="shared" si="11"/>
        <v>-4.4211953265290704E-3</v>
      </c>
      <c r="AN12" s="57" t="s">
        <v>58</v>
      </c>
      <c r="AO12" s="42">
        <f t="shared" si="7"/>
        <v>921875.92235572974</v>
      </c>
      <c r="AP12" s="43">
        <f t="shared" si="9"/>
        <v>913513.75571731897</v>
      </c>
      <c r="AQ12" s="44">
        <f t="shared" si="8"/>
        <v>9.1538486268819639E-3</v>
      </c>
      <c r="AR12" s="44">
        <f t="shared" si="10"/>
        <v>5.0537605694428001E-2</v>
      </c>
      <c r="AS12" s="40"/>
      <c r="AT12" s="32"/>
      <c r="AU12" s="32"/>
      <c r="AV12" s="32"/>
      <c r="AW12" s="32"/>
      <c r="AX12" s="32"/>
      <c r="AY12" s="32"/>
    </row>
    <row r="13" spans="1:51">
      <c r="A13" s="57" t="s">
        <v>59</v>
      </c>
      <c r="B13" s="49">
        <v>938020.51009871368</v>
      </c>
      <c r="D13" s="49">
        <v>16947.490988026173</v>
      </c>
      <c r="E13" s="49">
        <v>970.74285098123778</v>
      </c>
      <c r="F13" s="44">
        <v>0.83215700371960644</v>
      </c>
      <c r="G13" s="43">
        <f t="shared" si="2"/>
        <v>15073.716172142131</v>
      </c>
      <c r="H13" s="49">
        <v>18253.4446840565</v>
      </c>
      <c r="I13" s="53">
        <v>9.9648887769073657E-2</v>
      </c>
      <c r="J13" s="77">
        <v>3.9287390810171699E-2</v>
      </c>
      <c r="K13" s="49">
        <v>1003.34019675897</v>
      </c>
      <c r="L13" s="53">
        <v>0.17345639184699976</v>
      </c>
      <c r="M13" s="77">
        <v>2.743690810521204E-3</v>
      </c>
      <c r="N13" s="44">
        <v>0.82784500000000005</v>
      </c>
      <c r="O13" s="43">
        <f t="shared" si="3"/>
        <v>16114.363111231725</v>
      </c>
      <c r="Q13" s="49">
        <v>2210.0163333333335</v>
      </c>
      <c r="R13" s="30">
        <v>588.53134995179312</v>
      </c>
      <c r="S13" s="43">
        <f t="shared" si="0"/>
        <v>1300663.8960721788</v>
      </c>
      <c r="T13" s="49">
        <v>2190.95623943186</v>
      </c>
      <c r="U13" s="49">
        <v>6249.166666666667</v>
      </c>
      <c r="V13" s="30">
        <v>591.2819073940293</v>
      </c>
      <c r="W13" s="43">
        <f t="shared" si="4"/>
        <v>1295472.7842681198</v>
      </c>
      <c r="X13" s="41"/>
      <c r="Y13" s="49">
        <v>89381.5</v>
      </c>
      <c r="Z13" s="49">
        <v>45942.9</v>
      </c>
      <c r="AA13" s="53">
        <f t="shared" si="5"/>
        <v>0.51400905108999062</v>
      </c>
      <c r="AB13" s="35">
        <v>0.53214539397726801</v>
      </c>
      <c r="AD13" s="30">
        <v>37213.5</v>
      </c>
      <c r="AE13" s="30">
        <v>22637.8</v>
      </c>
      <c r="AF13" s="44">
        <f t="shared" si="1"/>
        <v>0.39167775135367544</v>
      </c>
      <c r="AG13" s="35">
        <v>0.30656842535655898</v>
      </c>
      <c r="AI13" s="57" t="s">
        <v>59</v>
      </c>
      <c r="AJ13" s="45">
        <f t="shared" si="6"/>
        <v>4.1334599719520204</v>
      </c>
      <c r="AK13" s="54">
        <v>2.2546235027425698</v>
      </c>
      <c r="AL13" s="53">
        <f t="shared" si="11"/>
        <v>-1.8827916774794784E-2</v>
      </c>
      <c r="AN13" s="57" t="s">
        <v>59</v>
      </c>
      <c r="AO13" s="42">
        <f t="shared" si="7"/>
        <v>938020.51009871368</v>
      </c>
      <c r="AP13" s="43">
        <f t="shared" si="9"/>
        <v>937198.04960806097</v>
      </c>
      <c r="AQ13" s="44">
        <f t="shared" si="8"/>
        <v>8.7757383937862941E-4</v>
      </c>
      <c r="AR13" s="44">
        <f t="shared" si="10"/>
        <v>2.5926587030038029E-2</v>
      </c>
      <c r="AT13" s="32"/>
      <c r="AU13" s="32"/>
      <c r="AV13" s="32"/>
      <c r="AW13" s="32"/>
      <c r="AX13" s="32"/>
      <c r="AY13" s="32"/>
    </row>
    <row r="14" spans="1:51">
      <c r="A14" s="57" t="s">
        <v>60</v>
      </c>
      <c r="B14" s="49">
        <v>931140.95929229981</v>
      </c>
      <c r="D14" s="49">
        <v>18943.930197413443</v>
      </c>
      <c r="E14" s="49">
        <v>1059.7251240025878</v>
      </c>
      <c r="F14" s="44">
        <v>0.83469703894930436</v>
      </c>
      <c r="G14" s="43">
        <f t="shared" si="2"/>
        <v>16872.167565845899</v>
      </c>
      <c r="H14" s="49">
        <v>19271.9753769323</v>
      </c>
      <c r="I14" s="53">
        <v>0.10219668755332685</v>
      </c>
      <c r="J14" s="77">
        <v>4.1616255210911036E-2</v>
      </c>
      <c r="K14" s="49">
        <v>1075.1709706128499</v>
      </c>
      <c r="L14" s="53">
        <v>0.17428068482567402</v>
      </c>
      <c r="M14" s="77">
        <v>2.7007306355336606E-3</v>
      </c>
      <c r="N14" s="44">
        <v>0.82784500000000005</v>
      </c>
      <c r="O14" s="43">
        <f t="shared" si="3"/>
        <v>17029.379426529373</v>
      </c>
      <c r="Q14" s="49">
        <v>2178.4818</v>
      </c>
      <c r="R14" s="30">
        <v>604.33599903638333</v>
      </c>
      <c r="S14" s="43">
        <f t="shared" si="0"/>
        <v>1316534.9749855786</v>
      </c>
      <c r="T14" s="49">
        <v>2170.0852835935302</v>
      </c>
      <c r="U14" s="49">
        <v>6368.583333333333</v>
      </c>
      <c r="V14" s="30">
        <v>603.62061008858439</v>
      </c>
      <c r="W14" s="43">
        <f t="shared" si="4"/>
        <v>1309908.2028269854</v>
      </c>
      <c r="X14" s="41"/>
      <c r="Y14" s="49">
        <v>94261.4</v>
      </c>
      <c r="Z14" s="49">
        <v>49299.3</v>
      </c>
      <c r="AA14" s="53">
        <f t="shared" si="5"/>
        <v>0.52300623585051786</v>
      </c>
      <c r="AB14" s="35">
        <v>0.53099574831445995</v>
      </c>
      <c r="AD14" s="30">
        <v>38347.699999999997</v>
      </c>
      <c r="AE14" s="30">
        <v>25179.1</v>
      </c>
      <c r="AF14" s="44">
        <f t="shared" si="1"/>
        <v>0.34339999530610699</v>
      </c>
      <c r="AG14" s="35">
        <v>0.28820448310500402</v>
      </c>
      <c r="AI14" s="57" t="s">
        <v>60</v>
      </c>
      <c r="AJ14" s="45">
        <f t="shared" si="6"/>
        <v>3.157807321724885</v>
      </c>
      <c r="AK14" s="54">
        <v>2.1790930298532301</v>
      </c>
      <c r="AL14" s="53">
        <f t="shared" si="11"/>
        <v>-3.3500259709642433E-2</v>
      </c>
      <c r="AN14" s="57" t="s">
        <v>60</v>
      </c>
      <c r="AO14" s="42">
        <f t="shared" si="7"/>
        <v>931140.95929229981</v>
      </c>
      <c r="AP14" s="43">
        <f t="shared" si="9"/>
        <v>946018.03302782821</v>
      </c>
      <c r="AQ14" s="44">
        <f t="shared" si="8"/>
        <v>-1.5725993814211751E-2</v>
      </c>
      <c r="AR14" s="44">
        <f t="shared" si="10"/>
        <v>9.4110134175544591E-3</v>
      </c>
      <c r="AT14" s="32"/>
      <c r="AU14" s="32"/>
      <c r="AV14" s="32"/>
      <c r="AW14" s="32"/>
      <c r="AX14" s="32"/>
      <c r="AY14" s="32"/>
    </row>
    <row r="15" spans="1:51">
      <c r="A15" s="57" t="s">
        <v>61</v>
      </c>
      <c r="B15" s="49">
        <v>914515.97595756478</v>
      </c>
      <c r="D15" s="49">
        <v>20882.983261920435</v>
      </c>
      <c r="E15" s="49">
        <v>1126.511595140536</v>
      </c>
      <c r="F15" s="44">
        <v>0.82365230661915823</v>
      </c>
      <c r="G15" s="43">
        <f t="shared" si="2"/>
        <v>18326.828927910574</v>
      </c>
      <c r="H15" s="49">
        <v>20268.9552413038</v>
      </c>
      <c r="I15" s="53">
        <v>0.10635865326378077</v>
      </c>
      <c r="J15" s="77">
        <v>3.9724034575944853E-2</v>
      </c>
      <c r="K15" s="49">
        <v>1146.7795842764201</v>
      </c>
      <c r="L15" s="53">
        <v>0.1745801362210059</v>
      </c>
      <c r="M15" s="77">
        <v>3.3074310610391095E-3</v>
      </c>
      <c r="N15" s="44">
        <v>0.82784500000000005</v>
      </c>
      <c r="O15" s="43">
        <f t="shared" si="3"/>
        <v>17926.332836013567</v>
      </c>
      <c r="Q15" s="49">
        <v>2139.8433333333332</v>
      </c>
      <c r="R15" s="30">
        <v>618.86100882546657</v>
      </c>
      <c r="S15" s="43">
        <f t="shared" si="0"/>
        <v>1324265.6039951157</v>
      </c>
      <c r="T15" s="49">
        <v>2148.43725181434</v>
      </c>
      <c r="U15" s="49">
        <v>6436.25</v>
      </c>
      <c r="V15" s="30">
        <v>615.96835587990222</v>
      </c>
      <c r="W15" s="43">
        <f t="shared" si="4"/>
        <v>1323369.3617112145</v>
      </c>
      <c r="X15" s="41"/>
      <c r="Y15" s="49">
        <v>93950.3</v>
      </c>
      <c r="Z15" s="49">
        <v>48935.5</v>
      </c>
      <c r="AA15" s="53">
        <f t="shared" si="5"/>
        <v>0.52086581948115118</v>
      </c>
      <c r="AB15" s="35">
        <v>0.53097654347197798</v>
      </c>
      <c r="AD15" s="30">
        <v>37647.599999999999</v>
      </c>
      <c r="AE15" s="30">
        <v>26599.599999999999</v>
      </c>
      <c r="AF15" s="44">
        <f t="shared" si="1"/>
        <v>0.29345828153720288</v>
      </c>
      <c r="AG15" s="35">
        <v>0.26535982511103801</v>
      </c>
      <c r="AI15" s="57" t="s">
        <v>61</v>
      </c>
      <c r="AJ15" s="45">
        <f t="shared" si="6"/>
        <v>2.4250584416824661</v>
      </c>
      <c r="AK15" s="54">
        <v>2.0776041046799198</v>
      </c>
      <c r="AL15" s="53">
        <f t="shared" si="11"/>
        <v>-4.6573929512383372E-2</v>
      </c>
      <c r="AN15" s="57" t="s">
        <v>61</v>
      </c>
      <c r="AO15" s="42">
        <f t="shared" si="7"/>
        <v>914515.97595756478</v>
      </c>
      <c r="AP15" s="43">
        <f t="shared" si="9"/>
        <v>945222.75299003837</v>
      </c>
      <c r="AQ15" s="44">
        <f t="shared" si="8"/>
        <v>-3.2486286365132816E-2</v>
      </c>
      <c r="AR15" s="44">
        <f t="shared" si="10"/>
        <v>-8.4066054771114729E-4</v>
      </c>
      <c r="AT15" s="32"/>
      <c r="AU15" s="32"/>
      <c r="AV15" s="32"/>
      <c r="AW15" s="32"/>
      <c r="AX15" s="32"/>
      <c r="AY15" s="32"/>
    </row>
    <row r="16" spans="1:51">
      <c r="A16" s="57" t="s">
        <v>62</v>
      </c>
      <c r="B16" s="49">
        <v>876340.72052990249</v>
      </c>
      <c r="D16" s="49">
        <v>22294.723710971728</v>
      </c>
      <c r="E16" s="49">
        <v>1232.3149018762131</v>
      </c>
      <c r="F16" s="44">
        <v>0.80982216605645885</v>
      </c>
      <c r="G16" s="43">
        <f t="shared" si="2"/>
        <v>19287.076349125629</v>
      </c>
      <c r="H16" s="49">
        <v>21196.571547539399</v>
      </c>
      <c r="I16" s="53">
        <v>0.10896493823100777</v>
      </c>
      <c r="J16" s="77">
        <v>3.729668912572056E-2</v>
      </c>
      <c r="K16" s="49">
        <v>1216.42764701653</v>
      </c>
      <c r="L16" s="53">
        <v>0.17536907717138378</v>
      </c>
      <c r="M16" s="77">
        <v>3.6029616831143247E-3</v>
      </c>
      <c r="N16" s="44">
        <v>0.82784500000000005</v>
      </c>
      <c r="O16" s="43">
        <f t="shared" si="3"/>
        <v>18763.903419789287</v>
      </c>
      <c r="Q16" s="49">
        <v>2091.8484666666668</v>
      </c>
      <c r="R16" s="30">
        <v>640.53298907340525</v>
      </c>
      <c r="S16" s="43">
        <f t="shared" si="0"/>
        <v>1339897.9510426195</v>
      </c>
      <c r="T16" s="49">
        <v>2127.1221606023701</v>
      </c>
      <c r="U16" s="49">
        <v>6450</v>
      </c>
      <c r="V16" s="30">
        <v>627.66488175266625</v>
      </c>
      <c r="W16" s="43">
        <f t="shared" si="4"/>
        <v>1335119.8794079626</v>
      </c>
      <c r="X16" s="41"/>
      <c r="Y16" s="49">
        <v>93646.2</v>
      </c>
      <c r="Z16" s="49">
        <v>48237.1</v>
      </c>
      <c r="AA16" s="53">
        <f t="shared" si="5"/>
        <v>0.5150993847054125</v>
      </c>
      <c r="AB16" s="35">
        <v>0.53188903399307996</v>
      </c>
      <c r="AD16" s="30">
        <v>37628</v>
      </c>
      <c r="AE16" s="30">
        <v>28010.3</v>
      </c>
      <c r="AF16" s="44">
        <f t="shared" si="1"/>
        <v>0.25559955352397157</v>
      </c>
      <c r="AG16" s="35">
        <v>0.23946962849062001</v>
      </c>
      <c r="AI16" s="57" t="s">
        <v>62</v>
      </c>
      <c r="AJ16" s="45">
        <f t="shared" si="6"/>
        <v>1.933596661905062</v>
      </c>
      <c r="AK16" s="54">
        <v>1.9589633174382699</v>
      </c>
      <c r="AL16" s="53">
        <f t="shared" si="11"/>
        <v>-5.7104617272561664E-2</v>
      </c>
      <c r="AN16" s="57" t="s">
        <v>62</v>
      </c>
      <c r="AO16" s="42">
        <f t="shared" si="7"/>
        <v>876340.72052990249</v>
      </c>
      <c r="AP16" s="43">
        <f t="shared" si="9"/>
        <v>926469.38244747231</v>
      </c>
      <c r="AQ16" s="44">
        <f t="shared" si="8"/>
        <v>-5.4107197568843503E-2</v>
      </c>
      <c r="AR16" s="44">
        <f t="shared" si="10"/>
        <v>-1.984015988108967E-2</v>
      </c>
      <c r="AT16" s="32"/>
      <c r="AU16" s="32"/>
      <c r="AV16" s="32"/>
      <c r="AW16" s="32"/>
      <c r="AX16" s="32"/>
      <c r="AY16" s="32"/>
    </row>
    <row r="17" spans="1:51">
      <c r="A17" s="57" t="s">
        <v>63</v>
      </c>
      <c r="B17" s="43">
        <v>872986.73810545634</v>
      </c>
      <c r="D17" s="49">
        <v>23133.841261109683</v>
      </c>
      <c r="E17" s="49">
        <v>1331.947178491841</v>
      </c>
      <c r="F17" s="44">
        <v>0.80504109241560873</v>
      </c>
      <c r="G17" s="43">
        <f t="shared" si="2"/>
        <v>19955.640019104863</v>
      </c>
      <c r="H17" s="49">
        <v>22013.151846213801</v>
      </c>
      <c r="I17" s="44">
        <v>0.10970254496282243</v>
      </c>
      <c r="J17" s="77">
        <v>3.5312105733588034E-2</v>
      </c>
      <c r="K17" s="49">
        <v>1282.1740882086599</v>
      </c>
      <c r="L17" s="44">
        <v>0.17669407788252073</v>
      </c>
      <c r="M17" s="77">
        <v>3.2990191881381108E-3</v>
      </c>
      <c r="N17" s="44">
        <v>0.82784500000000005</v>
      </c>
      <c r="O17" s="43">
        <f>H17*N17+K17</f>
        <v>19505.651778337524</v>
      </c>
      <c r="Q17" s="43">
        <v>2063.0862000000006</v>
      </c>
      <c r="R17" s="43">
        <v>654.78691854150406</v>
      </c>
      <c r="S17" s="43">
        <f t="shared" si="0"/>
        <v>1350881.8555835015</v>
      </c>
      <c r="T17" s="43">
        <v>2107.1640872808898</v>
      </c>
      <c r="U17" s="43">
        <v>6453.666666666667</v>
      </c>
      <c r="V17" s="43">
        <v>637.98091429446617</v>
      </c>
      <c r="W17" s="43">
        <f t="shared" si="4"/>
        <v>1344330.4709719263</v>
      </c>
      <c r="X17" s="41"/>
      <c r="Y17" s="43">
        <v>88624.7</v>
      </c>
      <c r="Z17" s="43">
        <v>48280.2</v>
      </c>
      <c r="AA17" s="53">
        <f t="shared" si="5"/>
        <v>0.54477137863372171</v>
      </c>
      <c r="AB17" s="35">
        <v>0.533433367181116</v>
      </c>
      <c r="AD17" s="43">
        <v>35240.300000000003</v>
      </c>
      <c r="AE17" s="43">
        <v>29892.3</v>
      </c>
      <c r="AF17" s="44">
        <f>1-AE17/AD17</f>
        <v>0.15175807243411676</v>
      </c>
      <c r="AG17" s="35">
        <v>0.212250054923974</v>
      </c>
      <c r="AI17" s="57" t="s">
        <v>63</v>
      </c>
      <c r="AJ17" s="45">
        <f t="shared" si="6"/>
        <v>1.2251556758270181</v>
      </c>
      <c r="AK17" s="45">
        <v>1.8326736563180801</v>
      </c>
      <c r="AL17" s="53">
        <f t="shared" si="11"/>
        <v>-6.4467598752864008E-2</v>
      </c>
      <c r="AN17" s="57" t="s">
        <v>63</v>
      </c>
      <c r="AO17" s="42">
        <f t="shared" si="7"/>
        <v>872986.73810545634</v>
      </c>
      <c r="AP17" s="43">
        <f t="shared" si="9"/>
        <v>920321.55735231284</v>
      </c>
      <c r="AQ17" s="44">
        <f t="shared" si="8"/>
        <v>-5.1432913712284173E-2</v>
      </c>
      <c r="AR17" s="44">
        <f t="shared" si="10"/>
        <v>-6.6357563580985435E-3</v>
      </c>
      <c r="AT17" s="37"/>
      <c r="AU17" s="37"/>
      <c r="AV17" s="38"/>
      <c r="AW17" s="37"/>
      <c r="AX17" s="37"/>
      <c r="AY17" s="38"/>
    </row>
    <row r="18" spans="1:51">
      <c r="A18" s="57" t="s">
        <v>64</v>
      </c>
      <c r="B18" s="43">
        <v>883056.79709820484</v>
      </c>
      <c r="D18" s="43">
        <v>23678.7</v>
      </c>
      <c r="E18" s="43">
        <v>1384.6</v>
      </c>
      <c r="F18" s="44">
        <v>0.80543238015226171</v>
      </c>
      <c r="G18" s="43">
        <f t="shared" si="2"/>
        <v>20456.19169991136</v>
      </c>
      <c r="H18" s="43">
        <v>22688.005209536001</v>
      </c>
      <c r="I18" s="44">
        <v>0.10615447638595017</v>
      </c>
      <c r="J18" s="77">
        <v>3.6334016232516267E-2</v>
      </c>
      <c r="K18" s="43">
        <v>1342.2367097768699</v>
      </c>
      <c r="L18" s="44">
        <v>0.17745197168857432</v>
      </c>
      <c r="M18" s="77">
        <v>3.1730688322739778E-3</v>
      </c>
      <c r="N18" s="44">
        <v>0.82784500000000005</v>
      </c>
      <c r="O18" s="43">
        <f t="shared" ref="O18:O63" si="12">H18*N18+K18</f>
        <v>20124.3883824652</v>
      </c>
      <c r="Q18" s="43">
        <v>2065.6851999999999</v>
      </c>
      <c r="R18" s="43">
        <v>662.99189736161873</v>
      </c>
      <c r="S18" s="43">
        <f t="shared" si="0"/>
        <v>1369532.5500998148</v>
      </c>
      <c r="T18" s="43">
        <v>2089.2343722338201</v>
      </c>
      <c r="U18" s="43">
        <v>6457.333333333333</v>
      </c>
      <c r="V18" s="43">
        <v>646.23938937919286</v>
      </c>
      <c r="W18" s="43">
        <f t="shared" si="4"/>
        <v>1350145.5449824051</v>
      </c>
      <c r="X18" s="41"/>
      <c r="Y18" s="43">
        <v>88094.6</v>
      </c>
      <c r="Z18" s="43">
        <v>48491.9</v>
      </c>
      <c r="AA18" s="53">
        <f t="shared" si="5"/>
        <v>0.55045258165653743</v>
      </c>
      <c r="AB18" s="35">
        <v>0.53514179384655303</v>
      </c>
      <c r="AD18" s="43">
        <v>34426.699999999997</v>
      </c>
      <c r="AE18" s="43">
        <v>30074.5</v>
      </c>
      <c r="AF18" s="44">
        <f t="shared" ref="AF18:AF42" si="13">1-AE18/AD18</f>
        <v>0.12641931988834243</v>
      </c>
      <c r="AG18" s="35">
        <v>0.18557856534165501</v>
      </c>
      <c r="AI18" s="57" t="s">
        <v>64</v>
      </c>
      <c r="AJ18" s="45">
        <f t="shared" si="6"/>
        <v>1.097049049768581</v>
      </c>
      <c r="AK18" s="45">
        <v>1.7080244594667899</v>
      </c>
      <c r="AL18" s="53">
        <f t="shared" si="11"/>
        <v>-6.8014944407350564E-2</v>
      </c>
      <c r="AM18" s="43"/>
      <c r="AN18" s="57" t="s">
        <v>64</v>
      </c>
      <c r="AO18" s="42">
        <f t="shared" si="7"/>
        <v>883056.79709820484</v>
      </c>
      <c r="AP18" s="43">
        <f t="shared" si="9"/>
        <v>914765.06052875903</v>
      </c>
      <c r="AQ18" s="44">
        <f t="shared" si="8"/>
        <v>-3.4662739974158994E-2</v>
      </c>
      <c r="AR18" s="44">
        <f t="shared" si="10"/>
        <v>-6.0375602192123123E-3</v>
      </c>
      <c r="AT18" s="37"/>
      <c r="AU18" s="37"/>
      <c r="AV18" s="38"/>
      <c r="AW18" s="37"/>
      <c r="AX18" s="37"/>
      <c r="AY18" s="38"/>
    </row>
    <row r="19" spans="1:51">
      <c r="A19" s="57" t="s">
        <v>65</v>
      </c>
      <c r="B19" s="43">
        <v>855111.95504074183</v>
      </c>
      <c r="D19" s="43">
        <v>24373.600000000002</v>
      </c>
      <c r="E19" s="43">
        <v>1419.1</v>
      </c>
      <c r="F19" s="44">
        <v>0.81356770739113005</v>
      </c>
      <c r="G19" s="43">
        <f t="shared" si="2"/>
        <v>21248.673872868447</v>
      </c>
      <c r="H19" s="43">
        <v>23201.647603863799</v>
      </c>
      <c r="I19" s="44">
        <v>0.10796927823546791</v>
      </c>
      <c r="J19" s="77">
        <v>3.2807400054023765E-2</v>
      </c>
      <c r="K19" s="43">
        <v>1395.3310445480699</v>
      </c>
      <c r="L19" s="44">
        <v>0.1782115425269537</v>
      </c>
      <c r="M19" s="77">
        <v>3.5539206089747707E-3</v>
      </c>
      <c r="N19" s="44">
        <v>0.82784500000000005</v>
      </c>
      <c r="O19" s="43">
        <f t="shared" si="12"/>
        <v>20602.699005168699</v>
      </c>
      <c r="Q19" s="43">
        <v>2088.7296666666671</v>
      </c>
      <c r="R19" s="43">
        <v>669.47482644485297</v>
      </c>
      <c r="S19" s="43">
        <f t="shared" si="0"/>
        <v>1398351.9310818824</v>
      </c>
      <c r="T19" s="43">
        <v>2073.5635769722398</v>
      </c>
      <c r="U19" s="43">
        <v>6486.25</v>
      </c>
      <c r="V19" s="43">
        <v>651.89082098768984</v>
      </c>
      <c r="W19" s="43">
        <f t="shared" si="4"/>
        <v>1351737.0625626042</v>
      </c>
      <c r="X19" s="41"/>
      <c r="Y19" s="43">
        <v>92402.4</v>
      </c>
      <c r="Z19" s="43">
        <v>51197.3</v>
      </c>
      <c r="AA19" s="53">
        <f t="shared" si="5"/>
        <v>0.55406894193224421</v>
      </c>
      <c r="AB19" s="35">
        <v>0.53665994491438895</v>
      </c>
      <c r="AD19" s="43">
        <v>35941.800000000003</v>
      </c>
      <c r="AE19" s="43">
        <v>30504.5</v>
      </c>
      <c r="AF19" s="44">
        <f t="shared" si="13"/>
        <v>0.15128068154627761</v>
      </c>
      <c r="AG19" s="35">
        <v>0.16072770084931801</v>
      </c>
      <c r="AI19" s="57" t="s">
        <v>65</v>
      </c>
      <c r="AJ19" s="45">
        <f t="shared" si="6"/>
        <v>1.152067256899989</v>
      </c>
      <c r="AK19" s="45">
        <v>1.59124871752865</v>
      </c>
      <c r="AL19" s="53">
        <f t="shared" si="11"/>
        <v>-6.8368893250272844E-2</v>
      </c>
      <c r="AM19" s="40"/>
      <c r="AN19" s="57" t="s">
        <v>65</v>
      </c>
      <c r="AO19" s="42">
        <f t="shared" si="7"/>
        <v>855111.95504074183</v>
      </c>
      <c r="AP19" s="43">
        <f t="shared" si="9"/>
        <v>882130.86941071053</v>
      </c>
      <c r="AQ19" s="44">
        <f t="shared" si="8"/>
        <v>-3.0629145070071213E-2</v>
      </c>
      <c r="AR19" s="44">
        <f t="shared" si="10"/>
        <v>-3.5674942699697176E-2</v>
      </c>
      <c r="AT19" s="37"/>
      <c r="AU19" s="37"/>
      <c r="AV19" s="38"/>
      <c r="AW19" s="37"/>
      <c r="AX19" s="37"/>
      <c r="AY19" s="38"/>
    </row>
    <row r="20" spans="1:51">
      <c r="A20" s="57" t="s">
        <v>66</v>
      </c>
      <c r="B20" s="43">
        <v>802443.59688947361</v>
      </c>
      <c r="D20" s="43">
        <v>24547.4</v>
      </c>
      <c r="E20" s="43">
        <v>1470.1</v>
      </c>
      <c r="F20" s="44">
        <v>0.81403646043855638</v>
      </c>
      <c r="G20" s="43">
        <f t="shared" si="2"/>
        <v>21452.578608969419</v>
      </c>
      <c r="H20" s="43">
        <v>23544.5019434598</v>
      </c>
      <c r="I20" s="44">
        <v>0.11098527746319375</v>
      </c>
      <c r="J20" s="77">
        <v>3.1837751711188383E-2</v>
      </c>
      <c r="K20" s="43">
        <v>1440.5962582514001</v>
      </c>
      <c r="L20" s="44">
        <v>0.17903543976600228</v>
      </c>
      <c r="M20" s="77">
        <v>3.9080628372587592E-3</v>
      </c>
      <c r="N20" s="44">
        <v>0.82784500000000005</v>
      </c>
      <c r="O20" s="43">
        <f t="shared" si="12"/>
        <v>20931.794469634879</v>
      </c>
      <c r="Q20" s="43">
        <v>2071.5762666666665</v>
      </c>
      <c r="R20" s="43">
        <v>684.60342112773708</v>
      </c>
      <c r="S20" s="43">
        <f t="shared" si="0"/>
        <v>1418208.1992870253</v>
      </c>
      <c r="T20" s="43">
        <v>2060.1467712849299</v>
      </c>
      <c r="U20" s="43">
        <v>6556.916666666667</v>
      </c>
      <c r="V20" s="43">
        <v>654.54113976425742</v>
      </c>
      <c r="W20" s="43">
        <f t="shared" si="4"/>
        <v>1348450.815758493</v>
      </c>
      <c r="X20" s="41"/>
      <c r="Y20" s="43">
        <v>87753</v>
      </c>
      <c r="Z20" s="43">
        <v>48480.800000000003</v>
      </c>
      <c r="AA20" s="53">
        <f t="shared" si="5"/>
        <v>0.55246886146342578</v>
      </c>
      <c r="AB20" s="35">
        <v>0.537786559187724</v>
      </c>
      <c r="AD20" s="43">
        <v>33721.699999999997</v>
      </c>
      <c r="AE20" s="43">
        <v>31412.3</v>
      </c>
      <c r="AF20" s="44">
        <f t="shared" si="13"/>
        <v>6.8484091845903317E-2</v>
      </c>
      <c r="AG20" s="35">
        <v>0.13837841009808199</v>
      </c>
      <c r="AI20" s="57" t="s">
        <v>66</v>
      </c>
      <c r="AJ20" s="45">
        <f t="shared" si="6"/>
        <v>0.75393414162323458</v>
      </c>
      <c r="AK20" s="45">
        <v>1.48598038844423</v>
      </c>
      <c r="AL20" s="53">
        <f t="shared" si="11"/>
        <v>-6.6154541351594043E-2</v>
      </c>
      <c r="AM20" s="40"/>
      <c r="AN20" s="57" t="s">
        <v>66</v>
      </c>
      <c r="AO20" s="42">
        <f t="shared" si="7"/>
        <v>802443.59688947361</v>
      </c>
      <c r="AP20" s="43">
        <f t="shared" si="9"/>
        <v>831839.51200953161</v>
      </c>
      <c r="AQ20" s="44">
        <f t="shared" si="8"/>
        <v>-3.5338445331893738E-2</v>
      </c>
      <c r="AR20" s="44">
        <f t="shared" si="10"/>
        <v>-5.7011220381364747E-2</v>
      </c>
      <c r="AT20" s="37"/>
      <c r="AU20" s="37"/>
      <c r="AV20" s="38"/>
      <c r="AW20" s="37"/>
      <c r="AX20" s="37"/>
      <c r="AY20" s="38"/>
    </row>
    <row r="21" spans="1:51">
      <c r="A21" s="57" t="s">
        <v>67</v>
      </c>
      <c r="B21" s="43">
        <v>766874.02644940093</v>
      </c>
      <c r="D21" s="43">
        <v>24377.8</v>
      </c>
      <c r="E21" s="43">
        <v>1520.5</v>
      </c>
      <c r="F21" s="44">
        <v>0.79833957381538978</v>
      </c>
      <c r="G21" s="43">
        <f t="shared" si="2"/>
        <v>20982.26246255681</v>
      </c>
      <c r="H21" s="43">
        <v>23718.710666547799</v>
      </c>
      <c r="I21" s="44">
        <v>0.1121881383882056</v>
      </c>
      <c r="J21" s="77">
        <v>3.0360918738895678E-2</v>
      </c>
      <c r="K21" s="43">
        <v>1477.4092061705201</v>
      </c>
      <c r="L21" s="44">
        <v>0.18066425517921744</v>
      </c>
      <c r="M21" s="77">
        <v>3.785497878237949E-3</v>
      </c>
      <c r="N21" s="44">
        <v>0.82784500000000005</v>
      </c>
      <c r="O21" s="43">
        <f t="shared" si="12"/>
        <v>21112.825237918783</v>
      </c>
      <c r="Q21" s="43">
        <v>2050.7842666666666</v>
      </c>
      <c r="R21" s="43">
        <v>661.75412035202453</v>
      </c>
      <c r="S21" s="43">
        <f t="shared" si="0"/>
        <v>1357114.9384197716</v>
      </c>
      <c r="T21" s="43">
        <v>2049.1306858575799</v>
      </c>
      <c r="U21" s="43">
        <v>6514</v>
      </c>
      <c r="V21" s="43">
        <v>653.98243176224071</v>
      </c>
      <c r="W21" s="43">
        <f t="shared" si="4"/>
        <v>1340095.4689357684</v>
      </c>
      <c r="X21" s="41"/>
      <c r="Y21" s="43">
        <v>82626.600000000006</v>
      </c>
      <c r="Z21" s="43">
        <v>44675.9</v>
      </c>
      <c r="AA21" s="53">
        <f t="shared" si="5"/>
        <v>0.54069633749906199</v>
      </c>
      <c r="AB21" s="35">
        <v>0.53849446543983603</v>
      </c>
      <c r="AD21" s="43">
        <v>32164.400000000001</v>
      </c>
      <c r="AE21" s="43">
        <v>29572.3</v>
      </c>
      <c r="AF21" s="44">
        <f t="shared" si="13"/>
        <v>8.0589098506423262E-2</v>
      </c>
      <c r="AG21" s="35">
        <v>0.119117171546034</v>
      </c>
      <c r="AI21" s="57" t="s">
        <v>67</v>
      </c>
      <c r="AJ21" s="45">
        <f t="shared" si="6"/>
        <v>0.79074282793290251</v>
      </c>
      <c r="AK21" s="45">
        <v>1.39471494675584</v>
      </c>
      <c r="AL21" s="53">
        <f t="shared" si="11"/>
        <v>-6.1417662304373843E-2</v>
      </c>
      <c r="AM21" s="40"/>
      <c r="AN21" s="57" t="s">
        <v>67</v>
      </c>
      <c r="AO21" s="42">
        <f t="shared" si="7"/>
        <v>766874.02644940093</v>
      </c>
      <c r="AP21" s="43">
        <f t="shared" si="9"/>
        <v>789282.09235586761</v>
      </c>
      <c r="AQ21" s="44">
        <f t="shared" si="8"/>
        <v>-2.8390440025799352E-2</v>
      </c>
      <c r="AR21" s="44">
        <f t="shared" si="10"/>
        <v>-5.1160613362612573E-2</v>
      </c>
      <c r="AT21" s="37"/>
      <c r="AU21" s="37"/>
      <c r="AV21" s="38"/>
      <c r="AW21" s="37"/>
      <c r="AX21" s="37"/>
      <c r="AY21" s="38"/>
    </row>
    <row r="22" spans="1:51">
      <c r="A22" s="57" t="s">
        <v>68</v>
      </c>
      <c r="B22" s="43">
        <v>751604.13154859724</v>
      </c>
      <c r="D22" s="43">
        <v>23971.200000000001</v>
      </c>
      <c r="E22" s="43">
        <v>1536.1</v>
      </c>
      <c r="F22" s="44">
        <v>0.78839868222937881</v>
      </c>
      <c r="G22" s="43">
        <f t="shared" si="2"/>
        <v>20434.962491456885</v>
      </c>
      <c r="H22" s="43">
        <v>23736.445191917301</v>
      </c>
      <c r="I22" s="44">
        <v>0.11052012414897885</v>
      </c>
      <c r="J22" s="77">
        <v>3.0364388701506723E-2</v>
      </c>
      <c r="K22" s="43">
        <v>1505.4417810065399</v>
      </c>
      <c r="L22" s="44">
        <v>0.18293079877612128</v>
      </c>
      <c r="M22" s="77">
        <v>3.9568702128770922E-3</v>
      </c>
      <c r="N22" s="44">
        <v>0.82784500000000005</v>
      </c>
      <c r="O22" s="43">
        <f t="shared" si="12"/>
        <v>21155.539250909318</v>
      </c>
      <c r="Q22" s="43">
        <v>2026.5269333333335</v>
      </c>
      <c r="R22" s="43">
        <v>656.6112003019274</v>
      </c>
      <c r="S22" s="43">
        <f t="shared" si="0"/>
        <v>1330640.2821401842</v>
      </c>
      <c r="T22" s="43">
        <v>2040.7763463297299</v>
      </c>
      <c r="U22" s="43">
        <v>6461.833333333333</v>
      </c>
      <c r="V22" s="43">
        <v>650.3099776970821</v>
      </c>
      <c r="W22" s="43">
        <f t="shared" si="4"/>
        <v>1327137.2202664195</v>
      </c>
      <c r="X22" s="41"/>
      <c r="Y22" s="43">
        <v>79278.100000000006</v>
      </c>
      <c r="Z22" s="43">
        <v>42524.1</v>
      </c>
      <c r="AA22" s="53">
        <f t="shared" si="5"/>
        <v>0.53639151291466369</v>
      </c>
      <c r="AB22" s="35">
        <v>0.53890331546675296</v>
      </c>
      <c r="AD22" s="43">
        <v>31273.200000000001</v>
      </c>
      <c r="AE22" s="43">
        <v>28939</v>
      </c>
      <c r="AF22" s="44">
        <f t="shared" si="13"/>
        <v>7.4638988015297447E-2</v>
      </c>
      <c r="AG22" s="35">
        <v>0.102831520468738</v>
      </c>
      <c r="AI22" s="57" t="s">
        <v>68</v>
      </c>
      <c r="AJ22" s="45">
        <f t="shared" si="6"/>
        <v>0.77143660253485857</v>
      </c>
      <c r="AK22" s="45">
        <v>1.3173192836093199</v>
      </c>
      <c r="AL22" s="53">
        <f t="shared" si="11"/>
        <v>-5.5492101326185206E-2</v>
      </c>
      <c r="AM22" s="40"/>
      <c r="AN22" s="57" t="s">
        <v>68</v>
      </c>
      <c r="AO22" s="42">
        <f t="shared" si="7"/>
        <v>751604.13154859724</v>
      </c>
      <c r="AP22" s="43">
        <f t="shared" si="9"/>
        <v>757912.42304105207</v>
      </c>
      <c r="AQ22" s="44">
        <f t="shared" si="8"/>
        <v>-8.3232459327469525E-3</v>
      </c>
      <c r="AR22" s="44">
        <f t="shared" si="10"/>
        <v>-3.9744559795069745E-2</v>
      </c>
      <c r="AT22" s="37"/>
      <c r="AU22" s="37"/>
      <c r="AV22" s="38"/>
      <c r="AW22" s="37"/>
      <c r="AX22" s="37"/>
      <c r="AY22" s="38"/>
    </row>
    <row r="23" spans="1:51">
      <c r="A23" s="57" t="s">
        <v>69</v>
      </c>
      <c r="B23" s="43">
        <v>696493.91938198661</v>
      </c>
      <c r="D23" s="43">
        <v>23604.1</v>
      </c>
      <c r="E23" s="43">
        <v>1552.5</v>
      </c>
      <c r="F23" s="44">
        <v>0.78321155603443193</v>
      </c>
      <c r="G23" s="43">
        <f t="shared" si="2"/>
        <v>20039.503889792333</v>
      </c>
      <c r="H23" s="43">
        <v>23616.467831692102</v>
      </c>
      <c r="I23" s="44">
        <v>0.10780754191009188</v>
      </c>
      <c r="J23" s="77">
        <v>3.6815827513257654E-2</v>
      </c>
      <c r="K23" s="43">
        <v>1524.7967833989201</v>
      </c>
      <c r="L23" s="44">
        <v>0.18595813204508851</v>
      </c>
      <c r="M23" s="77">
        <v>4.3130311929578807E-3</v>
      </c>
      <c r="N23" s="44">
        <v>0.82784500000000005</v>
      </c>
      <c r="O23" s="43">
        <f t="shared" si="12"/>
        <v>21075.571595526071</v>
      </c>
      <c r="Q23" s="43">
        <v>2017.1705333333337</v>
      </c>
      <c r="R23" s="43">
        <v>653.21341377324222</v>
      </c>
      <c r="S23" s="43">
        <f t="shared" si="0"/>
        <v>1317642.8502414585</v>
      </c>
      <c r="T23" s="43">
        <v>2035.36131414897</v>
      </c>
      <c r="U23" s="43">
        <v>6445.833333333333</v>
      </c>
      <c r="V23" s="43">
        <v>643.75636680403989</v>
      </c>
      <c r="W23" s="43">
        <f t="shared" si="4"/>
        <v>1310276.804730037</v>
      </c>
      <c r="X23" s="41"/>
      <c r="Y23" s="43">
        <v>77317.2</v>
      </c>
      <c r="Z23" s="43">
        <v>41621.5</v>
      </c>
      <c r="AA23" s="53">
        <f t="shared" si="5"/>
        <v>0.53832135669682812</v>
      </c>
      <c r="AB23" s="35">
        <v>0.53915477978509696</v>
      </c>
      <c r="AD23" s="43">
        <v>30501.599999999999</v>
      </c>
      <c r="AE23" s="43">
        <v>27540.7</v>
      </c>
      <c r="AF23" s="44">
        <f t="shared" si="13"/>
        <v>9.7073596139218843E-2</v>
      </c>
      <c r="AG23" s="35">
        <v>8.9023711411359702E-2</v>
      </c>
      <c r="AI23" s="57" t="s">
        <v>69</v>
      </c>
      <c r="AJ23" s="45">
        <f t="shared" si="6"/>
        <v>0.79358007079018011</v>
      </c>
      <c r="AK23" s="45">
        <v>1.25223181455697</v>
      </c>
      <c r="AL23" s="53">
        <f t="shared" si="11"/>
        <v>-4.9409030796252362E-2</v>
      </c>
      <c r="AM23" s="40"/>
      <c r="AN23" s="57" t="s">
        <v>69</v>
      </c>
      <c r="AO23" s="42">
        <f t="shared" si="7"/>
        <v>696493.91938198661</v>
      </c>
      <c r="AP23" s="43">
        <f t="shared" si="9"/>
        <v>706069.18040646217</v>
      </c>
      <c r="AQ23" s="44">
        <f t="shared" si="8"/>
        <v>-1.3561363801438525E-2</v>
      </c>
      <c r="AR23" s="44">
        <f t="shared" si="10"/>
        <v>-6.8402682234147583E-2</v>
      </c>
      <c r="AT23" s="37"/>
      <c r="AU23" s="37"/>
      <c r="AV23" s="38"/>
      <c r="AW23" s="37"/>
      <c r="AX23" s="37"/>
      <c r="AY23" s="38"/>
    </row>
    <row r="24" spans="1:51">
      <c r="A24" s="57" t="s">
        <v>70</v>
      </c>
      <c r="B24" s="43">
        <v>667741.27891964652</v>
      </c>
      <c r="D24" s="43">
        <v>23623.599999999999</v>
      </c>
      <c r="E24" s="43">
        <v>1564.2</v>
      </c>
      <c r="F24" s="44">
        <v>0.77738919617072988</v>
      </c>
      <c r="G24" s="43">
        <f t="shared" si="2"/>
        <v>19928.931414658855</v>
      </c>
      <c r="H24" s="43">
        <v>23379.8884460767</v>
      </c>
      <c r="I24" s="44">
        <v>0.10978428351309698</v>
      </c>
      <c r="J24" s="77">
        <v>3.4296217296992684E-2</v>
      </c>
      <c r="K24" s="43">
        <v>1535.8835961770201</v>
      </c>
      <c r="L24" s="44">
        <v>0.18948983505945541</v>
      </c>
      <c r="M24" s="77">
        <v>4.2426611764717825E-3</v>
      </c>
      <c r="N24" s="44">
        <v>0.82784500000000005</v>
      </c>
      <c r="O24" s="43">
        <f t="shared" si="12"/>
        <v>20890.807346819387</v>
      </c>
      <c r="Q24" s="43">
        <v>1999.3240666666668</v>
      </c>
      <c r="R24" s="43">
        <v>631.46406991096273</v>
      </c>
      <c r="S24" s="43">
        <f t="shared" si="0"/>
        <v>1262501.3122082704</v>
      </c>
      <c r="T24" s="43">
        <v>2033.02065663297</v>
      </c>
      <c r="U24" s="43">
        <v>6412.166666666667</v>
      </c>
      <c r="V24" s="43">
        <v>634.68318193500932</v>
      </c>
      <c r="W24" s="43">
        <f t="shared" si="4"/>
        <v>1290324.0192914153</v>
      </c>
      <c r="X24" s="41"/>
      <c r="Y24" s="43">
        <v>73356.800000000003</v>
      </c>
      <c r="Z24" s="43">
        <v>39342.800000000003</v>
      </c>
      <c r="AA24" s="53">
        <f t="shared" si="5"/>
        <v>0.53632110451928117</v>
      </c>
      <c r="AB24" s="35">
        <v>0.53936541088597301</v>
      </c>
      <c r="AD24" s="43">
        <v>28908.9</v>
      </c>
      <c r="AE24" s="43">
        <v>25793.9</v>
      </c>
      <c r="AF24" s="44">
        <f t="shared" si="13"/>
        <v>0.10775228389873015</v>
      </c>
      <c r="AG24" s="35">
        <v>7.6914073594525095E-2</v>
      </c>
      <c r="AI24" s="57" t="s">
        <v>70</v>
      </c>
      <c r="AJ24" s="45">
        <f t="shared" si="6"/>
        <v>0.82702536499658752</v>
      </c>
      <c r="AK24" s="45">
        <v>1.19710159425198</v>
      </c>
      <c r="AL24" s="53">
        <f t="shared" si="11"/>
        <v>-4.4025570716309081E-2</v>
      </c>
      <c r="AM24" s="40"/>
      <c r="AN24" s="57" t="s">
        <v>70</v>
      </c>
      <c r="AO24" s="42">
        <f t="shared" si="7"/>
        <v>667741.27891964652</v>
      </c>
      <c r="AP24" s="43">
        <f t="shared" si="9"/>
        <v>670601.76792858157</v>
      </c>
      <c r="AQ24" s="44">
        <f t="shared" si="8"/>
        <v>-4.2655554246014025E-3</v>
      </c>
      <c r="AR24" s="44">
        <f t="shared" si="10"/>
        <v>-5.0232205939739649E-2</v>
      </c>
      <c r="AT24" s="37"/>
      <c r="AU24" s="37"/>
      <c r="AV24" s="38"/>
      <c r="AW24" s="37"/>
      <c r="AX24" s="37"/>
      <c r="AY24" s="38"/>
    </row>
    <row r="25" spans="1:51">
      <c r="A25" s="57" t="s">
        <v>71</v>
      </c>
      <c r="B25" s="43">
        <v>624622.83784950804</v>
      </c>
      <c r="D25" s="43">
        <v>23320.2</v>
      </c>
      <c r="E25" s="43">
        <v>1551.1</v>
      </c>
      <c r="F25" s="44">
        <v>0.76325161343582726</v>
      </c>
      <c r="G25" s="43">
        <f t="shared" si="2"/>
        <v>19350.280275646179</v>
      </c>
      <c r="H25" s="43">
        <v>23047.693216958902</v>
      </c>
      <c r="I25" s="44">
        <v>0.11052220821433778</v>
      </c>
      <c r="J25" s="77">
        <v>3.3674721328501564E-2</v>
      </c>
      <c r="K25" s="43">
        <v>1539.3886343362101</v>
      </c>
      <c r="L25" s="44">
        <v>0.19315324608342463</v>
      </c>
      <c r="M25" s="77">
        <v>4.5307341142749556E-3</v>
      </c>
      <c r="N25" s="44">
        <v>0.82784500000000005</v>
      </c>
      <c r="O25" s="43">
        <f t="shared" si="12"/>
        <v>20619.306225529552</v>
      </c>
      <c r="Q25" s="43">
        <v>2009.3735333333339</v>
      </c>
      <c r="R25" s="43">
        <v>617.89090719479759</v>
      </c>
      <c r="S25" s="43">
        <f t="shared" si="0"/>
        <v>1241573.6354045495</v>
      </c>
      <c r="T25" s="43">
        <v>2033.7075332912</v>
      </c>
      <c r="U25" s="43">
        <v>6331</v>
      </c>
      <c r="V25" s="43">
        <v>623.6206708162706</v>
      </c>
      <c r="W25" s="43">
        <f t="shared" si="4"/>
        <v>1268262.056155161</v>
      </c>
      <c r="X25" s="41"/>
      <c r="Y25" s="43">
        <v>68880.3</v>
      </c>
      <c r="Z25" s="43">
        <v>36922.300000000003</v>
      </c>
      <c r="AA25" s="53">
        <f t="shared" si="5"/>
        <v>0.53603570251581367</v>
      </c>
      <c r="AB25" s="35">
        <v>0.539643427029603</v>
      </c>
      <c r="AD25" s="43">
        <v>27034.400000000001</v>
      </c>
      <c r="AE25" s="43">
        <v>24337.8</v>
      </c>
      <c r="AF25" s="44">
        <f t="shared" si="13"/>
        <v>9.9746989021395005E-2</v>
      </c>
      <c r="AG25" s="35">
        <v>6.5803435086138604E-2</v>
      </c>
      <c r="AI25" s="57" t="s">
        <v>71</v>
      </c>
      <c r="AJ25" s="45">
        <f t="shared" si="6"/>
        <v>0.76193274177995063</v>
      </c>
      <c r="AK25" s="45">
        <v>1.14959916265499</v>
      </c>
      <c r="AL25" s="53">
        <f t="shared" si="11"/>
        <v>-3.9681203186996306E-2</v>
      </c>
      <c r="AM25" s="40"/>
      <c r="AN25" s="57" t="s">
        <v>71</v>
      </c>
      <c r="AO25" s="42">
        <f t="shared" si="7"/>
        <v>624622.83784950804</v>
      </c>
      <c r="AP25" s="43">
        <f t="shared" si="9"/>
        <v>629516.12808870315</v>
      </c>
      <c r="AQ25" s="44">
        <f t="shared" si="8"/>
        <v>-7.7730974964085563E-3</v>
      </c>
      <c r="AR25" s="44">
        <f t="shared" si="10"/>
        <v>-6.1266823030884154E-2</v>
      </c>
      <c r="AT25" s="37"/>
      <c r="AU25" s="37"/>
      <c r="AV25" s="38"/>
      <c r="AW25" s="37"/>
      <c r="AX25" s="37"/>
      <c r="AY25" s="38"/>
    </row>
    <row r="26" spans="1:51">
      <c r="A26" s="57" t="s">
        <v>72</v>
      </c>
      <c r="B26" s="43">
        <v>602368.81293877563</v>
      </c>
      <c r="D26" s="43">
        <v>22846.2</v>
      </c>
      <c r="E26" s="43">
        <v>1534.5</v>
      </c>
      <c r="F26" s="44">
        <v>0.76414698430996564</v>
      </c>
      <c r="G26" s="43">
        <f t="shared" si="2"/>
        <v>18992.354832942339</v>
      </c>
      <c r="H26" s="43">
        <v>22643.3054417657</v>
      </c>
      <c r="I26" s="44">
        <v>0.11190920153023266</v>
      </c>
      <c r="J26" s="77">
        <v>2.7513044573382436E-2</v>
      </c>
      <c r="K26" s="43">
        <v>1536.2814769101201</v>
      </c>
      <c r="L26" s="44">
        <v>0.19765395894428156</v>
      </c>
      <c r="M26" s="77">
        <v>4.890691444710351E-3</v>
      </c>
      <c r="N26" s="44">
        <v>0.82784500000000005</v>
      </c>
      <c r="O26" s="43">
        <f t="shared" si="12"/>
        <v>20281.428670348647</v>
      </c>
      <c r="Q26" s="43">
        <v>2019.4230000000002</v>
      </c>
      <c r="R26" s="43">
        <v>603.92237007481265</v>
      </c>
      <c r="S26" s="43">
        <f t="shared" si="0"/>
        <v>1219574.7243435886</v>
      </c>
      <c r="T26" s="43">
        <v>2037.03813773351</v>
      </c>
      <c r="U26" s="43">
        <v>6316.666666666667</v>
      </c>
      <c r="V26" s="43">
        <v>611.13671422354685</v>
      </c>
      <c r="W26" s="43">
        <f t="shared" si="4"/>
        <v>1244908.7942425101</v>
      </c>
      <c r="X26" s="41"/>
      <c r="Y26" s="43">
        <v>65990.8</v>
      </c>
      <c r="Z26" s="43">
        <v>35242</v>
      </c>
      <c r="AA26" s="53">
        <f t="shared" si="5"/>
        <v>0.53404413948611018</v>
      </c>
      <c r="AB26" s="35">
        <v>0.54006660341253998</v>
      </c>
      <c r="AD26" s="43">
        <v>26175.200000000001</v>
      </c>
      <c r="AE26" s="43">
        <v>23736.5</v>
      </c>
      <c r="AF26" s="44">
        <f t="shared" si="13"/>
        <v>9.3168342553256567E-2</v>
      </c>
      <c r="AG26" s="35">
        <v>5.5301006057148598E-2</v>
      </c>
      <c r="AI26" s="57" t="s">
        <v>72</v>
      </c>
      <c r="AJ26" s="45">
        <f t="shared" si="6"/>
        <v>0.72789362752350906</v>
      </c>
      <c r="AK26" s="45">
        <v>1.1082140385121</v>
      </c>
      <c r="AL26" s="53">
        <f t="shared" si="11"/>
        <v>-3.5999612288609706E-2</v>
      </c>
      <c r="AM26" s="40"/>
      <c r="AN26" s="57" t="s">
        <v>72</v>
      </c>
      <c r="AO26" s="42">
        <f t="shared" si="7"/>
        <v>602368.81293877563</v>
      </c>
      <c r="AP26" s="43">
        <f t="shared" si="9"/>
        <v>601889.83664617827</v>
      </c>
      <c r="AQ26" s="44">
        <f t="shared" si="8"/>
        <v>7.9578730763471854E-4</v>
      </c>
      <c r="AR26" s="44">
        <f t="shared" si="10"/>
        <v>-4.3884962131791716E-2</v>
      </c>
      <c r="AT26" s="37"/>
      <c r="AU26" s="37"/>
      <c r="AV26" s="38"/>
      <c r="AW26" s="37"/>
      <c r="AX26" s="37"/>
      <c r="AY26" s="38"/>
    </row>
    <row r="27" spans="1:51">
      <c r="A27" s="57" t="s">
        <v>73</v>
      </c>
      <c r="B27" s="43">
        <v>578148.02609135176</v>
      </c>
      <c r="D27" s="43">
        <v>21946.799999999999</v>
      </c>
      <c r="E27" s="43">
        <v>1525.8</v>
      </c>
      <c r="F27" s="44">
        <v>0.77445351621134295</v>
      </c>
      <c r="G27" s="43">
        <f t="shared" si="2"/>
        <v>18522.576429587101</v>
      </c>
      <c r="H27" s="43">
        <v>22192.873485754499</v>
      </c>
      <c r="I27" s="44">
        <v>0.10971531157161858</v>
      </c>
      <c r="J27" s="77">
        <v>2.9374830032398234E-2</v>
      </c>
      <c r="K27" s="43">
        <v>1527.64881658897</v>
      </c>
      <c r="L27" s="44">
        <v>0.2023856337658933</v>
      </c>
      <c r="M27" s="77">
        <v>5.0039088078506801E-3</v>
      </c>
      <c r="N27" s="44">
        <v>0.82784500000000005</v>
      </c>
      <c r="O27" s="43">
        <f t="shared" si="12"/>
        <v>19899.908167403406</v>
      </c>
      <c r="Q27" s="43">
        <v>2042.6407333333334</v>
      </c>
      <c r="R27" s="43">
        <v>584.622960441141</v>
      </c>
      <c r="S27" s="43">
        <f t="shared" si="0"/>
        <v>1194174.6726389967</v>
      </c>
      <c r="T27" s="43">
        <v>2042.3853235701399</v>
      </c>
      <c r="U27" s="43">
        <v>6329.166666666667</v>
      </c>
      <c r="V27" s="43">
        <v>597.81337322575416</v>
      </c>
      <c r="W27" s="43">
        <f t="shared" si="4"/>
        <v>1220965.2597102388</v>
      </c>
      <c r="X27" s="41"/>
      <c r="Y27" s="43">
        <v>64121.5</v>
      </c>
      <c r="Z27" s="43">
        <v>34313.199999999997</v>
      </c>
      <c r="AA27" s="53">
        <f t="shared" si="5"/>
        <v>0.53512784323510831</v>
      </c>
      <c r="AB27" s="35">
        <v>0.54067663798620202</v>
      </c>
      <c r="AD27" s="43">
        <v>25399.4</v>
      </c>
      <c r="AE27" s="43">
        <v>23539.200000000001</v>
      </c>
      <c r="AF27" s="44">
        <f t="shared" si="13"/>
        <v>7.3237950502767823E-2</v>
      </c>
      <c r="AG27" s="35">
        <v>4.5355432217852203E-2</v>
      </c>
      <c r="AI27" s="57" t="s">
        <v>73</v>
      </c>
      <c r="AJ27" s="45">
        <f t="shared" si="6"/>
        <v>0.65687915815530362</v>
      </c>
      <c r="AK27" s="45">
        <v>1.0722530747658801</v>
      </c>
      <c r="AL27" s="53">
        <f t="shared" si="11"/>
        <v>-3.2449475008006101E-2</v>
      </c>
      <c r="AM27" s="40"/>
      <c r="AN27" s="57" t="s">
        <v>73</v>
      </c>
      <c r="AO27" s="42">
        <f t="shared" si="7"/>
        <v>578148.02609135176</v>
      </c>
      <c r="AP27" s="43">
        <f t="shared" si="9"/>
        <v>575203.92859205627</v>
      </c>
      <c r="AQ27" s="44">
        <f t="shared" si="8"/>
        <v>5.1183542965393888E-3</v>
      </c>
      <c r="AR27" s="44">
        <f t="shared" si="10"/>
        <v>-4.4336864371759321E-2</v>
      </c>
      <c r="AT27" s="37"/>
      <c r="AU27" s="37"/>
      <c r="AV27" s="38"/>
      <c r="AW27" s="37"/>
      <c r="AX27" s="37"/>
      <c r="AY27" s="38"/>
    </row>
    <row r="28" spans="1:51">
      <c r="A28" s="57" t="s">
        <v>74</v>
      </c>
      <c r="B28" s="43">
        <v>562554.77681610198</v>
      </c>
      <c r="D28" s="43">
        <v>21237.200000000001</v>
      </c>
      <c r="E28" s="43">
        <v>1506.3</v>
      </c>
      <c r="F28" s="44">
        <v>0.77081095721737591</v>
      </c>
      <c r="G28" s="43">
        <f t="shared" si="2"/>
        <v>17876.166460616856</v>
      </c>
      <c r="H28" s="43">
        <v>21724.574659764799</v>
      </c>
      <c r="I28" s="44">
        <v>0.10874314881434458</v>
      </c>
      <c r="J28" s="77">
        <v>3.0642349350515012E-2</v>
      </c>
      <c r="K28" s="43">
        <v>1514.5595312939199</v>
      </c>
      <c r="L28" s="44">
        <v>0.20620062404567485</v>
      </c>
      <c r="M28" s="77">
        <v>5.3399244372286277E-3</v>
      </c>
      <c r="N28" s="44">
        <v>0.82784500000000005</v>
      </c>
      <c r="O28" s="43">
        <f t="shared" si="12"/>
        <v>19499.140040506911</v>
      </c>
      <c r="Q28" s="43">
        <v>2047.6654666666668</v>
      </c>
      <c r="R28" s="43">
        <v>568.38236275364181</v>
      </c>
      <c r="S28" s="43">
        <f t="shared" si="0"/>
        <v>1163856.9360730387</v>
      </c>
      <c r="T28" s="43">
        <v>2048.945793034</v>
      </c>
      <c r="U28" s="43">
        <v>6356.583333333333</v>
      </c>
      <c r="V28" s="43">
        <v>584.23467431787435</v>
      </c>
      <c r="W28" s="43">
        <f t="shared" si="4"/>
        <v>1197065.1780881977</v>
      </c>
      <c r="X28" s="41"/>
      <c r="Y28" s="43">
        <v>63269.1</v>
      </c>
      <c r="Z28" s="43">
        <v>34491.699999999997</v>
      </c>
      <c r="AA28" s="53">
        <f t="shared" si="5"/>
        <v>0.54515869516082882</v>
      </c>
      <c r="AB28" s="35">
        <v>0.54145500406273905</v>
      </c>
      <c r="AD28" s="43">
        <v>24575.8</v>
      </c>
      <c r="AE28" s="43">
        <v>23198.9</v>
      </c>
      <c r="AF28" s="44">
        <f t="shared" si="13"/>
        <v>5.6026660373212578E-2</v>
      </c>
      <c r="AG28" s="35">
        <v>3.6294032643504802E-2</v>
      </c>
      <c r="AI28" s="57" t="s">
        <v>74</v>
      </c>
      <c r="AJ28" s="45">
        <f t="shared" si="6"/>
        <v>0.61076843074587139</v>
      </c>
      <c r="AK28" s="45">
        <v>1.0419973260647599</v>
      </c>
      <c r="AL28" s="53">
        <f t="shared" si="11"/>
        <v>-2.8216984789459554E-2</v>
      </c>
      <c r="AM28" s="40"/>
      <c r="AN28" s="57" t="s">
        <v>74</v>
      </c>
      <c r="AO28" s="42">
        <f t="shared" si="7"/>
        <v>562554.77681610198</v>
      </c>
      <c r="AP28" s="43">
        <f t="shared" si="9"/>
        <v>555124.29412256344</v>
      </c>
      <c r="AQ28" s="44">
        <f t="shared" si="8"/>
        <v>1.3385259431463455E-2</v>
      </c>
      <c r="AR28" s="44">
        <f t="shared" si="10"/>
        <v>-3.4908722752715393E-2</v>
      </c>
      <c r="AT28" s="37"/>
      <c r="AU28" s="37"/>
      <c r="AV28" s="38"/>
      <c r="AW28" s="37"/>
      <c r="AX28" s="37"/>
      <c r="AY28" s="38"/>
    </row>
    <row r="29" spans="1:51">
      <c r="A29" s="57" t="s">
        <v>75</v>
      </c>
      <c r="B29" s="43">
        <v>522523.59306057193</v>
      </c>
      <c r="D29" s="43">
        <v>20651.600000000002</v>
      </c>
      <c r="E29" s="43">
        <v>1496.1</v>
      </c>
      <c r="F29" s="44">
        <v>0.78114730346777916</v>
      </c>
      <c r="G29" s="43">
        <f t="shared" si="2"/>
        <v>17628.041652295189</v>
      </c>
      <c r="H29" s="43">
        <v>21264.125539779001</v>
      </c>
      <c r="I29" s="44">
        <v>0.10686823296984259</v>
      </c>
      <c r="J29" s="77">
        <v>3.2010037866483647E-2</v>
      </c>
      <c r="K29" s="43">
        <v>1498.0640107802201</v>
      </c>
      <c r="L29" s="44">
        <v>0.21034690194505712</v>
      </c>
      <c r="M29" s="77">
        <v>5.6858676612054843E-3</v>
      </c>
      <c r="N29" s="44">
        <v>0.82784500000000005</v>
      </c>
      <c r="O29" s="43">
        <f t="shared" si="12"/>
        <v>19101.464018258568</v>
      </c>
      <c r="Q29" s="43">
        <v>2085.6108666666669</v>
      </c>
      <c r="R29" s="43">
        <v>560.34188345800658</v>
      </c>
      <c r="S29" s="43">
        <f t="shared" si="0"/>
        <v>1168655.1211884855</v>
      </c>
      <c r="T29" s="43">
        <v>2055.9188024556502</v>
      </c>
      <c r="U29" s="43">
        <v>6389.5</v>
      </c>
      <c r="V29" s="43">
        <v>570.89819564757352</v>
      </c>
      <c r="W29" s="43">
        <f t="shared" si="4"/>
        <v>1173720.3347198509</v>
      </c>
      <c r="X29" s="41"/>
      <c r="Y29" s="43">
        <v>62855.7</v>
      </c>
      <c r="Z29" s="43">
        <v>34148.1</v>
      </c>
      <c r="AA29" s="53">
        <f t="shared" si="5"/>
        <v>0.54327769796533965</v>
      </c>
      <c r="AB29" s="35">
        <v>0.54232768700679201</v>
      </c>
      <c r="AD29" s="43">
        <v>24573.3</v>
      </c>
      <c r="AE29" s="43">
        <v>23219</v>
      </c>
      <c r="AF29" s="44">
        <f t="shared" si="13"/>
        <v>5.5112662930904666E-2</v>
      </c>
      <c r="AG29" s="35">
        <v>2.8722951592213601E-2</v>
      </c>
      <c r="AI29" s="57" t="s">
        <v>75</v>
      </c>
      <c r="AJ29" s="45">
        <f t="shared" si="6"/>
        <v>0.56338629485197611</v>
      </c>
      <c r="AK29" s="45">
        <v>1.0184991261885199</v>
      </c>
      <c r="AL29" s="53">
        <f t="shared" si="11"/>
        <v>-2.2551113413106449E-2</v>
      </c>
      <c r="AM29" s="40"/>
      <c r="AN29" s="57" t="s">
        <v>75</v>
      </c>
      <c r="AO29" s="42">
        <f t="shared" si="7"/>
        <v>522523.59306057193</v>
      </c>
      <c r="AP29" s="43">
        <f t="shared" si="9"/>
        <v>523951.68247711117</v>
      </c>
      <c r="AQ29" s="44">
        <f t="shared" si="8"/>
        <v>-2.7256128080123581E-3</v>
      </c>
      <c r="AR29" s="44">
        <f t="shared" si="10"/>
        <v>-5.6154291886511776E-2</v>
      </c>
      <c r="AT29" s="37"/>
      <c r="AU29" s="37"/>
      <c r="AV29" s="38"/>
      <c r="AW29" s="37"/>
      <c r="AX29" s="37"/>
      <c r="AY29" s="38"/>
    </row>
    <row r="30" spans="1:51">
      <c r="A30" s="57" t="s">
        <v>76</v>
      </c>
      <c r="B30" s="43">
        <v>501684.99681737344</v>
      </c>
      <c r="D30" s="43">
        <v>20117.2</v>
      </c>
      <c r="E30" s="43">
        <v>1478.5</v>
      </c>
      <c r="F30" s="44">
        <v>0.80269948234469124</v>
      </c>
      <c r="G30" s="43">
        <f t="shared" si="2"/>
        <v>17626.566026224624</v>
      </c>
      <c r="H30" s="43">
        <v>20832.368955181399</v>
      </c>
      <c r="I30" s="44">
        <v>0.10404032370309986</v>
      </c>
      <c r="J30" s="77">
        <v>4.9369624679081653E-2</v>
      </c>
      <c r="K30" s="43">
        <v>1479.13004949019</v>
      </c>
      <c r="L30" s="44">
        <v>0.21345958741968213</v>
      </c>
      <c r="M30" s="77">
        <v>5.9280226015660867E-3</v>
      </c>
      <c r="N30" s="44">
        <v>0.82784500000000005</v>
      </c>
      <c r="O30" s="43">
        <f t="shared" si="12"/>
        <v>18725.102527192339</v>
      </c>
      <c r="Q30" s="43">
        <v>2090.9821333333334</v>
      </c>
      <c r="R30" s="43">
        <v>554.40823842778673</v>
      </c>
      <c r="S30" s="43">
        <f t="shared" si="0"/>
        <v>1159257.7211253089</v>
      </c>
      <c r="T30" s="43">
        <v>2062.49080490195</v>
      </c>
      <c r="U30" s="43">
        <v>6428.166666666667</v>
      </c>
      <c r="V30" s="43">
        <v>558.16699999607943</v>
      </c>
      <c r="W30" s="43">
        <f t="shared" si="4"/>
        <v>1151214.3050916207</v>
      </c>
      <c r="X30" s="41"/>
      <c r="Y30" s="43">
        <v>59503.1</v>
      </c>
      <c r="Z30" s="43">
        <v>32424.6</v>
      </c>
      <c r="AA30" s="53">
        <f t="shared" si="5"/>
        <v>0.54492286956477898</v>
      </c>
      <c r="AB30" s="35">
        <v>0.54325770909398197</v>
      </c>
      <c r="AD30" s="43">
        <v>23078.7</v>
      </c>
      <c r="AE30" s="43">
        <v>23429.8</v>
      </c>
      <c r="AF30" s="44">
        <f t="shared" si="13"/>
        <v>-1.5213161919865437E-2</v>
      </c>
      <c r="AG30" s="35">
        <v>2.3445659599380601E-2</v>
      </c>
      <c r="AI30" s="57" t="s">
        <v>76</v>
      </c>
      <c r="AJ30" s="45">
        <f t="shared" si="6"/>
        <v>0.40606298326444473</v>
      </c>
      <c r="AK30" s="45">
        <v>1.0035144169532999</v>
      </c>
      <c r="AL30" s="53">
        <f t="shared" si="11"/>
        <v>-1.4712540099368177E-2</v>
      </c>
      <c r="AM30" s="40"/>
      <c r="AN30" s="57" t="s">
        <v>76</v>
      </c>
      <c r="AO30" s="42">
        <f t="shared" si="7"/>
        <v>501684.99681737344</v>
      </c>
      <c r="AP30" s="43">
        <f t="shared" si="9"/>
        <v>505356.87026060064</v>
      </c>
      <c r="AQ30" s="44">
        <f t="shared" si="8"/>
        <v>-7.265901898857543E-3</v>
      </c>
      <c r="AR30" s="44">
        <f t="shared" si="10"/>
        <v>-3.5489555312808507E-2</v>
      </c>
      <c r="AT30" s="37"/>
      <c r="AU30" s="37"/>
      <c r="AV30" s="38"/>
      <c r="AW30" s="37"/>
      <c r="AX30" s="37"/>
      <c r="AY30" s="38"/>
    </row>
    <row r="31" spans="1:51">
      <c r="A31" s="57" t="s">
        <v>77</v>
      </c>
      <c r="B31" s="43">
        <v>468658.16167911794</v>
      </c>
      <c r="D31" s="43">
        <v>20501</v>
      </c>
      <c r="E31" s="43">
        <v>1460.3</v>
      </c>
      <c r="F31" s="44">
        <v>0.82947020449778019</v>
      </c>
      <c r="G31" s="43">
        <f t="shared" si="2"/>
        <v>18465.268662408991</v>
      </c>
      <c r="H31" s="43">
        <v>20444.0224799588</v>
      </c>
      <c r="I31" s="44">
        <v>0.10844349056143607</v>
      </c>
      <c r="J31" s="77">
        <v>3.9303700449821358E-2</v>
      </c>
      <c r="K31" s="43">
        <v>1458.7058017583399</v>
      </c>
      <c r="L31" s="44">
        <v>0.21570910086968423</v>
      </c>
      <c r="M31" s="77">
        <v>6.3607128686708741E-3</v>
      </c>
      <c r="N31" s="44">
        <v>0.82784500000000005</v>
      </c>
      <c r="O31" s="43">
        <f t="shared" si="12"/>
        <v>18383.187591679834</v>
      </c>
      <c r="Q31" s="43">
        <v>2093.7543999999998</v>
      </c>
      <c r="R31" s="43">
        <v>540.66009748481758</v>
      </c>
      <c r="S31" s="43">
        <f t="shared" si="0"/>
        <v>1132009.4580132656</v>
      </c>
      <c r="T31" s="43">
        <v>2068.1451740819102</v>
      </c>
      <c r="U31" s="43">
        <v>6409.833333333333</v>
      </c>
      <c r="V31" s="43">
        <v>546.31359463342756</v>
      </c>
      <c r="W31" s="43">
        <f t="shared" si="4"/>
        <v>1129855.8242764641</v>
      </c>
      <c r="X31" s="41"/>
      <c r="Y31" s="43">
        <v>57465</v>
      </c>
      <c r="Z31" s="43">
        <v>31541.5</v>
      </c>
      <c r="AA31" s="53">
        <f t="shared" si="5"/>
        <v>0.54888192813016623</v>
      </c>
      <c r="AB31" s="35">
        <v>0.54421759270951298</v>
      </c>
      <c r="AD31" s="43">
        <v>21902</v>
      </c>
      <c r="AE31" s="43">
        <v>22724.6</v>
      </c>
      <c r="AF31" s="44">
        <f t="shared" si="13"/>
        <v>-3.7558213861747625E-2</v>
      </c>
      <c r="AG31" s="35">
        <v>2.1529524313795501E-2</v>
      </c>
      <c r="AI31" s="57" t="s">
        <v>77</v>
      </c>
      <c r="AJ31" s="45">
        <f t="shared" si="6"/>
        <v>0.35470803904504344</v>
      </c>
      <c r="AK31" s="45">
        <v>0.99933290465033098</v>
      </c>
      <c r="AL31" s="53">
        <f t="shared" si="11"/>
        <v>-4.1668681907571781E-3</v>
      </c>
      <c r="AM31" s="40"/>
      <c r="AN31" s="57" t="s">
        <v>77</v>
      </c>
      <c r="AO31" s="42">
        <f t="shared" si="7"/>
        <v>468658.16167911794</v>
      </c>
      <c r="AP31" s="43">
        <f t="shared" si="9"/>
        <v>482395.1436529659</v>
      </c>
      <c r="AQ31" s="44">
        <f t="shared" si="8"/>
        <v>-2.8476617467215453E-2</v>
      </c>
      <c r="AR31" s="44">
        <f t="shared" si="10"/>
        <v>-4.5436656665603259E-2</v>
      </c>
      <c r="AT31" s="37"/>
      <c r="AU31" s="37"/>
      <c r="AV31" s="38"/>
      <c r="AW31" s="37"/>
      <c r="AX31" s="37"/>
      <c r="AY31" s="38"/>
    </row>
    <row r="32" spans="1:51">
      <c r="A32" s="57" t="s">
        <v>78</v>
      </c>
      <c r="B32" s="43">
        <v>445129.41915783682</v>
      </c>
      <c r="D32" s="43">
        <v>20119.8</v>
      </c>
      <c r="E32" s="43">
        <v>1443.4</v>
      </c>
      <c r="F32" s="44">
        <v>0.81524850440541596</v>
      </c>
      <c r="G32" s="43">
        <f t="shared" si="2"/>
        <v>17846.036858936088</v>
      </c>
      <c r="H32" s="43">
        <v>20106.651998546098</v>
      </c>
      <c r="I32" s="44">
        <v>0.11123371007664097</v>
      </c>
      <c r="J32" s="77">
        <v>3.5356009561838278E-2</v>
      </c>
      <c r="K32" s="43">
        <v>1437.7331214242699</v>
      </c>
      <c r="L32" s="44">
        <v>0.21809616184009975</v>
      </c>
      <c r="M32" s="77">
        <v>6.240881596313811E-3</v>
      </c>
      <c r="N32" s="44">
        <v>0.82784500000000005</v>
      </c>
      <c r="O32" s="43">
        <f t="shared" si="12"/>
        <v>18082.924445160665</v>
      </c>
      <c r="Q32" s="43">
        <v>2055.635733333334</v>
      </c>
      <c r="R32" s="43">
        <v>521.4729421695323</v>
      </c>
      <c r="S32" s="43">
        <f t="shared" si="0"/>
        <v>1071958.4138901578</v>
      </c>
      <c r="T32" s="43">
        <v>2072.65019698881</v>
      </c>
      <c r="U32" s="43">
        <v>6315.25</v>
      </c>
      <c r="V32" s="43">
        <v>535.57759675627949</v>
      </c>
      <c r="W32" s="43">
        <f t="shared" si="4"/>
        <v>1110065.011419696</v>
      </c>
      <c r="X32" s="41"/>
      <c r="Y32" s="43">
        <v>52928.2</v>
      </c>
      <c r="Z32" s="43">
        <v>28004.6</v>
      </c>
      <c r="AA32" s="53">
        <f t="shared" si="5"/>
        <v>0.52910546740678888</v>
      </c>
      <c r="AB32" s="35">
        <v>0.54519651184329898</v>
      </c>
      <c r="AD32" s="43">
        <v>21062.1</v>
      </c>
      <c r="AE32" s="43">
        <v>21646</v>
      </c>
      <c r="AF32" s="44">
        <f t="shared" si="13"/>
        <v>-2.7722781678940045E-2</v>
      </c>
      <c r="AG32" s="35">
        <v>2.36553251690544E-2</v>
      </c>
      <c r="AI32" s="57" t="s">
        <v>78</v>
      </c>
      <c r="AJ32" s="45">
        <f t="shared" si="6"/>
        <v>0.37068039670380953</v>
      </c>
      <c r="AK32" s="45">
        <v>1.0074467030033301</v>
      </c>
      <c r="AL32" s="53">
        <f t="shared" si="11"/>
        <v>8.1192146433306522E-3</v>
      </c>
      <c r="AM32" s="40"/>
      <c r="AN32" s="57" t="s">
        <v>78</v>
      </c>
      <c r="AO32" s="42">
        <f t="shared" si="7"/>
        <v>445129.41915783682</v>
      </c>
      <c r="AP32" s="43">
        <f t="shared" si="9"/>
        <v>467019.70500080922</v>
      </c>
      <c r="AQ32" s="44">
        <f t="shared" si="8"/>
        <v>-4.6872295983601958E-2</v>
      </c>
      <c r="AR32" s="44">
        <f t="shared" si="10"/>
        <v>-3.1873120727802684E-2</v>
      </c>
      <c r="AT32" s="37"/>
      <c r="AU32" s="37"/>
      <c r="AV32" s="38"/>
      <c r="AW32" s="37"/>
      <c r="AX32" s="37"/>
      <c r="AY32" s="38"/>
    </row>
    <row r="33" spans="1:51">
      <c r="A33" s="57" t="s">
        <v>79</v>
      </c>
      <c r="B33" s="43">
        <v>441477.07590113312</v>
      </c>
      <c r="D33" s="43">
        <v>19455.599999999999</v>
      </c>
      <c r="E33" s="43">
        <v>1406.4</v>
      </c>
      <c r="F33" s="44">
        <v>0.82184488674126488</v>
      </c>
      <c r="G33" s="43">
        <f t="shared" si="2"/>
        <v>17395.885378483352</v>
      </c>
      <c r="H33" s="43">
        <v>19828.393170578602</v>
      </c>
      <c r="I33" s="44">
        <v>0.11020477394683277</v>
      </c>
      <c r="J33" s="77">
        <v>4.472032881820881E-2</v>
      </c>
      <c r="K33" s="43">
        <v>1417.16980431002</v>
      </c>
      <c r="L33" s="44">
        <v>0.21871444823663255</v>
      </c>
      <c r="M33" s="77">
        <v>6.321959060508575E-3</v>
      </c>
      <c r="N33" s="44">
        <v>0.82784500000000005</v>
      </c>
      <c r="O33" s="43">
        <f t="shared" si="12"/>
        <v>17832.005948607661</v>
      </c>
      <c r="Q33" s="43">
        <v>2088.5563999999999</v>
      </c>
      <c r="R33" s="43">
        <v>504.21138608240295</v>
      </c>
      <c r="S33" s="43">
        <f t="shared" si="0"/>
        <v>1053073.9173552736</v>
      </c>
      <c r="T33" s="43">
        <v>2076.0302528751399</v>
      </c>
      <c r="U33" s="43">
        <v>6298.416666666667</v>
      </c>
      <c r="V33" s="43">
        <v>526.1529486621663</v>
      </c>
      <c r="W33" s="43">
        <f t="shared" si="4"/>
        <v>1092309.4390621176</v>
      </c>
      <c r="X33" s="41"/>
      <c r="Y33" s="43">
        <v>50690.3</v>
      </c>
      <c r="Z33" s="43">
        <v>27225.7</v>
      </c>
      <c r="AA33" s="53">
        <f t="shared" si="5"/>
        <v>0.53709881377699475</v>
      </c>
      <c r="AB33" s="35">
        <v>0.54623028383946004</v>
      </c>
      <c r="AD33" s="43">
        <v>19803.2</v>
      </c>
      <c r="AE33" s="43">
        <v>20116.3</v>
      </c>
      <c r="AF33" s="44">
        <f t="shared" si="13"/>
        <v>-1.5810576068514104E-2</v>
      </c>
      <c r="AG33" s="35">
        <v>2.99129642169953E-2</v>
      </c>
      <c r="AI33" s="57" t="s">
        <v>79</v>
      </c>
      <c r="AJ33" s="45">
        <f t="shared" si="6"/>
        <v>0.39289333340927424</v>
      </c>
      <c r="AK33" s="45">
        <v>1.02806290895551</v>
      </c>
      <c r="AL33" s="53">
        <f t="shared" si="11"/>
        <v>2.0463817977388166E-2</v>
      </c>
      <c r="AM33" s="40"/>
      <c r="AN33" s="57" t="s">
        <v>79</v>
      </c>
      <c r="AO33" s="42">
        <f t="shared" si="7"/>
        <v>441477.07590113312</v>
      </c>
      <c r="AP33" s="43">
        <f t="shared" si="9"/>
        <v>465314.49948805349</v>
      </c>
      <c r="AQ33" s="44">
        <f t="shared" si="8"/>
        <v>-5.1228628407553788E-2</v>
      </c>
      <c r="AR33" s="44">
        <f t="shared" si="10"/>
        <v>-3.6512496035959741E-3</v>
      </c>
      <c r="AT33" s="37"/>
      <c r="AU33" s="37"/>
      <c r="AV33" s="38"/>
      <c r="AW33" s="37"/>
      <c r="AX33" s="37"/>
      <c r="AY33" s="38"/>
    </row>
    <row r="34" spans="1:51">
      <c r="A34" s="57" t="s">
        <v>80</v>
      </c>
      <c r="B34" s="43">
        <v>449019.97389370791</v>
      </c>
      <c r="D34" s="43">
        <v>19285.8</v>
      </c>
      <c r="E34" s="43">
        <v>1377.9</v>
      </c>
      <c r="F34" s="44">
        <v>0.81732443470112026</v>
      </c>
      <c r="G34" s="43">
        <f t="shared" si="2"/>
        <v>17140.655582758864</v>
      </c>
      <c r="H34" s="43">
        <v>19617.513135706198</v>
      </c>
      <c r="I34" s="44">
        <v>0.1172261456615748</v>
      </c>
      <c r="J34" s="77">
        <v>4.2993633072924017E-2</v>
      </c>
      <c r="K34" s="43">
        <v>1398.0303150233599</v>
      </c>
      <c r="L34" s="44">
        <v>0.22040786704405257</v>
      </c>
      <c r="M34" s="77">
        <v>6.2023966903959277E-3</v>
      </c>
      <c r="N34" s="44">
        <v>0.82784500000000005</v>
      </c>
      <c r="O34" s="43">
        <f t="shared" si="12"/>
        <v>17638.29047685206</v>
      </c>
      <c r="Q34" s="43">
        <v>2090.4623333333334</v>
      </c>
      <c r="R34" s="43">
        <v>501.52420233814854</v>
      </c>
      <c r="S34" s="43">
        <f t="shared" si="0"/>
        <v>1048417.4542429448</v>
      </c>
      <c r="T34" s="43">
        <v>2078.1395763568298</v>
      </c>
      <c r="U34" s="43">
        <v>6302.833333333333</v>
      </c>
      <c r="V34" s="43">
        <v>518.14616247855122</v>
      </c>
      <c r="W34" s="43">
        <f t="shared" si="4"/>
        <v>1076780.0465840935</v>
      </c>
      <c r="X34" s="41"/>
      <c r="Y34" s="43">
        <v>52853.5</v>
      </c>
      <c r="Z34" s="43">
        <v>29241.9</v>
      </c>
      <c r="AA34" s="53">
        <f t="shared" si="5"/>
        <v>0.55326326544126692</v>
      </c>
      <c r="AB34" s="35">
        <v>0.54719381559775304</v>
      </c>
      <c r="AD34" s="43">
        <v>19963.8</v>
      </c>
      <c r="AE34" s="43">
        <v>19690.3</v>
      </c>
      <c r="AF34" s="44">
        <f t="shared" si="13"/>
        <v>1.3699796631903793E-2</v>
      </c>
      <c r="AG34" s="35">
        <v>3.9878562440975797E-2</v>
      </c>
      <c r="AI34" s="57" t="s">
        <v>80</v>
      </c>
      <c r="AJ34" s="45">
        <f t="shared" si="6"/>
        <v>0.45311266125971622</v>
      </c>
      <c r="AK34" s="45">
        <v>1.0600906165980599</v>
      </c>
      <c r="AL34" s="53">
        <f t="shared" si="11"/>
        <v>3.1153451178478342E-2</v>
      </c>
      <c r="AM34" s="40"/>
      <c r="AN34" s="57" t="s">
        <v>80</v>
      </c>
      <c r="AO34" s="42">
        <f t="shared" si="7"/>
        <v>449019.97389370791</v>
      </c>
      <c r="AP34" s="43">
        <f t="shared" si="9"/>
        <v>472150.41020149359</v>
      </c>
      <c r="AQ34" s="44">
        <f t="shared" si="8"/>
        <v>-4.8989550380597158E-2</v>
      </c>
      <c r="AR34" s="44">
        <f t="shared" si="10"/>
        <v>1.4690947135670873E-2</v>
      </c>
      <c r="AT34" s="37"/>
      <c r="AU34" s="37"/>
      <c r="AV34" s="38"/>
      <c r="AW34" s="37"/>
      <c r="AX34" s="37"/>
      <c r="AY34" s="38"/>
    </row>
    <row r="35" spans="1:51">
      <c r="A35" s="57" t="s">
        <v>81</v>
      </c>
      <c r="B35" s="43">
        <v>486748.93760943471</v>
      </c>
      <c r="D35" s="43">
        <v>18955.5</v>
      </c>
      <c r="E35" s="43">
        <v>1352.7</v>
      </c>
      <c r="F35" s="44">
        <v>0.82828787227443701</v>
      </c>
      <c r="G35" s="43">
        <f t="shared" si="2"/>
        <v>17053.310762898091</v>
      </c>
      <c r="H35" s="43">
        <v>19478.551101872999</v>
      </c>
      <c r="I35" s="44">
        <v>0.11249505420590317</v>
      </c>
      <c r="J35" s="77">
        <v>4.0805430613876731E-2</v>
      </c>
      <c r="K35" s="43">
        <v>1381.2214201289901</v>
      </c>
      <c r="L35" s="44">
        <v>0.22155688622754502</v>
      </c>
      <c r="M35" s="77">
        <v>5.8983179585359027E-3</v>
      </c>
      <c r="N35" s="44">
        <v>0.82784500000000005</v>
      </c>
      <c r="O35" s="43">
        <f t="shared" si="12"/>
        <v>17506.442557059047</v>
      </c>
      <c r="Q35" s="43">
        <v>2092.7148000000002</v>
      </c>
      <c r="R35" s="43">
        <v>503.53490434140031</v>
      </c>
      <c r="S35" s="43">
        <f t="shared" si="0"/>
        <v>1053754.9466318327</v>
      </c>
      <c r="T35" s="43">
        <v>2078.9576635210501</v>
      </c>
      <c r="U35" s="43">
        <v>6279.333333333333</v>
      </c>
      <c r="V35" s="43">
        <v>511.51863517977591</v>
      </c>
      <c r="W35" s="43">
        <f t="shared" si="4"/>
        <v>1063425.5866408234</v>
      </c>
      <c r="X35" s="41"/>
      <c r="Y35" s="43">
        <v>53352.800000000003</v>
      </c>
      <c r="Z35" s="43">
        <v>29905.3</v>
      </c>
      <c r="AA35" s="53">
        <f t="shared" si="5"/>
        <v>0.56051978527837332</v>
      </c>
      <c r="AB35" s="35">
        <v>0.54787069931730903</v>
      </c>
      <c r="AD35" s="43">
        <v>19822.8</v>
      </c>
      <c r="AE35" s="43">
        <v>19499.8</v>
      </c>
      <c r="AF35" s="44">
        <f t="shared" si="13"/>
        <v>1.6294368101378187E-2</v>
      </c>
      <c r="AG35" s="35">
        <v>5.2671005421493403E-2</v>
      </c>
      <c r="AI35" s="57" t="s">
        <v>81</v>
      </c>
      <c r="AJ35" s="45">
        <f t="shared" si="6"/>
        <v>0.49402334690471178</v>
      </c>
      <c r="AK35" s="45">
        <v>1.10121930555658</v>
      </c>
      <c r="AL35" s="53">
        <f t="shared" si="11"/>
        <v>3.8797333279400492E-2</v>
      </c>
      <c r="AM35" s="40"/>
      <c r="AN35" s="57" t="s">
        <v>81</v>
      </c>
      <c r="AO35" s="42">
        <f t="shared" si="7"/>
        <v>486748.93760943471</v>
      </c>
      <c r="AP35" s="43">
        <f t="shared" si="9"/>
        <v>497724.65998266928</v>
      </c>
      <c r="AQ35" s="44">
        <f t="shared" si="8"/>
        <v>-2.2051795411577049E-2</v>
      </c>
      <c r="AR35" s="44">
        <f t="shared" si="10"/>
        <v>5.4165471910236684E-2</v>
      </c>
      <c r="AT35" s="37"/>
      <c r="AU35" s="37"/>
      <c r="AV35" s="38"/>
      <c r="AW35" s="37"/>
      <c r="AX35" s="37"/>
      <c r="AY35" s="38"/>
    </row>
    <row r="36" spans="1:51">
      <c r="A36" s="57" t="s">
        <v>82</v>
      </c>
      <c r="B36" s="43">
        <v>483928.61031785968</v>
      </c>
      <c r="D36" s="43">
        <v>18809.300000000003</v>
      </c>
      <c r="E36" s="43">
        <v>1340.1</v>
      </c>
      <c r="F36" s="44">
        <v>0.82018173665614291</v>
      </c>
      <c r="G36" s="43">
        <f t="shared" si="2"/>
        <v>16767.144339286391</v>
      </c>
      <c r="H36" s="43">
        <v>19412.729145665999</v>
      </c>
      <c r="I36" s="44">
        <v>0.11375755610256649</v>
      </c>
      <c r="J36" s="77">
        <v>5.1639848248661663E-2</v>
      </c>
      <c r="K36" s="43">
        <v>1367.4485830413601</v>
      </c>
      <c r="L36" s="44">
        <v>0.22326692037907611</v>
      </c>
      <c r="M36" s="77">
        <v>5.9678223986448543E-3</v>
      </c>
      <c r="N36" s="44">
        <v>0.82784500000000005</v>
      </c>
      <c r="O36" s="43">
        <f t="shared" si="12"/>
        <v>17438.179342635231</v>
      </c>
      <c r="Q36" s="43">
        <v>2068.4574666666672</v>
      </c>
      <c r="R36" s="43">
        <v>500.09838364605929</v>
      </c>
      <c r="S36" s="43">
        <f t="shared" si="0"/>
        <v>1034432.2357206228</v>
      </c>
      <c r="T36" s="43">
        <v>2078.5872380247301</v>
      </c>
      <c r="U36" s="43">
        <v>6326.333333333333</v>
      </c>
      <c r="V36" s="43">
        <v>506.10828273030887</v>
      </c>
      <c r="W36" s="43">
        <f t="shared" si="4"/>
        <v>1051990.217541832</v>
      </c>
      <c r="X36" s="41"/>
      <c r="Y36" s="43">
        <v>58306</v>
      </c>
      <c r="Z36" s="43">
        <v>32955.300000000003</v>
      </c>
      <c r="AA36" s="53">
        <f t="shared" si="5"/>
        <v>0.56521284258909898</v>
      </c>
      <c r="AB36" s="35">
        <v>0.54810522169569198</v>
      </c>
      <c r="AD36" s="43">
        <v>21651.599999999999</v>
      </c>
      <c r="AE36" s="43">
        <v>19274.8</v>
      </c>
      <c r="AF36" s="44">
        <f t="shared" si="13"/>
        <v>0.10977479724362171</v>
      </c>
      <c r="AG36" s="35">
        <v>6.7147391080955895E-2</v>
      </c>
      <c r="AI36" s="57" t="s">
        <v>82</v>
      </c>
      <c r="AJ36" s="45">
        <f t="shared" si="6"/>
        <v>0.73553409519875002</v>
      </c>
      <c r="AK36" s="45">
        <v>1.1482793906147299</v>
      </c>
      <c r="AL36" s="53">
        <f t="shared" si="11"/>
        <v>4.2734526011932505E-2</v>
      </c>
      <c r="AM36" s="40"/>
      <c r="AN36" s="57" t="s">
        <v>82</v>
      </c>
      <c r="AO36" s="42">
        <f t="shared" si="7"/>
        <v>483928.61031785968</v>
      </c>
      <c r="AP36" s="43">
        <f t="shared" si="9"/>
        <v>501261.63660952402</v>
      </c>
      <c r="AQ36" s="44">
        <f t="shared" si="8"/>
        <v>-3.4578800821269573E-2</v>
      </c>
      <c r="AR36" s="44">
        <f t="shared" si="10"/>
        <v>7.1062917135307213E-3</v>
      </c>
      <c r="AT36" s="37"/>
      <c r="AU36" s="37"/>
      <c r="AV36" s="38"/>
      <c r="AW36" s="37"/>
      <c r="AX36" s="37"/>
      <c r="AY36" s="38"/>
    </row>
    <row r="37" spans="1:51">
      <c r="A37" s="57" t="s">
        <v>83</v>
      </c>
      <c r="B37" s="43">
        <v>545260.32700008084</v>
      </c>
      <c r="D37" s="43">
        <v>19168.599999999999</v>
      </c>
      <c r="E37" s="43">
        <v>1329.7</v>
      </c>
      <c r="F37" s="44">
        <v>0.8309276485655982</v>
      </c>
      <c r="G37" s="43">
        <f t="shared" si="2"/>
        <v>17257.419724294523</v>
      </c>
      <c r="H37" s="43">
        <v>19416.038832653499</v>
      </c>
      <c r="I37" s="44">
        <v>0.11732207881639745</v>
      </c>
      <c r="J37" s="77">
        <v>4.7199472849225259E-2</v>
      </c>
      <c r="K37" s="43">
        <v>1357.1320529736099</v>
      </c>
      <c r="L37" s="44">
        <v>0.22508836579679636</v>
      </c>
      <c r="M37" s="77">
        <v>5.0563003825502802E-3</v>
      </c>
      <c r="N37" s="44">
        <v>0.82784500000000005</v>
      </c>
      <c r="O37" s="43">
        <f t="shared" si="12"/>
        <v>17430.602720391649</v>
      </c>
      <c r="Q37" s="43">
        <v>2046.7991333333337</v>
      </c>
      <c r="R37" s="43">
        <v>506.82191189504192</v>
      </c>
      <c r="S37" s="43">
        <f t="shared" si="0"/>
        <v>1037362.650021115</v>
      </c>
      <c r="T37" s="43">
        <v>2077.2685948896201</v>
      </c>
      <c r="U37" s="43">
        <v>6371.166666666667</v>
      </c>
      <c r="V37" s="43">
        <v>501.70783432242024</v>
      </c>
      <c r="W37" s="43">
        <f t="shared" si="4"/>
        <v>1042181.9280480482</v>
      </c>
      <c r="X37" s="41"/>
      <c r="Y37" s="43">
        <v>59448.1</v>
      </c>
      <c r="Z37" s="43">
        <v>33031.300000000003</v>
      </c>
      <c r="AA37" s="53">
        <f t="shared" si="5"/>
        <v>0.55563256016592633</v>
      </c>
      <c r="AB37" s="35">
        <v>0.54786816029007301</v>
      </c>
      <c r="AD37" s="43">
        <v>22199.3</v>
      </c>
      <c r="AE37" s="43">
        <v>19945.599999999999</v>
      </c>
      <c r="AF37" s="44">
        <f t="shared" si="13"/>
        <v>0.10152121913754042</v>
      </c>
      <c r="AG37" s="35">
        <v>8.18010509685662E-2</v>
      </c>
      <c r="AI37" s="57" t="s">
        <v>83</v>
      </c>
      <c r="AJ37" s="45">
        <f t="shared" si="6"/>
        <v>0.7966635495283545</v>
      </c>
      <c r="AK37" s="45">
        <v>1.1972358636445799</v>
      </c>
      <c r="AL37" s="53">
        <f t="shared" si="11"/>
        <v>4.2634635289971801E-2</v>
      </c>
      <c r="AM37" s="40"/>
      <c r="AN37" s="57" t="s">
        <v>83</v>
      </c>
      <c r="AO37" s="42">
        <f t="shared" si="7"/>
        <v>545260.32700008084</v>
      </c>
      <c r="AP37" s="43">
        <f t="shared" si="9"/>
        <v>540887.2041414408</v>
      </c>
      <c r="AQ37" s="44">
        <f t="shared" si="8"/>
        <v>8.0850920952762594E-3</v>
      </c>
      <c r="AR37" s="44">
        <f t="shared" si="10"/>
        <v>7.905166611181258E-2</v>
      </c>
      <c r="AT37" s="37"/>
      <c r="AU37" s="37"/>
      <c r="AV37" s="38"/>
      <c r="AW37" s="37"/>
      <c r="AX37" s="37"/>
      <c r="AY37" s="38"/>
    </row>
    <row r="38" spans="1:51">
      <c r="A38" s="57" t="s">
        <v>84</v>
      </c>
      <c r="B38" s="43">
        <v>576265.23792121804</v>
      </c>
      <c r="D38" s="43">
        <v>19493.300000000003</v>
      </c>
      <c r="E38" s="43">
        <v>1306.0999999999999</v>
      </c>
      <c r="F38" s="44">
        <v>0.86021596084353424</v>
      </c>
      <c r="G38" s="43">
        <f t="shared" si="2"/>
        <v>18074.547789511267</v>
      </c>
      <c r="H38" s="43">
        <v>19478.437436947199</v>
      </c>
      <c r="I38" s="44">
        <v>0.12007202474696448</v>
      </c>
      <c r="J38" s="77">
        <v>4.3978012783524305E-2</v>
      </c>
      <c r="K38" s="43">
        <v>1350.41859330851</v>
      </c>
      <c r="L38" s="44">
        <v>0.22670545900007652</v>
      </c>
      <c r="M38" s="77">
        <v>5.3968204141877675E-3</v>
      </c>
      <c r="N38" s="44">
        <v>0.82784500000000005</v>
      </c>
      <c r="O38" s="43">
        <f t="shared" si="12"/>
        <v>17475.545633298065</v>
      </c>
      <c r="Q38" s="43">
        <v>2078.8534666666669</v>
      </c>
      <c r="R38" s="43">
        <v>502.45036586146904</v>
      </c>
      <c r="S38" s="43">
        <f t="shared" si="0"/>
        <v>1044520.68489905</v>
      </c>
      <c r="T38" s="43">
        <v>2075.14073142385</v>
      </c>
      <c r="U38" s="43">
        <v>6401.916666666667</v>
      </c>
      <c r="V38" s="43">
        <v>498.06839522401111</v>
      </c>
      <c r="W38" s="43">
        <f t="shared" si="4"/>
        <v>1033562.0139642576</v>
      </c>
      <c r="X38" s="41"/>
      <c r="Y38" s="43">
        <v>60891.3</v>
      </c>
      <c r="Z38" s="43">
        <v>32996.6</v>
      </c>
      <c r="AA38" s="53">
        <f t="shared" si="5"/>
        <v>0.54189350531192459</v>
      </c>
      <c r="AB38" s="35">
        <v>0.547301368866557</v>
      </c>
      <c r="AD38" s="43">
        <v>23189.5</v>
      </c>
      <c r="AE38" s="43">
        <v>19825.599999999999</v>
      </c>
      <c r="AF38" s="44">
        <f t="shared" si="13"/>
        <v>0.14506134241790469</v>
      </c>
      <c r="AG38" s="35">
        <v>9.5551590695157604E-2</v>
      </c>
      <c r="AI38" s="57" t="s">
        <v>84</v>
      </c>
      <c r="AJ38" s="45">
        <f t="shared" si="6"/>
        <v>0.99376030757497147</v>
      </c>
      <c r="AK38" s="45">
        <v>1.24465055067507</v>
      </c>
      <c r="AL38" s="53">
        <f t="shared" si="11"/>
        <v>3.9603463670184524E-2</v>
      </c>
      <c r="AM38" s="40"/>
      <c r="AN38" s="57" t="s">
        <v>84</v>
      </c>
      <c r="AO38" s="42">
        <f t="shared" si="7"/>
        <v>576265.23792121804</v>
      </c>
      <c r="AP38" s="43">
        <f t="shared" si="9"/>
        <v>563133.3224047228</v>
      </c>
      <c r="AQ38" s="44">
        <f t="shared" si="8"/>
        <v>2.3319372152261587E-2</v>
      </c>
      <c r="AR38" s="44">
        <f t="shared" si="10"/>
        <v>4.1128941659090756E-2</v>
      </c>
      <c r="AT38" s="37"/>
      <c r="AU38" s="37"/>
      <c r="AV38" s="38"/>
      <c r="AW38" s="37"/>
      <c r="AX38" s="37"/>
      <c r="AY38" s="38"/>
    </row>
    <row r="39" spans="1:51">
      <c r="A39" s="57" t="s">
        <v>85</v>
      </c>
      <c r="B39" s="43">
        <v>597005.03327586385</v>
      </c>
      <c r="D39" s="43">
        <v>19687</v>
      </c>
      <c r="E39" s="43">
        <v>1321</v>
      </c>
      <c r="F39" s="44">
        <v>0.8636903548096978</v>
      </c>
      <c r="G39" s="43">
        <f t="shared" si="2"/>
        <v>18324.472015138519</v>
      </c>
      <c r="H39" s="43">
        <v>19587.407844332</v>
      </c>
      <c r="I39" s="44">
        <v>0.12267486158378625</v>
      </c>
      <c r="J39" s="77">
        <v>4.1081730693997412E-2</v>
      </c>
      <c r="K39" s="43">
        <v>1347.1806468990701</v>
      </c>
      <c r="L39" s="44">
        <v>0.22937168811506434</v>
      </c>
      <c r="M39" s="77">
        <v>5.4689656167292485E-3</v>
      </c>
      <c r="N39" s="44">
        <v>0.82784500000000005</v>
      </c>
      <c r="O39" s="43">
        <f t="shared" si="12"/>
        <v>17562.518293790094</v>
      </c>
      <c r="Q39" s="43">
        <v>2101.2048666666669</v>
      </c>
      <c r="R39" s="43">
        <v>494.74849043027524</v>
      </c>
      <c r="S39" s="43">
        <f t="shared" si="0"/>
        <v>1039567.9358680812</v>
      </c>
      <c r="T39" s="43">
        <v>2072.0379503200202</v>
      </c>
      <c r="U39" s="43">
        <v>6465.25</v>
      </c>
      <c r="V39" s="43">
        <v>494.993451469165</v>
      </c>
      <c r="W39" s="43">
        <f t="shared" si="4"/>
        <v>1025645.216604001</v>
      </c>
      <c r="X39" s="41"/>
      <c r="Y39" s="43">
        <v>62981.4</v>
      </c>
      <c r="Z39" s="43">
        <v>33699.9</v>
      </c>
      <c r="AA39" s="53">
        <f t="shared" si="5"/>
        <v>0.53507702274004709</v>
      </c>
      <c r="AB39" s="35">
        <v>0.54662434519000802</v>
      </c>
      <c r="AD39" s="43">
        <v>24385.4</v>
      </c>
      <c r="AE39" s="43">
        <v>19954.7</v>
      </c>
      <c r="AF39" s="44">
        <f t="shared" si="13"/>
        <v>0.18169478458421839</v>
      </c>
      <c r="AG39" s="35">
        <v>0.107515817553257</v>
      </c>
      <c r="AI39" s="57" t="s">
        <v>85</v>
      </c>
      <c r="AJ39" s="45">
        <f t="shared" si="6"/>
        <v>1.1961491041505761</v>
      </c>
      <c r="AK39" s="45">
        <v>1.2876424286486601</v>
      </c>
      <c r="AL39" s="53">
        <f t="shared" si="11"/>
        <v>3.4541324028878773E-2</v>
      </c>
      <c r="AM39" s="40"/>
      <c r="AN39" s="57" t="s">
        <v>85</v>
      </c>
      <c r="AO39" s="42">
        <f t="shared" si="7"/>
        <v>597005.03327586385</v>
      </c>
      <c r="AP39" s="43">
        <f t="shared" si="9"/>
        <v>579209.76546665758</v>
      </c>
      <c r="AQ39" s="44">
        <f t="shared" si="8"/>
        <v>3.0723355975997717E-2</v>
      </c>
      <c r="AR39" s="44">
        <f t="shared" si="10"/>
        <v>2.8548200616657304E-2</v>
      </c>
      <c r="AT39" s="37"/>
      <c r="AU39" s="37"/>
      <c r="AV39" s="38"/>
      <c r="AW39" s="37"/>
      <c r="AX39" s="37"/>
      <c r="AY39" s="38"/>
    </row>
    <row r="40" spans="1:51">
      <c r="A40" s="57" t="s">
        <v>86</v>
      </c>
      <c r="B40" s="43">
        <v>591954.65616563207</v>
      </c>
      <c r="D40" s="43">
        <v>19724.5</v>
      </c>
      <c r="E40" s="43">
        <v>1344.5</v>
      </c>
      <c r="F40" s="44">
        <v>0.8539268500491014</v>
      </c>
      <c r="G40" s="43">
        <f t="shared" si="2"/>
        <v>18187.780153793501</v>
      </c>
      <c r="H40" s="43">
        <v>19730.581566223798</v>
      </c>
      <c r="I40" s="44">
        <v>0.12411467971304722</v>
      </c>
      <c r="J40" s="77">
        <v>5.0571441052443968E-2</v>
      </c>
      <c r="K40" s="43">
        <v>1346.8474706652</v>
      </c>
      <c r="L40" s="44">
        <v>0.23004834510970626</v>
      </c>
      <c r="M40" s="77">
        <v>5.4835281151868363E-3</v>
      </c>
      <c r="N40" s="44">
        <v>0.82784500000000005</v>
      </c>
      <c r="O40" s="43">
        <f t="shared" si="12"/>
        <v>17680.71076735574</v>
      </c>
      <c r="Q40" s="43">
        <v>2078.6802000000002</v>
      </c>
      <c r="R40" s="43">
        <v>498.42111480473017</v>
      </c>
      <c r="S40" s="43">
        <f t="shared" si="0"/>
        <v>1036058.1026065196</v>
      </c>
      <c r="T40" s="43">
        <v>2067.83168162313</v>
      </c>
      <c r="U40" s="43">
        <v>6530.416666666667</v>
      </c>
      <c r="V40" s="43">
        <v>492.32077320968466</v>
      </c>
      <c r="W40" s="43">
        <f t="shared" si="4"/>
        <v>1018036.4923641818</v>
      </c>
      <c r="X40" s="41"/>
      <c r="Y40" s="43">
        <v>65040.4</v>
      </c>
      <c r="Z40" s="43">
        <v>34917.5</v>
      </c>
      <c r="AA40" s="53">
        <f t="shared" si="5"/>
        <v>0.53685862940572315</v>
      </c>
      <c r="AB40" s="35">
        <v>0.54600250838974396</v>
      </c>
      <c r="AD40" s="43">
        <v>25147.1</v>
      </c>
      <c r="AE40" s="43">
        <v>20513.099999999999</v>
      </c>
      <c r="AF40" s="44">
        <f t="shared" si="13"/>
        <v>0.18427572165378914</v>
      </c>
      <c r="AG40" s="35">
        <v>0.11730563635262201</v>
      </c>
      <c r="AI40" s="57" t="s">
        <v>86</v>
      </c>
      <c r="AJ40" s="45">
        <f t="shared" si="6"/>
        <v>1.2034265815338534</v>
      </c>
      <c r="AK40" s="45">
        <v>1.3247817354481</v>
      </c>
      <c r="AL40" s="53">
        <f t="shared" si="11"/>
        <v>2.8842872814012877E-2</v>
      </c>
      <c r="AM40" s="40"/>
      <c r="AN40" s="57" t="s">
        <v>86</v>
      </c>
      <c r="AO40" s="42">
        <f t="shared" si="7"/>
        <v>591954.65616563207</v>
      </c>
      <c r="AP40" s="43">
        <f t="shared" si="9"/>
        <v>580898.13822734565</v>
      </c>
      <c r="AQ40" s="44">
        <f t="shared" si="8"/>
        <v>1.9033488335883138E-2</v>
      </c>
      <c r="AR40" s="44">
        <f t="shared" si="10"/>
        <v>2.9149590724317775E-3</v>
      </c>
      <c r="AT40" s="37"/>
      <c r="AU40" s="37"/>
      <c r="AV40" s="38"/>
      <c r="AW40" s="37"/>
      <c r="AX40" s="37"/>
      <c r="AY40" s="38"/>
    </row>
    <row r="41" spans="1:51">
      <c r="A41" s="57" t="s">
        <v>87</v>
      </c>
      <c r="B41" s="43">
        <v>578817.48974194156</v>
      </c>
      <c r="D41" s="43">
        <v>20270</v>
      </c>
      <c r="E41" s="43">
        <v>1359.8</v>
      </c>
      <c r="F41" s="44">
        <v>0.85804502460534893</v>
      </c>
      <c r="G41" s="43">
        <f t="shared" si="2"/>
        <v>18752.372648750421</v>
      </c>
      <c r="H41" s="43">
        <v>19896.586035594701</v>
      </c>
      <c r="I41" s="44">
        <v>0.12743463246176623</v>
      </c>
      <c r="J41" s="77">
        <v>4.8153347979216006E-2</v>
      </c>
      <c r="K41" s="43">
        <v>1348.58651505785</v>
      </c>
      <c r="L41" s="44">
        <v>0.23003382850419171</v>
      </c>
      <c r="M41" s="77">
        <v>5.7306492267171164E-3</v>
      </c>
      <c r="N41" s="44">
        <v>0.82784500000000005</v>
      </c>
      <c r="O41" s="43">
        <f t="shared" si="12"/>
        <v>17819.875781694747</v>
      </c>
      <c r="Q41" s="43">
        <v>2074.3485333333338</v>
      </c>
      <c r="R41" s="43">
        <v>503.61086818734481</v>
      </c>
      <c r="S41" s="43">
        <f t="shared" si="0"/>
        <v>1044664.4657951456</v>
      </c>
      <c r="T41" s="43">
        <v>2062.6850245416799</v>
      </c>
      <c r="U41" s="43">
        <v>6663.333333333333</v>
      </c>
      <c r="V41" s="43">
        <v>489.86417456731556</v>
      </c>
      <c r="W41" s="43">
        <f t="shared" si="4"/>
        <v>1010435.4969394731</v>
      </c>
      <c r="X41" s="41"/>
      <c r="Y41" s="43">
        <v>65472.1</v>
      </c>
      <c r="Z41" s="43">
        <v>35569.1</v>
      </c>
      <c r="AA41" s="53">
        <f t="shared" si="5"/>
        <v>0.54327110326383299</v>
      </c>
      <c r="AB41" s="35">
        <v>0.54548580437058403</v>
      </c>
      <c r="AD41" s="43">
        <v>24761.599999999999</v>
      </c>
      <c r="AE41" s="43">
        <v>22219.4</v>
      </c>
      <c r="AF41" s="44">
        <f t="shared" si="13"/>
        <v>0.10266703282501932</v>
      </c>
      <c r="AG41" s="35">
        <v>0.125274741573316</v>
      </c>
      <c r="AI41" s="57" t="s">
        <v>87</v>
      </c>
      <c r="AJ41" s="45">
        <f t="shared" si="6"/>
        <v>0.83716933167341079</v>
      </c>
      <c r="AK41" s="45">
        <v>1.3569496478626399</v>
      </c>
      <c r="AL41" s="53">
        <f t="shared" si="11"/>
        <v>2.4281669616813772E-2</v>
      </c>
      <c r="AM41" s="40"/>
      <c r="AN41" s="57" t="s">
        <v>87</v>
      </c>
      <c r="AO41" s="42">
        <f t="shared" si="7"/>
        <v>578817.48974194156</v>
      </c>
      <c r="AP41" s="43">
        <f t="shared" si="9"/>
        <v>577634.58440136921</v>
      </c>
      <c r="AQ41" s="44">
        <f t="shared" si="8"/>
        <v>2.0478436930819435E-3</v>
      </c>
      <c r="AR41" s="44">
        <f t="shared" si="10"/>
        <v>-5.6181172071499974E-3</v>
      </c>
      <c r="AT41" s="37"/>
      <c r="AU41" s="37"/>
      <c r="AV41" s="38"/>
      <c r="AW41" s="37"/>
      <c r="AX41" s="37"/>
      <c r="AY41" s="38"/>
    </row>
    <row r="42" spans="1:51">
      <c r="A42" s="57" t="s">
        <v>88</v>
      </c>
      <c r="B42" s="43">
        <v>570532.1832492376</v>
      </c>
      <c r="D42" s="43">
        <v>20474.099999999999</v>
      </c>
      <c r="E42" s="43">
        <v>1378.7</v>
      </c>
      <c r="F42" s="44">
        <v>0.88227157290845415</v>
      </c>
      <c r="G42" s="43">
        <f t="shared" si="2"/>
        <v>19442.41641088498</v>
      </c>
      <c r="H42" s="43">
        <v>20073.987869754899</v>
      </c>
      <c r="I42" s="44">
        <v>0.13011072525776474</v>
      </c>
      <c r="J42" s="77">
        <v>4.9334640229583594E-2</v>
      </c>
      <c r="K42" s="43">
        <v>1351.5417558213001</v>
      </c>
      <c r="L42" s="44">
        <v>0.22905635743816638</v>
      </c>
      <c r="M42" s="77">
        <v>5.9470790598990008E-3</v>
      </c>
      <c r="N42" s="44">
        <v>0.82784500000000005</v>
      </c>
      <c r="O42" s="43">
        <f t="shared" si="12"/>
        <v>17969.692243858546</v>
      </c>
      <c r="Q42" s="43">
        <v>2046.1060666666669</v>
      </c>
      <c r="R42" s="43">
        <v>498.80678007050886</v>
      </c>
      <c r="S42" s="43">
        <f t="shared" si="0"/>
        <v>1020611.5787967341</v>
      </c>
      <c r="T42" s="43">
        <v>2056.8695634679102</v>
      </c>
      <c r="U42" s="43">
        <v>6724</v>
      </c>
      <c r="V42" s="43">
        <v>487.46262083239253</v>
      </c>
      <c r="W42" s="43">
        <f t="shared" si="4"/>
        <v>1002647.0281184467</v>
      </c>
      <c r="X42" s="41"/>
      <c r="Y42" s="43">
        <v>66920.600000000006</v>
      </c>
      <c r="Z42" s="43">
        <v>36899.800000000003</v>
      </c>
      <c r="AA42" s="53">
        <f t="shared" si="5"/>
        <v>0.55139672985597854</v>
      </c>
      <c r="AB42" s="35">
        <v>0.54503274024750903</v>
      </c>
      <c r="AD42" s="43">
        <v>24693.3</v>
      </c>
      <c r="AE42" s="43">
        <v>23391.599999999999</v>
      </c>
      <c r="AF42" s="44">
        <f t="shared" si="13"/>
        <v>5.2714703988531286E-2</v>
      </c>
      <c r="AG42" s="35">
        <v>0.13244652854841499</v>
      </c>
      <c r="AI42" s="57" t="s">
        <v>88</v>
      </c>
      <c r="AJ42" s="45">
        <f t="shared" si="6"/>
        <v>0.6888025706336024</v>
      </c>
      <c r="AK42" s="45">
        <v>1.38699455021403</v>
      </c>
      <c r="AL42" s="53">
        <f t="shared" si="11"/>
        <v>2.2141501269936192E-2</v>
      </c>
      <c r="AM42" s="40"/>
      <c r="AN42" s="57" t="s">
        <v>88</v>
      </c>
      <c r="AO42" s="42">
        <f t="shared" si="7"/>
        <v>570532.1832492376</v>
      </c>
      <c r="AP42" s="43">
        <f>AK42*((B42*AB42)^AB42)*(O42^(AG42*(1-AB42)))*(W42^((1-AG42)*(1-AB42)))</f>
        <v>576573.85523495974</v>
      </c>
      <c r="AQ42" s="44">
        <f t="shared" si="8"/>
        <v>-1.047857430729339E-2</v>
      </c>
      <c r="AR42" s="44">
        <f>AP42/AP41-1</f>
        <v>-1.8363325102993544E-3</v>
      </c>
      <c r="AT42" s="37"/>
      <c r="AU42" s="37"/>
      <c r="AV42" s="38"/>
      <c r="AW42" s="37"/>
      <c r="AX42" s="37"/>
      <c r="AY42" s="38"/>
    </row>
    <row r="43" spans="1:51">
      <c r="A43" s="57" t="s">
        <v>89</v>
      </c>
      <c r="B43" s="43">
        <v>576350.4384254975</v>
      </c>
      <c r="D43" s="43">
        <v>20624.899999999998</v>
      </c>
      <c r="E43" s="43">
        <v>1402.2</v>
      </c>
      <c r="F43" s="44">
        <v>0.85909212732457485</v>
      </c>
      <c r="G43" s="43">
        <f t="shared" si="2"/>
        <v>19120.889216856624</v>
      </c>
      <c r="H43" s="43">
        <v>20255.087825658498</v>
      </c>
      <c r="I43" s="76">
        <v>0.131035927043918</v>
      </c>
      <c r="J43" s="63">
        <v>4.8596206954853297E-2</v>
      </c>
      <c r="K43" s="43">
        <v>1354.9693035492601</v>
      </c>
      <c r="L43" s="76">
        <v>0.228365893021061</v>
      </c>
      <c r="M43" s="63">
        <v>6.0589842266276896E-3</v>
      </c>
      <c r="N43" s="44">
        <v>0.82784500000000005</v>
      </c>
      <c r="O43" s="43">
        <f>H43*N43+K43</f>
        <v>18123.042484581521</v>
      </c>
      <c r="Q43" s="43">
        <v>2022.7150666666671</v>
      </c>
      <c r="R43" s="43">
        <v>491.90102752179155</v>
      </c>
      <c r="S43" s="43">
        <f t="shared" si="0"/>
        <v>994975.61967714259</v>
      </c>
      <c r="T43" s="43">
        <v>2050.7735178819798</v>
      </c>
      <c r="U43" s="43">
        <v>6676.333333333333</v>
      </c>
      <c r="V43" s="43">
        <v>485.03628546980445</v>
      </c>
      <c r="W43" s="43">
        <f t="shared" si="4"/>
        <v>994699.56945331907</v>
      </c>
      <c r="X43" s="41"/>
      <c r="Y43" s="46"/>
      <c r="Z43" s="46"/>
      <c r="AA43" s="53" t="e">
        <f t="shared" si="5"/>
        <v>#DIV/0!</v>
      </c>
      <c r="AB43" s="63">
        <f>AVERAGE(AB3:AB42)</f>
        <v>0.54513939882025375</v>
      </c>
      <c r="AD43" s="46"/>
      <c r="AE43" s="46"/>
      <c r="AF43" s="44" t="e">
        <f>1-AE43/AD43</f>
        <v>#DIV/0!</v>
      </c>
      <c r="AG43" s="63">
        <f>AVERAGE(AG3:AG42)</f>
        <v>0.16348037336425186</v>
      </c>
      <c r="AI43" s="57" t="s">
        <v>89</v>
      </c>
      <c r="AJ43" s="45" t="e">
        <f t="shared" si="6"/>
        <v>#DIV/0!</v>
      </c>
      <c r="AK43" s="45">
        <f>AK42*(1+AL43)</f>
        <v>1.4245301508112032</v>
      </c>
      <c r="AL43" s="64">
        <f>AVERAGE(AL5:AL10)</f>
        <v>2.7062543678618711E-2</v>
      </c>
      <c r="AN43" s="57" t="s">
        <v>89</v>
      </c>
      <c r="AO43" s="42">
        <f t="shared" si="7"/>
        <v>576350.4384254975</v>
      </c>
      <c r="AP43" s="43">
        <f>EXP(LOG(AK43*(AB43^AB43)*(O43^(AG43*(1-AB43)))*(W43^((1-AG43)*(1-AB43))),EXP(1))/(1-AB43))</f>
        <v>543723.77777710755</v>
      </c>
      <c r="AQ43" s="44">
        <f t="shared" si="8"/>
        <v>6.0005947839501743E-2</v>
      </c>
      <c r="AR43" s="44">
        <f>AP43/AP42-1</f>
        <v>-5.697462200131409E-2</v>
      </c>
      <c r="AT43" s="37"/>
    </row>
    <row r="44" spans="1:51">
      <c r="A44" s="57" t="s">
        <v>90</v>
      </c>
      <c r="H44" s="75">
        <f t="shared" ref="H44:H63" si="14">H43*(1-I43)+AP43/10*J43</f>
        <v>20243.23493818046</v>
      </c>
      <c r="I44" s="76">
        <v>0.13196770782917799</v>
      </c>
      <c r="J44" s="62">
        <v>4.8410677927110402E-2</v>
      </c>
      <c r="K44" s="75">
        <f t="shared" ref="K44:K63" si="15">K43*(1-L43)+AP43/10*M43</f>
        <v>1374.9819078474995</v>
      </c>
      <c r="L44" s="76">
        <v>0.227923770604398</v>
      </c>
      <c r="M44" s="62">
        <v>6.1708893933563802E-3</v>
      </c>
      <c r="N44" s="62">
        <f>N43</f>
        <v>0.82784500000000005</v>
      </c>
      <c r="O44" s="43">
        <f>H44*N44+K44</f>
        <v>18133.242735245505</v>
      </c>
      <c r="R44" s="51"/>
      <c r="T44" s="75">
        <v>1929.9619148851</v>
      </c>
      <c r="U44" s="43">
        <f>(U$48-U$43)/5+U43</f>
        <v>6639.0666666666666</v>
      </c>
      <c r="V44" s="43">
        <f>U44*0.0734908144536897+4</f>
        <v>491.91041654567613</v>
      </c>
      <c r="W44" s="43">
        <f>T44*V44</f>
        <v>949368.36946842028</v>
      </c>
      <c r="AB44" s="62">
        <f>AB43</f>
        <v>0.54513939882025375</v>
      </c>
      <c r="AG44" s="62">
        <f>AG43</f>
        <v>0.16348037336425186</v>
      </c>
      <c r="AK44" s="45">
        <f>AK43*(1+AL44)</f>
        <v>1.4630815602390406</v>
      </c>
      <c r="AL44" s="62">
        <f>AL43</f>
        <v>2.7062543678618711E-2</v>
      </c>
      <c r="AN44" s="57" t="s">
        <v>90</v>
      </c>
      <c r="AP44" s="43">
        <f t="shared" ref="AP44:AP63" si="16">EXP(LOG(AK44*(AB44^AB44)*(O44^(AG44*(1-AB44)))*(W44^((1-AG44)*(1-AB44))),EXP(1))/(1-AB44))</f>
        <v>554585.15038916224</v>
      </c>
      <c r="AQ44" s="44">
        <f t="shared" si="8"/>
        <v>-1</v>
      </c>
      <c r="AR44" s="44">
        <f>AP44/AP43-1</f>
        <v>1.997590147052053E-2</v>
      </c>
      <c r="AT44" s="37"/>
    </row>
    <row r="45" spans="1:51">
      <c r="A45" s="57" t="s">
        <v>91</v>
      </c>
      <c r="H45" s="75">
        <f t="shared" si="14"/>
        <v>20256.565934206035</v>
      </c>
      <c r="I45" s="76">
        <v>0.13290611439601799</v>
      </c>
      <c r="J45" s="62">
        <v>4.8552784684318097E-2</v>
      </c>
      <c r="K45" s="75">
        <f t="shared" si="15"/>
        <v>1403.8192091230119</v>
      </c>
      <c r="L45" s="76">
        <v>0.227696534321608</v>
      </c>
      <c r="M45" s="62">
        <v>6.2827945600850699E-3</v>
      </c>
      <c r="N45" s="62">
        <f t="shared" ref="N45:N63" si="17">N44</f>
        <v>0.82784500000000005</v>
      </c>
      <c r="O45" s="43">
        <f t="shared" si="12"/>
        <v>18173.11603492581</v>
      </c>
      <c r="R45" s="51"/>
      <c r="T45" s="75">
        <f>T44</f>
        <v>1929.9619148851</v>
      </c>
      <c r="U45" s="43">
        <f>(U$48-U$43)/5+U44</f>
        <v>6601.8</v>
      </c>
      <c r="V45" s="43">
        <f t="shared" ref="V45:V63" si="18">U45*0.0734908144536897+4</f>
        <v>489.17165886036867</v>
      </c>
      <c r="W45" s="43">
        <f t="shared" si="4"/>
        <v>944082.67144167796</v>
      </c>
      <c r="AB45" s="62">
        <f t="shared" ref="AB45:AB63" si="19">AB44</f>
        <v>0.54513939882025375</v>
      </c>
      <c r="AG45" s="62">
        <f t="shared" ref="AG45:AG63" si="20">AG44</f>
        <v>0.16348037336425186</v>
      </c>
      <c r="AK45" s="45">
        <f>AK44*(1+AL45)</f>
        <v>1.5026762688683912</v>
      </c>
      <c r="AL45" s="62">
        <f t="shared" ref="AL45:AL63" si="21">AL44</f>
        <v>2.7062543678618711E-2</v>
      </c>
      <c r="AN45" s="57" t="s">
        <v>91</v>
      </c>
      <c r="AP45" s="43">
        <f t="shared" si="16"/>
        <v>585586.87298587931</v>
      </c>
      <c r="AQ45" s="44">
        <f t="shared" si="8"/>
        <v>-1</v>
      </c>
      <c r="AR45" s="44">
        <f>AP45/AP44-1</f>
        <v>5.5900744141747394E-2</v>
      </c>
      <c r="AT45" s="37"/>
    </row>
    <row r="46" spans="1:51">
      <c r="A46" s="57" t="s">
        <v>92</v>
      </c>
      <c r="H46" s="75">
        <f t="shared" si="14"/>
        <v>20407.531800688623</v>
      </c>
      <c r="I46" s="76">
        <v>0.133851193859578</v>
      </c>
      <c r="J46" s="62">
        <v>4.8893185038889501E-2</v>
      </c>
      <c r="K46" s="75">
        <f t="shared" si="15"/>
        <v>1452.0866423968923</v>
      </c>
      <c r="L46" s="76">
        <v>0.22765523537704199</v>
      </c>
      <c r="M46" s="62">
        <v>6.3946997268137596E-3</v>
      </c>
      <c r="N46" s="62">
        <f t="shared" si="17"/>
        <v>0.82784500000000005</v>
      </c>
      <c r="O46" s="43">
        <f t="shared" si="12"/>
        <v>18346.359805937966</v>
      </c>
      <c r="R46" s="51"/>
      <c r="T46" s="75">
        <f t="shared" ref="T46:T63" si="22">T45</f>
        <v>1929.9619148851</v>
      </c>
      <c r="U46" s="43">
        <f>(U$48-U$43)/5+U45</f>
        <v>6564.5333333333338</v>
      </c>
      <c r="V46" s="43">
        <f t="shared" si="18"/>
        <v>486.4329011750612</v>
      </c>
      <c r="W46" s="43">
        <f t="shared" si="4"/>
        <v>938796.97341493575</v>
      </c>
      <c r="AB46" s="62">
        <f t="shared" si="19"/>
        <v>0.54513939882025375</v>
      </c>
      <c r="AG46" s="62">
        <f t="shared" si="20"/>
        <v>0.16348037336425186</v>
      </c>
      <c r="AK46" s="45">
        <f t="shared" ref="AK46:AK63" si="23">AK45*(1+AL46)</f>
        <v>1.5433425110294658</v>
      </c>
      <c r="AL46" s="62">
        <f t="shared" si="21"/>
        <v>2.7062543678618711E-2</v>
      </c>
      <c r="AN46" s="57" t="s">
        <v>92</v>
      </c>
      <c r="AP46" s="43">
        <f t="shared" si="16"/>
        <v>619042.85393159883</v>
      </c>
      <c r="AQ46" s="44">
        <f t="shared" si="8"/>
        <v>-1</v>
      </c>
      <c r="AR46" s="44">
        <f>AP46/AP45-1</f>
        <v>5.7132395702671923E-2</v>
      </c>
      <c r="AT46" s="37"/>
    </row>
    <row r="47" spans="1:51">
      <c r="A47" s="57" t="s">
        <v>93</v>
      </c>
      <c r="H47" s="75">
        <f t="shared" si="14"/>
        <v>20702.656985867139</v>
      </c>
      <c r="I47" s="76">
        <v>0.13480299367002699</v>
      </c>
      <c r="J47" s="62">
        <v>4.9355965998516799E-2</v>
      </c>
      <c r="K47" s="75">
        <f t="shared" si="15"/>
        <v>1517.3708329264095</v>
      </c>
      <c r="L47" s="76">
        <v>0.22777482486730799</v>
      </c>
      <c r="M47" s="62">
        <v>6.5066048935424597E-3</v>
      </c>
      <c r="N47" s="62">
        <f t="shared" si="17"/>
        <v>0.82784500000000005</v>
      </c>
      <c r="O47" s="43">
        <f t="shared" si="12"/>
        <v>18655.961905391592</v>
      </c>
      <c r="R47" s="51"/>
      <c r="T47" s="75">
        <f t="shared" si="22"/>
        <v>1929.9619148851</v>
      </c>
      <c r="U47" s="43">
        <f>(U$48-U$43)/5+U46</f>
        <v>6527.2666666666673</v>
      </c>
      <c r="V47" s="43">
        <f t="shared" si="18"/>
        <v>483.69414348975369</v>
      </c>
      <c r="W47" s="43">
        <f t="shared" si="4"/>
        <v>933511.27538819332</v>
      </c>
      <c r="AB47" s="62">
        <f t="shared" si="19"/>
        <v>0.54513939882025375</v>
      </c>
      <c r="AG47" s="62">
        <f t="shared" si="20"/>
        <v>0.16348037336425186</v>
      </c>
      <c r="AK47" s="45">
        <f t="shared" si="23"/>
        <v>1.5851092851452699</v>
      </c>
      <c r="AL47" s="62">
        <f t="shared" si="21"/>
        <v>2.7062543678618711E-2</v>
      </c>
      <c r="AN47" s="57" t="s">
        <v>93</v>
      </c>
      <c r="AP47" s="43">
        <f t="shared" si="16"/>
        <v>655168.62350252748</v>
      </c>
      <c r="AQ47" s="44">
        <f t="shared" si="8"/>
        <v>-1</v>
      </c>
      <c r="AR47" s="44">
        <f t="shared" ref="AR47:AR63" si="24">AP47/AP46-1</f>
        <v>5.8357461590083037E-2</v>
      </c>
      <c r="AT47" s="37"/>
    </row>
    <row r="48" spans="1:51">
      <c r="A48" s="57" t="s">
        <v>94</v>
      </c>
      <c r="H48" s="75">
        <f t="shared" si="14"/>
        <v>21145.524877737131</v>
      </c>
      <c r="I48" s="76">
        <v>0.13576156161494701</v>
      </c>
      <c r="J48" s="62">
        <v>4.9895975552284401E-2</v>
      </c>
      <c r="K48" s="75">
        <f t="shared" si="15"/>
        <v>1598.0442943755379</v>
      </c>
      <c r="L48" s="76">
        <v>0.22803362839984001</v>
      </c>
      <c r="M48" s="62">
        <v>6.6185100602711502E-3</v>
      </c>
      <c r="N48" s="62">
        <f t="shared" si="17"/>
        <v>0.82784500000000005</v>
      </c>
      <c r="O48" s="43">
        <f t="shared" si="12"/>
        <v>19103.261336785832</v>
      </c>
      <c r="R48" s="51"/>
      <c r="T48" s="75">
        <f t="shared" si="22"/>
        <v>1929.9619148851</v>
      </c>
      <c r="U48" s="61">
        <v>6490</v>
      </c>
      <c r="V48" s="43">
        <f t="shared" si="18"/>
        <v>480.95538580444617</v>
      </c>
      <c r="W48" s="43">
        <f t="shared" si="4"/>
        <v>928225.577361451</v>
      </c>
      <c r="AB48" s="62">
        <f t="shared" si="19"/>
        <v>0.54513939882025375</v>
      </c>
      <c r="AG48" s="62">
        <f t="shared" si="20"/>
        <v>0.16348037336425186</v>
      </c>
      <c r="AK48" s="45">
        <f t="shared" si="23"/>
        <v>1.6280063744098978</v>
      </c>
      <c r="AL48" s="62">
        <f t="shared" si="21"/>
        <v>2.7062543678618711E-2</v>
      </c>
      <c r="AN48" s="57" t="s">
        <v>94</v>
      </c>
      <c r="AP48" s="43">
        <f t="shared" si="16"/>
        <v>694173.2565011268</v>
      </c>
      <c r="AQ48" s="44">
        <f t="shared" si="8"/>
        <v>-1</v>
      </c>
      <c r="AR48" s="44">
        <f t="shared" si="24"/>
        <v>5.9533731621763009E-2</v>
      </c>
      <c r="AT48" s="37"/>
    </row>
    <row r="49" spans="1:46">
      <c r="A49" s="57" t="s">
        <v>95</v>
      </c>
      <c r="H49" s="75">
        <f t="shared" si="14"/>
        <v>21738.420582710813</v>
      </c>
      <c r="I49" s="76">
        <v>0.136726945821732</v>
      </c>
      <c r="J49" s="62">
        <v>5.0486149760110698E-2</v>
      </c>
      <c r="K49" s="75">
        <f t="shared" si="15"/>
        <v>1693.0757237578114</v>
      </c>
      <c r="L49" s="76">
        <v>0.22841289148923399</v>
      </c>
      <c r="M49" s="62">
        <v>6.7304152269998399E-3</v>
      </c>
      <c r="N49" s="62">
        <f t="shared" si="17"/>
        <v>0.82784500000000005</v>
      </c>
      <c r="O49" s="43">
        <f t="shared" si="12"/>
        <v>19689.118511052046</v>
      </c>
      <c r="R49" s="51"/>
      <c r="T49" s="75">
        <f t="shared" si="22"/>
        <v>1929.9619148851</v>
      </c>
      <c r="U49" s="43">
        <f>(U$53-U$48)/5+U48</f>
        <v>6465.2</v>
      </c>
      <c r="V49" s="43">
        <f t="shared" si="18"/>
        <v>479.13281360599461</v>
      </c>
      <c r="W49" s="43">
        <f t="shared" si="4"/>
        <v>924708.08243131102</v>
      </c>
      <c r="AB49" s="62">
        <f t="shared" si="19"/>
        <v>0.54513939882025375</v>
      </c>
      <c r="AG49" s="62">
        <f t="shared" si="20"/>
        <v>0.16348037336425186</v>
      </c>
      <c r="AK49" s="45">
        <f t="shared" si="23"/>
        <v>1.6720643680264353</v>
      </c>
      <c r="AL49" s="62">
        <f t="shared" si="21"/>
        <v>2.7062543678618711E-2</v>
      </c>
      <c r="AN49" s="57" t="s">
        <v>95</v>
      </c>
      <c r="AP49" s="43">
        <f t="shared" si="16"/>
        <v>737443.41597007576</v>
      </c>
      <c r="AQ49" s="44">
        <f t="shared" si="8"/>
        <v>-1</v>
      </c>
      <c r="AR49" s="44">
        <f t="shared" si="24"/>
        <v>6.2333371479975419E-2</v>
      </c>
      <c r="AT49" s="37"/>
    </row>
    <row r="50" spans="1:46">
      <c r="A50" s="57" t="s">
        <v>96</v>
      </c>
      <c r="H50" s="75">
        <f t="shared" si="14"/>
        <v>22489.260603275776</v>
      </c>
      <c r="I50" s="76">
        <v>0.137699194760004</v>
      </c>
      <c r="J50" s="62">
        <v>5.1110201956258199E-2</v>
      </c>
      <c r="K50" s="75">
        <f t="shared" si="15"/>
        <v>1802.6854417736395</v>
      </c>
      <c r="L50" s="76">
        <v>0.228896386196384</v>
      </c>
      <c r="M50" s="62">
        <v>6.8423203937285296E-3</v>
      </c>
      <c r="N50" s="62">
        <f t="shared" si="17"/>
        <v>0.82784500000000005</v>
      </c>
      <c r="O50" s="43">
        <f t="shared" si="12"/>
        <v>20420.307385892476</v>
      </c>
      <c r="R50" s="51"/>
      <c r="T50" s="75">
        <f t="shared" si="22"/>
        <v>1929.9619148851</v>
      </c>
      <c r="U50" s="43">
        <f>(U$53-U$48)/5+U49</f>
        <v>6440.4</v>
      </c>
      <c r="V50" s="43">
        <f t="shared" si="18"/>
        <v>477.31024140754312</v>
      </c>
      <c r="W50" s="43">
        <f t="shared" si="4"/>
        <v>921190.58750117128</v>
      </c>
      <c r="AB50" s="62">
        <f t="shared" si="19"/>
        <v>0.54513939882025375</v>
      </c>
      <c r="AG50" s="62">
        <f t="shared" si="20"/>
        <v>0.16348037336425186</v>
      </c>
      <c r="AK50" s="45">
        <f t="shared" si="23"/>
        <v>1.7173146830196127</v>
      </c>
      <c r="AL50" s="62">
        <f t="shared" si="21"/>
        <v>2.7062543678618711E-2</v>
      </c>
      <c r="AN50" s="57" t="s">
        <v>96</v>
      </c>
      <c r="AP50" s="43">
        <f t="shared" si="16"/>
        <v>784202.97669081751</v>
      </c>
      <c r="AQ50" s="44">
        <f t="shared" si="8"/>
        <v>-1</v>
      </c>
      <c r="AR50" s="44">
        <f t="shared" si="24"/>
        <v>6.3407659093723812E-2</v>
      </c>
      <c r="AT50" s="37"/>
    </row>
    <row r="51" spans="1:46">
      <c r="A51" s="57" t="s">
        <v>97</v>
      </c>
      <c r="H51" s="75">
        <f t="shared" si="14"/>
        <v>23400.584778793469</v>
      </c>
      <c r="I51" s="76">
        <v>0.13867835724404601</v>
      </c>
      <c r="J51" s="62">
        <v>5.1758319200818102E-2</v>
      </c>
      <c r="K51" s="75">
        <f t="shared" si="15"/>
        <v>1926.6340607262414</v>
      </c>
      <c r="L51" s="76">
        <v>0.229470070759969</v>
      </c>
      <c r="M51" s="62">
        <v>6.9542255604572297E-3</v>
      </c>
      <c r="N51" s="62">
        <f t="shared" si="17"/>
        <v>0.82784500000000005</v>
      </c>
      <c r="O51" s="43">
        <f t="shared" si="12"/>
        <v>21298.691166926525</v>
      </c>
      <c r="R51" s="51"/>
      <c r="T51" s="75">
        <f t="shared" si="22"/>
        <v>1929.9619148851</v>
      </c>
      <c r="U51" s="43">
        <f>(U$53-U$48)/5+U50</f>
        <v>6415.5999999999995</v>
      </c>
      <c r="V51" s="43">
        <f t="shared" si="18"/>
        <v>475.48766920909156</v>
      </c>
      <c r="W51" s="43">
        <f t="shared" si="4"/>
        <v>917673.0925710313</v>
      </c>
      <c r="AB51" s="62">
        <f t="shared" si="19"/>
        <v>0.54513939882025375</v>
      </c>
      <c r="AG51" s="62">
        <f t="shared" si="20"/>
        <v>0.16348037336425186</v>
      </c>
      <c r="AK51" s="45">
        <f t="shared" si="23"/>
        <v>1.7637895866387641</v>
      </c>
      <c r="AL51" s="62">
        <f t="shared" si="21"/>
        <v>2.7062543678618711E-2</v>
      </c>
      <c r="AN51" s="57" t="s">
        <v>97</v>
      </c>
      <c r="AP51" s="43">
        <f t="shared" si="16"/>
        <v>834688.17073383625</v>
      </c>
      <c r="AQ51" s="44">
        <f t="shared" si="8"/>
        <v>-1</v>
      </c>
      <c r="AR51" s="44">
        <f t="shared" si="24"/>
        <v>6.4377712841714008E-2</v>
      </c>
      <c r="AT51" s="37"/>
    </row>
    <row r="52" spans="1:46">
      <c r="A52" s="57" t="s">
        <v>98</v>
      </c>
      <c r="H52" s="75">
        <f t="shared" si="14"/>
        <v>24475.635800519252</v>
      </c>
      <c r="I52" s="76">
        <v>0.13966448243525401</v>
      </c>
      <c r="J52" s="62">
        <v>5.2424596654054099E-2</v>
      </c>
      <c r="K52" s="75">
        <f t="shared" si="15"/>
        <v>2064.9901876756776</v>
      </c>
      <c r="L52" s="76">
        <v>0.230121795081348</v>
      </c>
      <c r="M52" s="62">
        <v>7.0661307271859203E-3</v>
      </c>
      <c r="N52" s="62">
        <f t="shared" si="17"/>
        <v>0.82784500000000005</v>
      </c>
      <c r="O52" s="43">
        <f t="shared" si="12"/>
        <v>22327.022906956539</v>
      </c>
      <c r="R52" s="51"/>
      <c r="T52" s="75">
        <f t="shared" si="22"/>
        <v>1929.9619148851</v>
      </c>
      <c r="U52" s="43">
        <f>(U$53-U$48)/5+U51</f>
        <v>6390.7999999999993</v>
      </c>
      <c r="V52" s="43">
        <f t="shared" si="18"/>
        <v>473.66509701064007</v>
      </c>
      <c r="W52" s="43">
        <f t="shared" si="4"/>
        <v>914155.59764089156</v>
      </c>
      <c r="AB52" s="62">
        <f t="shared" si="19"/>
        <v>0.54513939882025375</v>
      </c>
      <c r="AG52" s="62">
        <f t="shared" si="20"/>
        <v>0.16348037336425186</v>
      </c>
      <c r="AK52" s="45">
        <f t="shared" si="23"/>
        <v>1.8115222193670684</v>
      </c>
      <c r="AL52" s="62">
        <f t="shared" si="21"/>
        <v>2.7062543678618711E-2</v>
      </c>
      <c r="AN52" s="57" t="s">
        <v>98</v>
      </c>
      <c r="AP52" s="43">
        <f t="shared" si="16"/>
        <v>889144.33821469429</v>
      </c>
      <c r="AQ52" s="44">
        <f t="shared" si="8"/>
        <v>-1</v>
      </c>
      <c r="AR52" s="44">
        <f t="shared" si="24"/>
        <v>6.5241331302181571E-2</v>
      </c>
      <c r="AT52" s="37"/>
    </row>
    <row r="53" spans="1:46">
      <c r="A53" s="57" t="s">
        <v>99</v>
      </c>
      <c r="H53" s="75">
        <f t="shared" si="14"/>
        <v>25718.562123980078</v>
      </c>
      <c r="I53" s="76">
        <v>0.14065761984460601</v>
      </c>
      <c r="J53" s="62">
        <v>5.3105496034087603E-2</v>
      </c>
      <c r="K53" s="75">
        <f t="shared" si="15"/>
        <v>2218.0719517786051</v>
      </c>
      <c r="L53" s="76">
        <v>0.230841045885603</v>
      </c>
      <c r="M53" s="62">
        <v>7.17803589391461E-3</v>
      </c>
      <c r="N53" s="62">
        <f t="shared" si="17"/>
        <v>0.82784500000000005</v>
      </c>
      <c r="O53" s="43">
        <f t="shared" si="12"/>
        <v>23509.055013304896</v>
      </c>
      <c r="R53" s="51"/>
      <c r="T53" s="75">
        <f t="shared" si="22"/>
        <v>1929.9619148851</v>
      </c>
      <c r="U53" s="61">
        <v>6366</v>
      </c>
      <c r="V53" s="43">
        <f t="shared" si="18"/>
        <v>471.84252481218863</v>
      </c>
      <c r="W53" s="43">
        <f t="shared" si="4"/>
        <v>910638.10271075182</v>
      </c>
      <c r="AB53" s="62">
        <f t="shared" si="19"/>
        <v>0.54513939882025375</v>
      </c>
      <c r="AG53" s="62">
        <f t="shared" si="20"/>
        <v>0.16348037336425186</v>
      </c>
      <c r="AK53" s="45">
        <f t="shared" si="23"/>
        <v>1.860546618553478</v>
      </c>
      <c r="AL53" s="62">
        <f t="shared" si="21"/>
        <v>2.7062543678618711E-2</v>
      </c>
      <c r="AN53" s="57" t="s">
        <v>99</v>
      </c>
      <c r="AP53" s="43">
        <f t="shared" si="16"/>
        <v>947828.65532611508</v>
      </c>
      <c r="AQ53" s="44">
        <f t="shared" si="8"/>
        <v>-1</v>
      </c>
      <c r="AR53" s="44">
        <f t="shared" si="24"/>
        <v>6.6000889382316297E-2</v>
      </c>
      <c r="AT53" s="38">
        <f>AP53/AP42</f>
        <v>1.6438980829955692</v>
      </c>
    </row>
    <row r="54" spans="1:46">
      <c r="A54" s="57" t="s">
        <v>100</v>
      </c>
      <c r="H54" s="75">
        <f t="shared" si="14"/>
        <v>27134.541479436964</v>
      </c>
      <c r="I54" s="76">
        <v>0.14165781933514399</v>
      </c>
      <c r="J54" s="62">
        <v>5.3798914960397799E-2</v>
      </c>
      <c r="K54" s="75">
        <f t="shared" si="15"/>
        <v>2386.4047135016785</v>
      </c>
      <c r="L54" s="76">
        <v>0.23161872621371701</v>
      </c>
      <c r="M54" s="62">
        <v>7.2899410606432997E-3</v>
      </c>
      <c r="N54" s="62">
        <f t="shared" si="17"/>
        <v>0.82784500000000005</v>
      </c>
      <c r="O54" s="43">
        <f t="shared" si="12"/>
        <v>24849.599204546172</v>
      </c>
      <c r="R54" s="51"/>
      <c r="T54" s="75">
        <f t="shared" si="22"/>
        <v>1929.9619148851</v>
      </c>
      <c r="U54" s="43">
        <f>(U$58-U$53)/5+U53</f>
        <v>6334.6</v>
      </c>
      <c r="V54" s="43">
        <f t="shared" si="18"/>
        <v>469.53491323834277</v>
      </c>
      <c r="W54" s="43">
        <f t="shared" si="4"/>
        <v>906184.50025888125</v>
      </c>
      <c r="AB54" s="62">
        <f t="shared" si="19"/>
        <v>0.54513939882025375</v>
      </c>
      <c r="AG54" s="62">
        <f t="shared" si="20"/>
        <v>0.16348037336425186</v>
      </c>
      <c r="AK54" s="45">
        <f t="shared" si="23"/>
        <v>1.9108977426841878</v>
      </c>
      <c r="AL54" s="62">
        <f t="shared" si="21"/>
        <v>2.7062543678618711E-2</v>
      </c>
      <c r="AN54" s="57" t="s">
        <v>100</v>
      </c>
      <c r="AP54" s="43">
        <f t="shared" si="16"/>
        <v>1010139.8559000152</v>
      </c>
      <c r="AQ54" s="44">
        <f t="shared" si="8"/>
        <v>-1</v>
      </c>
      <c r="AR54" s="44">
        <f t="shared" si="24"/>
        <v>6.5740996775900395E-2</v>
      </c>
      <c r="AT54" s="37"/>
    </row>
    <row r="55" spans="1:46">
      <c r="A55" s="57" t="s">
        <v>101</v>
      </c>
      <c r="H55" s="75">
        <f t="shared" si="14"/>
        <v>28725.164325368256</v>
      </c>
      <c r="I55" s="76">
        <v>0.14266513112448301</v>
      </c>
      <c r="J55" s="62">
        <v>5.4503623474283801E-2</v>
      </c>
      <c r="K55" s="75">
        <f t="shared" si="15"/>
        <v>2570.054694781792</v>
      </c>
      <c r="L55" s="76">
        <v>0.232446964620865</v>
      </c>
      <c r="M55" s="62">
        <v>7.4018462273719998E-3</v>
      </c>
      <c r="N55" s="62">
        <f t="shared" si="17"/>
        <v>0.82784500000000005</v>
      </c>
      <c r="O55" s="43">
        <f t="shared" si="12"/>
        <v>26350.038355716279</v>
      </c>
      <c r="R55" s="51"/>
      <c r="T55" s="75">
        <f t="shared" si="22"/>
        <v>1929.9619148851</v>
      </c>
      <c r="U55" s="43">
        <f>(U$58-U$53)/5+U54</f>
        <v>6303.2000000000007</v>
      </c>
      <c r="V55" s="43">
        <f t="shared" si="18"/>
        <v>467.22730166449696</v>
      </c>
      <c r="W55" s="43">
        <f t="shared" si="4"/>
        <v>901730.8978070108</v>
      </c>
      <c r="AB55" s="62">
        <f t="shared" si="19"/>
        <v>0.54513939882025375</v>
      </c>
      <c r="AG55" s="62">
        <f t="shared" si="20"/>
        <v>0.16348037336425186</v>
      </c>
      <c r="AK55" s="45">
        <f t="shared" si="23"/>
        <v>1.9626114963109524</v>
      </c>
      <c r="AL55" s="62">
        <f t="shared" si="21"/>
        <v>2.7062543678618711E-2</v>
      </c>
      <c r="AN55" s="57" t="s">
        <v>101</v>
      </c>
      <c r="AP55" s="43">
        <f t="shared" si="16"/>
        <v>1077084.1188840512</v>
      </c>
      <c r="AQ55" s="44">
        <f t="shared" si="8"/>
        <v>-1</v>
      </c>
      <c r="AR55" s="44">
        <f t="shared" si="24"/>
        <v>6.6272271698843088E-2</v>
      </c>
      <c r="AT55" s="37"/>
    </row>
    <row r="56" spans="1:46">
      <c r="A56" s="57" t="s">
        <v>102</v>
      </c>
      <c r="H56" s="75">
        <f t="shared" si="14"/>
        <v>30497.583716895981</v>
      </c>
      <c r="I56" s="76">
        <v>0.143679605787327</v>
      </c>
      <c r="J56" s="62">
        <v>5.5218922278210597E-2</v>
      </c>
      <c r="K56" s="75">
        <f t="shared" si="15"/>
        <v>2769.8943842625818</v>
      </c>
      <c r="L56" s="76">
        <v>0.23331895007893599</v>
      </c>
      <c r="M56" s="62">
        <v>7.5137513941006904E-3</v>
      </c>
      <c r="N56" s="62">
        <f t="shared" si="17"/>
        <v>0.82784500000000005</v>
      </c>
      <c r="O56" s="43">
        <f t="shared" si="12"/>
        <v>28017.166576376338</v>
      </c>
      <c r="R56" s="51"/>
      <c r="T56" s="75">
        <f t="shared" si="22"/>
        <v>1929.9619148851</v>
      </c>
      <c r="U56" s="43">
        <f>(U$58-U$53)/5+U55</f>
        <v>6271.8000000000011</v>
      </c>
      <c r="V56" s="43">
        <f t="shared" si="18"/>
        <v>464.91969009065116</v>
      </c>
      <c r="W56" s="43">
        <f t="shared" si="4"/>
        <v>897277.29535514035</v>
      </c>
      <c r="AB56" s="62">
        <f t="shared" si="19"/>
        <v>0.54513939882025375</v>
      </c>
      <c r="AG56" s="62">
        <f t="shared" si="20"/>
        <v>0.16348037336425186</v>
      </c>
      <c r="AK56" s="45">
        <f t="shared" si="23"/>
        <v>2.015724755654027</v>
      </c>
      <c r="AL56" s="62">
        <f t="shared" si="21"/>
        <v>2.7062543678618711E-2</v>
      </c>
      <c r="AN56" s="57" t="s">
        <v>102</v>
      </c>
      <c r="AP56" s="43">
        <f t="shared" si="16"/>
        <v>1148952.2030022056</v>
      </c>
      <c r="AQ56" s="44">
        <f t="shared" si="8"/>
        <v>-1</v>
      </c>
      <c r="AR56" s="44">
        <f t="shared" si="24"/>
        <v>6.672467160003781E-2</v>
      </c>
      <c r="AT56" s="37"/>
    </row>
    <row r="57" spans="1:46">
      <c r="A57" s="57" t="s">
        <v>103</v>
      </c>
      <c r="H57" s="75">
        <f t="shared" si="14"/>
        <v>32460.09315088213</v>
      </c>
      <c r="I57" s="76">
        <v>0.14470129425801201</v>
      </c>
      <c r="J57" s="62">
        <v>5.5944435236563297E-2</v>
      </c>
      <c r="K57" s="75">
        <f t="shared" si="15"/>
        <v>2986.9196564031836</v>
      </c>
      <c r="L57" s="76">
        <v>0.23422878912047199</v>
      </c>
      <c r="M57" s="62">
        <v>7.6256565608293801E-3</v>
      </c>
      <c r="N57" s="62">
        <f t="shared" si="17"/>
        <v>0.82784500000000005</v>
      </c>
      <c r="O57" s="43">
        <f t="shared" si="12"/>
        <v>29858.845470895205</v>
      </c>
      <c r="R57" s="51"/>
      <c r="T57" s="75">
        <f t="shared" si="22"/>
        <v>1929.9619148851</v>
      </c>
      <c r="U57" s="43">
        <f>(U$58-U$53)/5+U56</f>
        <v>6240.4000000000015</v>
      </c>
      <c r="V57" s="43">
        <f t="shared" si="18"/>
        <v>462.6120785168053</v>
      </c>
      <c r="W57" s="43">
        <f t="shared" si="4"/>
        <v>892823.69290326978</v>
      </c>
      <c r="AB57" s="62">
        <f t="shared" si="19"/>
        <v>0.54513939882025375</v>
      </c>
      <c r="AG57" s="62">
        <f t="shared" si="20"/>
        <v>0.16348037336425186</v>
      </c>
      <c r="AK57" s="45">
        <f t="shared" si="23"/>
        <v>2.0702753948979873</v>
      </c>
      <c r="AL57" s="62">
        <f t="shared" si="21"/>
        <v>2.7062543678618711E-2</v>
      </c>
      <c r="AN57" s="57" t="s">
        <v>103</v>
      </c>
      <c r="AP57" s="43">
        <f t="shared" si="16"/>
        <v>1226054.5306150832</v>
      </c>
      <c r="AQ57" s="44">
        <f t="shared" si="8"/>
        <v>-1</v>
      </c>
      <c r="AR57" s="44">
        <f t="shared" si="24"/>
        <v>6.7106645003516707E-2</v>
      </c>
      <c r="AT57" s="37"/>
    </row>
    <row r="58" spans="1:46">
      <c r="A58" s="57" t="s">
        <v>104</v>
      </c>
      <c r="H58" s="75">
        <f t="shared" si="14"/>
        <v>34622.168488662908</v>
      </c>
      <c r="I58" s="76">
        <v>0.14573024783306199</v>
      </c>
      <c r="J58" s="62">
        <v>5.6679983316418402E-2</v>
      </c>
      <c r="K58" s="75">
        <f t="shared" si="15"/>
        <v>3222.2441596156796</v>
      </c>
      <c r="L58" s="76">
        <v>0.23517138222773001</v>
      </c>
      <c r="M58" s="62">
        <v>7.7375617275580698E-3</v>
      </c>
      <c r="N58" s="62">
        <f t="shared" si="17"/>
        <v>0.82784500000000005</v>
      </c>
      <c r="O58" s="43">
        <f t="shared" si="12"/>
        <v>31884.033232112826</v>
      </c>
      <c r="R58" s="51"/>
      <c r="T58" s="75">
        <f t="shared" si="22"/>
        <v>1929.9619148851</v>
      </c>
      <c r="U58" s="61">
        <v>6209</v>
      </c>
      <c r="V58" s="43">
        <f t="shared" si="18"/>
        <v>460.30446694295932</v>
      </c>
      <c r="W58" s="43">
        <f t="shared" si="4"/>
        <v>888370.09045139898</v>
      </c>
      <c r="AB58" s="62">
        <f t="shared" si="19"/>
        <v>0.54513939882025375</v>
      </c>
      <c r="AG58" s="62">
        <f t="shared" si="20"/>
        <v>0.16348037336425186</v>
      </c>
      <c r="AK58" s="45">
        <f t="shared" si="23"/>
        <v>2.1263023131991838</v>
      </c>
      <c r="AL58" s="62">
        <f t="shared" si="21"/>
        <v>2.7062543678618711E-2</v>
      </c>
      <c r="AN58" s="57" t="s">
        <v>104</v>
      </c>
      <c r="AP58" s="43">
        <f t="shared" si="16"/>
        <v>1308723.0914274731</v>
      </c>
      <c r="AQ58" s="44">
        <f t="shared" si="8"/>
        <v>-1</v>
      </c>
      <c r="AR58" s="44">
        <f t="shared" si="24"/>
        <v>6.7426495925036134E-2</v>
      </c>
      <c r="AT58" s="37"/>
    </row>
    <row r="59" spans="1:46">
      <c r="A59" s="57" t="s">
        <v>105</v>
      </c>
      <c r="H59" s="75">
        <f t="shared" si="14"/>
        <v>36994.511593084106</v>
      </c>
      <c r="I59" s="76">
        <v>0.14676651817376299</v>
      </c>
      <c r="J59" s="62">
        <v>5.7425507978698498E-2</v>
      </c>
      <c r="K59" s="75">
        <f t="shared" si="15"/>
        <v>3477.0971171436995</v>
      </c>
      <c r="L59" s="76">
        <v>0.23614231687423301</v>
      </c>
      <c r="M59" s="62">
        <v>7.8494668942867604E-3</v>
      </c>
      <c r="N59" s="62">
        <f t="shared" si="17"/>
        <v>0.82784500000000005</v>
      </c>
      <c r="O59" s="43">
        <f t="shared" si="12"/>
        <v>34102.81856692041</v>
      </c>
      <c r="R59" s="51"/>
      <c r="T59" s="75">
        <f t="shared" si="22"/>
        <v>1929.9619148851</v>
      </c>
      <c r="U59" s="43">
        <f>(U$63-U$58)/5+U58</f>
        <v>6172</v>
      </c>
      <c r="V59" s="43">
        <f t="shared" si="18"/>
        <v>457.58530680817285</v>
      </c>
      <c r="W59" s="43">
        <f t="shared" si="4"/>
        <v>883122.21495078725</v>
      </c>
      <c r="AB59" s="62">
        <f t="shared" si="19"/>
        <v>0.54513939882025375</v>
      </c>
      <c r="AG59" s="62">
        <f t="shared" si="20"/>
        <v>0.16348037336425186</v>
      </c>
      <c r="AK59" s="45">
        <f t="shared" si="23"/>
        <v>2.1838454624240846</v>
      </c>
      <c r="AL59" s="62">
        <f t="shared" si="21"/>
        <v>2.7062543678618711E-2</v>
      </c>
      <c r="AN59" s="57" t="s">
        <v>105</v>
      </c>
      <c r="AP59" s="43">
        <f t="shared" si="16"/>
        <v>1396262.8861167033</v>
      </c>
      <c r="AQ59" s="44">
        <f t="shared" si="8"/>
        <v>-1</v>
      </c>
      <c r="AR59" s="44">
        <f t="shared" si="24"/>
        <v>6.6889470555415276E-2</v>
      </c>
      <c r="AT59" s="37"/>
    </row>
    <row r="60" spans="1:46">
      <c r="A60" s="57" t="s">
        <v>106</v>
      </c>
      <c r="H60" s="75">
        <f t="shared" si="14"/>
        <v>39583.066485733776</v>
      </c>
      <c r="I60" s="76">
        <v>0.14781015730876099</v>
      </c>
      <c r="J60" s="62">
        <v>5.8181024614152199E-2</v>
      </c>
      <c r="K60" s="75">
        <f t="shared" si="15"/>
        <v>3751.9992779341046</v>
      </c>
      <c r="L60" s="76">
        <v>0.23713777497542901</v>
      </c>
      <c r="M60" s="62">
        <v>7.9613720610154596E-3</v>
      </c>
      <c r="N60" s="62">
        <f t="shared" si="17"/>
        <v>0.82784500000000005</v>
      </c>
      <c r="O60" s="43">
        <f t="shared" si="12"/>
        <v>36520.642952816386</v>
      </c>
      <c r="R60" s="51"/>
      <c r="T60" s="75">
        <f t="shared" si="22"/>
        <v>1929.9619148851</v>
      </c>
      <c r="U60" s="43">
        <f>(U$63-U$58)/5+U59</f>
        <v>6135</v>
      </c>
      <c r="V60" s="43">
        <f t="shared" si="18"/>
        <v>454.86614667338631</v>
      </c>
      <c r="W60" s="43">
        <f t="shared" si="4"/>
        <v>877874.33945017541</v>
      </c>
      <c r="AB60" s="62">
        <f t="shared" si="19"/>
        <v>0.54513939882025375</v>
      </c>
      <c r="AG60" s="62">
        <f t="shared" si="20"/>
        <v>0.16348037336425186</v>
      </c>
      <c r="AK60" s="45">
        <f t="shared" si="23"/>
        <v>2.2429458756382896</v>
      </c>
      <c r="AL60" s="62">
        <f t="shared" si="21"/>
        <v>2.7062543678618711E-2</v>
      </c>
      <c r="AN60" s="57" t="s">
        <v>106</v>
      </c>
      <c r="AP60" s="43">
        <f t="shared" si="16"/>
        <v>1489912.012540716</v>
      </c>
      <c r="AQ60" s="44">
        <f t="shared" si="8"/>
        <v>-1</v>
      </c>
      <c r="AR60" s="44">
        <f t="shared" si="24"/>
        <v>6.7071271001458932E-2</v>
      </c>
      <c r="AT60" s="37"/>
    </row>
    <row r="61" spans="1:46">
      <c r="A61" s="57" t="s">
        <v>107</v>
      </c>
      <c r="H61" s="75">
        <f t="shared" si="14"/>
        <v>42400.74794916957</v>
      </c>
      <c r="I61" s="76">
        <v>0.14886121763666901</v>
      </c>
      <c r="J61" s="62">
        <v>5.8946594240633601E-2</v>
      </c>
      <c r="K61" s="75">
        <f t="shared" si="15"/>
        <v>4048.4329044566921</v>
      </c>
      <c r="L61" s="76">
        <v>0.23815445280731601</v>
      </c>
      <c r="M61" s="62">
        <v>8.0732772277441502E-3</v>
      </c>
      <c r="N61" s="62">
        <f t="shared" si="17"/>
        <v>0.82784500000000005</v>
      </c>
      <c r="O61" s="43">
        <f t="shared" si="12"/>
        <v>39149.680090436974</v>
      </c>
      <c r="R61" s="51"/>
      <c r="T61" s="75">
        <f t="shared" si="22"/>
        <v>1929.9619148851</v>
      </c>
      <c r="U61" s="43">
        <f>(U$63-U$58)/5+U60</f>
        <v>6098</v>
      </c>
      <c r="V61" s="43">
        <f t="shared" si="18"/>
        <v>452.14698653859978</v>
      </c>
      <c r="W61" s="43">
        <f t="shared" si="4"/>
        <v>872626.46394956356</v>
      </c>
      <c r="AB61" s="62">
        <f t="shared" si="19"/>
        <v>0.54513939882025375</v>
      </c>
      <c r="AG61" s="62">
        <f t="shared" si="20"/>
        <v>0.16348037336425186</v>
      </c>
      <c r="AK61" s="45">
        <f t="shared" si="23"/>
        <v>2.3036456963665284</v>
      </c>
      <c r="AL61" s="62">
        <f t="shared" si="21"/>
        <v>2.7062543678618711E-2</v>
      </c>
      <c r="AN61" s="57" t="s">
        <v>107</v>
      </c>
      <c r="AP61" s="43">
        <f t="shared" si="16"/>
        <v>1590059.1102255667</v>
      </c>
      <c r="AQ61" s="44">
        <f t="shared" si="8"/>
        <v>-1</v>
      </c>
      <c r="AR61" s="44">
        <f t="shared" si="24"/>
        <v>6.7216786522898087E-2</v>
      </c>
      <c r="AT61" s="37"/>
    </row>
    <row r="62" spans="1:46">
      <c r="A62" s="57" t="s">
        <v>108</v>
      </c>
      <c r="H62" s="75">
        <f t="shared" si="14"/>
        <v>45461.777899659632</v>
      </c>
      <c r="I62" s="76">
        <v>0.14991975192870099</v>
      </c>
      <c r="J62" s="62">
        <v>5.9722306302146998E-2</v>
      </c>
      <c r="K62" s="75">
        <f t="shared" si="15"/>
        <v>4367.979381903795</v>
      </c>
      <c r="L62" s="76">
        <v>0.239189491713373</v>
      </c>
      <c r="M62" s="62">
        <v>8.1851823944728407E-3</v>
      </c>
      <c r="N62" s="62">
        <f t="shared" si="17"/>
        <v>0.82784500000000005</v>
      </c>
      <c r="O62" s="43">
        <f t="shared" si="12"/>
        <v>42003.284907247522</v>
      </c>
      <c r="R62" s="51"/>
      <c r="T62" s="75">
        <f t="shared" si="22"/>
        <v>1929.9619148851</v>
      </c>
      <c r="U62" s="43">
        <f>(U$63-U$58)/5+U61</f>
        <v>6061</v>
      </c>
      <c r="V62" s="43">
        <f t="shared" si="18"/>
        <v>449.42782640381324</v>
      </c>
      <c r="W62" s="43">
        <f t="shared" si="4"/>
        <v>867378.58844895172</v>
      </c>
      <c r="AB62" s="62">
        <f t="shared" si="19"/>
        <v>0.54513939882025375</v>
      </c>
      <c r="AG62" s="62">
        <f t="shared" si="20"/>
        <v>0.16348037336425186</v>
      </c>
      <c r="AK62" s="45">
        <f t="shared" si="23"/>
        <v>2.3659882086445094</v>
      </c>
      <c r="AL62" s="62">
        <f t="shared" si="21"/>
        <v>2.7062543678618711E-2</v>
      </c>
      <c r="AN62" s="57" t="s">
        <v>108</v>
      </c>
      <c r="AP62" s="43">
        <f t="shared" si="16"/>
        <v>1697119.7463215806</v>
      </c>
      <c r="AQ62" s="44">
        <f t="shared" si="8"/>
        <v>-1</v>
      </c>
      <c r="AR62" s="44">
        <f t="shared" si="24"/>
        <v>6.7331230271575393E-2</v>
      </c>
      <c r="AT62" s="37"/>
    </row>
    <row r="63" spans="1:46">
      <c r="A63" s="57" t="s">
        <v>109</v>
      </c>
      <c r="H63" s="75">
        <f t="shared" si="14"/>
        <v>48781.749966828909</v>
      </c>
      <c r="I63" s="76">
        <v>0.15098581333132099</v>
      </c>
      <c r="J63" s="62">
        <v>6.0508268218044302E-2</v>
      </c>
      <c r="K63" s="75">
        <f t="shared" si="15"/>
        <v>4712.3280806220946</v>
      </c>
      <c r="L63" s="76">
        <v>0.24024041814645</v>
      </c>
      <c r="M63" s="62">
        <v>8.2970875612015296E-3</v>
      </c>
      <c r="N63" s="62">
        <f t="shared" si="17"/>
        <v>0.82784500000000005</v>
      </c>
      <c r="O63" s="43">
        <f t="shared" si="12"/>
        <v>45096.055881911576</v>
      </c>
      <c r="R63" s="51"/>
      <c r="T63" s="75">
        <f t="shared" si="22"/>
        <v>1929.9619148851</v>
      </c>
      <c r="U63" s="61">
        <v>6024</v>
      </c>
      <c r="V63" s="43">
        <f t="shared" si="18"/>
        <v>446.70866626902676</v>
      </c>
      <c r="W63" s="43">
        <f t="shared" si="4"/>
        <v>862130.71294833999</v>
      </c>
      <c r="AB63" s="62">
        <f t="shared" si="19"/>
        <v>0.54513939882025375</v>
      </c>
      <c r="AG63" s="62">
        <f t="shared" si="20"/>
        <v>0.16348037336425186</v>
      </c>
      <c r="AK63" s="45">
        <f t="shared" si="23"/>
        <v>2.4300178678840485</v>
      </c>
      <c r="AL63" s="62">
        <f t="shared" si="21"/>
        <v>2.7062543678618711E-2</v>
      </c>
      <c r="AN63" s="57" t="s">
        <v>109</v>
      </c>
      <c r="AP63" s="43">
        <f t="shared" si="16"/>
        <v>1811538.1823863774</v>
      </c>
      <c r="AQ63" s="44">
        <f t="shared" si="8"/>
        <v>-1</v>
      </c>
      <c r="AR63" s="44">
        <f t="shared" si="24"/>
        <v>6.7419188488492265E-2</v>
      </c>
      <c r="AT63" s="37"/>
    </row>
    <row r="64" spans="1:46" ht="73.75">
      <c r="A64" s="57" t="s">
        <v>110</v>
      </c>
      <c r="H64" s="73" t="s">
        <v>111</v>
      </c>
      <c r="I64" s="74" t="s">
        <v>112</v>
      </c>
      <c r="J64" s="74" t="s">
        <v>112</v>
      </c>
      <c r="K64" s="73" t="s">
        <v>111</v>
      </c>
      <c r="L64" s="74" t="s">
        <v>112</v>
      </c>
      <c r="M64" s="74" t="s">
        <v>112</v>
      </c>
      <c r="N64" s="72" t="s">
        <v>114</v>
      </c>
      <c r="R64" s="51"/>
      <c r="T64" s="32" t="s">
        <v>120</v>
      </c>
      <c r="U64" s="32" t="s">
        <v>121</v>
      </c>
      <c r="V64" s="49" t="s">
        <v>122</v>
      </c>
      <c r="AB64" s="44" t="s">
        <v>113</v>
      </c>
      <c r="AG64" s="44" t="s">
        <v>113</v>
      </c>
      <c r="AL64" s="44" t="s">
        <v>123</v>
      </c>
    </row>
    <row r="65" spans="10:18">
      <c r="J65" s="83" t="s">
        <v>383</v>
      </c>
      <c r="R65" s="51"/>
    </row>
    <row r="66" spans="10:18">
      <c r="R66" s="51"/>
    </row>
    <row r="67" spans="10:18">
      <c r="R67" s="51"/>
    </row>
    <row r="68" spans="10:18">
      <c r="R68" s="51"/>
    </row>
    <row r="69" spans="10:18">
      <c r="R69" s="52"/>
    </row>
  </sheetData>
  <mergeCells count="6">
    <mergeCell ref="D1:O1"/>
    <mergeCell ref="Q1:W1"/>
    <mergeCell ref="AD1:AG1"/>
    <mergeCell ref="AJ1:AL1"/>
    <mergeCell ref="AO1:AR1"/>
    <mergeCell ref="Y1:AB1"/>
  </mergeCells>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1D422-E4F8-4FA7-8772-2E1948F75BB7}">
  <dimension ref="A1:AX69"/>
  <sheetViews>
    <sheetView topLeftCell="K31" zoomScale="70" zoomScaleNormal="70" workbookViewId="0">
      <selection activeCell="A53" sqref="A53:XFD53"/>
    </sheetView>
  </sheetViews>
  <sheetFormatPr defaultColWidth="8.84375" defaultRowHeight="18.45" outlineLevelCol="1"/>
  <cols>
    <col min="1" max="1" width="8.84375" style="57"/>
    <col min="2" max="2" width="19.3046875" style="43" customWidth="1" outlineLevel="1"/>
    <col min="3" max="3" width="16.765625" style="24" customWidth="1" outlineLevel="1"/>
    <col min="4" max="7" width="19.07421875" style="43" customWidth="1" outlineLevel="1"/>
    <col min="8" max="8" width="19.07421875" style="43" bestFit="1" customWidth="1"/>
    <col min="9" max="9" width="23.23046875" style="44" bestFit="1" customWidth="1"/>
    <col min="10" max="10" width="20.765625" style="44" bestFit="1" customWidth="1"/>
    <col min="11" max="11" width="19.07421875" style="43" bestFit="1" customWidth="1"/>
    <col min="12" max="12" width="22.84375" style="44" bestFit="1" customWidth="1"/>
    <col min="13" max="13" width="24.07421875" style="44" bestFit="1" customWidth="1"/>
    <col min="14" max="15" width="16.765625" style="43" bestFit="1" customWidth="1"/>
    <col min="16" max="16" width="8.84375" style="24"/>
    <col min="17" max="18" width="19.07421875" style="24" hidden="1" customWidth="1" outlineLevel="1"/>
    <col min="19" max="19" width="19.07421875" style="43" hidden="1" customWidth="1" outlineLevel="1"/>
    <col min="20" max="20" width="19.07421875" style="24" bestFit="1" customWidth="1" collapsed="1"/>
    <col min="21" max="21" width="22.69140625" style="24" bestFit="1" customWidth="1"/>
    <col min="22" max="22" width="16.4609375" style="43" bestFit="1" customWidth="1"/>
    <col min="23" max="23" width="16.765625" style="43" bestFit="1" customWidth="1"/>
    <col min="24" max="24" width="8.84375" style="24"/>
    <col min="25" max="25" width="14.07421875" style="43" hidden="1" customWidth="1" outlineLevel="1"/>
    <col min="26" max="26" width="11.84375" style="43" hidden="1" customWidth="1" outlineLevel="1"/>
    <col min="27" max="27" width="16.4609375" style="44" hidden="1" customWidth="1" outlineLevel="1"/>
    <col min="28" max="28" width="18.84375" style="44" bestFit="1" customWidth="1" collapsed="1"/>
    <col min="29" max="29" width="8.84375" style="24"/>
    <col min="30" max="30" width="8.84375" style="57" customWidth="1" outlineLevel="1"/>
    <col min="31" max="31" width="9.69140625" style="45" customWidth="1" outlineLevel="1"/>
    <col min="32" max="32" width="5.765625" style="45" bestFit="1" customWidth="1"/>
    <col min="33" max="33" width="11.765625" style="44" bestFit="1" customWidth="1"/>
    <col min="34" max="34" width="13.765625" style="24" bestFit="1" customWidth="1"/>
    <col min="35" max="35" width="8.84375" style="57" hidden="1" customWidth="1" outlineLevel="1"/>
    <col min="36" max="36" width="16.4609375" style="24" hidden="1" customWidth="1" outlineLevel="1"/>
    <col min="37" max="37" width="18.765625" style="24" bestFit="1" customWidth="1" collapsed="1"/>
    <col min="38" max="38" width="14.07421875" style="24" hidden="1" customWidth="1" outlineLevel="1"/>
    <col min="39" max="39" width="11.84375" style="24" bestFit="1" customWidth="1" collapsed="1"/>
    <col min="40" max="40" width="8.84375" style="24"/>
    <col min="41" max="43" width="18.4609375" style="24" hidden="1" customWidth="1" outlineLevel="1"/>
    <col min="44" max="44" width="19" style="38" customWidth="1" collapsed="1"/>
    <col min="45" max="45" width="20.4609375" style="24" bestFit="1" customWidth="1"/>
    <col min="46" max="47" width="19" style="24" bestFit="1" customWidth="1"/>
    <col min="48" max="50" width="22.4609375" style="24" customWidth="1"/>
    <col min="51" max="16384" width="8.84375" style="24"/>
  </cols>
  <sheetData>
    <row r="1" spans="1:50" s="59" customFormat="1">
      <c r="A1" s="58"/>
      <c r="B1" s="56" t="s">
        <v>0</v>
      </c>
      <c r="D1" s="407" t="s">
        <v>1</v>
      </c>
      <c r="E1" s="407"/>
      <c r="F1" s="407"/>
      <c r="G1" s="407"/>
      <c r="H1" s="407"/>
      <c r="I1" s="407"/>
      <c r="J1" s="407"/>
      <c r="K1" s="407"/>
      <c r="L1" s="407"/>
      <c r="M1" s="407"/>
      <c r="N1" s="407"/>
      <c r="O1" s="407"/>
      <c r="Q1" s="407" t="s">
        <v>3</v>
      </c>
      <c r="R1" s="407"/>
      <c r="S1" s="407"/>
      <c r="T1" s="407"/>
      <c r="U1" s="407"/>
      <c r="V1" s="407"/>
      <c r="W1" s="407"/>
      <c r="Y1" s="407" t="s">
        <v>4</v>
      </c>
      <c r="Z1" s="407"/>
      <c r="AA1" s="407"/>
      <c r="AB1" s="407"/>
      <c r="AD1" s="58"/>
      <c r="AE1" s="407" t="s">
        <v>5</v>
      </c>
      <c r="AF1" s="407"/>
      <c r="AG1" s="407"/>
      <c r="AI1" s="58"/>
      <c r="AJ1" s="407" t="s">
        <v>6</v>
      </c>
      <c r="AK1" s="407"/>
      <c r="AL1" s="407"/>
      <c r="AM1" s="407"/>
      <c r="AR1" s="80"/>
    </row>
    <row r="2" spans="1:50" ht="55.3">
      <c r="A2" s="57" t="s">
        <v>7</v>
      </c>
      <c r="B2" s="49" t="s">
        <v>8</v>
      </c>
      <c r="D2" s="49" t="s">
        <v>9</v>
      </c>
      <c r="E2" s="49" t="s">
        <v>10</v>
      </c>
      <c r="F2" s="43" t="s">
        <v>11</v>
      </c>
      <c r="G2" s="49" t="s">
        <v>12</v>
      </c>
      <c r="H2" s="49" t="s">
        <v>13</v>
      </c>
      <c r="I2" s="53" t="s">
        <v>14</v>
      </c>
      <c r="J2" s="53" t="s">
        <v>381</v>
      </c>
      <c r="K2" s="49" t="s">
        <v>16</v>
      </c>
      <c r="L2" s="53" t="s">
        <v>17</v>
      </c>
      <c r="M2" s="53" t="s">
        <v>382</v>
      </c>
      <c r="N2" s="43" t="s">
        <v>19</v>
      </c>
      <c r="O2" s="49" t="s">
        <v>20</v>
      </c>
      <c r="Q2" s="50" t="s">
        <v>28</v>
      </c>
      <c r="R2" s="32" t="s">
        <v>29</v>
      </c>
      <c r="S2" s="30" t="s">
        <v>30</v>
      </c>
      <c r="T2" s="50" t="s">
        <v>31</v>
      </c>
      <c r="U2" s="30" t="s">
        <v>32</v>
      </c>
      <c r="V2" s="30" t="s">
        <v>33</v>
      </c>
      <c r="W2" s="30" t="s">
        <v>34</v>
      </c>
      <c r="Y2" s="30" t="s">
        <v>35</v>
      </c>
      <c r="Z2" s="30" t="s">
        <v>36</v>
      </c>
      <c r="AA2" s="35" t="s">
        <v>37</v>
      </c>
      <c r="AB2" s="35" t="s">
        <v>38</v>
      </c>
      <c r="AD2" s="57" t="s">
        <v>7</v>
      </c>
      <c r="AE2" s="39" t="s">
        <v>39</v>
      </c>
      <c r="AF2" s="54" t="s">
        <v>40</v>
      </c>
      <c r="AG2" s="53" t="s">
        <v>41</v>
      </c>
      <c r="AI2" s="57" t="s">
        <v>7</v>
      </c>
      <c r="AJ2" s="32" t="s">
        <v>42</v>
      </c>
      <c r="AK2" s="32" t="s">
        <v>43</v>
      </c>
      <c r="AL2" s="32" t="s">
        <v>44</v>
      </c>
      <c r="AM2" s="32" t="s">
        <v>45</v>
      </c>
      <c r="AO2" s="32" t="s">
        <v>368</v>
      </c>
      <c r="AP2" s="32" t="s">
        <v>369</v>
      </c>
      <c r="AQ2" s="32" t="s">
        <v>370</v>
      </c>
      <c r="AR2" s="66" t="s">
        <v>371</v>
      </c>
      <c r="AS2" s="32"/>
      <c r="AT2" s="32"/>
      <c r="AU2" s="32"/>
      <c r="AV2" s="32"/>
      <c r="AW2" s="32"/>
      <c r="AX2" s="32"/>
    </row>
    <row r="3" spans="1:50">
      <c r="A3" s="57" t="s">
        <v>49</v>
      </c>
      <c r="B3" s="49">
        <f>'★【現状】生産関数（中間投入あり　見通し×付加価値率）'!C3</f>
        <v>274086.40342515497</v>
      </c>
      <c r="D3" s="49"/>
      <c r="E3" s="49"/>
      <c r="F3" s="44"/>
      <c r="H3" s="49"/>
      <c r="I3" s="53"/>
      <c r="J3" s="77">
        <v>3.0076727933746966E-2</v>
      </c>
      <c r="K3" s="49"/>
      <c r="L3" s="53"/>
      <c r="M3" s="77">
        <v>1.5827775574795225E-3</v>
      </c>
      <c r="N3" s="44"/>
      <c r="Q3" s="49">
        <v>2280.8823999999995</v>
      </c>
      <c r="R3" s="30">
        <v>548.02883189833722</v>
      </c>
      <c r="S3" s="43">
        <f t="shared" ref="S3:S43" si="0">Q3*R3</f>
        <v>1249989.3173694757</v>
      </c>
      <c r="T3" s="49">
        <v>2278.0755795411901</v>
      </c>
      <c r="U3" s="49">
        <v>5536.083333333333</v>
      </c>
      <c r="V3" s="30">
        <v>518.43212547841347</v>
      </c>
      <c r="W3" s="43">
        <f>T3*V3</f>
        <v>1181027.5647020077</v>
      </c>
      <c r="Y3" s="30">
        <v>19489.3</v>
      </c>
      <c r="Z3" s="30">
        <v>13415.4</v>
      </c>
      <c r="AA3" s="44">
        <f t="shared" ref="AA3:AA16" si="1">1-Z3/Y3</f>
        <v>0.31165306091034572</v>
      </c>
      <c r="AB3" s="35">
        <v>0.308037193656299</v>
      </c>
      <c r="AD3" s="57" t="s">
        <v>49</v>
      </c>
      <c r="AF3" s="54"/>
      <c r="AG3" s="53"/>
      <c r="AI3" s="57" t="s">
        <v>49</v>
      </c>
      <c r="AJ3" s="42"/>
      <c r="AK3" s="43"/>
      <c r="AL3" s="44"/>
      <c r="AM3" s="44"/>
      <c r="AO3" s="67">
        <v>54556.9</v>
      </c>
      <c r="AP3" s="67">
        <v>32329.1</v>
      </c>
      <c r="AQ3" s="67">
        <v>22227.8</v>
      </c>
      <c r="AR3" s="66">
        <f>AQ3/AO3</f>
        <v>0.40742417549384219</v>
      </c>
      <c r="AS3" s="32"/>
      <c r="AT3" s="32"/>
      <c r="AU3" s="32"/>
      <c r="AV3" s="32"/>
      <c r="AW3" s="32"/>
      <c r="AX3" s="32"/>
    </row>
    <row r="4" spans="1:50">
      <c r="A4" s="57" t="s">
        <v>50</v>
      </c>
      <c r="B4" s="49">
        <f>'★【現状】生産関数（中間投入あり　見通し×付加価値率）'!C4</f>
        <v>282281.7297905577</v>
      </c>
      <c r="D4" s="49">
        <v>11608.412051853184</v>
      </c>
      <c r="E4" s="49">
        <v>532.10204873840848</v>
      </c>
      <c r="F4" s="44">
        <v>0.80789743103963818</v>
      </c>
      <c r="G4" s="43">
        <f t="shared" ref="G4:G43" si="2">D4*F4+E4</f>
        <v>9910.5083238801708</v>
      </c>
      <c r="H4" s="49">
        <v>11241.132312989799</v>
      </c>
      <c r="I4" s="53">
        <v>9.9397659666527638E-2</v>
      </c>
      <c r="J4" s="77">
        <v>3.0015232990648254E-2</v>
      </c>
      <c r="K4" s="49">
        <v>472.81342905605402</v>
      </c>
      <c r="L4" s="53">
        <v>0.16529717456579643</v>
      </c>
      <c r="M4" s="77">
        <v>1.5750259397105892E-3</v>
      </c>
      <c r="N4" s="44">
        <v>0.82784500000000005</v>
      </c>
      <c r="O4" s="43">
        <f t="shared" ref="O4:O16" si="3">H4*N4+K4</f>
        <v>9778.7286087030952</v>
      </c>
      <c r="Q4" s="49">
        <v>2292.1447333333331</v>
      </c>
      <c r="R4" s="30">
        <v>543.47471465378021</v>
      </c>
      <c r="S4" s="43">
        <f t="shared" si="0"/>
        <v>1245722.7048934982</v>
      </c>
      <c r="T4" s="49">
        <v>2274.9449153820601</v>
      </c>
      <c r="U4" s="49">
        <v>5581.75</v>
      </c>
      <c r="V4" s="30">
        <v>524.38561843499588</v>
      </c>
      <c r="W4" s="43">
        <f t="shared" ref="W4:W63" si="4">T4*V4</f>
        <v>1192948.396358171</v>
      </c>
      <c r="Y4" s="30">
        <v>21185.1</v>
      </c>
      <c r="Z4" s="30">
        <v>14162.7</v>
      </c>
      <c r="AA4" s="44">
        <f t="shared" si="1"/>
        <v>0.33147825594403602</v>
      </c>
      <c r="AB4" s="35">
        <v>0.311199733868668</v>
      </c>
      <c r="AD4" s="57" t="s">
        <v>50</v>
      </c>
      <c r="AE4" s="45">
        <f t="shared" ref="AE4:AE43" si="5">EXP(LOG(B4,EXP(1))-AA4*LOG(G4,EXP(1))-(1-AA4)*LOG(S4,EXP(1)))</f>
        <v>1.1249730760941727</v>
      </c>
      <c r="AF4" s="54">
        <v>0.96469466218594202</v>
      </c>
      <c r="AG4" s="53"/>
      <c r="AI4" s="57" t="s">
        <v>50</v>
      </c>
      <c r="AJ4" s="42">
        <f>B4/AR4</f>
        <v>651330.72414749418</v>
      </c>
      <c r="AK4" s="43">
        <f>AF4*(O4^AB4)*(W4^(1-AB4))/AR4</f>
        <v>595473.04077692132</v>
      </c>
      <c r="AL4" s="44">
        <f t="shared" ref="AL4:AL43" si="6">(AJ4-AK4)/AK4</f>
        <v>9.380388287216937E-2</v>
      </c>
      <c r="AM4" s="44"/>
      <c r="AN4" s="40"/>
      <c r="AO4" s="67">
        <v>55837.4</v>
      </c>
      <c r="AP4" s="67">
        <v>31637.8</v>
      </c>
      <c r="AQ4" s="67">
        <v>24199.5</v>
      </c>
      <c r="AR4" s="66">
        <f t="shared" ref="AR4:AR42" si="7">AQ4/AO4</f>
        <v>0.43339231411204676</v>
      </c>
      <c r="AS4" s="32"/>
      <c r="AT4" s="32"/>
      <c r="AU4" s="32"/>
      <c r="AV4" s="32"/>
      <c r="AW4" s="32"/>
      <c r="AX4" s="32"/>
    </row>
    <row r="5" spans="1:50">
      <c r="A5" s="57" t="s">
        <v>51</v>
      </c>
      <c r="B5" s="49">
        <f>'★【現状】生産関数（中間投入あり　見通し×付加価値率）'!C5</f>
        <v>276820.86931640212</v>
      </c>
      <c r="D5" s="49">
        <v>12409.547405379732</v>
      </c>
      <c r="E5" s="49">
        <v>546.73336208755643</v>
      </c>
      <c r="F5" s="44">
        <v>0.79672072435186447</v>
      </c>
      <c r="G5" s="43">
        <f t="shared" si="2"/>
        <v>10433.676959780496</v>
      </c>
      <c r="H5" s="49">
        <v>11892.6473065052</v>
      </c>
      <c r="I5" s="53">
        <v>0.10155024626748284</v>
      </c>
      <c r="J5" s="77">
        <v>3.023216551820904E-2</v>
      </c>
      <c r="K5" s="49">
        <v>523.38944473409902</v>
      </c>
      <c r="L5" s="53">
        <v>0.16547513255097859</v>
      </c>
      <c r="M5" s="77">
        <v>1.78117691125024E-3</v>
      </c>
      <c r="N5" s="44">
        <v>0.82784500000000005</v>
      </c>
      <c r="O5" s="43">
        <f t="shared" si="3"/>
        <v>10368.658054187898</v>
      </c>
      <c r="Q5" s="49">
        <v>2275.8576666666668</v>
      </c>
      <c r="R5" s="30">
        <v>541.05959882112359</v>
      </c>
      <c r="S5" s="43">
        <f t="shared" si="0"/>
        <v>1231374.6361006452</v>
      </c>
      <c r="T5" s="49">
        <v>2271.8301885385499</v>
      </c>
      <c r="U5" s="49">
        <v>5638.583333333333</v>
      </c>
      <c r="V5" s="30">
        <v>529.53917409834207</v>
      </c>
      <c r="W5" s="43">
        <f t="shared" si="4"/>
        <v>1203023.0817303844</v>
      </c>
      <c r="Y5" s="30">
        <v>21667.1</v>
      </c>
      <c r="Z5" s="30">
        <v>14821</v>
      </c>
      <c r="AA5" s="44">
        <f t="shared" si="1"/>
        <v>0.31596752680331008</v>
      </c>
      <c r="AB5" s="35">
        <v>0.31439843275357399</v>
      </c>
      <c r="AD5" s="57" t="s">
        <v>51</v>
      </c>
      <c r="AE5" s="45">
        <f t="shared" si="5"/>
        <v>1.0150289563387576</v>
      </c>
      <c r="AF5" s="54">
        <v>1.0334239934666201</v>
      </c>
      <c r="AG5" s="53">
        <f>AF5/AF4-1</f>
        <v>7.1244647632797475E-2</v>
      </c>
      <c r="AI5" s="57" t="s">
        <v>51</v>
      </c>
      <c r="AJ5" s="42">
        <f t="shared" ref="AJ5:AJ42" si="8">B5/AR5</f>
        <v>635334.08977780421</v>
      </c>
      <c r="AK5" s="43">
        <f t="shared" ref="AK5:AK63" si="9">AF5*(O5^AB5)*(W5^(1-AB5))/AR5</f>
        <v>640123.99071290984</v>
      </c>
      <c r="AL5" s="44">
        <f t="shared" si="6"/>
        <v>-7.4827705328948686E-3</v>
      </c>
      <c r="AM5" s="44">
        <f t="shared" ref="AM5:AM41" si="10">AK5/AK4-1</f>
        <v>7.4983999070271645E-2</v>
      </c>
      <c r="AN5" s="40"/>
      <c r="AO5" s="67">
        <v>55654.1</v>
      </c>
      <c r="AP5" s="67">
        <v>31405.1</v>
      </c>
      <c r="AQ5" s="67">
        <v>24249</v>
      </c>
      <c r="AR5" s="66">
        <f t="shared" si="7"/>
        <v>0.43570913912901299</v>
      </c>
      <c r="AS5" s="32"/>
      <c r="AT5" s="32"/>
      <c r="AU5" s="32"/>
      <c r="AV5" s="32"/>
      <c r="AW5" s="32"/>
      <c r="AX5" s="32"/>
    </row>
    <row r="6" spans="1:50">
      <c r="A6" s="57" t="s">
        <v>52</v>
      </c>
      <c r="B6" s="49">
        <f>'★【現状】生産関数（中間投入あり　見通し×付加価値率）'!C6</f>
        <v>262760.9445333386</v>
      </c>
      <c r="D6" s="49">
        <v>13070.107346447743</v>
      </c>
      <c r="E6" s="49">
        <v>569.42682769031705</v>
      </c>
      <c r="F6" s="44">
        <v>0.79459224052434818</v>
      </c>
      <c r="G6" s="43">
        <f t="shared" si="2"/>
        <v>10954.832707997972</v>
      </c>
      <c r="H6" s="49">
        <v>12547.835097409101</v>
      </c>
      <c r="I6" s="53">
        <v>0.10577141616732792</v>
      </c>
      <c r="J6" s="77">
        <v>2.9079027779793962E-2</v>
      </c>
      <c r="K6" s="49">
        <v>574.55834660896699</v>
      </c>
      <c r="L6" s="53">
        <v>0.16564104074701808</v>
      </c>
      <c r="M6" s="77">
        <v>2.2277318277431298E-3</v>
      </c>
      <c r="N6" s="44">
        <v>0.82784500000000005</v>
      </c>
      <c r="O6" s="43">
        <f t="shared" si="3"/>
        <v>10962.220892823605</v>
      </c>
      <c r="Q6" s="49">
        <v>2252.8132000000005</v>
      </c>
      <c r="R6" s="30">
        <v>540.40654355710569</v>
      </c>
      <c r="S6" s="43">
        <f t="shared" si="0"/>
        <v>1217434.9946918229</v>
      </c>
      <c r="T6" s="49">
        <v>2268.2678566087998</v>
      </c>
      <c r="U6" s="49">
        <v>5732.666666666667</v>
      </c>
      <c r="V6" s="30">
        <v>534.29373986375072</v>
      </c>
      <c r="W6" s="43">
        <f t="shared" si="4"/>
        <v>1211921.3161202495</v>
      </c>
      <c r="Y6" s="30">
        <v>20032</v>
      </c>
      <c r="Z6" s="30">
        <v>15047.4</v>
      </c>
      <c r="AA6" s="44">
        <f>1-Z6/Y6</f>
        <v>0.24883186900958465</v>
      </c>
      <c r="AB6" s="35">
        <v>0.31787223420430799</v>
      </c>
      <c r="AD6" s="57" t="s">
        <v>52</v>
      </c>
      <c r="AE6" s="45">
        <f t="shared" si="5"/>
        <v>0.69692369707746482</v>
      </c>
      <c r="AF6" s="54">
        <v>1.10375610888644</v>
      </c>
      <c r="AG6" s="53">
        <f t="shared" ref="AG6:AG42" si="11">AF6/AF5-1</f>
        <v>6.8057366448296852E-2</v>
      </c>
      <c r="AI6" s="57" t="s">
        <v>52</v>
      </c>
      <c r="AJ6" s="42">
        <f t="shared" si="8"/>
        <v>624447.63493421383</v>
      </c>
      <c r="AK6" s="43">
        <f t="shared" si="9"/>
        <v>712339.00610039069</v>
      </c>
      <c r="AL6" s="44">
        <f t="shared" si="6"/>
        <v>-0.12338418984989605</v>
      </c>
      <c r="AM6" s="44">
        <f t="shared" si="10"/>
        <v>0.11281410544706283</v>
      </c>
      <c r="AN6" s="40"/>
      <c r="AO6" s="67">
        <v>53364.7</v>
      </c>
      <c r="AP6" s="67">
        <v>30909.3</v>
      </c>
      <c r="AQ6" s="67">
        <v>22455.3</v>
      </c>
      <c r="AR6" s="66">
        <f t="shared" si="7"/>
        <v>0.42078939823516298</v>
      </c>
      <c r="AS6" s="32"/>
      <c r="AT6" s="32"/>
      <c r="AU6" s="32"/>
      <c r="AV6" s="32"/>
      <c r="AW6" s="32"/>
      <c r="AX6" s="32"/>
    </row>
    <row r="7" spans="1:50">
      <c r="A7" s="57" t="s">
        <v>53</v>
      </c>
      <c r="B7" s="49">
        <f>'★【現状】生産関数（中間投入あり　見通し×付加価値率）'!C7</f>
        <v>275312.87052038917</v>
      </c>
      <c r="D7" s="49">
        <v>13503.496595282833</v>
      </c>
      <c r="E7" s="49">
        <v>614.21656243260713</v>
      </c>
      <c r="F7" s="44">
        <v>0.80249055041149842</v>
      </c>
      <c r="G7" s="43">
        <f t="shared" si="2"/>
        <v>11450.644977660922</v>
      </c>
      <c r="H7" s="49">
        <v>13215.537484079199</v>
      </c>
      <c r="I7" s="53">
        <v>0.1081193944932954</v>
      </c>
      <c r="J7" s="77">
        <v>2.9587709490156947E-2</v>
      </c>
      <c r="K7" s="49">
        <v>627.14646005101895</v>
      </c>
      <c r="L7" s="53">
        <v>0.1662716480849635</v>
      </c>
      <c r="M7" s="77">
        <v>2.4037874415981839E-3</v>
      </c>
      <c r="N7" s="44">
        <v>0.82784500000000005</v>
      </c>
      <c r="O7" s="43">
        <f t="shared" si="3"/>
        <v>11567.563088558565</v>
      </c>
      <c r="Q7" s="49">
        <v>2271.1794666666669</v>
      </c>
      <c r="R7" s="30">
        <v>526.85398165299546</v>
      </c>
      <c r="S7" s="43">
        <f t="shared" si="0"/>
        <v>1196579.9450618601</v>
      </c>
      <c r="T7" s="49">
        <v>2263.8346519721999</v>
      </c>
      <c r="U7" s="49">
        <v>5766</v>
      </c>
      <c r="V7" s="30">
        <v>539.14589247768799</v>
      </c>
      <c r="W7" s="43">
        <f t="shared" si="4"/>
        <v>1220537.1538594679</v>
      </c>
      <c r="Y7" s="30">
        <v>20268.900000000001</v>
      </c>
      <c r="Z7" s="30">
        <v>15008.1</v>
      </c>
      <c r="AA7" s="44">
        <f t="shared" si="1"/>
        <v>0.25955034560336288</v>
      </c>
      <c r="AB7" s="35">
        <v>0.32187577305465498</v>
      </c>
      <c r="AD7" s="57" t="s">
        <v>53</v>
      </c>
      <c r="AE7" s="45">
        <f t="shared" si="5"/>
        <v>0.76903472888294566</v>
      </c>
      <c r="AF7" s="54">
        <v>1.1771098422128701</v>
      </c>
      <c r="AG7" s="53">
        <f t="shared" si="11"/>
        <v>6.6458280716049867E-2</v>
      </c>
      <c r="AI7" s="57" t="s">
        <v>53</v>
      </c>
      <c r="AJ7" s="42">
        <f t="shared" si="8"/>
        <v>647211.48335997341</v>
      </c>
      <c r="AK7" s="43">
        <f t="shared" si="9"/>
        <v>753934.3060739697</v>
      </c>
      <c r="AL7" s="44">
        <f t="shared" si="6"/>
        <v>-0.14155453844479327</v>
      </c>
      <c r="AM7" s="44">
        <f t="shared" si="10"/>
        <v>5.8392562554291594E-2</v>
      </c>
      <c r="AN7" s="40"/>
      <c r="AO7" s="67">
        <v>53481.9</v>
      </c>
      <c r="AP7" s="67">
        <v>30731.599999999999</v>
      </c>
      <c r="AQ7" s="67">
        <v>22750.3</v>
      </c>
      <c r="AR7" s="66">
        <f t="shared" si="7"/>
        <v>0.42538316701538276</v>
      </c>
      <c r="AS7" s="32"/>
      <c r="AT7" s="32"/>
      <c r="AU7" s="32"/>
      <c r="AV7" s="32"/>
      <c r="AW7" s="32"/>
      <c r="AX7" s="32"/>
    </row>
    <row r="8" spans="1:50">
      <c r="A8" s="57" t="s">
        <v>54</v>
      </c>
      <c r="B8" s="49">
        <f>'★【現状】生産関数（中間投入あり　見通し×付加価値率）'!C8</f>
        <v>299010.4238450079</v>
      </c>
      <c r="D8" s="49">
        <v>13958.457254693421</v>
      </c>
      <c r="E8" s="49">
        <v>667.66564589174027</v>
      </c>
      <c r="F8" s="44">
        <v>0.80482308224348664</v>
      </c>
      <c r="G8" s="43">
        <f t="shared" si="2"/>
        <v>11901.754236978057</v>
      </c>
      <c r="H8" s="49">
        <v>13909.8189873831</v>
      </c>
      <c r="I8" s="53">
        <v>0.11717576103466582</v>
      </c>
      <c r="J8" s="77">
        <v>2.4286107509598358E-2</v>
      </c>
      <c r="K8" s="49">
        <v>681.92879524142597</v>
      </c>
      <c r="L8" s="53">
        <v>0.16756109163692762</v>
      </c>
      <c r="M8" s="77">
        <v>2.2514902048715057E-3</v>
      </c>
      <c r="N8" s="44">
        <v>0.82784500000000005</v>
      </c>
      <c r="O8" s="43">
        <f t="shared" si="3"/>
        <v>12197.102894851589</v>
      </c>
      <c r="Q8" s="49">
        <v>2252.2934000000005</v>
      </c>
      <c r="R8" s="30">
        <v>529.99930416760583</v>
      </c>
      <c r="S8" s="43">
        <f t="shared" si="0"/>
        <v>1193713.9347812913</v>
      </c>
      <c r="T8" s="49">
        <v>2257.95276044208</v>
      </c>
      <c r="U8" s="49">
        <v>5807.25</v>
      </c>
      <c r="V8" s="30">
        <v>544.6544879631216</v>
      </c>
      <c r="W8" s="43">
        <f t="shared" si="4"/>
        <v>1229804.1045834981</v>
      </c>
      <c r="Y8" s="30">
        <v>22246.799999999999</v>
      </c>
      <c r="Z8" s="30">
        <v>15525.7</v>
      </c>
      <c r="AA8" s="44">
        <f t="shared" si="1"/>
        <v>0.30211536041138498</v>
      </c>
      <c r="AB8" s="35">
        <v>0.32597328048645802</v>
      </c>
      <c r="AD8" s="57" t="s">
        <v>54</v>
      </c>
      <c r="AE8" s="45">
        <f t="shared" si="5"/>
        <v>1.0078741318993207</v>
      </c>
      <c r="AF8" s="54">
        <v>1.2508357030955399</v>
      </c>
      <c r="AG8" s="53">
        <f t="shared" si="11"/>
        <v>6.2632949142682692E-2</v>
      </c>
      <c r="AI8" s="57" t="s">
        <v>54</v>
      </c>
      <c r="AJ8" s="42">
        <f t="shared" si="8"/>
        <v>680353.27379812137</v>
      </c>
      <c r="AK8" s="43">
        <f t="shared" si="9"/>
        <v>777984.70055832097</v>
      </c>
      <c r="AL8" s="44">
        <f t="shared" si="6"/>
        <v>-0.12549273358477919</v>
      </c>
      <c r="AM8" s="44">
        <f t="shared" si="10"/>
        <v>3.1899854258643723E-2</v>
      </c>
      <c r="AN8" s="40"/>
      <c r="AO8" s="67">
        <v>56902.400000000001</v>
      </c>
      <c r="AP8" s="67">
        <v>31894.3</v>
      </c>
      <c r="AQ8" s="67">
        <v>25008.2</v>
      </c>
      <c r="AR8" s="66">
        <f t="shared" si="7"/>
        <v>0.43949288606455966</v>
      </c>
      <c r="AS8" s="32"/>
      <c r="AT8" s="32"/>
      <c r="AU8" s="32"/>
      <c r="AV8" s="32"/>
      <c r="AW8" s="32"/>
      <c r="AX8" s="32"/>
    </row>
    <row r="9" spans="1:50">
      <c r="A9" s="57" t="s">
        <v>55</v>
      </c>
      <c r="B9" s="49">
        <f>'★【現状】生産関数（中間投入あり　見通し×付加価値率）'!C9</f>
        <v>341364.43166947021</v>
      </c>
      <c r="D9" s="49">
        <v>13975.177678201706</v>
      </c>
      <c r="E9" s="49">
        <v>708.97173459851911</v>
      </c>
      <c r="F9" s="44">
        <v>0.81042158384827134</v>
      </c>
      <c r="G9" s="43">
        <f t="shared" si="2"/>
        <v>12034.757363127754</v>
      </c>
      <c r="H9" s="49">
        <v>14647.6237193006</v>
      </c>
      <c r="I9" s="53">
        <v>0.11315827810043899</v>
      </c>
      <c r="J9" s="77">
        <v>2.468749342547992E-2</v>
      </c>
      <c r="K9" s="49">
        <v>739.55106338517601</v>
      </c>
      <c r="L9" s="53">
        <v>0.16923977148471012</v>
      </c>
      <c r="M9" s="77">
        <v>2.2560396726414131E-3</v>
      </c>
      <c r="N9" s="44">
        <v>0.82784500000000005</v>
      </c>
      <c r="O9" s="43">
        <f t="shared" si="3"/>
        <v>12865.513121289581</v>
      </c>
      <c r="Q9" s="49">
        <v>2260.9567333333334</v>
      </c>
      <c r="R9" s="30">
        <v>534.20519891082301</v>
      </c>
      <c r="S9" s="43">
        <f t="shared" si="0"/>
        <v>1207814.841459098</v>
      </c>
      <c r="T9" s="49">
        <v>2250.11781597867</v>
      </c>
      <c r="U9" s="49">
        <v>5853.583333333333</v>
      </c>
      <c r="V9" s="30">
        <v>551.26012146449921</v>
      </c>
      <c r="W9" s="43">
        <f t="shared" si="4"/>
        <v>1240400.2205458353</v>
      </c>
      <c r="Y9" s="30">
        <v>23689.9</v>
      </c>
      <c r="Z9" s="30">
        <v>16160.4</v>
      </c>
      <c r="AA9" s="44">
        <f>1-Z9/Y9</f>
        <v>0.31783587098299282</v>
      </c>
      <c r="AB9" s="35">
        <v>0.32910573340704202</v>
      </c>
      <c r="AD9" s="57" t="s">
        <v>55</v>
      </c>
      <c r="AE9" s="45">
        <f t="shared" si="5"/>
        <v>1.2228872948194935</v>
      </c>
      <c r="AF9" s="54">
        <v>1.3182034500509201</v>
      </c>
      <c r="AG9" s="53">
        <f t="shared" si="11"/>
        <v>5.3858189999421935E-2</v>
      </c>
      <c r="AI9" s="57" t="s">
        <v>55</v>
      </c>
      <c r="AJ9" s="42">
        <f t="shared" si="8"/>
        <v>763024.5789952171</v>
      </c>
      <c r="AK9" s="43">
        <f t="shared" si="9"/>
        <v>812595.5236084623</v>
      </c>
      <c r="AL9" s="44">
        <f t="shared" si="6"/>
        <v>-6.1003221372814574E-2</v>
      </c>
      <c r="AM9" s="44">
        <f t="shared" si="10"/>
        <v>4.4487793944151921E-2</v>
      </c>
      <c r="AN9" s="40"/>
      <c r="AO9" s="67">
        <v>59899.199999999997</v>
      </c>
      <c r="AP9" s="67">
        <v>33101.300000000003</v>
      </c>
      <c r="AQ9" s="67">
        <v>26797.9</v>
      </c>
      <c r="AR9" s="66">
        <f t="shared" si="7"/>
        <v>0.44738327056120952</v>
      </c>
      <c r="AS9" s="32"/>
      <c r="AT9" s="32"/>
      <c r="AU9" s="32"/>
      <c r="AV9" s="32"/>
      <c r="AW9" s="32"/>
      <c r="AX9" s="32"/>
    </row>
    <row r="10" spans="1:50">
      <c r="A10" s="57" t="s">
        <v>56</v>
      </c>
      <c r="B10" s="49">
        <f>'★【現状】生産関数（中間投入あり　見通し×付加価値率）'!C10</f>
        <v>374701.35026509519</v>
      </c>
      <c r="D10" s="49">
        <v>14277.487063731111</v>
      </c>
      <c r="E10" s="49">
        <v>761.12689238731934</v>
      </c>
      <c r="F10" s="44">
        <v>0.81735128419209435</v>
      </c>
      <c r="G10" s="43">
        <f t="shared" si="2"/>
        <v>12430.849278963957</v>
      </c>
      <c r="H10" s="49">
        <v>15446.382174484699</v>
      </c>
      <c r="I10" s="53">
        <v>0.11060647451739838</v>
      </c>
      <c r="J10" s="77">
        <v>2.571036204318633E-2</v>
      </c>
      <c r="K10" s="49">
        <v>800.51634419376103</v>
      </c>
      <c r="L10" s="53">
        <v>0.17035721082788821</v>
      </c>
      <c r="M10" s="77">
        <v>2.2196143382461832E-3</v>
      </c>
      <c r="N10" s="44">
        <v>0.82784500000000005</v>
      </c>
      <c r="O10" s="43">
        <f t="shared" si="3"/>
        <v>13587.726595430047</v>
      </c>
      <c r="Q10" s="49">
        <v>2270.3131333333331</v>
      </c>
      <c r="R10" s="30">
        <v>532.96989243874862</v>
      </c>
      <c r="S10" s="43">
        <f t="shared" si="0"/>
        <v>1210008.5464749448</v>
      </c>
      <c r="T10" s="49">
        <v>2239.7688589378299</v>
      </c>
      <c r="U10" s="49">
        <v>5910.666666666667</v>
      </c>
      <c r="V10" s="30">
        <v>559.24937200726674</v>
      </c>
      <c r="W10" s="43">
        <f t="shared" si="4"/>
        <v>1252589.3278024138</v>
      </c>
      <c r="Y10" s="30">
        <v>26129.200000000001</v>
      </c>
      <c r="Z10" s="30">
        <v>16769.099999999999</v>
      </c>
      <c r="AA10" s="44">
        <f t="shared" si="1"/>
        <v>0.3582237496746935</v>
      </c>
      <c r="AB10" s="35">
        <v>0.32997552952297798</v>
      </c>
      <c r="AD10" s="57" t="s">
        <v>56</v>
      </c>
      <c r="AE10" s="45">
        <f t="shared" si="5"/>
        <v>1.5964255618840593</v>
      </c>
      <c r="AF10" s="54">
        <v>1.3700532258835301</v>
      </c>
      <c r="AG10" s="53">
        <f t="shared" si="11"/>
        <v>3.9333667220038837E-2</v>
      </c>
      <c r="AI10" s="57" t="s">
        <v>56</v>
      </c>
      <c r="AJ10" s="42">
        <f t="shared" si="8"/>
        <v>814660.82511505764</v>
      </c>
      <c r="AK10" s="43">
        <f t="shared" si="9"/>
        <v>838585.53743648902</v>
      </c>
      <c r="AL10" s="44">
        <f t="shared" si="6"/>
        <v>-2.8529841326107218E-2</v>
      </c>
      <c r="AM10" s="44">
        <f t="shared" si="10"/>
        <v>3.1983949053292715E-2</v>
      </c>
      <c r="AN10" s="40"/>
      <c r="AO10" s="67">
        <v>64593</v>
      </c>
      <c r="AP10" s="67">
        <v>34883.599999999999</v>
      </c>
      <c r="AQ10" s="67">
        <v>29709.4</v>
      </c>
      <c r="AR10" s="66">
        <f t="shared" si="7"/>
        <v>0.4599476723483969</v>
      </c>
      <c r="AS10" s="32"/>
      <c r="AT10" s="32"/>
      <c r="AU10" s="32"/>
      <c r="AV10" s="32"/>
      <c r="AW10" s="32"/>
      <c r="AX10" s="32"/>
    </row>
    <row r="11" spans="1:50">
      <c r="A11" s="57" t="s">
        <v>57</v>
      </c>
      <c r="B11" s="49">
        <f>'★【現状】生産関数（中間投入あり　見通し×付加価値率）'!C11</f>
        <v>409924.78896868759</v>
      </c>
      <c r="D11" s="49">
        <v>14792.827030254954</v>
      </c>
      <c r="E11" s="49">
        <v>812.28672273740221</v>
      </c>
      <c r="F11" s="44">
        <v>0.83243356941567237</v>
      </c>
      <c r="G11" s="43">
        <f t="shared" si="2"/>
        <v>13126.332529281173</v>
      </c>
      <c r="H11" s="49">
        <v>16316.8003871773</v>
      </c>
      <c r="I11" s="53">
        <v>0.10622289444240661</v>
      </c>
      <c r="J11" s="77">
        <v>2.8869998254101616E-2</v>
      </c>
      <c r="K11" s="49">
        <v>865.02192409080499</v>
      </c>
      <c r="L11" s="53">
        <v>0.17073589395908595</v>
      </c>
      <c r="M11" s="77">
        <v>2.3666111246334887E-3</v>
      </c>
      <c r="N11" s="44">
        <v>0.82784500000000005</v>
      </c>
      <c r="O11" s="43">
        <f t="shared" si="3"/>
        <v>14372.803540613597</v>
      </c>
      <c r="Q11" s="49">
        <v>2288.6794</v>
      </c>
      <c r="R11" s="30">
        <v>560.30058003257557</v>
      </c>
      <c r="S11" s="43">
        <f t="shared" si="0"/>
        <v>1282348.3953286069</v>
      </c>
      <c r="T11" s="49">
        <v>2226.4533188489399</v>
      </c>
      <c r="U11" s="49">
        <v>6010.416666666667</v>
      </c>
      <c r="V11" s="30">
        <v>568.72478427240276</v>
      </c>
      <c r="W11" s="43">
        <f t="shared" si="4"/>
        <v>1266239.1834549385</v>
      </c>
      <c r="Y11" s="30">
        <v>29945.7</v>
      </c>
      <c r="Z11" s="30">
        <v>18553.599999999999</v>
      </c>
      <c r="AA11" s="44">
        <f t="shared" si="1"/>
        <v>0.38042523634445014</v>
      </c>
      <c r="AB11" s="35">
        <v>0.32717236791659698</v>
      </c>
      <c r="AD11" s="57" t="s">
        <v>57</v>
      </c>
      <c r="AE11" s="45">
        <f t="shared" si="5"/>
        <v>1.826804659402091</v>
      </c>
      <c r="AF11" s="54">
        <v>1.3962720118454</v>
      </c>
      <c r="AG11" s="53">
        <f t="shared" si="11"/>
        <v>1.9137056478197634E-2</v>
      </c>
      <c r="AI11" s="57" t="s">
        <v>57</v>
      </c>
      <c r="AJ11" s="42">
        <f t="shared" si="8"/>
        <v>869898.3104078183</v>
      </c>
      <c r="AK11" s="43">
        <f t="shared" si="9"/>
        <v>866778.74458204431</v>
      </c>
      <c r="AL11" s="44">
        <f t="shared" si="6"/>
        <v>3.5990336002969499E-3</v>
      </c>
      <c r="AM11" s="44">
        <f t="shared" si="10"/>
        <v>3.361995394261208E-2</v>
      </c>
      <c r="AN11" s="40"/>
      <c r="AO11" s="67">
        <v>72146.899999999994</v>
      </c>
      <c r="AP11" s="67">
        <v>38148.9</v>
      </c>
      <c r="AQ11" s="67">
        <v>33998</v>
      </c>
      <c r="AR11" s="66">
        <f t="shared" si="7"/>
        <v>0.4712329982300002</v>
      </c>
      <c r="AS11" s="32"/>
      <c r="AT11" s="32"/>
      <c r="AU11" s="32"/>
      <c r="AV11" s="32"/>
      <c r="AW11" s="32"/>
      <c r="AX11" s="32"/>
    </row>
    <row r="12" spans="1:50">
      <c r="A12" s="57" t="s">
        <v>58</v>
      </c>
      <c r="B12" s="49">
        <f>'★【現状】生産関数（中間投入あり　見通し×付加価値率）'!C12</f>
        <v>439659.48509162513</v>
      </c>
      <c r="D12" s="49">
        <v>15732.886396387368</v>
      </c>
      <c r="E12" s="49">
        <v>879.4713248508375</v>
      </c>
      <c r="F12" s="44">
        <v>0.83091084772924007</v>
      </c>
      <c r="G12" s="43">
        <f t="shared" si="2"/>
        <v>13952.097297700895</v>
      </c>
      <c r="H12" s="49">
        <v>17257.895440512799</v>
      </c>
      <c r="I12" s="53">
        <v>0.10562191321004738</v>
      </c>
      <c r="J12" s="77">
        <v>3.1200968410059586E-2</v>
      </c>
      <c r="K12" s="49">
        <v>932.87119498186905</v>
      </c>
      <c r="L12" s="53">
        <v>0.17172099635020205</v>
      </c>
      <c r="M12" s="77">
        <v>2.6282844840557883E-3</v>
      </c>
      <c r="N12" s="44">
        <v>0.82784500000000005</v>
      </c>
      <c r="O12" s="43">
        <f t="shared" si="3"/>
        <v>15219.733645933189</v>
      </c>
      <c r="Q12" s="49">
        <v>2246.0558000000005</v>
      </c>
      <c r="R12" s="30">
        <v>578.32462500052077</v>
      </c>
      <c r="S12" s="43">
        <f t="shared" si="0"/>
        <v>1298949.3782652449</v>
      </c>
      <c r="T12" s="49">
        <v>2210.02406798533</v>
      </c>
      <c r="U12" s="49">
        <v>6127.833333333333</v>
      </c>
      <c r="V12" s="30">
        <v>579.50914622360051</v>
      </c>
      <c r="W12" s="43">
        <f t="shared" si="4"/>
        <v>1280729.1607717869</v>
      </c>
      <c r="Y12" s="30">
        <v>33251</v>
      </c>
      <c r="Z12" s="30">
        <v>20538.8</v>
      </c>
      <c r="AA12" s="44">
        <f t="shared" si="1"/>
        <v>0.38231030645694863</v>
      </c>
      <c r="AB12" s="35">
        <v>0.31956842987174799</v>
      </c>
      <c r="AD12" s="57" t="s">
        <v>58</v>
      </c>
      <c r="AE12" s="45">
        <f t="shared" si="5"/>
        <v>1.9154690638527208</v>
      </c>
      <c r="AF12" s="54">
        <v>1.38901051254872</v>
      </c>
      <c r="AG12" s="53">
        <f t="shared" si="11"/>
        <v>-5.2006337125405366E-3</v>
      </c>
      <c r="AI12" s="57" t="s">
        <v>58</v>
      </c>
      <c r="AJ12" s="42">
        <f t="shared" si="8"/>
        <v>921875.92235572974</v>
      </c>
      <c r="AK12" s="43">
        <f t="shared" si="9"/>
        <v>904760.37393255287</v>
      </c>
      <c r="AL12" s="44">
        <f t="shared" si="6"/>
        <v>1.8917217106651021E-2</v>
      </c>
      <c r="AM12" s="44">
        <f t="shared" si="10"/>
        <v>4.3819290202856909E-2</v>
      </c>
      <c r="AN12" s="40"/>
      <c r="AO12" s="67">
        <v>80927.7</v>
      </c>
      <c r="AP12" s="67">
        <v>42331.8</v>
      </c>
      <c r="AQ12" s="67">
        <v>38595.9</v>
      </c>
      <c r="AR12" s="66">
        <f t="shared" si="7"/>
        <v>0.47691828632223582</v>
      </c>
      <c r="AS12" s="32"/>
      <c r="AT12" s="32"/>
      <c r="AU12" s="32"/>
      <c r="AV12" s="32"/>
      <c r="AW12" s="32"/>
      <c r="AX12" s="32"/>
    </row>
    <row r="13" spans="1:50">
      <c r="A13" s="57" t="s">
        <v>59</v>
      </c>
      <c r="B13" s="49">
        <f>'★【現状】生産関数（中間投入あり　見通し×付加価値率）'!C13</f>
        <v>455869.47779992485</v>
      </c>
      <c r="D13" s="49">
        <v>16947.490988026173</v>
      </c>
      <c r="E13" s="49">
        <v>970.74285098123778</v>
      </c>
      <c r="F13" s="44">
        <v>0.83215700371960644</v>
      </c>
      <c r="G13" s="43">
        <f t="shared" si="2"/>
        <v>15073.716172142131</v>
      </c>
      <c r="H13" s="49">
        <v>18253.4446840565</v>
      </c>
      <c r="I13" s="53">
        <v>9.9648887769073657E-2</v>
      </c>
      <c r="J13" s="77">
        <v>3.9287390810171699E-2</v>
      </c>
      <c r="K13" s="49">
        <v>1003.34019675897</v>
      </c>
      <c r="L13" s="53">
        <v>0.17345639184699976</v>
      </c>
      <c r="M13" s="77">
        <v>2.743690810521204E-3</v>
      </c>
      <c r="N13" s="44">
        <v>0.82784500000000005</v>
      </c>
      <c r="O13" s="43">
        <f t="shared" si="3"/>
        <v>16114.363111231725</v>
      </c>
      <c r="Q13" s="49">
        <v>2210.0163333333335</v>
      </c>
      <c r="R13" s="30">
        <v>588.53134995179312</v>
      </c>
      <c r="S13" s="43">
        <f t="shared" si="0"/>
        <v>1300663.8960721788</v>
      </c>
      <c r="T13" s="49">
        <v>2190.95623943186</v>
      </c>
      <c r="U13" s="49">
        <v>6249.166666666667</v>
      </c>
      <c r="V13" s="30">
        <v>591.2819073940293</v>
      </c>
      <c r="W13" s="43">
        <f t="shared" si="4"/>
        <v>1295472.7842681198</v>
      </c>
      <c r="Y13" s="30">
        <v>37213.5</v>
      </c>
      <c r="Z13" s="30">
        <v>22637.8</v>
      </c>
      <c r="AA13" s="44">
        <f t="shared" si="1"/>
        <v>0.39167775135367544</v>
      </c>
      <c r="AB13" s="35">
        <v>0.30656842535655898</v>
      </c>
      <c r="AD13" s="57" t="s">
        <v>59</v>
      </c>
      <c r="AE13" s="45">
        <f t="shared" si="5"/>
        <v>2.0088241340505038</v>
      </c>
      <c r="AF13" s="54">
        <v>1.3447247590811999</v>
      </c>
      <c r="AG13" s="53">
        <f t="shared" si="11"/>
        <v>-3.1882950537400423E-2</v>
      </c>
      <c r="AI13" s="57" t="s">
        <v>59</v>
      </c>
      <c r="AJ13" s="42">
        <f t="shared" si="8"/>
        <v>938020.51009871368</v>
      </c>
      <c r="AK13" s="43">
        <f t="shared" si="9"/>
        <v>934016.83863283868</v>
      </c>
      <c r="AL13" s="44">
        <f t="shared" si="6"/>
        <v>4.2865088725117075E-3</v>
      </c>
      <c r="AM13" s="44">
        <f t="shared" si="10"/>
        <v>3.23361472752417E-2</v>
      </c>
      <c r="AO13" s="67">
        <v>89381.5</v>
      </c>
      <c r="AP13" s="67">
        <v>45942.9</v>
      </c>
      <c r="AQ13" s="67">
        <v>43438.6</v>
      </c>
      <c r="AR13" s="66">
        <f t="shared" si="7"/>
        <v>0.48599094891000932</v>
      </c>
      <c r="AS13" s="32"/>
      <c r="AT13" s="32"/>
      <c r="AU13" s="32"/>
      <c r="AV13" s="32"/>
      <c r="AW13" s="32"/>
      <c r="AX13" s="32"/>
    </row>
    <row r="14" spans="1:50">
      <c r="A14" s="57" t="s">
        <v>60</v>
      </c>
      <c r="B14" s="49">
        <f>'★【現状】生産関数（中間投入あり　見通し×付加価値率）'!C14</f>
        <v>444148.43112659384</v>
      </c>
      <c r="D14" s="49">
        <v>18943.930197413443</v>
      </c>
      <c r="E14" s="49">
        <v>1059.7251240025878</v>
      </c>
      <c r="F14" s="44">
        <v>0.83469703894930436</v>
      </c>
      <c r="G14" s="43">
        <f t="shared" si="2"/>
        <v>16872.167565845899</v>
      </c>
      <c r="H14" s="49">
        <v>19271.9753769323</v>
      </c>
      <c r="I14" s="53">
        <v>0.10219668755332685</v>
      </c>
      <c r="J14" s="77">
        <v>4.1616255210911036E-2</v>
      </c>
      <c r="K14" s="49">
        <v>1075.1709706128499</v>
      </c>
      <c r="L14" s="53">
        <v>0.17428068482567402</v>
      </c>
      <c r="M14" s="77">
        <v>2.7007306355336606E-3</v>
      </c>
      <c r="N14" s="44">
        <v>0.82784500000000005</v>
      </c>
      <c r="O14" s="43">
        <f t="shared" si="3"/>
        <v>17029.379426529373</v>
      </c>
      <c r="Q14" s="49">
        <v>2178.4818</v>
      </c>
      <c r="R14" s="30">
        <v>604.33599903638333</v>
      </c>
      <c r="S14" s="43">
        <f t="shared" si="0"/>
        <v>1316534.9749855786</v>
      </c>
      <c r="T14" s="49">
        <v>2170.0852835935302</v>
      </c>
      <c r="U14" s="49">
        <v>6368.583333333333</v>
      </c>
      <c r="V14" s="30">
        <v>603.62061008858439</v>
      </c>
      <c r="W14" s="43">
        <f t="shared" si="4"/>
        <v>1309908.2028269854</v>
      </c>
      <c r="Y14" s="30">
        <v>38347.699999999997</v>
      </c>
      <c r="Z14" s="30">
        <v>25179.1</v>
      </c>
      <c r="AA14" s="44">
        <f t="shared" si="1"/>
        <v>0.34339999530610699</v>
      </c>
      <c r="AB14" s="35">
        <v>0.28820448310500402</v>
      </c>
      <c r="AD14" s="57" t="s">
        <v>60</v>
      </c>
      <c r="AE14" s="45">
        <f t="shared" si="5"/>
        <v>1.5062544008483487</v>
      </c>
      <c r="AF14" s="54">
        <v>1.2651353680441</v>
      </c>
      <c r="AG14" s="53">
        <f t="shared" si="11"/>
        <v>-5.9186380335170097E-2</v>
      </c>
      <c r="AI14" s="57" t="s">
        <v>60</v>
      </c>
      <c r="AJ14" s="42">
        <f t="shared" si="8"/>
        <v>931140.95929229981</v>
      </c>
      <c r="AK14" s="43">
        <f t="shared" si="9"/>
        <v>993800.90097561851</v>
      </c>
      <c r="AL14" s="44">
        <f t="shared" si="6"/>
        <v>-6.3050799835062704E-2</v>
      </c>
      <c r="AM14" s="44">
        <f t="shared" si="10"/>
        <v>6.4007478098883519E-2</v>
      </c>
      <c r="AO14" s="67">
        <v>94261.4</v>
      </c>
      <c r="AP14" s="67">
        <v>49299.3</v>
      </c>
      <c r="AQ14" s="67">
        <v>44962.1</v>
      </c>
      <c r="AR14" s="66">
        <f t="shared" si="7"/>
        <v>0.47699376414948219</v>
      </c>
      <c r="AS14" s="32"/>
      <c r="AT14" s="32"/>
      <c r="AU14" s="32"/>
      <c r="AV14" s="32"/>
      <c r="AW14" s="32"/>
      <c r="AX14" s="32"/>
    </row>
    <row r="15" spans="1:50">
      <c r="A15" s="57" t="s">
        <v>61</v>
      </c>
      <c r="B15" s="49">
        <f>'★【現状】生産関数（中間投入あり　見通し×付加価値率）'!C15</f>
        <v>438175.86271182302</v>
      </c>
      <c r="D15" s="49">
        <v>20882.983261920435</v>
      </c>
      <c r="E15" s="49">
        <v>1126.511595140536</v>
      </c>
      <c r="F15" s="44">
        <v>0.82365230661915823</v>
      </c>
      <c r="G15" s="43">
        <f t="shared" si="2"/>
        <v>18326.828927910574</v>
      </c>
      <c r="H15" s="49">
        <v>20268.9552413038</v>
      </c>
      <c r="I15" s="53">
        <v>0.10635865326378077</v>
      </c>
      <c r="J15" s="77">
        <v>3.9724034575944853E-2</v>
      </c>
      <c r="K15" s="49">
        <v>1146.7795842764201</v>
      </c>
      <c r="L15" s="53">
        <v>0.1745801362210059</v>
      </c>
      <c r="M15" s="77">
        <v>3.3074310610391095E-3</v>
      </c>
      <c r="N15" s="44">
        <v>0.82784500000000005</v>
      </c>
      <c r="O15" s="43">
        <f t="shared" si="3"/>
        <v>17926.332836013567</v>
      </c>
      <c r="Q15" s="49">
        <v>2139.8433333333332</v>
      </c>
      <c r="R15" s="30">
        <v>618.86100882546657</v>
      </c>
      <c r="S15" s="43">
        <f t="shared" si="0"/>
        <v>1324265.6039951157</v>
      </c>
      <c r="T15" s="49">
        <v>2148.43725181434</v>
      </c>
      <c r="U15" s="49">
        <v>6436.25</v>
      </c>
      <c r="V15" s="30">
        <v>615.96835587990222</v>
      </c>
      <c r="W15" s="43">
        <f t="shared" si="4"/>
        <v>1323369.3617112145</v>
      </c>
      <c r="Y15" s="30">
        <v>37647.599999999999</v>
      </c>
      <c r="Z15" s="30">
        <v>26599.599999999999</v>
      </c>
      <c r="AA15" s="44">
        <f t="shared" si="1"/>
        <v>0.29345828153720288</v>
      </c>
      <c r="AB15" s="35">
        <v>0.26535982511103801</v>
      </c>
      <c r="AD15" s="57" t="s">
        <v>61</v>
      </c>
      <c r="AE15" s="45">
        <f t="shared" si="5"/>
        <v>1.1619283891658454</v>
      </c>
      <c r="AF15" s="54">
        <v>1.1586039497888401</v>
      </c>
      <c r="AG15" s="53">
        <f t="shared" si="11"/>
        <v>-8.4205549023546378E-2</v>
      </c>
      <c r="AI15" s="57" t="s">
        <v>61</v>
      </c>
      <c r="AJ15" s="42">
        <f t="shared" si="8"/>
        <v>914515.97595756478</v>
      </c>
      <c r="AK15" s="43">
        <f t="shared" si="9"/>
        <v>1021918.9578073365</v>
      </c>
      <c r="AL15" s="44">
        <f t="shared" si="6"/>
        <v>-0.10509931441160376</v>
      </c>
      <c r="AM15" s="44">
        <f t="shared" si="10"/>
        <v>2.8293450734562908E-2</v>
      </c>
      <c r="AO15" s="67">
        <v>93950.3</v>
      </c>
      <c r="AP15" s="67">
        <v>48935.5</v>
      </c>
      <c r="AQ15" s="67">
        <v>45014.8</v>
      </c>
      <c r="AR15" s="66">
        <f t="shared" si="7"/>
        <v>0.47913418051884882</v>
      </c>
      <c r="AS15" s="32"/>
      <c r="AT15" s="32"/>
      <c r="AU15" s="32"/>
      <c r="AV15" s="32"/>
      <c r="AW15" s="32"/>
      <c r="AX15" s="32"/>
    </row>
    <row r="16" spans="1:50">
      <c r="A16" s="57" t="s">
        <v>62</v>
      </c>
      <c r="B16" s="49">
        <f>'★【現状】生産関数（中間投入あり　見通し×付加価値率）'!C16</f>
        <v>424938.15459265187</v>
      </c>
      <c r="D16" s="49">
        <v>22294.723710971728</v>
      </c>
      <c r="E16" s="49">
        <v>1232.3149018762131</v>
      </c>
      <c r="F16" s="44">
        <v>0.80982216605645885</v>
      </c>
      <c r="G16" s="43">
        <f t="shared" si="2"/>
        <v>19287.076349125629</v>
      </c>
      <c r="H16" s="49">
        <v>21196.571547539399</v>
      </c>
      <c r="I16" s="53">
        <v>0.10896493823100777</v>
      </c>
      <c r="J16" s="77">
        <v>3.729668912572056E-2</v>
      </c>
      <c r="K16" s="49">
        <v>1216.42764701653</v>
      </c>
      <c r="L16" s="53">
        <v>0.17536907717138378</v>
      </c>
      <c r="M16" s="77">
        <v>3.6029616831143247E-3</v>
      </c>
      <c r="N16" s="44">
        <v>0.82784500000000005</v>
      </c>
      <c r="O16" s="43">
        <f t="shared" si="3"/>
        <v>18763.903419789287</v>
      </c>
      <c r="Q16" s="49">
        <v>2091.8484666666668</v>
      </c>
      <c r="R16" s="30">
        <v>640.53298907340525</v>
      </c>
      <c r="S16" s="43">
        <f t="shared" si="0"/>
        <v>1339897.9510426195</v>
      </c>
      <c r="T16" s="49">
        <v>2127.1221606023701</v>
      </c>
      <c r="U16" s="49">
        <v>6450</v>
      </c>
      <c r="V16" s="30">
        <v>627.66488175266625</v>
      </c>
      <c r="W16" s="43">
        <f t="shared" si="4"/>
        <v>1335119.8794079626</v>
      </c>
      <c r="Y16" s="30">
        <v>37628</v>
      </c>
      <c r="Z16" s="30">
        <v>28010.3</v>
      </c>
      <c r="AA16" s="44">
        <f t="shared" si="1"/>
        <v>0.25559955352397157</v>
      </c>
      <c r="AB16" s="35">
        <v>0.23946962849062001</v>
      </c>
      <c r="AD16" s="57" t="s">
        <v>62</v>
      </c>
      <c r="AE16" s="45">
        <f t="shared" si="5"/>
        <v>0.9376022110893244</v>
      </c>
      <c r="AF16" s="54">
        <v>1.03590330499442</v>
      </c>
      <c r="AG16" s="53">
        <f t="shared" si="11"/>
        <v>-0.10590387234290266</v>
      </c>
      <c r="AI16" s="57" t="s">
        <v>62</v>
      </c>
      <c r="AJ16" s="42">
        <f t="shared" si="8"/>
        <v>876340.72052990249</v>
      </c>
      <c r="AK16" s="43">
        <f t="shared" si="9"/>
        <v>1027168.7561781757</v>
      </c>
      <c r="AL16" s="44">
        <f t="shared" si="6"/>
        <v>-0.14683861316952881</v>
      </c>
      <c r="AM16" s="44">
        <f t="shared" si="10"/>
        <v>5.1371963801349896E-3</v>
      </c>
      <c r="AO16" s="67">
        <v>93646.2</v>
      </c>
      <c r="AP16" s="67">
        <v>48237.1</v>
      </c>
      <c r="AQ16" s="67">
        <v>45409.1</v>
      </c>
      <c r="AR16" s="66">
        <f t="shared" si="7"/>
        <v>0.4849006152945875</v>
      </c>
      <c r="AS16" s="32"/>
      <c r="AT16" s="32"/>
      <c r="AU16" s="32"/>
      <c r="AV16" s="32"/>
      <c r="AW16" s="32"/>
      <c r="AX16" s="32"/>
    </row>
    <row r="17" spans="1:50">
      <c r="A17" s="57" t="s">
        <v>63</v>
      </c>
      <c r="B17" s="49">
        <f>'★【現状】生産関数（中間投入あり　見通し×付加価値率）'!C17</f>
        <v>397409.53429652675</v>
      </c>
      <c r="D17" s="49">
        <v>23133.841261109683</v>
      </c>
      <c r="E17" s="49">
        <v>1331.947178491841</v>
      </c>
      <c r="F17" s="44">
        <v>0.80504109241560873</v>
      </c>
      <c r="G17" s="43">
        <f t="shared" si="2"/>
        <v>19955.640019104863</v>
      </c>
      <c r="H17" s="49">
        <v>22013.151846213801</v>
      </c>
      <c r="I17" s="44">
        <v>0.10970254496282243</v>
      </c>
      <c r="J17" s="77">
        <v>3.5312105733588034E-2</v>
      </c>
      <c r="K17" s="49">
        <v>1282.1740882086599</v>
      </c>
      <c r="L17" s="44">
        <v>0.17669407788252073</v>
      </c>
      <c r="M17" s="77">
        <v>3.2990191881381108E-3</v>
      </c>
      <c r="N17" s="44">
        <v>0.82784500000000005</v>
      </c>
      <c r="O17" s="43">
        <f>H17*N17+K17</f>
        <v>19505.651778337524</v>
      </c>
      <c r="Q17" s="43">
        <v>2063.0862000000006</v>
      </c>
      <c r="R17" s="43">
        <v>654.78691854150406</v>
      </c>
      <c r="S17" s="43">
        <f t="shared" si="0"/>
        <v>1350881.8555835015</v>
      </c>
      <c r="T17" s="43">
        <v>2107.1640872808898</v>
      </c>
      <c r="U17" s="43">
        <v>6453.666666666667</v>
      </c>
      <c r="V17" s="43">
        <v>637.98091429446617</v>
      </c>
      <c r="W17" s="43">
        <f t="shared" si="4"/>
        <v>1344330.4709719263</v>
      </c>
      <c r="Y17" s="43">
        <v>35240.300000000003</v>
      </c>
      <c r="Z17" s="43">
        <v>29892.3</v>
      </c>
      <c r="AA17" s="44">
        <f>1-Z17/Y17</f>
        <v>0.15175807243411676</v>
      </c>
      <c r="AB17" s="35">
        <v>0.212250054923974</v>
      </c>
      <c r="AD17" s="57" t="s">
        <v>63</v>
      </c>
      <c r="AE17" s="45">
        <f t="shared" si="5"/>
        <v>0.55772731167463152</v>
      </c>
      <c r="AF17" s="45">
        <v>0.90783947873392501</v>
      </c>
      <c r="AG17" s="53">
        <f t="shared" si="11"/>
        <v>-0.1236252704698001</v>
      </c>
      <c r="AI17" s="57" t="s">
        <v>63</v>
      </c>
      <c r="AJ17" s="42">
        <f t="shared" si="8"/>
        <v>872986.73810545634</v>
      </c>
      <c r="AK17" s="43">
        <f t="shared" si="9"/>
        <v>1091680.4224790675</v>
      </c>
      <c r="AL17" s="44">
        <f t="shared" si="6"/>
        <v>-0.20032756827953876</v>
      </c>
      <c r="AM17" s="44">
        <f t="shared" si="10"/>
        <v>6.2805323772622046E-2</v>
      </c>
      <c r="AO17" s="37">
        <v>88624.7</v>
      </c>
      <c r="AP17" s="37">
        <v>48280.2</v>
      </c>
      <c r="AQ17" s="37">
        <v>40344.6</v>
      </c>
      <c r="AR17" s="66">
        <f t="shared" si="7"/>
        <v>0.45522974971988622</v>
      </c>
      <c r="AS17" s="37"/>
      <c r="AT17" s="37"/>
      <c r="AU17" s="38"/>
      <c r="AV17" s="37"/>
      <c r="AW17" s="37"/>
      <c r="AX17" s="38"/>
    </row>
    <row r="18" spans="1:50">
      <c r="A18" s="57" t="s">
        <v>64</v>
      </c>
      <c r="B18" s="49">
        <f>'★【現状】生産関数（中間投入あり　見通し×付加価値率）'!C18</f>
        <v>396975.90338614478</v>
      </c>
      <c r="D18" s="43">
        <v>23678.7</v>
      </c>
      <c r="E18" s="43">
        <v>1384.6</v>
      </c>
      <c r="F18" s="44">
        <v>0.80543238015226171</v>
      </c>
      <c r="G18" s="43">
        <f t="shared" si="2"/>
        <v>20456.19169991136</v>
      </c>
      <c r="H18" s="43">
        <v>22688.005209536001</v>
      </c>
      <c r="I18" s="44">
        <v>0.10615447638595017</v>
      </c>
      <c r="J18" s="77">
        <v>3.6334016232516267E-2</v>
      </c>
      <c r="K18" s="43">
        <v>1342.2367097768699</v>
      </c>
      <c r="L18" s="44">
        <v>0.17745197168857432</v>
      </c>
      <c r="M18" s="77">
        <v>3.1730688322739778E-3</v>
      </c>
      <c r="N18" s="44">
        <v>0.82784500000000005</v>
      </c>
      <c r="O18" s="43">
        <f t="shared" ref="O18:O63" si="12">H18*N18+K18</f>
        <v>20124.3883824652</v>
      </c>
      <c r="Q18" s="43">
        <v>2065.6851999999999</v>
      </c>
      <c r="R18" s="43">
        <v>662.99189736161873</v>
      </c>
      <c r="S18" s="43">
        <f t="shared" si="0"/>
        <v>1369532.5500998148</v>
      </c>
      <c r="T18" s="43">
        <v>2089.2343722338201</v>
      </c>
      <c r="U18" s="43">
        <v>6457.333333333333</v>
      </c>
      <c r="V18" s="43">
        <v>646.23938937919286</v>
      </c>
      <c r="W18" s="43">
        <f t="shared" si="4"/>
        <v>1350145.5449824051</v>
      </c>
      <c r="Y18" s="43">
        <v>34426.699999999997</v>
      </c>
      <c r="Z18" s="43">
        <v>30074.5</v>
      </c>
      <c r="AA18" s="44">
        <f t="shared" ref="AA18:AA42" si="13">1-Z18/Y18</f>
        <v>0.12641931988834243</v>
      </c>
      <c r="AB18" s="35">
        <v>0.18557856534165501</v>
      </c>
      <c r="AD18" s="57" t="s">
        <v>64</v>
      </c>
      <c r="AE18" s="45">
        <f t="shared" si="5"/>
        <v>0.49317556811961383</v>
      </c>
      <c r="AF18" s="45">
        <v>0.78423550514152096</v>
      </c>
      <c r="AG18" s="53">
        <f t="shared" si="11"/>
        <v>-0.13615179388847731</v>
      </c>
      <c r="AH18" s="43"/>
      <c r="AI18" s="57" t="s">
        <v>64</v>
      </c>
      <c r="AJ18" s="42">
        <f t="shared" si="8"/>
        <v>883056.79709820484</v>
      </c>
      <c r="AK18" s="43">
        <f t="shared" si="9"/>
        <v>1079103.3189261954</v>
      </c>
      <c r="AL18" s="44">
        <f t="shared" si="6"/>
        <v>-0.18167539510774039</v>
      </c>
      <c r="AM18" s="44">
        <f t="shared" si="10"/>
        <v>-1.1520865716645456E-2</v>
      </c>
      <c r="AO18" s="37">
        <v>88094.6</v>
      </c>
      <c r="AP18" s="37">
        <v>48491.9</v>
      </c>
      <c r="AQ18" s="37">
        <v>39602.699999999997</v>
      </c>
      <c r="AR18" s="66">
        <f t="shared" si="7"/>
        <v>0.44954741834346251</v>
      </c>
      <c r="AS18" s="37"/>
      <c r="AT18" s="37"/>
      <c r="AU18" s="38"/>
      <c r="AV18" s="37"/>
      <c r="AW18" s="37"/>
      <c r="AX18" s="38"/>
    </row>
    <row r="19" spans="1:50">
      <c r="A19" s="57" t="s">
        <v>65</v>
      </c>
      <c r="B19" s="49">
        <f>'★【現状】生産関数（中間投入あり　見通し×付加価値率）'!C19</f>
        <v>381321.90429950709</v>
      </c>
      <c r="D19" s="43">
        <v>24373.600000000002</v>
      </c>
      <c r="E19" s="43">
        <v>1419.1</v>
      </c>
      <c r="F19" s="44">
        <v>0.81356770739113005</v>
      </c>
      <c r="G19" s="43">
        <f t="shared" si="2"/>
        <v>21248.673872868447</v>
      </c>
      <c r="H19" s="43">
        <v>23201.647603863799</v>
      </c>
      <c r="I19" s="44">
        <v>0.10796927823546791</v>
      </c>
      <c r="J19" s="77">
        <v>3.2807400054023765E-2</v>
      </c>
      <c r="K19" s="43">
        <v>1395.3310445480699</v>
      </c>
      <c r="L19" s="44">
        <v>0.1782115425269537</v>
      </c>
      <c r="M19" s="77">
        <v>3.5539206089747707E-3</v>
      </c>
      <c r="N19" s="44">
        <v>0.82784500000000005</v>
      </c>
      <c r="O19" s="43">
        <f t="shared" si="12"/>
        <v>20602.699005168699</v>
      </c>
      <c r="Q19" s="43">
        <v>2088.7296666666671</v>
      </c>
      <c r="R19" s="43">
        <v>669.47482644485297</v>
      </c>
      <c r="S19" s="43">
        <f t="shared" si="0"/>
        <v>1398351.9310818824</v>
      </c>
      <c r="T19" s="43">
        <v>2073.5635769722398</v>
      </c>
      <c r="U19" s="43">
        <v>6486.25</v>
      </c>
      <c r="V19" s="43">
        <v>651.89082098768984</v>
      </c>
      <c r="W19" s="43">
        <f t="shared" si="4"/>
        <v>1351737.0625626042</v>
      </c>
      <c r="Y19" s="43">
        <v>35941.800000000003</v>
      </c>
      <c r="Z19" s="43">
        <v>30504.5</v>
      </c>
      <c r="AA19" s="44">
        <f t="shared" si="13"/>
        <v>0.15128068154627761</v>
      </c>
      <c r="AB19" s="35">
        <v>0.16072770084931801</v>
      </c>
      <c r="AD19" s="57" t="s">
        <v>65</v>
      </c>
      <c r="AE19" s="45">
        <f t="shared" si="5"/>
        <v>0.51374381762828025</v>
      </c>
      <c r="AF19" s="45">
        <v>0.67141329668102601</v>
      </c>
      <c r="AG19" s="53">
        <f t="shared" si="11"/>
        <v>-0.14386266334643361</v>
      </c>
      <c r="AH19" s="40"/>
      <c r="AI19" s="57" t="s">
        <v>65</v>
      </c>
      <c r="AJ19" s="42">
        <f t="shared" si="8"/>
        <v>855111.95504074183</v>
      </c>
      <c r="AK19" s="43">
        <f t="shared" si="9"/>
        <v>1038906.0576870119</v>
      </c>
      <c r="AL19" s="44">
        <f t="shared" si="6"/>
        <v>-0.17691118584433277</v>
      </c>
      <c r="AM19" s="44">
        <f t="shared" si="10"/>
        <v>-3.7250614036831386E-2</v>
      </c>
      <c r="AO19" s="37">
        <v>92402.4</v>
      </c>
      <c r="AP19" s="37">
        <v>51197.3</v>
      </c>
      <c r="AQ19" s="37">
        <v>41205.199999999997</v>
      </c>
      <c r="AR19" s="66">
        <f t="shared" si="7"/>
        <v>0.44593214029072836</v>
      </c>
      <c r="AS19" s="37"/>
      <c r="AT19" s="37"/>
      <c r="AU19" s="38"/>
      <c r="AV19" s="37"/>
      <c r="AW19" s="37"/>
      <c r="AX19" s="38"/>
    </row>
    <row r="20" spans="1:50">
      <c r="A20" s="57" t="s">
        <v>66</v>
      </c>
      <c r="B20" s="49">
        <f>'★【現状】生産関数（中間投入あり　見通し×付加価値率）'!C20</f>
        <v>359118.49652732996</v>
      </c>
      <c r="D20" s="43">
        <v>24547.4</v>
      </c>
      <c r="E20" s="43">
        <v>1470.1</v>
      </c>
      <c r="F20" s="44">
        <v>0.81403646043855638</v>
      </c>
      <c r="G20" s="43">
        <f t="shared" si="2"/>
        <v>21452.578608969419</v>
      </c>
      <c r="H20" s="43">
        <v>23544.5019434598</v>
      </c>
      <c r="I20" s="44">
        <v>0.11098527746319375</v>
      </c>
      <c r="J20" s="77">
        <v>3.1837751711188383E-2</v>
      </c>
      <c r="K20" s="43">
        <v>1440.5962582514001</v>
      </c>
      <c r="L20" s="44">
        <v>0.17903543976600228</v>
      </c>
      <c r="M20" s="77">
        <v>3.9080628372587592E-3</v>
      </c>
      <c r="N20" s="44">
        <v>0.82784500000000005</v>
      </c>
      <c r="O20" s="43">
        <f t="shared" si="12"/>
        <v>20931.794469634879</v>
      </c>
      <c r="Q20" s="43">
        <v>2071.5762666666665</v>
      </c>
      <c r="R20" s="43">
        <v>684.60342112773708</v>
      </c>
      <c r="S20" s="43">
        <f t="shared" si="0"/>
        <v>1418208.1992870253</v>
      </c>
      <c r="T20" s="43">
        <v>2060.1467712849299</v>
      </c>
      <c r="U20" s="43">
        <v>6556.916666666667</v>
      </c>
      <c r="V20" s="43">
        <v>654.54113976425742</v>
      </c>
      <c r="W20" s="43">
        <f t="shared" si="4"/>
        <v>1348450.815758493</v>
      </c>
      <c r="Y20" s="43">
        <v>33721.699999999997</v>
      </c>
      <c r="Z20" s="43">
        <v>31412.3</v>
      </c>
      <c r="AA20" s="44">
        <f t="shared" si="13"/>
        <v>6.8484091845903317E-2</v>
      </c>
      <c r="AB20" s="35">
        <v>0.13837841009808199</v>
      </c>
      <c r="AD20" s="57" t="s">
        <v>66</v>
      </c>
      <c r="AE20" s="45">
        <f t="shared" si="5"/>
        <v>0.33740900478224051</v>
      </c>
      <c r="AF20" s="45">
        <v>0.57278416644584196</v>
      </c>
      <c r="AG20" s="53">
        <f t="shared" si="11"/>
        <v>-0.14689779115596013</v>
      </c>
      <c r="AH20" s="40"/>
      <c r="AI20" s="57" t="s">
        <v>66</v>
      </c>
      <c r="AJ20" s="42">
        <f t="shared" si="8"/>
        <v>802443.59688947361</v>
      </c>
      <c r="AK20" s="43">
        <f t="shared" si="9"/>
        <v>969778.04559820786</v>
      </c>
      <c r="AL20" s="44">
        <f t="shared" si="6"/>
        <v>-0.17254922347258742</v>
      </c>
      <c r="AM20" s="44">
        <f t="shared" si="10"/>
        <v>-6.6539232856826835E-2</v>
      </c>
      <c r="AO20" s="37">
        <v>87753</v>
      </c>
      <c r="AP20" s="37">
        <v>48480.800000000003</v>
      </c>
      <c r="AQ20" s="37">
        <v>39272.199999999997</v>
      </c>
      <c r="AR20" s="66">
        <f t="shared" si="7"/>
        <v>0.44753113853657422</v>
      </c>
      <c r="AS20" s="37"/>
      <c r="AT20" s="37"/>
      <c r="AU20" s="38"/>
      <c r="AV20" s="37"/>
      <c r="AW20" s="37"/>
      <c r="AX20" s="38"/>
    </row>
    <row r="21" spans="1:50">
      <c r="A21" s="57" t="s">
        <v>67</v>
      </c>
      <c r="B21" s="49">
        <f>'★【現状】生産関数（中間投入あり　見通し×付加価値率）'!C21</f>
        <v>352228.04902505095</v>
      </c>
      <c r="D21" s="43">
        <v>24377.8</v>
      </c>
      <c r="E21" s="43">
        <v>1520.5</v>
      </c>
      <c r="F21" s="44">
        <v>0.79833957381538978</v>
      </c>
      <c r="G21" s="43">
        <f t="shared" si="2"/>
        <v>20982.26246255681</v>
      </c>
      <c r="H21" s="43">
        <v>23718.710666547799</v>
      </c>
      <c r="I21" s="44">
        <v>0.1121881383882056</v>
      </c>
      <c r="J21" s="77">
        <v>3.0360918738895678E-2</v>
      </c>
      <c r="K21" s="43">
        <v>1477.4092061705201</v>
      </c>
      <c r="L21" s="44">
        <v>0.18066425517921744</v>
      </c>
      <c r="M21" s="77">
        <v>3.785497878237949E-3</v>
      </c>
      <c r="N21" s="44">
        <v>0.82784500000000005</v>
      </c>
      <c r="O21" s="43">
        <f t="shared" si="12"/>
        <v>21112.825237918783</v>
      </c>
      <c r="Q21" s="43">
        <v>2050.7842666666666</v>
      </c>
      <c r="R21" s="43">
        <v>661.75412035202453</v>
      </c>
      <c r="S21" s="43">
        <f t="shared" si="0"/>
        <v>1357114.9384197716</v>
      </c>
      <c r="T21" s="43">
        <v>2049.1306858575799</v>
      </c>
      <c r="U21" s="43">
        <v>6514</v>
      </c>
      <c r="V21" s="43">
        <v>653.98243176224071</v>
      </c>
      <c r="W21" s="43">
        <f t="shared" si="4"/>
        <v>1340095.4689357684</v>
      </c>
      <c r="Y21" s="43">
        <v>32164.400000000001</v>
      </c>
      <c r="Z21" s="43">
        <v>29572.3</v>
      </c>
      <c r="AA21" s="44">
        <f t="shared" si="13"/>
        <v>8.0589098506423262E-2</v>
      </c>
      <c r="AB21" s="35">
        <v>0.119117171546034</v>
      </c>
      <c r="AD21" s="57" t="s">
        <v>67</v>
      </c>
      <c r="AE21" s="45">
        <f t="shared" si="5"/>
        <v>0.36319107696593139</v>
      </c>
      <c r="AF21" s="45">
        <v>0.490182732738561</v>
      </c>
      <c r="AG21" s="53">
        <f t="shared" si="11"/>
        <v>-0.14421039991350937</v>
      </c>
      <c r="AH21" s="40"/>
      <c r="AI21" s="57" t="s">
        <v>67</v>
      </c>
      <c r="AJ21" s="42">
        <f t="shared" si="8"/>
        <v>766874.02644940093</v>
      </c>
      <c r="AK21" s="43">
        <f t="shared" si="9"/>
        <v>872317.30847604247</v>
      </c>
      <c r="AL21" s="44">
        <f t="shared" si="6"/>
        <v>-0.12087720947650721</v>
      </c>
      <c r="AM21" s="44">
        <f t="shared" si="10"/>
        <v>-0.1004979825688328</v>
      </c>
      <c r="AO21" s="37">
        <v>82626.600000000006</v>
      </c>
      <c r="AP21" s="37">
        <v>44675.9</v>
      </c>
      <c r="AQ21" s="37">
        <v>37950.699999999997</v>
      </c>
      <c r="AR21" s="66">
        <f t="shared" si="7"/>
        <v>0.4593036625009379</v>
      </c>
      <c r="AS21" s="37"/>
      <c r="AT21" s="37"/>
      <c r="AU21" s="38"/>
      <c r="AV21" s="37"/>
      <c r="AW21" s="37"/>
      <c r="AX21" s="38"/>
    </row>
    <row r="22" spans="1:50">
      <c r="A22" s="57" t="s">
        <v>68</v>
      </c>
      <c r="B22" s="49">
        <f>'★【現状】生産関数（中間投入あり　見通し×付加価値率）'!C22</f>
        <v>348450.05431433319</v>
      </c>
      <c r="D22" s="43">
        <v>23971.200000000001</v>
      </c>
      <c r="E22" s="43">
        <v>1536.1</v>
      </c>
      <c r="F22" s="44">
        <v>0.78839868222937881</v>
      </c>
      <c r="G22" s="43">
        <f t="shared" si="2"/>
        <v>20434.962491456885</v>
      </c>
      <c r="H22" s="43">
        <v>23736.445191917301</v>
      </c>
      <c r="I22" s="44">
        <v>0.11052012414897885</v>
      </c>
      <c r="J22" s="77">
        <v>3.0364388701506723E-2</v>
      </c>
      <c r="K22" s="43">
        <v>1505.4417810065399</v>
      </c>
      <c r="L22" s="44">
        <v>0.18293079877612128</v>
      </c>
      <c r="M22" s="77">
        <v>3.9568702128770922E-3</v>
      </c>
      <c r="N22" s="44">
        <v>0.82784500000000005</v>
      </c>
      <c r="O22" s="43">
        <f t="shared" si="12"/>
        <v>21155.539250909318</v>
      </c>
      <c r="Q22" s="43">
        <v>2026.5269333333335</v>
      </c>
      <c r="R22" s="43">
        <v>656.6112003019274</v>
      </c>
      <c r="S22" s="43">
        <f t="shared" si="0"/>
        <v>1330640.2821401842</v>
      </c>
      <c r="T22" s="43">
        <v>2040.7763463297299</v>
      </c>
      <c r="U22" s="43">
        <v>6461.833333333333</v>
      </c>
      <c r="V22" s="43">
        <v>650.3099776970821</v>
      </c>
      <c r="W22" s="43">
        <f t="shared" si="4"/>
        <v>1327137.2202664195</v>
      </c>
      <c r="Y22" s="43">
        <v>31273.200000000001</v>
      </c>
      <c r="Z22" s="43">
        <v>28939</v>
      </c>
      <c r="AA22" s="44">
        <f t="shared" si="13"/>
        <v>7.4638988015297447E-2</v>
      </c>
      <c r="AB22" s="35">
        <v>0.102831520468738</v>
      </c>
      <c r="AD22" s="57" t="s">
        <v>68</v>
      </c>
      <c r="AE22" s="45">
        <f t="shared" si="5"/>
        <v>0.35764455618343743</v>
      </c>
      <c r="AF22" s="45">
        <v>0.42308986224531903</v>
      </c>
      <c r="AG22" s="53">
        <f t="shared" si="11"/>
        <v>-0.1368731822077992</v>
      </c>
      <c r="AH22" s="40"/>
      <c r="AI22" s="57" t="s">
        <v>68</v>
      </c>
      <c r="AJ22" s="42">
        <f t="shared" si="8"/>
        <v>751604.13154859724</v>
      </c>
      <c r="AK22" s="43">
        <f t="shared" si="9"/>
        <v>791331.15282787511</v>
      </c>
      <c r="AL22" s="44">
        <f t="shared" si="6"/>
        <v>-5.0202776849250376E-2</v>
      </c>
      <c r="AM22" s="44">
        <f t="shared" si="10"/>
        <v>-9.2840248452311425E-2</v>
      </c>
      <c r="AO22" s="37">
        <v>79278.100000000006</v>
      </c>
      <c r="AP22" s="37">
        <v>42524.1</v>
      </c>
      <c r="AQ22" s="37">
        <v>36754</v>
      </c>
      <c r="AR22" s="66">
        <f t="shared" si="7"/>
        <v>0.46360848708533625</v>
      </c>
      <c r="AS22" s="37"/>
      <c r="AT22" s="37"/>
      <c r="AU22" s="38"/>
      <c r="AV22" s="37"/>
      <c r="AW22" s="37"/>
      <c r="AX22" s="38"/>
    </row>
    <row r="23" spans="1:50">
      <c r="A23" s="57" t="s">
        <v>69</v>
      </c>
      <c r="B23" s="49">
        <f>'★【現状】生産関数（中間投入あり　見通し×付加価値率）'!C23</f>
        <v>321556.36776918429</v>
      </c>
      <c r="D23" s="43">
        <v>23604.1</v>
      </c>
      <c r="E23" s="43">
        <v>1552.5</v>
      </c>
      <c r="F23" s="44">
        <v>0.78321155603443193</v>
      </c>
      <c r="G23" s="43">
        <f t="shared" si="2"/>
        <v>20039.503889792333</v>
      </c>
      <c r="H23" s="43">
        <v>23616.467831692102</v>
      </c>
      <c r="I23" s="44">
        <v>0.10780754191009188</v>
      </c>
      <c r="J23" s="77">
        <v>3.6815827513257654E-2</v>
      </c>
      <c r="K23" s="43">
        <v>1524.7967833989201</v>
      </c>
      <c r="L23" s="44">
        <v>0.18595813204508851</v>
      </c>
      <c r="M23" s="77">
        <v>4.3130311929578807E-3</v>
      </c>
      <c r="N23" s="44">
        <v>0.82784500000000005</v>
      </c>
      <c r="O23" s="43">
        <f t="shared" si="12"/>
        <v>21075.571595526071</v>
      </c>
      <c r="Q23" s="43">
        <v>2017.1705333333337</v>
      </c>
      <c r="R23" s="43">
        <v>653.21341377324222</v>
      </c>
      <c r="S23" s="43">
        <f t="shared" si="0"/>
        <v>1317642.8502414585</v>
      </c>
      <c r="T23" s="43">
        <v>2035.36131414897</v>
      </c>
      <c r="U23" s="43">
        <v>6445.833333333333</v>
      </c>
      <c r="V23" s="43">
        <v>643.75636680403989</v>
      </c>
      <c r="W23" s="43">
        <f t="shared" si="4"/>
        <v>1310276.804730037</v>
      </c>
      <c r="Y23" s="43">
        <v>30501.599999999999</v>
      </c>
      <c r="Z23" s="43">
        <v>27540.7</v>
      </c>
      <c r="AA23" s="44">
        <f t="shared" si="13"/>
        <v>9.7073596139218843E-2</v>
      </c>
      <c r="AB23" s="35">
        <v>8.9023711411359702E-2</v>
      </c>
      <c r="AD23" s="57" t="s">
        <v>69</v>
      </c>
      <c r="AE23" s="45">
        <f t="shared" si="5"/>
        <v>0.36637897043484563</v>
      </c>
      <c r="AF23" s="45">
        <v>0.36971650509486198</v>
      </c>
      <c r="AG23" s="53">
        <f t="shared" si="11"/>
        <v>-0.12615134966176456</v>
      </c>
      <c r="AH23" s="40"/>
      <c r="AI23" s="57" t="s">
        <v>69</v>
      </c>
      <c r="AJ23" s="42">
        <f t="shared" si="8"/>
        <v>696493.91938198661</v>
      </c>
      <c r="AK23" s="43">
        <f t="shared" si="9"/>
        <v>726474.92705667112</v>
      </c>
      <c r="AL23" s="44">
        <f t="shared" si="6"/>
        <v>-4.1269156798230074E-2</v>
      </c>
      <c r="AM23" s="44">
        <f t="shared" si="10"/>
        <v>-8.1958388140585536E-2</v>
      </c>
      <c r="AO23" s="37">
        <v>77317.2</v>
      </c>
      <c r="AP23" s="37">
        <v>41621.5</v>
      </c>
      <c r="AQ23" s="37">
        <v>35695.699999999997</v>
      </c>
      <c r="AR23" s="66">
        <f t="shared" si="7"/>
        <v>0.46167864330317182</v>
      </c>
      <c r="AS23" s="37"/>
      <c r="AT23" s="37"/>
      <c r="AU23" s="38"/>
      <c r="AV23" s="37"/>
      <c r="AW23" s="37"/>
      <c r="AX23" s="38"/>
    </row>
    <row r="24" spans="1:50">
      <c r="A24" s="57" t="s">
        <v>70</v>
      </c>
      <c r="B24" s="49">
        <f>'★【現状】生産関数（中間投入あり　見通し×付加価値率）'!C24</f>
        <v>309617.53867634432</v>
      </c>
      <c r="D24" s="43">
        <v>23623.599999999999</v>
      </c>
      <c r="E24" s="43">
        <v>1564.2</v>
      </c>
      <c r="F24" s="44">
        <v>0.77738919617072988</v>
      </c>
      <c r="G24" s="43">
        <f t="shared" si="2"/>
        <v>19928.931414658855</v>
      </c>
      <c r="H24" s="43">
        <v>23379.8884460767</v>
      </c>
      <c r="I24" s="44">
        <v>0.10978428351309698</v>
      </c>
      <c r="J24" s="77">
        <v>3.4296217296992684E-2</v>
      </c>
      <c r="K24" s="43">
        <v>1535.8835961770201</v>
      </c>
      <c r="L24" s="44">
        <v>0.18948983505945541</v>
      </c>
      <c r="M24" s="77">
        <v>4.2426611764717825E-3</v>
      </c>
      <c r="N24" s="44">
        <v>0.82784500000000005</v>
      </c>
      <c r="O24" s="43">
        <f t="shared" si="12"/>
        <v>20890.807346819387</v>
      </c>
      <c r="Q24" s="43">
        <v>1999.3240666666668</v>
      </c>
      <c r="R24" s="43">
        <v>631.46406991096273</v>
      </c>
      <c r="S24" s="43">
        <f t="shared" si="0"/>
        <v>1262501.3122082704</v>
      </c>
      <c r="T24" s="43">
        <v>2033.02065663297</v>
      </c>
      <c r="U24" s="43">
        <v>6412.166666666667</v>
      </c>
      <c r="V24" s="43">
        <v>634.68318193500932</v>
      </c>
      <c r="W24" s="43">
        <f t="shared" si="4"/>
        <v>1290324.0192914153</v>
      </c>
      <c r="Y24" s="43">
        <v>28908.9</v>
      </c>
      <c r="Z24" s="43">
        <v>25793.9</v>
      </c>
      <c r="AA24" s="44">
        <f t="shared" si="13"/>
        <v>0.10775228389873015</v>
      </c>
      <c r="AB24" s="35">
        <v>7.6914073594525095E-2</v>
      </c>
      <c r="AD24" s="57" t="s">
        <v>70</v>
      </c>
      <c r="AE24" s="45">
        <f t="shared" si="5"/>
        <v>0.38347420777615643</v>
      </c>
      <c r="AF24" s="45">
        <v>0.327619158355486</v>
      </c>
      <c r="AG24" s="53">
        <f t="shared" si="11"/>
        <v>-0.11386385557381229</v>
      </c>
      <c r="AH24" s="40"/>
      <c r="AI24" s="57" t="s">
        <v>70</v>
      </c>
      <c r="AJ24" s="42">
        <f t="shared" si="8"/>
        <v>667741.27891964652</v>
      </c>
      <c r="AK24" s="43">
        <f t="shared" si="9"/>
        <v>663922.46030812676</v>
      </c>
      <c r="AL24" s="44">
        <f t="shared" si="6"/>
        <v>5.7519045367849806E-3</v>
      </c>
      <c r="AM24" s="44">
        <f t="shared" si="10"/>
        <v>-8.6104095845368045E-2</v>
      </c>
      <c r="AO24" s="37">
        <v>73356.800000000003</v>
      </c>
      <c r="AP24" s="37">
        <v>39342.800000000003</v>
      </c>
      <c r="AQ24" s="37">
        <v>34014</v>
      </c>
      <c r="AR24" s="66">
        <f t="shared" si="7"/>
        <v>0.46367889548071889</v>
      </c>
      <c r="AS24" s="37"/>
      <c r="AT24" s="37"/>
      <c r="AU24" s="38"/>
      <c r="AV24" s="37"/>
      <c r="AW24" s="37"/>
      <c r="AX24" s="38"/>
    </row>
    <row r="25" spans="1:50">
      <c r="A25" s="57" t="s">
        <v>71</v>
      </c>
      <c r="B25" s="49">
        <f>'★【現状】生産関数（中間投入あり　見通し×付加価値率）'!C25</f>
        <v>289802.6961554258</v>
      </c>
      <c r="D25" s="43">
        <v>23320.2</v>
      </c>
      <c r="E25" s="43">
        <v>1551.1</v>
      </c>
      <c r="F25" s="44">
        <v>0.76325161343582726</v>
      </c>
      <c r="G25" s="43">
        <f t="shared" si="2"/>
        <v>19350.280275646179</v>
      </c>
      <c r="H25" s="43">
        <v>23047.693216958902</v>
      </c>
      <c r="I25" s="44">
        <v>0.11052220821433778</v>
      </c>
      <c r="J25" s="77">
        <v>3.3674721328501564E-2</v>
      </c>
      <c r="K25" s="43">
        <v>1539.3886343362101</v>
      </c>
      <c r="L25" s="44">
        <v>0.19315324608342463</v>
      </c>
      <c r="M25" s="77">
        <v>4.5307341142749556E-3</v>
      </c>
      <c r="N25" s="44">
        <v>0.82784500000000005</v>
      </c>
      <c r="O25" s="43">
        <f t="shared" si="12"/>
        <v>20619.306225529552</v>
      </c>
      <c r="Q25" s="43">
        <v>2009.3735333333339</v>
      </c>
      <c r="R25" s="43">
        <v>617.89090719479759</v>
      </c>
      <c r="S25" s="43">
        <f t="shared" si="0"/>
        <v>1241573.6354045495</v>
      </c>
      <c r="T25" s="43">
        <v>2033.7075332912</v>
      </c>
      <c r="U25" s="43">
        <v>6331</v>
      </c>
      <c r="V25" s="43">
        <v>623.6206708162706</v>
      </c>
      <c r="W25" s="43">
        <f t="shared" si="4"/>
        <v>1268262.056155161</v>
      </c>
      <c r="Y25" s="43">
        <v>27034.400000000001</v>
      </c>
      <c r="Z25" s="43">
        <v>24337.8</v>
      </c>
      <c r="AA25" s="44">
        <f t="shared" si="13"/>
        <v>9.9746989021395005E-2</v>
      </c>
      <c r="AB25" s="35">
        <v>6.5803435086138604E-2</v>
      </c>
      <c r="AD25" s="57" t="s">
        <v>71</v>
      </c>
      <c r="AE25" s="45">
        <f t="shared" si="5"/>
        <v>0.35350958927013504</v>
      </c>
      <c r="AF25" s="45">
        <v>0.29432094374853801</v>
      </c>
      <c r="AG25" s="53">
        <f t="shared" si="11"/>
        <v>-0.10163695790591543</v>
      </c>
      <c r="AH25" s="40"/>
      <c r="AI25" s="57" t="s">
        <v>71</v>
      </c>
      <c r="AJ25" s="42">
        <f t="shared" si="8"/>
        <v>624622.83784950804</v>
      </c>
      <c r="AK25" s="43">
        <f t="shared" si="9"/>
        <v>613518.32556876924</v>
      </c>
      <c r="AL25" s="44">
        <f t="shared" si="6"/>
        <v>1.809972386797775E-2</v>
      </c>
      <c r="AM25" s="44">
        <f t="shared" si="10"/>
        <v>-7.591870700678649E-2</v>
      </c>
      <c r="AO25" s="37">
        <v>68880.3</v>
      </c>
      <c r="AP25" s="37">
        <v>36922.300000000003</v>
      </c>
      <c r="AQ25" s="37">
        <v>31958</v>
      </c>
      <c r="AR25" s="66">
        <f t="shared" si="7"/>
        <v>0.46396429748418633</v>
      </c>
      <c r="AS25" s="37"/>
      <c r="AT25" s="37"/>
      <c r="AU25" s="38"/>
      <c r="AV25" s="37"/>
      <c r="AW25" s="37"/>
      <c r="AX25" s="38"/>
    </row>
    <row r="26" spans="1:50">
      <c r="A26" s="57" t="s">
        <v>72</v>
      </c>
      <c r="B26" s="49">
        <f>'★【現状】生産関数（中間投入あり　見通し×付加価値率）'!C26</f>
        <v>280677.2785796175</v>
      </c>
      <c r="D26" s="43">
        <v>22846.2</v>
      </c>
      <c r="E26" s="43">
        <v>1534.5</v>
      </c>
      <c r="F26" s="44">
        <v>0.76414698430996564</v>
      </c>
      <c r="G26" s="43">
        <f t="shared" si="2"/>
        <v>18992.354832942339</v>
      </c>
      <c r="H26" s="43">
        <v>22643.3054417657</v>
      </c>
      <c r="I26" s="44">
        <v>0.11190920153023266</v>
      </c>
      <c r="J26" s="77">
        <v>2.7513044573382436E-2</v>
      </c>
      <c r="K26" s="43">
        <v>1536.2814769101201</v>
      </c>
      <c r="L26" s="44">
        <v>0.19765395894428156</v>
      </c>
      <c r="M26" s="77">
        <v>4.890691444710351E-3</v>
      </c>
      <c r="N26" s="44">
        <v>0.82784500000000005</v>
      </c>
      <c r="O26" s="43">
        <f t="shared" si="12"/>
        <v>20281.428670348647</v>
      </c>
      <c r="Q26" s="43">
        <v>2019.4230000000002</v>
      </c>
      <c r="R26" s="43">
        <v>603.92237007481265</v>
      </c>
      <c r="S26" s="43">
        <f t="shared" si="0"/>
        <v>1219574.7243435886</v>
      </c>
      <c r="T26" s="43">
        <v>2037.03813773351</v>
      </c>
      <c r="U26" s="43">
        <v>6316.666666666667</v>
      </c>
      <c r="V26" s="43">
        <v>611.13671422354685</v>
      </c>
      <c r="W26" s="43">
        <f t="shared" si="4"/>
        <v>1244908.7942425101</v>
      </c>
      <c r="Y26" s="43">
        <v>26175.200000000001</v>
      </c>
      <c r="Z26" s="43">
        <v>23736.5</v>
      </c>
      <c r="AA26" s="44">
        <f t="shared" si="13"/>
        <v>9.3168342553256567E-2</v>
      </c>
      <c r="AB26" s="35">
        <v>5.5301006057148598E-2</v>
      </c>
      <c r="AD26" s="57" t="s">
        <v>72</v>
      </c>
      <c r="AE26" s="45">
        <f t="shared" si="5"/>
        <v>0.33916630157529337</v>
      </c>
      <c r="AF26" s="45">
        <v>0.267903533489808</v>
      </c>
      <c r="AG26" s="53">
        <f t="shared" si="11"/>
        <v>-8.9757153949942881E-2</v>
      </c>
      <c r="AH26" s="40"/>
      <c r="AI26" s="57" t="s">
        <v>72</v>
      </c>
      <c r="AJ26" s="42">
        <f t="shared" si="8"/>
        <v>602368.81293877563</v>
      </c>
      <c r="AK26" s="43">
        <f t="shared" si="9"/>
        <v>570020.98355665687</v>
      </c>
      <c r="AL26" s="44">
        <f t="shared" si="6"/>
        <v>5.6748488766648321E-2</v>
      </c>
      <c r="AM26" s="44">
        <f t="shared" si="10"/>
        <v>-7.08981952116714E-2</v>
      </c>
      <c r="AO26" s="37">
        <v>65990.8</v>
      </c>
      <c r="AP26" s="37">
        <v>35242</v>
      </c>
      <c r="AQ26" s="37">
        <v>30748.799999999999</v>
      </c>
      <c r="AR26" s="66">
        <f t="shared" si="7"/>
        <v>0.46595586051388976</v>
      </c>
      <c r="AS26" s="37"/>
      <c r="AT26" s="37"/>
      <c r="AU26" s="38"/>
      <c r="AV26" s="37"/>
      <c r="AW26" s="37"/>
      <c r="AX26" s="38"/>
    </row>
    <row r="27" spans="1:50">
      <c r="A27" s="57" t="s">
        <v>73</v>
      </c>
      <c r="B27" s="49">
        <f>'★【現状】生産関数（中間投入あり　見通し×付加価値率）'!C27</f>
        <v>268764.01817387663</v>
      </c>
      <c r="D27" s="43">
        <v>21946.799999999999</v>
      </c>
      <c r="E27" s="43">
        <v>1525.8</v>
      </c>
      <c r="F27" s="44">
        <v>0.77445351621134295</v>
      </c>
      <c r="G27" s="43">
        <f t="shared" si="2"/>
        <v>18522.576429587101</v>
      </c>
      <c r="H27" s="43">
        <v>22192.873485754499</v>
      </c>
      <c r="I27" s="44">
        <v>0.10971531157161858</v>
      </c>
      <c r="J27" s="77">
        <v>2.9374830032398234E-2</v>
      </c>
      <c r="K27" s="43">
        <v>1527.64881658897</v>
      </c>
      <c r="L27" s="44">
        <v>0.2023856337658933</v>
      </c>
      <c r="M27" s="77">
        <v>5.0039088078506801E-3</v>
      </c>
      <c r="N27" s="44">
        <v>0.82784500000000005</v>
      </c>
      <c r="O27" s="43">
        <f t="shared" si="12"/>
        <v>19899.908167403406</v>
      </c>
      <c r="Q27" s="43">
        <v>2042.6407333333334</v>
      </c>
      <c r="R27" s="43">
        <v>584.622960441141</v>
      </c>
      <c r="S27" s="43">
        <f t="shared" si="0"/>
        <v>1194174.6726389967</v>
      </c>
      <c r="T27" s="43">
        <v>2042.3853235701399</v>
      </c>
      <c r="U27" s="43">
        <v>6329.166666666667</v>
      </c>
      <c r="V27" s="43">
        <v>597.81337322575416</v>
      </c>
      <c r="W27" s="43">
        <f t="shared" si="4"/>
        <v>1220965.2597102388</v>
      </c>
      <c r="Y27" s="43">
        <v>25399.4</v>
      </c>
      <c r="Z27" s="43">
        <v>23539.200000000001</v>
      </c>
      <c r="AA27" s="44">
        <f t="shared" si="13"/>
        <v>7.3237950502767823E-2</v>
      </c>
      <c r="AB27" s="35">
        <v>4.5355432217852203E-2</v>
      </c>
      <c r="AD27" s="57" t="s">
        <v>73</v>
      </c>
      <c r="AE27" s="45">
        <f t="shared" si="5"/>
        <v>0.30536380655669182</v>
      </c>
      <c r="AF27" s="45">
        <v>0.24704048625060401</v>
      </c>
      <c r="AG27" s="53">
        <f t="shared" si="11"/>
        <v>-7.7875222351248663E-2</v>
      </c>
      <c r="AH27" s="40"/>
      <c r="AI27" s="57" t="s">
        <v>73</v>
      </c>
      <c r="AJ27" s="42">
        <f t="shared" si="8"/>
        <v>578148.02609135176</v>
      </c>
      <c r="AK27" s="43">
        <f t="shared" si="9"/>
        <v>538332.44031173398</v>
      </c>
      <c r="AL27" s="44">
        <f t="shared" si="6"/>
        <v>7.3960963148647751E-2</v>
      </c>
      <c r="AM27" s="44">
        <f t="shared" si="10"/>
        <v>-5.5591888998895445E-2</v>
      </c>
      <c r="AO27" s="37">
        <v>64121.5</v>
      </c>
      <c r="AP27" s="37">
        <v>34313.199999999997</v>
      </c>
      <c r="AQ27" s="37">
        <v>29808.2</v>
      </c>
      <c r="AR27" s="66">
        <f t="shared" si="7"/>
        <v>0.46487059722557955</v>
      </c>
      <c r="AS27" s="37"/>
      <c r="AT27" s="37"/>
      <c r="AU27" s="38"/>
      <c r="AV27" s="37"/>
      <c r="AW27" s="37"/>
      <c r="AX27" s="38"/>
    </row>
    <row r="28" spans="1:50">
      <c r="A28" s="57" t="s">
        <v>74</v>
      </c>
      <c r="B28" s="49">
        <f>'★【現状】生産関数（中間投入あり　見通し×付加価値率）'!C28</f>
        <v>255873.14873054452</v>
      </c>
      <c r="D28" s="43">
        <v>21237.200000000001</v>
      </c>
      <c r="E28" s="43">
        <v>1506.3</v>
      </c>
      <c r="F28" s="44">
        <v>0.77081095721737591</v>
      </c>
      <c r="G28" s="43">
        <f t="shared" si="2"/>
        <v>17876.166460616856</v>
      </c>
      <c r="H28" s="43">
        <v>21724.574659764799</v>
      </c>
      <c r="I28" s="44">
        <v>0.10874314881434458</v>
      </c>
      <c r="J28" s="77">
        <v>3.0642349350515012E-2</v>
      </c>
      <c r="K28" s="43">
        <v>1514.5595312939199</v>
      </c>
      <c r="L28" s="44">
        <v>0.20620062404567485</v>
      </c>
      <c r="M28" s="77">
        <v>5.3399244372286277E-3</v>
      </c>
      <c r="N28" s="44">
        <v>0.82784500000000005</v>
      </c>
      <c r="O28" s="43">
        <f t="shared" si="12"/>
        <v>19499.140040506911</v>
      </c>
      <c r="Q28" s="43">
        <v>2047.6654666666668</v>
      </c>
      <c r="R28" s="43">
        <v>568.38236275364181</v>
      </c>
      <c r="S28" s="43">
        <f t="shared" si="0"/>
        <v>1163856.9360730387</v>
      </c>
      <c r="T28" s="43">
        <v>2048.945793034</v>
      </c>
      <c r="U28" s="43">
        <v>6356.583333333333</v>
      </c>
      <c r="V28" s="43">
        <v>584.23467431787435</v>
      </c>
      <c r="W28" s="43">
        <f t="shared" si="4"/>
        <v>1197065.1780881977</v>
      </c>
      <c r="Y28" s="43">
        <v>24575.8</v>
      </c>
      <c r="Z28" s="43">
        <v>23198.9</v>
      </c>
      <c r="AA28" s="44">
        <f t="shared" si="13"/>
        <v>5.6026660373212578E-2</v>
      </c>
      <c r="AB28" s="35">
        <v>3.6294032643504802E-2</v>
      </c>
      <c r="AD28" s="57" t="s">
        <v>74</v>
      </c>
      <c r="AE28" s="45">
        <f t="shared" si="5"/>
        <v>0.27780270999502521</v>
      </c>
      <c r="AF28" s="45">
        <v>0.231117988383333</v>
      </c>
      <c r="AG28" s="53">
        <f t="shared" si="11"/>
        <v>-6.4452989503586244E-2</v>
      </c>
      <c r="AH28" s="40"/>
      <c r="AI28" s="57" t="s">
        <v>74</v>
      </c>
      <c r="AJ28" s="42">
        <f t="shared" si="8"/>
        <v>562554.77681610198</v>
      </c>
      <c r="AK28" s="43">
        <f t="shared" si="9"/>
        <v>523834.62921368796</v>
      </c>
      <c r="AL28" s="44">
        <f t="shared" si="6"/>
        <v>7.3916739068082674E-2</v>
      </c>
      <c r="AM28" s="44">
        <f t="shared" si="10"/>
        <v>-2.6930963123178553E-2</v>
      </c>
      <c r="AO28" s="37">
        <v>63269.1</v>
      </c>
      <c r="AP28" s="37">
        <v>34491.699999999997</v>
      </c>
      <c r="AQ28" s="37">
        <v>28777.4</v>
      </c>
      <c r="AR28" s="66">
        <f t="shared" si="7"/>
        <v>0.45484130483917112</v>
      </c>
      <c r="AS28" s="37"/>
      <c r="AT28" s="37"/>
      <c r="AU28" s="38"/>
      <c r="AV28" s="37"/>
      <c r="AW28" s="37"/>
      <c r="AX28" s="38"/>
    </row>
    <row r="29" spans="1:50">
      <c r="A29" s="57" t="s">
        <v>75</v>
      </c>
      <c r="B29" s="49">
        <f>'★【現状】生産関数（中間投入あり　見通し×付加価値率）'!C29</f>
        <v>238648.17829004649</v>
      </c>
      <c r="D29" s="43">
        <v>20651.600000000002</v>
      </c>
      <c r="E29" s="43">
        <v>1496.1</v>
      </c>
      <c r="F29" s="44">
        <v>0.78114730346777916</v>
      </c>
      <c r="G29" s="43">
        <f t="shared" si="2"/>
        <v>17628.041652295189</v>
      </c>
      <c r="H29" s="43">
        <v>21264.125539779001</v>
      </c>
      <c r="I29" s="44">
        <v>0.10686823296984259</v>
      </c>
      <c r="J29" s="77">
        <v>3.2010037866483647E-2</v>
      </c>
      <c r="K29" s="43">
        <v>1498.0640107802201</v>
      </c>
      <c r="L29" s="44">
        <v>0.21034690194505712</v>
      </c>
      <c r="M29" s="77">
        <v>5.6858676612054843E-3</v>
      </c>
      <c r="N29" s="44">
        <v>0.82784500000000005</v>
      </c>
      <c r="O29" s="43">
        <f t="shared" si="12"/>
        <v>19101.464018258568</v>
      </c>
      <c r="Q29" s="43">
        <v>2085.6108666666669</v>
      </c>
      <c r="R29" s="43">
        <v>560.34188345800658</v>
      </c>
      <c r="S29" s="43">
        <f t="shared" si="0"/>
        <v>1168655.1211884855</v>
      </c>
      <c r="T29" s="43">
        <v>2055.9188024556502</v>
      </c>
      <c r="U29" s="43">
        <v>6389.5</v>
      </c>
      <c r="V29" s="43">
        <v>570.89819564757352</v>
      </c>
      <c r="W29" s="43">
        <f t="shared" si="4"/>
        <v>1173720.3347198509</v>
      </c>
      <c r="Y29" s="43">
        <v>24573.3</v>
      </c>
      <c r="Z29" s="43">
        <v>23219</v>
      </c>
      <c r="AA29" s="44">
        <f t="shared" si="13"/>
        <v>5.5112662930904666E-2</v>
      </c>
      <c r="AB29" s="35">
        <v>2.8722951592213601E-2</v>
      </c>
      <c r="AD29" s="57" t="s">
        <v>75</v>
      </c>
      <c r="AE29" s="45">
        <f t="shared" si="5"/>
        <v>0.25731108551957238</v>
      </c>
      <c r="AF29" s="45">
        <v>0.220105459443898</v>
      </c>
      <c r="AG29" s="53">
        <f t="shared" si="11"/>
        <v>-4.7648947693199828E-2</v>
      </c>
      <c r="AH29" s="40"/>
      <c r="AI29" s="57" t="s">
        <v>75</v>
      </c>
      <c r="AJ29" s="42">
        <f t="shared" si="8"/>
        <v>522523.59306057193</v>
      </c>
      <c r="AK29" s="43">
        <f t="shared" si="9"/>
        <v>502541.90752876265</v>
      </c>
      <c r="AL29" s="44">
        <f t="shared" si="6"/>
        <v>3.9761232312084636E-2</v>
      </c>
      <c r="AM29" s="44">
        <f t="shared" si="10"/>
        <v>-4.0647793210783267E-2</v>
      </c>
      <c r="AO29" s="37">
        <v>62855.7</v>
      </c>
      <c r="AP29" s="37">
        <v>34148.1</v>
      </c>
      <c r="AQ29" s="37">
        <v>28707.599999999999</v>
      </c>
      <c r="AR29" s="66">
        <f t="shared" si="7"/>
        <v>0.45672230203466035</v>
      </c>
      <c r="AS29" s="37"/>
      <c r="AT29" s="37"/>
      <c r="AU29" s="38"/>
      <c r="AV29" s="37"/>
      <c r="AW29" s="37"/>
      <c r="AX29" s="38"/>
    </row>
    <row r="30" spans="1:50">
      <c r="A30" s="57" t="s">
        <v>76</v>
      </c>
      <c r="B30" s="49">
        <f>'★【現状】生産関数（中間投入あり　見通し×付加価値率）'!C30</f>
        <v>228306.21185818769</v>
      </c>
      <c r="D30" s="43">
        <v>20117.2</v>
      </c>
      <c r="E30" s="43">
        <v>1478.5</v>
      </c>
      <c r="F30" s="44">
        <v>0.80269948234469124</v>
      </c>
      <c r="G30" s="43">
        <f t="shared" si="2"/>
        <v>17626.566026224624</v>
      </c>
      <c r="H30" s="43">
        <v>20832.368955181399</v>
      </c>
      <c r="I30" s="44">
        <v>0.10404032370309986</v>
      </c>
      <c r="J30" s="77">
        <v>4.9369624679081653E-2</v>
      </c>
      <c r="K30" s="43">
        <v>1479.13004949019</v>
      </c>
      <c r="L30" s="44">
        <v>0.21345958741968213</v>
      </c>
      <c r="M30" s="77">
        <v>5.9280226015660867E-3</v>
      </c>
      <c r="N30" s="44">
        <v>0.82784500000000005</v>
      </c>
      <c r="O30" s="43">
        <f t="shared" si="12"/>
        <v>18725.102527192339</v>
      </c>
      <c r="Q30" s="43">
        <v>2090.9821333333334</v>
      </c>
      <c r="R30" s="43">
        <v>554.40823842778673</v>
      </c>
      <c r="S30" s="43">
        <f t="shared" si="0"/>
        <v>1159257.7211253089</v>
      </c>
      <c r="T30" s="43">
        <v>2062.49080490195</v>
      </c>
      <c r="U30" s="43">
        <v>6428.166666666667</v>
      </c>
      <c r="V30" s="43">
        <v>558.16699999607943</v>
      </c>
      <c r="W30" s="43">
        <f t="shared" si="4"/>
        <v>1151214.3050916207</v>
      </c>
      <c r="Y30" s="43">
        <v>23078.7</v>
      </c>
      <c r="Z30" s="43">
        <v>23429.8</v>
      </c>
      <c r="AA30" s="44">
        <f t="shared" si="13"/>
        <v>-1.5213161919865437E-2</v>
      </c>
      <c r="AB30" s="35">
        <v>2.3445659599380601E-2</v>
      </c>
      <c r="AD30" s="57" t="s">
        <v>76</v>
      </c>
      <c r="AE30" s="45">
        <f t="shared" si="5"/>
        <v>0.18479065962318955</v>
      </c>
      <c r="AF30" s="45">
        <v>0.21443916620436601</v>
      </c>
      <c r="AG30" s="53">
        <f t="shared" si="11"/>
        <v>-2.5743537910636216E-2</v>
      </c>
      <c r="AH30" s="40"/>
      <c r="AI30" s="57" t="s">
        <v>76</v>
      </c>
      <c r="AJ30" s="42">
        <f t="shared" si="8"/>
        <v>501684.99681737344</v>
      </c>
      <c r="AK30" s="43">
        <f t="shared" si="9"/>
        <v>492533.38327867951</v>
      </c>
      <c r="AL30" s="44">
        <f t="shared" si="6"/>
        <v>1.85806969626582E-2</v>
      </c>
      <c r="AM30" s="44">
        <f t="shared" si="10"/>
        <v>-1.9915800254947547E-2</v>
      </c>
      <c r="AO30" s="37">
        <v>59503.1</v>
      </c>
      <c r="AP30" s="37">
        <v>32424.6</v>
      </c>
      <c r="AQ30" s="37">
        <v>27078.6</v>
      </c>
      <c r="AR30" s="66">
        <f t="shared" si="7"/>
        <v>0.45507881101993003</v>
      </c>
      <c r="AS30" s="37"/>
      <c r="AT30" s="37"/>
      <c r="AU30" s="38"/>
      <c r="AV30" s="37"/>
      <c r="AW30" s="37"/>
      <c r="AX30" s="38"/>
    </row>
    <row r="31" spans="1:50">
      <c r="A31" s="57" t="s">
        <v>77</v>
      </c>
      <c r="B31" s="49">
        <f>'★【現状】生産関数（中間投入あり　見通し×付加価値率）'!C31</f>
        <v>211420.16626274452</v>
      </c>
      <c r="D31" s="43">
        <v>20501</v>
      </c>
      <c r="E31" s="43">
        <v>1460.3</v>
      </c>
      <c r="F31" s="44">
        <v>0.82947020449778019</v>
      </c>
      <c r="G31" s="43">
        <f t="shared" si="2"/>
        <v>18465.268662408991</v>
      </c>
      <c r="H31" s="43">
        <v>20444.0224799588</v>
      </c>
      <c r="I31" s="44">
        <v>0.10844349056143607</v>
      </c>
      <c r="J31" s="77">
        <v>3.9303700449821358E-2</v>
      </c>
      <c r="K31" s="43">
        <v>1458.7058017583399</v>
      </c>
      <c r="L31" s="44">
        <v>0.21570910086968423</v>
      </c>
      <c r="M31" s="77">
        <v>6.3607128686708741E-3</v>
      </c>
      <c r="N31" s="44">
        <v>0.82784500000000005</v>
      </c>
      <c r="O31" s="43">
        <f t="shared" si="12"/>
        <v>18383.187591679834</v>
      </c>
      <c r="Q31" s="43">
        <v>2093.7543999999998</v>
      </c>
      <c r="R31" s="43">
        <v>540.66009748481758</v>
      </c>
      <c r="S31" s="43">
        <f t="shared" si="0"/>
        <v>1132009.4580132656</v>
      </c>
      <c r="T31" s="43">
        <v>2068.1451740819102</v>
      </c>
      <c r="U31" s="43">
        <v>6409.833333333333</v>
      </c>
      <c r="V31" s="43">
        <v>546.31359463342756</v>
      </c>
      <c r="W31" s="43">
        <f t="shared" si="4"/>
        <v>1129855.8242764641</v>
      </c>
      <c r="Y31" s="43">
        <v>21902</v>
      </c>
      <c r="Z31" s="43">
        <v>22724.6</v>
      </c>
      <c r="AA31" s="44">
        <f t="shared" si="13"/>
        <v>-3.7558213861747625E-2</v>
      </c>
      <c r="AB31" s="35">
        <v>2.1529524313795501E-2</v>
      </c>
      <c r="AD31" s="57" t="s">
        <v>77</v>
      </c>
      <c r="AE31" s="45">
        <f t="shared" si="5"/>
        <v>0.16001520665072974</v>
      </c>
      <c r="AF31" s="45">
        <v>0.214927431697368</v>
      </c>
      <c r="AG31" s="53">
        <f t="shared" si="11"/>
        <v>2.2769417622929833E-3</v>
      </c>
      <c r="AH31" s="40"/>
      <c r="AI31" s="57" t="s">
        <v>77</v>
      </c>
      <c r="AJ31" s="42">
        <f t="shared" si="8"/>
        <v>468658.16167911794</v>
      </c>
      <c r="AK31" s="43">
        <f t="shared" si="9"/>
        <v>492625.51016592805</v>
      </c>
      <c r="AL31" s="44">
        <f t="shared" si="6"/>
        <v>-4.8652268289430103E-2</v>
      </c>
      <c r="AM31" s="44">
        <f t="shared" si="10"/>
        <v>1.8704699087668253E-4</v>
      </c>
      <c r="AO31" s="37">
        <v>57465</v>
      </c>
      <c r="AP31" s="37">
        <v>31541.5</v>
      </c>
      <c r="AQ31" s="37">
        <v>25923.5</v>
      </c>
      <c r="AR31" s="66">
        <f t="shared" si="7"/>
        <v>0.45111807186983383</v>
      </c>
      <c r="AS31" s="37"/>
      <c r="AT31" s="37"/>
      <c r="AU31" s="38"/>
      <c r="AV31" s="37"/>
      <c r="AW31" s="37"/>
      <c r="AX31" s="38"/>
    </row>
    <row r="32" spans="1:50">
      <c r="A32" s="57" t="s">
        <v>78</v>
      </c>
      <c r="B32" s="49">
        <f>'★【現状】生産関数（中間投入あり　見通し×付加価値率）'!C32</f>
        <v>209609.00977781715</v>
      </c>
      <c r="D32" s="43">
        <v>20119.8</v>
      </c>
      <c r="E32" s="43">
        <v>1443.4</v>
      </c>
      <c r="F32" s="44">
        <v>0.81524850440541596</v>
      </c>
      <c r="G32" s="43">
        <f t="shared" si="2"/>
        <v>17846.036858936088</v>
      </c>
      <c r="H32" s="43">
        <v>20106.651998546098</v>
      </c>
      <c r="I32" s="44">
        <v>0.11123371007664097</v>
      </c>
      <c r="J32" s="77">
        <v>3.5356009561838278E-2</v>
      </c>
      <c r="K32" s="43">
        <v>1437.7331214242699</v>
      </c>
      <c r="L32" s="44">
        <v>0.21809616184009975</v>
      </c>
      <c r="M32" s="77">
        <v>6.240881596313811E-3</v>
      </c>
      <c r="N32" s="44">
        <v>0.82784500000000005</v>
      </c>
      <c r="O32" s="43">
        <f t="shared" si="12"/>
        <v>18082.924445160665</v>
      </c>
      <c r="Q32" s="43">
        <v>2055.635733333334</v>
      </c>
      <c r="R32" s="43">
        <v>521.4729421695323</v>
      </c>
      <c r="S32" s="43">
        <f t="shared" si="0"/>
        <v>1071958.4138901578</v>
      </c>
      <c r="T32" s="43">
        <v>2072.65019698881</v>
      </c>
      <c r="U32" s="43">
        <v>6315.25</v>
      </c>
      <c r="V32" s="43">
        <v>535.57759675627949</v>
      </c>
      <c r="W32" s="43">
        <f t="shared" si="4"/>
        <v>1110065.011419696</v>
      </c>
      <c r="Y32" s="43">
        <v>21062.1</v>
      </c>
      <c r="Z32" s="43">
        <v>21646</v>
      </c>
      <c r="AA32" s="44">
        <f t="shared" si="13"/>
        <v>-2.7722781678940045E-2</v>
      </c>
      <c r="AB32" s="35">
        <v>2.36553251690544E-2</v>
      </c>
      <c r="AD32" s="57" t="s">
        <v>78</v>
      </c>
      <c r="AE32" s="45">
        <f t="shared" si="5"/>
        <v>0.17455137214730643</v>
      </c>
      <c r="AF32" s="45">
        <v>0.22208209388948999</v>
      </c>
      <c r="AG32" s="53">
        <f t="shared" si="11"/>
        <v>3.3288734414303356E-2</v>
      </c>
      <c r="AH32" s="40"/>
      <c r="AI32" s="57" t="s">
        <v>78</v>
      </c>
      <c r="AJ32" s="42">
        <f t="shared" si="8"/>
        <v>445129.41915783682</v>
      </c>
      <c r="AK32" s="43">
        <f t="shared" si="9"/>
        <v>474942.13680144568</v>
      </c>
      <c r="AL32" s="44">
        <f t="shared" si="6"/>
        <v>-6.2771262715046003E-2</v>
      </c>
      <c r="AM32" s="44">
        <f t="shared" si="10"/>
        <v>-3.5896178739355578E-2</v>
      </c>
      <c r="AO32" s="37">
        <v>52928.2</v>
      </c>
      <c r="AP32" s="37">
        <v>28004.6</v>
      </c>
      <c r="AQ32" s="37">
        <v>24923.599999999999</v>
      </c>
      <c r="AR32" s="66">
        <f t="shared" si="7"/>
        <v>0.47089453259321118</v>
      </c>
      <c r="AS32" s="37"/>
      <c r="AT32" s="37"/>
      <c r="AU32" s="38"/>
      <c r="AV32" s="37"/>
      <c r="AW32" s="37"/>
      <c r="AX32" s="38"/>
    </row>
    <row r="33" spans="1:50">
      <c r="A33" s="57" t="s">
        <v>79</v>
      </c>
      <c r="B33" s="49">
        <f>'★【現状】生産関数（中間投入あり　見通し×付加価値率）'!C33</f>
        <v>204360.2621248982</v>
      </c>
      <c r="D33" s="43">
        <v>19455.599999999999</v>
      </c>
      <c r="E33" s="43">
        <v>1406.4</v>
      </c>
      <c r="F33" s="44">
        <v>0.82184488674126488</v>
      </c>
      <c r="G33" s="43">
        <f t="shared" si="2"/>
        <v>17395.885378483352</v>
      </c>
      <c r="H33" s="43">
        <v>19828.393170578602</v>
      </c>
      <c r="I33" s="44">
        <v>0.11020477394683277</v>
      </c>
      <c r="J33" s="77">
        <v>4.472032881820881E-2</v>
      </c>
      <c r="K33" s="43">
        <v>1417.16980431002</v>
      </c>
      <c r="L33" s="44">
        <v>0.21871444823663255</v>
      </c>
      <c r="M33" s="77">
        <v>6.321959060508575E-3</v>
      </c>
      <c r="N33" s="44">
        <v>0.82784500000000005</v>
      </c>
      <c r="O33" s="43">
        <f t="shared" si="12"/>
        <v>17832.005948607661</v>
      </c>
      <c r="Q33" s="43">
        <v>2088.5563999999999</v>
      </c>
      <c r="R33" s="43">
        <v>504.21138608240295</v>
      </c>
      <c r="S33" s="43">
        <f t="shared" si="0"/>
        <v>1053073.9173552736</v>
      </c>
      <c r="T33" s="43">
        <v>2076.0302528751399</v>
      </c>
      <c r="U33" s="43">
        <v>6298.416666666667</v>
      </c>
      <c r="V33" s="43">
        <v>526.1529486621663</v>
      </c>
      <c r="W33" s="43">
        <f t="shared" si="4"/>
        <v>1092309.4390621176</v>
      </c>
      <c r="Y33" s="43">
        <v>19803.2</v>
      </c>
      <c r="Z33" s="43">
        <v>20116.3</v>
      </c>
      <c r="AA33" s="44">
        <f t="shared" si="13"/>
        <v>-1.5810576068514104E-2</v>
      </c>
      <c r="AB33" s="35">
        <v>2.99129642169953E-2</v>
      </c>
      <c r="AD33" s="57" t="s">
        <v>79</v>
      </c>
      <c r="AE33" s="45">
        <f t="shared" si="5"/>
        <v>0.18187079009426352</v>
      </c>
      <c r="AF33" s="45">
        <v>0.23586586849734301</v>
      </c>
      <c r="AG33" s="53">
        <f t="shared" si="11"/>
        <v>6.2066123235995585E-2</v>
      </c>
      <c r="AH33" s="40"/>
      <c r="AI33" s="57" t="s">
        <v>79</v>
      </c>
      <c r="AJ33" s="42">
        <f t="shared" si="8"/>
        <v>441477.07590113312</v>
      </c>
      <c r="AK33" s="43">
        <f t="shared" si="9"/>
        <v>492111.68098146876</v>
      </c>
      <c r="AL33" s="44">
        <f t="shared" si="6"/>
        <v>-0.10289250801637111</v>
      </c>
      <c r="AM33" s="44">
        <f t="shared" si="10"/>
        <v>3.6150812592989467E-2</v>
      </c>
      <c r="AO33" s="37">
        <v>50690.3</v>
      </c>
      <c r="AP33" s="37">
        <v>27225.7</v>
      </c>
      <c r="AQ33" s="37">
        <v>23464.6</v>
      </c>
      <c r="AR33" s="66">
        <f t="shared" si="7"/>
        <v>0.46290118622300513</v>
      </c>
      <c r="AS33" s="37"/>
      <c r="AT33" s="37"/>
      <c r="AU33" s="38"/>
      <c r="AV33" s="37"/>
      <c r="AW33" s="37"/>
      <c r="AX33" s="38"/>
    </row>
    <row r="34" spans="1:50">
      <c r="A34" s="57" t="s">
        <v>80</v>
      </c>
      <c r="B34" s="49">
        <f>'★【現状】生産関数（中間投入あり　見通し×付加価値率）'!C34</f>
        <v>200593.71688892265</v>
      </c>
      <c r="D34" s="43">
        <v>19285.8</v>
      </c>
      <c r="E34" s="43">
        <v>1377.9</v>
      </c>
      <c r="F34" s="44">
        <v>0.81732443470112026</v>
      </c>
      <c r="G34" s="43">
        <f t="shared" si="2"/>
        <v>17140.655582758864</v>
      </c>
      <c r="H34" s="43">
        <v>19617.513135706198</v>
      </c>
      <c r="I34" s="44">
        <v>0.1172261456615748</v>
      </c>
      <c r="J34" s="77">
        <v>4.2993633072924017E-2</v>
      </c>
      <c r="K34" s="43">
        <v>1398.0303150233599</v>
      </c>
      <c r="L34" s="44">
        <v>0.22040786704405257</v>
      </c>
      <c r="M34" s="77">
        <v>6.2023966903959277E-3</v>
      </c>
      <c r="N34" s="44">
        <v>0.82784500000000005</v>
      </c>
      <c r="O34" s="43">
        <f t="shared" si="12"/>
        <v>17638.29047685206</v>
      </c>
      <c r="Q34" s="43">
        <v>2090.4623333333334</v>
      </c>
      <c r="R34" s="43">
        <v>501.52420233814854</v>
      </c>
      <c r="S34" s="43">
        <f t="shared" si="0"/>
        <v>1048417.4542429448</v>
      </c>
      <c r="T34" s="43">
        <v>2078.1395763568298</v>
      </c>
      <c r="U34" s="43">
        <v>6302.833333333333</v>
      </c>
      <c r="V34" s="43">
        <v>518.14616247855122</v>
      </c>
      <c r="W34" s="43">
        <f t="shared" si="4"/>
        <v>1076780.0465840935</v>
      </c>
      <c r="Y34" s="43">
        <v>19963.8</v>
      </c>
      <c r="Z34" s="43">
        <v>19690.3</v>
      </c>
      <c r="AA34" s="44">
        <f t="shared" si="13"/>
        <v>1.3699796631903793E-2</v>
      </c>
      <c r="AB34" s="35">
        <v>3.9878562440975797E-2</v>
      </c>
      <c r="AD34" s="57" t="s">
        <v>80</v>
      </c>
      <c r="AE34" s="45">
        <f t="shared" si="5"/>
        <v>0.20242207067838286</v>
      </c>
      <c r="AF34" s="45">
        <v>0.25576616401964603</v>
      </c>
      <c r="AG34" s="53">
        <f t="shared" si="11"/>
        <v>8.4371238827745776E-2</v>
      </c>
      <c r="AH34" s="40"/>
      <c r="AI34" s="57" t="s">
        <v>80</v>
      </c>
      <c r="AJ34" s="42">
        <f t="shared" si="8"/>
        <v>449019.97389370791</v>
      </c>
      <c r="AK34" s="43">
        <f t="shared" si="9"/>
        <v>523249.05289023888</v>
      </c>
      <c r="AL34" s="44">
        <f t="shared" si="6"/>
        <v>-0.14186185065508736</v>
      </c>
      <c r="AM34" s="44">
        <f t="shared" si="10"/>
        <v>6.3272978700017246E-2</v>
      </c>
      <c r="AO34" s="37">
        <v>52853.5</v>
      </c>
      <c r="AP34" s="37">
        <v>29241.9</v>
      </c>
      <c r="AQ34" s="37">
        <v>23611.599999999999</v>
      </c>
      <c r="AR34" s="66">
        <f t="shared" si="7"/>
        <v>0.44673673455873308</v>
      </c>
      <c r="AS34" s="37"/>
      <c r="AT34" s="37"/>
      <c r="AU34" s="38"/>
      <c r="AV34" s="37"/>
      <c r="AW34" s="37"/>
      <c r="AX34" s="38"/>
    </row>
    <row r="35" spans="1:50">
      <c r="A35" s="57" t="s">
        <v>81</v>
      </c>
      <c r="B35" s="49">
        <f>'★【現状】生産関数（中間投入あり　見通し×付加価値率）'!C35</f>
        <v>213917.43993737872</v>
      </c>
      <c r="D35" s="43">
        <v>18955.5</v>
      </c>
      <c r="E35" s="43">
        <v>1352.7</v>
      </c>
      <c r="F35" s="44">
        <v>0.82828787227443701</v>
      </c>
      <c r="G35" s="43">
        <f t="shared" si="2"/>
        <v>17053.310762898091</v>
      </c>
      <c r="H35" s="43">
        <v>19478.551101872999</v>
      </c>
      <c r="I35" s="44">
        <v>0.11249505420590317</v>
      </c>
      <c r="J35" s="77">
        <v>4.0805430613876731E-2</v>
      </c>
      <c r="K35" s="43">
        <v>1381.2214201289901</v>
      </c>
      <c r="L35" s="44">
        <v>0.22155688622754502</v>
      </c>
      <c r="M35" s="77">
        <v>5.8983179585359027E-3</v>
      </c>
      <c r="N35" s="44">
        <v>0.82784500000000005</v>
      </c>
      <c r="O35" s="43">
        <f t="shared" si="12"/>
        <v>17506.442557059047</v>
      </c>
      <c r="Q35" s="43">
        <v>2092.7148000000002</v>
      </c>
      <c r="R35" s="43">
        <v>503.53490434140031</v>
      </c>
      <c r="S35" s="43">
        <f t="shared" si="0"/>
        <v>1053754.9466318327</v>
      </c>
      <c r="T35" s="43">
        <v>2078.9576635210501</v>
      </c>
      <c r="U35" s="43">
        <v>6279.333333333333</v>
      </c>
      <c r="V35" s="43">
        <v>511.51863517977591</v>
      </c>
      <c r="W35" s="43">
        <f t="shared" si="4"/>
        <v>1063425.5866408234</v>
      </c>
      <c r="Y35" s="43">
        <v>19822.8</v>
      </c>
      <c r="Z35" s="43">
        <v>19499.8</v>
      </c>
      <c r="AA35" s="44">
        <f t="shared" si="13"/>
        <v>1.6294368101378187E-2</v>
      </c>
      <c r="AB35" s="35">
        <v>5.2671005421493403E-2</v>
      </c>
      <c r="AD35" s="57" t="s">
        <v>81</v>
      </c>
      <c r="AE35" s="45">
        <f t="shared" si="5"/>
        <v>0.21711441253098124</v>
      </c>
      <c r="AF35" s="45">
        <v>0.28073043817114202</v>
      </c>
      <c r="AG35" s="53">
        <f t="shared" si="11"/>
        <v>9.7605851216419737E-2</v>
      </c>
      <c r="AH35" s="40"/>
      <c r="AI35" s="57" t="s">
        <v>81</v>
      </c>
      <c r="AJ35" s="42">
        <f t="shared" si="8"/>
        <v>486748.93760943471</v>
      </c>
      <c r="AK35" s="43">
        <f t="shared" si="9"/>
        <v>547162.3497278865</v>
      </c>
      <c r="AL35" s="44">
        <f t="shared" si="6"/>
        <v>-0.11041222435808393</v>
      </c>
      <c r="AM35" s="44">
        <f t="shared" si="10"/>
        <v>4.5701557806094861E-2</v>
      </c>
      <c r="AO35" s="37">
        <v>53352.800000000003</v>
      </c>
      <c r="AP35" s="37">
        <v>29905.3</v>
      </c>
      <c r="AQ35" s="37">
        <v>23447.599999999999</v>
      </c>
      <c r="AR35" s="66">
        <f t="shared" si="7"/>
        <v>0.43948208903750124</v>
      </c>
      <c r="AS35" s="37"/>
      <c r="AT35" s="37"/>
      <c r="AU35" s="38"/>
      <c r="AV35" s="37"/>
      <c r="AW35" s="37"/>
      <c r="AX35" s="38"/>
    </row>
    <row r="36" spans="1:50">
      <c r="A36" s="57" t="s">
        <v>82</v>
      </c>
      <c r="B36" s="49">
        <f>'★【現状】生産関数（中間投入あり　見通し×付加価値率）'!C36</f>
        <v>210405.9448699099</v>
      </c>
      <c r="D36" s="43">
        <v>18809.300000000003</v>
      </c>
      <c r="E36" s="43">
        <v>1340.1</v>
      </c>
      <c r="F36" s="44">
        <v>0.82018173665614291</v>
      </c>
      <c r="G36" s="43">
        <f t="shared" si="2"/>
        <v>16767.144339286391</v>
      </c>
      <c r="H36" s="43">
        <v>19412.729145665999</v>
      </c>
      <c r="I36" s="44">
        <v>0.11375755610256649</v>
      </c>
      <c r="J36" s="77">
        <v>5.1639848248661663E-2</v>
      </c>
      <c r="K36" s="43">
        <v>1367.4485830413601</v>
      </c>
      <c r="L36" s="44">
        <v>0.22326692037907611</v>
      </c>
      <c r="M36" s="77">
        <v>5.9678223986448543E-3</v>
      </c>
      <c r="N36" s="44">
        <v>0.82784500000000005</v>
      </c>
      <c r="O36" s="43">
        <f t="shared" si="12"/>
        <v>17438.179342635231</v>
      </c>
      <c r="Q36" s="43">
        <v>2068.4574666666672</v>
      </c>
      <c r="R36" s="43">
        <v>500.09838364605929</v>
      </c>
      <c r="S36" s="43">
        <f t="shared" si="0"/>
        <v>1034432.2357206228</v>
      </c>
      <c r="T36" s="43">
        <v>2078.5872380247301</v>
      </c>
      <c r="U36" s="43">
        <v>6326.333333333333</v>
      </c>
      <c r="V36" s="43">
        <v>506.10828273030887</v>
      </c>
      <c r="W36" s="43">
        <f t="shared" si="4"/>
        <v>1051990.217541832</v>
      </c>
      <c r="Y36" s="43">
        <v>21651.599999999999</v>
      </c>
      <c r="Z36" s="43">
        <v>19274.8</v>
      </c>
      <c r="AA36" s="44">
        <f t="shared" si="13"/>
        <v>0.10977479724362171</v>
      </c>
      <c r="AB36" s="35">
        <v>6.7147391080955895E-2</v>
      </c>
      <c r="AD36" s="57" t="s">
        <v>82</v>
      </c>
      <c r="AE36" s="45">
        <f t="shared" si="5"/>
        <v>0.31980077843026411</v>
      </c>
      <c r="AF36" s="45">
        <v>0.30917270773337902</v>
      </c>
      <c r="AG36" s="53">
        <f t="shared" si="11"/>
        <v>0.10131523231869033</v>
      </c>
      <c r="AH36" s="40"/>
      <c r="AI36" s="57" t="s">
        <v>82</v>
      </c>
      <c r="AJ36" s="42">
        <f t="shared" si="8"/>
        <v>483928.61031785968</v>
      </c>
      <c r="AK36" s="43">
        <f t="shared" si="9"/>
        <v>568040.76586954587</v>
      </c>
      <c r="AL36" s="44">
        <f t="shared" si="6"/>
        <v>-0.14807415348602476</v>
      </c>
      <c r="AM36" s="44">
        <f t="shared" si="10"/>
        <v>3.8157625706598086E-2</v>
      </c>
      <c r="AO36" s="37">
        <v>58306</v>
      </c>
      <c r="AP36" s="37">
        <v>32955.300000000003</v>
      </c>
      <c r="AQ36" s="37">
        <v>25350.7</v>
      </c>
      <c r="AR36" s="66">
        <f t="shared" si="7"/>
        <v>0.43478715741090113</v>
      </c>
      <c r="AS36" s="37"/>
      <c r="AT36" s="37"/>
      <c r="AU36" s="38"/>
      <c r="AV36" s="37"/>
      <c r="AW36" s="37"/>
      <c r="AX36" s="38"/>
    </row>
    <row r="37" spans="1:50">
      <c r="A37" s="57" t="s">
        <v>83</v>
      </c>
      <c r="B37" s="49">
        <f>'★【現状】生産関数（中間投入あり　見通し×付加価値率）'!C37</f>
        <v>242296.85275607524</v>
      </c>
      <c r="D37" s="43">
        <v>19168.599999999999</v>
      </c>
      <c r="E37" s="43">
        <v>1329.7</v>
      </c>
      <c r="F37" s="44">
        <v>0.8309276485655982</v>
      </c>
      <c r="G37" s="43">
        <f t="shared" si="2"/>
        <v>17257.419724294523</v>
      </c>
      <c r="H37" s="43">
        <v>19416.038832653499</v>
      </c>
      <c r="I37" s="44">
        <v>0.11732207881639745</v>
      </c>
      <c r="J37" s="77">
        <v>4.7199472849225259E-2</v>
      </c>
      <c r="K37" s="43">
        <v>1357.1320529736099</v>
      </c>
      <c r="L37" s="44">
        <v>0.22508836579679636</v>
      </c>
      <c r="M37" s="77">
        <v>5.0563003825502802E-3</v>
      </c>
      <c r="N37" s="44">
        <v>0.82784500000000005</v>
      </c>
      <c r="O37" s="43">
        <f t="shared" si="12"/>
        <v>17430.602720391649</v>
      </c>
      <c r="Q37" s="43">
        <v>2046.7991333333337</v>
      </c>
      <c r="R37" s="43">
        <v>506.82191189504192</v>
      </c>
      <c r="S37" s="43">
        <f t="shared" si="0"/>
        <v>1037362.650021115</v>
      </c>
      <c r="T37" s="43">
        <v>2077.2685948896201</v>
      </c>
      <c r="U37" s="43">
        <v>6371.166666666667</v>
      </c>
      <c r="V37" s="43">
        <v>501.70783432242024</v>
      </c>
      <c r="W37" s="43">
        <f t="shared" si="4"/>
        <v>1042181.9280480482</v>
      </c>
      <c r="Y37" s="43">
        <v>22199.3</v>
      </c>
      <c r="Z37" s="43">
        <v>19945.599999999999</v>
      </c>
      <c r="AA37" s="44">
        <f t="shared" si="13"/>
        <v>0.10152121913754042</v>
      </c>
      <c r="AB37" s="35">
        <v>8.18010509685662E-2</v>
      </c>
      <c r="AD37" s="57" t="s">
        <v>83</v>
      </c>
      <c r="AE37" s="45">
        <f t="shared" si="5"/>
        <v>0.3540126820123029</v>
      </c>
      <c r="AF37" s="45">
        <v>0.33887082923119399</v>
      </c>
      <c r="AG37" s="53">
        <f t="shared" si="11"/>
        <v>9.6056737075983278E-2</v>
      </c>
      <c r="AH37" s="40"/>
      <c r="AI37" s="57" t="s">
        <v>83</v>
      </c>
      <c r="AJ37" s="42">
        <f t="shared" si="8"/>
        <v>545260.32700008084</v>
      </c>
      <c r="AK37" s="43">
        <f t="shared" si="9"/>
        <v>568726.61960694892</v>
      </c>
      <c r="AL37" s="44">
        <f t="shared" si="6"/>
        <v>-4.126111175011609E-2</v>
      </c>
      <c r="AM37" s="44">
        <f t="shared" si="10"/>
        <v>1.2074023179535764E-3</v>
      </c>
      <c r="AO37" s="37">
        <v>59448.1</v>
      </c>
      <c r="AP37" s="37">
        <v>33031.300000000003</v>
      </c>
      <c r="AQ37" s="37">
        <v>26416.9</v>
      </c>
      <c r="AR37" s="66">
        <f t="shared" si="7"/>
        <v>0.44436912197362072</v>
      </c>
      <c r="AS37" s="37"/>
      <c r="AT37" s="37"/>
      <c r="AU37" s="38"/>
      <c r="AV37" s="37"/>
      <c r="AW37" s="37"/>
      <c r="AX37" s="38"/>
    </row>
    <row r="38" spans="1:50">
      <c r="A38" s="57" t="s">
        <v>84</v>
      </c>
      <c r="B38" s="49">
        <f>'★【現状】生産関数（中間投入あり　見通し×付加価値率）'!C38</f>
        <v>263990.84815467894</v>
      </c>
      <c r="D38" s="43">
        <v>19493.300000000003</v>
      </c>
      <c r="E38" s="43">
        <v>1306.0999999999999</v>
      </c>
      <c r="F38" s="44">
        <v>0.86021596084353424</v>
      </c>
      <c r="G38" s="43">
        <f t="shared" si="2"/>
        <v>18074.547789511267</v>
      </c>
      <c r="H38" s="43">
        <v>19478.437436947199</v>
      </c>
      <c r="I38" s="44">
        <v>0.12007202474696448</v>
      </c>
      <c r="J38" s="77">
        <v>4.3978012783524305E-2</v>
      </c>
      <c r="K38" s="43">
        <v>1350.41859330851</v>
      </c>
      <c r="L38" s="44">
        <v>0.22670545900007652</v>
      </c>
      <c r="M38" s="77">
        <v>5.3968204141877675E-3</v>
      </c>
      <c r="N38" s="44">
        <v>0.82784500000000005</v>
      </c>
      <c r="O38" s="43">
        <f t="shared" si="12"/>
        <v>17475.545633298065</v>
      </c>
      <c r="Q38" s="43">
        <v>2078.8534666666669</v>
      </c>
      <c r="R38" s="43">
        <v>502.45036586146904</v>
      </c>
      <c r="S38" s="43">
        <f t="shared" si="0"/>
        <v>1044520.68489905</v>
      </c>
      <c r="T38" s="43">
        <v>2075.14073142385</v>
      </c>
      <c r="U38" s="43">
        <v>6401.916666666667</v>
      </c>
      <c r="V38" s="43">
        <v>498.06839522401111</v>
      </c>
      <c r="W38" s="43">
        <f t="shared" si="4"/>
        <v>1033562.0139642576</v>
      </c>
      <c r="Y38" s="43">
        <v>23189.5</v>
      </c>
      <c r="Z38" s="43">
        <v>19825.599999999999</v>
      </c>
      <c r="AA38" s="44">
        <f t="shared" si="13"/>
        <v>0.14506134241790469</v>
      </c>
      <c r="AB38" s="35">
        <v>9.5551590695157604E-2</v>
      </c>
      <c r="AD38" s="57" t="s">
        <v>84</v>
      </c>
      <c r="AE38" s="45">
        <f t="shared" si="5"/>
        <v>0.45524805106331317</v>
      </c>
      <c r="AF38" s="45">
        <v>0.36770893989608799</v>
      </c>
      <c r="AG38" s="53">
        <f t="shared" si="11"/>
        <v>8.5100599335504512E-2</v>
      </c>
      <c r="AH38" s="40"/>
      <c r="AI38" s="57" t="s">
        <v>84</v>
      </c>
      <c r="AJ38" s="42">
        <f t="shared" si="8"/>
        <v>576265.23792121804</v>
      </c>
      <c r="AK38" s="43">
        <f t="shared" si="9"/>
        <v>561779.46744570113</v>
      </c>
      <c r="AL38" s="44">
        <f t="shared" si="6"/>
        <v>2.5785510711847145E-2</v>
      </c>
      <c r="AM38" s="44">
        <f t="shared" si="10"/>
        <v>-1.2215275180980645E-2</v>
      </c>
      <c r="AO38" s="37">
        <v>60891.3</v>
      </c>
      <c r="AP38" s="37">
        <v>32996.6</v>
      </c>
      <c r="AQ38" s="37">
        <v>27894.7</v>
      </c>
      <c r="AR38" s="66">
        <f t="shared" si="7"/>
        <v>0.45810649468807529</v>
      </c>
      <c r="AS38" s="37"/>
      <c r="AT38" s="37"/>
      <c r="AU38" s="38"/>
      <c r="AV38" s="37"/>
      <c r="AW38" s="37"/>
      <c r="AX38" s="38"/>
    </row>
    <row r="39" spans="1:50">
      <c r="A39" s="57" t="s">
        <v>85</v>
      </c>
      <c r="B39" s="49">
        <f>'★【現状】生産関数（中間投入あり　見通し×付加価値率）'!C39</f>
        <v>277561.35750979185</v>
      </c>
      <c r="D39" s="43">
        <v>19687</v>
      </c>
      <c r="E39" s="43">
        <v>1321</v>
      </c>
      <c r="F39" s="44">
        <v>0.8636903548096978</v>
      </c>
      <c r="G39" s="43">
        <f t="shared" si="2"/>
        <v>18324.472015138519</v>
      </c>
      <c r="H39" s="43">
        <v>19587.407844332</v>
      </c>
      <c r="I39" s="44">
        <v>0.12267486158378625</v>
      </c>
      <c r="J39" s="77">
        <v>4.1081730693997412E-2</v>
      </c>
      <c r="K39" s="43">
        <v>1347.1806468990701</v>
      </c>
      <c r="L39" s="44">
        <v>0.22937168811506434</v>
      </c>
      <c r="M39" s="77">
        <v>5.4689656167292485E-3</v>
      </c>
      <c r="N39" s="44">
        <v>0.82784500000000005</v>
      </c>
      <c r="O39" s="43">
        <f t="shared" si="12"/>
        <v>17562.518293790094</v>
      </c>
      <c r="Q39" s="43">
        <v>2101.2048666666669</v>
      </c>
      <c r="R39" s="43">
        <v>494.74849043027524</v>
      </c>
      <c r="S39" s="43">
        <f t="shared" si="0"/>
        <v>1039567.9358680812</v>
      </c>
      <c r="T39" s="43">
        <v>2072.0379503200202</v>
      </c>
      <c r="U39" s="43">
        <v>6465.25</v>
      </c>
      <c r="V39" s="43">
        <v>494.993451469165</v>
      </c>
      <c r="W39" s="43">
        <f t="shared" si="4"/>
        <v>1025645.216604001</v>
      </c>
      <c r="Y39" s="43">
        <v>24385.4</v>
      </c>
      <c r="Z39" s="43">
        <v>19954.7</v>
      </c>
      <c r="AA39" s="44">
        <f t="shared" si="13"/>
        <v>0.18169478458421839</v>
      </c>
      <c r="AB39" s="35">
        <v>0.107515817553257</v>
      </c>
      <c r="AD39" s="57" t="s">
        <v>85</v>
      </c>
      <c r="AE39" s="45">
        <f t="shared" si="5"/>
        <v>0.55611720274851129</v>
      </c>
      <c r="AF39" s="45">
        <v>0.39372259548725203</v>
      </c>
      <c r="AG39" s="53">
        <f t="shared" si="11"/>
        <v>7.0745235616287427E-2</v>
      </c>
      <c r="AH39" s="40"/>
      <c r="AI39" s="57" t="s">
        <v>85</v>
      </c>
      <c r="AJ39" s="42">
        <f t="shared" si="8"/>
        <v>597005.03327586374</v>
      </c>
      <c r="AK39" s="43">
        <f t="shared" si="9"/>
        <v>560905.15710747126</v>
      </c>
      <c r="AL39" s="44">
        <f t="shared" si="6"/>
        <v>6.4360036114760891E-2</v>
      </c>
      <c r="AM39" s="44">
        <f t="shared" si="10"/>
        <v>-1.5563230571690179E-3</v>
      </c>
      <c r="AO39" s="37">
        <v>62981.4</v>
      </c>
      <c r="AP39" s="37">
        <v>33699.9</v>
      </c>
      <c r="AQ39" s="37">
        <v>29281.5</v>
      </c>
      <c r="AR39" s="66">
        <f t="shared" si="7"/>
        <v>0.46492297725995291</v>
      </c>
      <c r="AS39" s="37"/>
      <c r="AT39" s="37"/>
      <c r="AU39" s="38"/>
      <c r="AV39" s="37"/>
      <c r="AW39" s="37"/>
      <c r="AX39" s="38"/>
    </row>
    <row r="40" spans="1:50">
      <c r="A40" s="57" t="s">
        <v>86</v>
      </c>
      <c r="B40" s="49">
        <f>'★【現状】生産関数（中間投入あり　見通し×付加価値率）'!C40</f>
        <v>274158.69078621472</v>
      </c>
      <c r="D40" s="43">
        <v>19724.5</v>
      </c>
      <c r="E40" s="43">
        <v>1344.5</v>
      </c>
      <c r="F40" s="44">
        <v>0.8539268500491014</v>
      </c>
      <c r="G40" s="43">
        <f t="shared" si="2"/>
        <v>18187.780153793501</v>
      </c>
      <c r="H40" s="43">
        <v>19730.581566223798</v>
      </c>
      <c r="I40" s="44">
        <v>0.12411467971304722</v>
      </c>
      <c r="J40" s="77">
        <v>5.0571441052443968E-2</v>
      </c>
      <c r="K40" s="43">
        <v>1346.8474706652</v>
      </c>
      <c r="L40" s="44">
        <v>0.23004834510970626</v>
      </c>
      <c r="M40" s="77">
        <v>5.4835281151868363E-3</v>
      </c>
      <c r="N40" s="44">
        <v>0.82784500000000005</v>
      </c>
      <c r="O40" s="43">
        <f t="shared" si="12"/>
        <v>17680.71076735574</v>
      </c>
      <c r="Q40" s="43">
        <v>2078.6802000000002</v>
      </c>
      <c r="R40" s="43">
        <v>498.42111480473017</v>
      </c>
      <c r="S40" s="43">
        <f t="shared" si="0"/>
        <v>1036058.1026065196</v>
      </c>
      <c r="T40" s="43">
        <v>2067.83168162313</v>
      </c>
      <c r="U40" s="43">
        <v>6530.416666666667</v>
      </c>
      <c r="V40" s="43">
        <v>492.32077320968466</v>
      </c>
      <c r="W40" s="43">
        <f t="shared" si="4"/>
        <v>1018036.4923641818</v>
      </c>
      <c r="Y40" s="43">
        <v>25147.1</v>
      </c>
      <c r="Z40" s="43">
        <v>20513.099999999999</v>
      </c>
      <c r="AA40" s="44">
        <f t="shared" si="13"/>
        <v>0.18427572165378914</v>
      </c>
      <c r="AB40" s="35">
        <v>0.11730563635262201</v>
      </c>
      <c r="AD40" s="57" t="s">
        <v>86</v>
      </c>
      <c r="AE40" s="45">
        <f t="shared" si="5"/>
        <v>0.55735663638117394</v>
      </c>
      <c r="AF40" s="45">
        <v>0.41582274287591597</v>
      </c>
      <c r="AG40" s="53">
        <f t="shared" si="11"/>
        <v>5.6131265113992024E-2</v>
      </c>
      <c r="AH40" s="40"/>
      <c r="AI40" s="57" t="s">
        <v>86</v>
      </c>
      <c r="AJ40" s="42">
        <f t="shared" si="8"/>
        <v>591954.65616563207</v>
      </c>
      <c r="AK40" s="43">
        <f t="shared" si="9"/>
        <v>568158.04865890031</v>
      </c>
      <c r="AL40" s="44">
        <f t="shared" si="6"/>
        <v>4.1883781393050899E-2</v>
      </c>
      <c r="AM40" s="44">
        <f t="shared" si="10"/>
        <v>1.2930691507333281E-2</v>
      </c>
      <c r="AO40" s="37">
        <v>65040.4</v>
      </c>
      <c r="AP40" s="37">
        <v>34917.5</v>
      </c>
      <c r="AQ40" s="37">
        <v>30122.9</v>
      </c>
      <c r="AR40" s="66">
        <f t="shared" si="7"/>
        <v>0.46314137059427679</v>
      </c>
      <c r="AS40" s="37"/>
      <c r="AT40" s="37"/>
      <c r="AU40" s="38"/>
      <c r="AV40" s="37"/>
      <c r="AW40" s="37"/>
      <c r="AX40" s="38"/>
    </row>
    <row r="41" spans="1:50">
      <c r="A41" s="57" t="s">
        <v>87</v>
      </c>
      <c r="B41" s="49">
        <f>'★【現状】生産関数（中間投入あり　見通し×付加価値率）'!C41</f>
        <v>264362.67350143462</v>
      </c>
      <c r="D41" s="43">
        <v>20270</v>
      </c>
      <c r="E41" s="43">
        <v>1359.8</v>
      </c>
      <c r="F41" s="44">
        <v>0.85804502460534893</v>
      </c>
      <c r="G41" s="43">
        <f t="shared" si="2"/>
        <v>18752.372648750421</v>
      </c>
      <c r="H41" s="43">
        <v>19896.586035594701</v>
      </c>
      <c r="I41" s="44">
        <v>0.12743463246176623</v>
      </c>
      <c r="J41" s="77">
        <v>4.8153347979216006E-2</v>
      </c>
      <c r="K41" s="43">
        <v>1348.58651505785</v>
      </c>
      <c r="L41" s="44">
        <v>0.23003382850419171</v>
      </c>
      <c r="M41" s="77">
        <v>5.7306492267171164E-3</v>
      </c>
      <c r="N41" s="44">
        <v>0.82784500000000005</v>
      </c>
      <c r="O41" s="43">
        <f t="shared" si="12"/>
        <v>17819.875781694747</v>
      </c>
      <c r="Q41" s="43">
        <v>2074.3485333333338</v>
      </c>
      <c r="R41" s="43">
        <v>503.61086818734481</v>
      </c>
      <c r="S41" s="43">
        <f t="shared" si="0"/>
        <v>1044664.4657951456</v>
      </c>
      <c r="T41" s="43">
        <v>2062.6850245416799</v>
      </c>
      <c r="U41" s="43">
        <v>6663.333333333333</v>
      </c>
      <c r="V41" s="43">
        <v>489.86417456731556</v>
      </c>
      <c r="W41" s="43">
        <f t="shared" si="4"/>
        <v>1010435.4969394731</v>
      </c>
      <c r="Y41" s="43">
        <v>24761.599999999999</v>
      </c>
      <c r="Z41" s="43">
        <v>22219.4</v>
      </c>
      <c r="AA41" s="44">
        <f t="shared" si="13"/>
        <v>0.10266703282501932</v>
      </c>
      <c r="AB41" s="35">
        <v>0.125274741573316</v>
      </c>
      <c r="AD41" s="57" t="s">
        <v>87</v>
      </c>
      <c r="AE41" s="45">
        <f t="shared" si="5"/>
        <v>0.38235942523655098</v>
      </c>
      <c r="AF41" s="45">
        <v>0.43454427500543802</v>
      </c>
      <c r="AG41" s="53">
        <f t="shared" si="11"/>
        <v>4.5022867195863459E-2</v>
      </c>
      <c r="AH41" s="40"/>
      <c r="AI41" s="57" t="s">
        <v>87</v>
      </c>
      <c r="AJ41" s="42">
        <f t="shared" si="8"/>
        <v>578817.48974194156</v>
      </c>
      <c r="AK41" s="43">
        <f t="shared" si="9"/>
        <v>579698.07646305533</v>
      </c>
      <c r="AL41" s="44">
        <f t="shared" si="6"/>
        <v>-1.5190437175271309E-3</v>
      </c>
      <c r="AM41" s="44">
        <f t="shared" si="10"/>
        <v>2.0311298645499187E-2</v>
      </c>
      <c r="AO41" s="37">
        <v>65472.1</v>
      </c>
      <c r="AP41" s="37">
        <v>35569.1</v>
      </c>
      <c r="AQ41" s="37">
        <v>29903</v>
      </c>
      <c r="AR41" s="66">
        <f t="shared" si="7"/>
        <v>0.45672889673616701</v>
      </c>
      <c r="AS41" s="37"/>
      <c r="AT41" s="37"/>
      <c r="AU41" s="38"/>
      <c r="AV41" s="37"/>
      <c r="AW41" s="37"/>
      <c r="AX41" s="38"/>
    </row>
    <row r="42" spans="1:50">
      <c r="A42" s="57" t="s">
        <v>88</v>
      </c>
      <c r="B42" s="49">
        <f>'★【現状】生産関数（中間投入あり　見通し×付加価値率）'!C42</f>
        <v>255942.60312801602</v>
      </c>
      <c r="D42" s="43">
        <v>20474.099999999999</v>
      </c>
      <c r="E42" s="43">
        <v>1378.7</v>
      </c>
      <c r="F42" s="44">
        <v>0.88227157290845415</v>
      </c>
      <c r="G42" s="43">
        <f t="shared" si="2"/>
        <v>19442.41641088498</v>
      </c>
      <c r="H42" s="43">
        <v>20073.987869754899</v>
      </c>
      <c r="I42" s="44">
        <v>0.13011072525776474</v>
      </c>
      <c r="J42" s="77">
        <v>4.9334640229583594E-2</v>
      </c>
      <c r="K42" s="43">
        <v>1351.5417558213001</v>
      </c>
      <c r="L42" s="44">
        <v>0.22905635743816638</v>
      </c>
      <c r="M42" s="77">
        <v>5.9470790598990008E-3</v>
      </c>
      <c r="N42" s="44">
        <v>0.82784500000000005</v>
      </c>
      <c r="O42" s="43">
        <f t="shared" si="12"/>
        <v>17969.692243858546</v>
      </c>
      <c r="Q42" s="43">
        <v>2046.1060666666669</v>
      </c>
      <c r="R42" s="43">
        <v>498.80678007050886</v>
      </c>
      <c r="S42" s="43">
        <f t="shared" si="0"/>
        <v>1020611.5787967341</v>
      </c>
      <c r="T42" s="43">
        <v>2056.8695634679102</v>
      </c>
      <c r="U42" s="43">
        <v>6724</v>
      </c>
      <c r="V42" s="43">
        <v>487.46262083239253</v>
      </c>
      <c r="W42" s="43">
        <f t="shared" si="4"/>
        <v>1002647.0281184467</v>
      </c>
      <c r="Y42" s="43">
        <v>24693.3</v>
      </c>
      <c r="Z42" s="43">
        <v>23391.599999999999</v>
      </c>
      <c r="AA42" s="44">
        <f t="shared" si="13"/>
        <v>5.2714703988531286E-2</v>
      </c>
      <c r="AB42" s="35">
        <v>0.13244652854841499</v>
      </c>
      <c r="AD42" s="57" t="s">
        <v>88</v>
      </c>
      <c r="AE42" s="45">
        <f t="shared" si="5"/>
        <v>0.3089990856698423</v>
      </c>
      <c r="AF42" s="45">
        <v>0.45183742375441599</v>
      </c>
      <c r="AG42" s="53">
        <f t="shared" si="11"/>
        <v>3.9796057027241982E-2</v>
      </c>
      <c r="AH42" s="40"/>
      <c r="AI42" s="57" t="s">
        <v>88</v>
      </c>
      <c r="AJ42" s="42">
        <f t="shared" si="8"/>
        <v>570532.1832492376</v>
      </c>
      <c r="AK42" s="43">
        <f t="shared" si="9"/>
        <v>592837.60425360524</v>
      </c>
      <c r="AL42" s="44">
        <f t="shared" si="6"/>
        <v>-3.762484168400658E-2</v>
      </c>
      <c r="AM42" s="44">
        <f>AK42/AK41-1</f>
        <v>2.2666157305055945E-2</v>
      </c>
      <c r="AO42" s="37">
        <v>66920.600000000006</v>
      </c>
      <c r="AP42" s="37">
        <v>36899.800000000003</v>
      </c>
      <c r="AQ42" s="37">
        <v>30020.799999999999</v>
      </c>
      <c r="AR42" s="66">
        <f t="shared" si="7"/>
        <v>0.44860327014402135</v>
      </c>
      <c r="AS42" s="37"/>
      <c r="AT42" s="37"/>
      <c r="AU42" s="38"/>
      <c r="AV42" s="37"/>
      <c r="AW42" s="37"/>
      <c r="AX42" s="38"/>
    </row>
    <row r="43" spans="1:50">
      <c r="A43" s="57" t="s">
        <v>89</v>
      </c>
      <c r="B43" s="49"/>
      <c r="D43" s="43">
        <v>20624.899999999998</v>
      </c>
      <c r="E43" s="43">
        <v>1402.2</v>
      </c>
      <c r="F43" s="44">
        <v>0.85909212732457485</v>
      </c>
      <c r="G43" s="43">
        <f t="shared" si="2"/>
        <v>19120.889216856624</v>
      </c>
      <c r="H43" s="43">
        <v>20255.087825658498</v>
      </c>
      <c r="I43" s="76">
        <v>0.131035927043918</v>
      </c>
      <c r="J43" s="63">
        <v>4.8596206954853297E-2</v>
      </c>
      <c r="K43" s="43">
        <v>1354.9693035492601</v>
      </c>
      <c r="L43" s="76">
        <v>0.228365893021061</v>
      </c>
      <c r="M43" s="63">
        <v>6.0589842266276896E-3</v>
      </c>
      <c r="N43" s="44">
        <v>0.82784500000000005</v>
      </c>
      <c r="O43" s="43">
        <f>H43*N43+K43</f>
        <v>18123.042484581521</v>
      </c>
      <c r="Q43" s="43">
        <v>2022.7150666666671</v>
      </c>
      <c r="R43" s="43">
        <v>491.90102752179155</v>
      </c>
      <c r="S43" s="43">
        <f t="shared" si="0"/>
        <v>994975.61967714259</v>
      </c>
      <c r="T43" s="43">
        <v>2050.7735178819798</v>
      </c>
      <c r="U43" s="43">
        <v>6676.333333333333</v>
      </c>
      <c r="V43" s="43">
        <v>485.03628546980445</v>
      </c>
      <c r="W43" s="43">
        <f t="shared" si="4"/>
        <v>994699.56945331907</v>
      </c>
      <c r="Y43" s="46"/>
      <c r="Z43" s="46"/>
      <c r="AA43" s="44" t="e">
        <f>1-Z43/Y43</f>
        <v>#DIV/0!</v>
      </c>
      <c r="AB43" s="63">
        <f>AVERAGE(AB3:AB42)</f>
        <v>0.16348037336425186</v>
      </c>
      <c r="AD43" s="57" t="s">
        <v>89</v>
      </c>
      <c r="AE43" s="45" t="e">
        <f t="shared" si="5"/>
        <v>#NUM!</v>
      </c>
      <c r="AF43" s="45">
        <f>AF42*(1+AG43)</f>
        <v>0.47906703718371468</v>
      </c>
      <c r="AG43" s="64">
        <f>AVERAGE(AG5:AG10)</f>
        <v>6.0264183526547943E-2</v>
      </c>
      <c r="AI43" s="57" t="s">
        <v>89</v>
      </c>
      <c r="AJ43" s="42">
        <f>B43</f>
        <v>0</v>
      </c>
      <c r="AK43" s="43">
        <f t="shared" si="9"/>
        <v>544304.71839455841</v>
      </c>
      <c r="AL43" s="44">
        <f t="shared" si="6"/>
        <v>-1</v>
      </c>
      <c r="AM43" s="44">
        <f>AK43/AK42-1</f>
        <v>-8.1865397051104294E-2</v>
      </c>
      <c r="AR43" s="63">
        <f>AVERAGE(AR3:AR42)</f>
        <v>0.4548607006963078</v>
      </c>
    </row>
    <row r="44" spans="1:50">
      <c r="A44" s="57" t="s">
        <v>90</v>
      </c>
      <c r="H44" s="75">
        <f>H43*(1-I43)+AK43/10*J43</f>
        <v>20246.05808922787</v>
      </c>
      <c r="I44" s="76">
        <v>0.13196770782917799</v>
      </c>
      <c r="J44" s="62">
        <v>4.8410677927110402E-2</v>
      </c>
      <c r="K44" s="75">
        <f>K43*(1-L43)+AK43/10*M43</f>
        <v>1375.3338988512737</v>
      </c>
      <c r="L44" s="76">
        <v>0.227923770604398</v>
      </c>
      <c r="M44" s="62">
        <v>6.1708893933563802E-3</v>
      </c>
      <c r="N44" s="62">
        <f>N43</f>
        <v>0.82784500000000005</v>
      </c>
      <c r="O44" s="43">
        <f>H44*N44+K44</f>
        <v>18135.931857728119</v>
      </c>
      <c r="R44" s="51"/>
      <c r="T44" s="75">
        <v>1929.9619148851</v>
      </c>
      <c r="U44" s="43">
        <f>(U$48-U$43)/5+U43</f>
        <v>6639.0666666666666</v>
      </c>
      <c r="V44" s="43">
        <f>U44*0.0734908144536897+4</f>
        <v>491.91041654567613</v>
      </c>
      <c r="W44" s="43">
        <f>T44*V44</f>
        <v>949368.36946842028</v>
      </c>
      <c r="AB44" s="62">
        <f>AB43</f>
        <v>0.16348037336425186</v>
      </c>
      <c r="AF44" s="45">
        <f>AF43*(1+AG44)</f>
        <v>0.50793762103407358</v>
      </c>
      <c r="AG44" s="62">
        <f>AG43</f>
        <v>6.0264183526547943E-2</v>
      </c>
      <c r="AI44" s="57" t="s">
        <v>90</v>
      </c>
      <c r="AK44" s="43">
        <f t="shared" si="9"/>
        <v>555087.11376041244</v>
      </c>
      <c r="AL44" s="44">
        <f t="shared" ref="AL44:AL63" si="14">(AJ44-AK44)/AK44</f>
        <v>-1</v>
      </c>
      <c r="AM44" s="44">
        <f>AK44/AK43-1</f>
        <v>1.9809483551156859E-2</v>
      </c>
      <c r="AR44" s="62">
        <f>AR43</f>
        <v>0.4548607006963078</v>
      </c>
    </row>
    <row r="45" spans="1:50">
      <c r="A45" s="57" t="s">
        <v>91</v>
      </c>
      <c r="H45" s="75">
        <f t="shared" ref="H45:H63" si="15">H44*(1-I44)+AK44/10*J44</f>
        <v>20261.446559190546</v>
      </c>
      <c r="I45" s="76">
        <v>0.13290611439601799</v>
      </c>
      <c r="J45" s="62">
        <v>4.8552784684318097E-2</v>
      </c>
      <c r="K45" s="75">
        <f t="shared" ref="K45:K63" si="16">K44*(1-L44)+AK44/10*M44</f>
        <v>1404.4007290543373</v>
      </c>
      <c r="L45" s="76">
        <v>0.227696534321608</v>
      </c>
      <c r="M45" s="62">
        <v>6.2827945600850699E-3</v>
      </c>
      <c r="N45" s="62">
        <f t="shared" ref="N45:N63" si="17">N44</f>
        <v>0.82784500000000005</v>
      </c>
      <c r="O45" s="43">
        <f t="shared" si="12"/>
        <v>18177.737955847435</v>
      </c>
      <c r="R45" s="51"/>
      <c r="T45" s="75">
        <f>T44</f>
        <v>1929.9619148851</v>
      </c>
      <c r="U45" s="43">
        <f>(U$48-U$43)/5+U44</f>
        <v>6601.8</v>
      </c>
      <c r="V45" s="43">
        <f t="shared" ref="V45:V63" si="18">U45*0.0734908144536897+4</f>
        <v>489.17165886036867</v>
      </c>
      <c r="W45" s="43">
        <f t="shared" si="4"/>
        <v>944082.67144167796</v>
      </c>
      <c r="AB45" s="62">
        <f t="shared" ref="AB45:AB63" si="19">AB44</f>
        <v>0.16348037336425186</v>
      </c>
      <c r="AF45" s="45">
        <f t="shared" ref="AF45:AF63" si="20">AF44*(1+AG45)</f>
        <v>0.53854806704810909</v>
      </c>
      <c r="AG45" s="62">
        <f t="shared" ref="AG45:AG63" si="21">AG44</f>
        <v>6.0264183526547943E-2</v>
      </c>
      <c r="AI45" s="57" t="s">
        <v>91</v>
      </c>
      <c r="AK45" s="43">
        <f t="shared" si="9"/>
        <v>586017.21600038826</v>
      </c>
      <c r="AL45" s="44">
        <f t="shared" si="14"/>
        <v>-1</v>
      </c>
      <c r="AM45" s="44">
        <f>AK45/AK44-1</f>
        <v>5.5721167854971831E-2</v>
      </c>
      <c r="AR45" s="62">
        <f t="shared" ref="AR45:AR63" si="22">AR44</f>
        <v>0.4548607006963078</v>
      </c>
    </row>
    <row r="46" spans="1:50">
      <c r="A46" s="57" t="s">
        <v>92</v>
      </c>
      <c r="H46" s="75">
        <f t="shared" si="15"/>
        <v>20413.853195943</v>
      </c>
      <c r="I46" s="76">
        <v>0.133851193859578</v>
      </c>
      <c r="J46" s="62">
        <v>4.8893185038889501E-2</v>
      </c>
      <c r="K46" s="75">
        <f t="shared" si="16"/>
        <v>1452.8061279302688</v>
      </c>
      <c r="L46" s="76">
        <v>0.22765523537704199</v>
      </c>
      <c r="M46" s="62">
        <v>6.3946997268137596E-3</v>
      </c>
      <c r="N46" s="62">
        <f t="shared" si="17"/>
        <v>0.82784500000000005</v>
      </c>
      <c r="O46" s="43">
        <f t="shared" si="12"/>
        <v>18352.312426925702</v>
      </c>
      <c r="R46" s="51"/>
      <c r="T46" s="75">
        <f t="shared" ref="T46:T63" si="23">T45</f>
        <v>1929.9619148851</v>
      </c>
      <c r="U46" s="43">
        <f>(U$48-U$43)/5+U45</f>
        <v>6564.5333333333338</v>
      </c>
      <c r="V46" s="43">
        <f t="shared" si="18"/>
        <v>486.4329011750612</v>
      </c>
      <c r="W46" s="43">
        <f t="shared" si="4"/>
        <v>938796.97341493575</v>
      </c>
      <c r="AB46" s="62">
        <f t="shared" si="19"/>
        <v>0.16348037336425186</v>
      </c>
      <c r="AF46" s="45">
        <f t="shared" si="20"/>
        <v>0.57100322659856395</v>
      </c>
      <c r="AG46" s="62">
        <f t="shared" si="21"/>
        <v>6.0264183526547943E-2</v>
      </c>
      <c r="AI46" s="57" t="s">
        <v>92</v>
      </c>
      <c r="AK46" s="43">
        <f t="shared" si="9"/>
        <v>619388.79097153188</v>
      </c>
      <c r="AL46" s="44">
        <f t="shared" si="14"/>
        <v>-1</v>
      </c>
      <c r="AM46" s="44">
        <f>AK46/AK45-1</f>
        <v>5.6946407136136967E-2</v>
      </c>
      <c r="AR46" s="62">
        <f t="shared" si="22"/>
        <v>0.4548607006963078</v>
      </c>
    </row>
    <row r="47" spans="1:50">
      <c r="A47" s="57" t="s">
        <v>93</v>
      </c>
      <c r="H47" s="75">
        <f t="shared" si="15"/>
        <v>20709.823651190381</v>
      </c>
      <c r="I47" s="76">
        <v>0.13480299367002699</v>
      </c>
      <c r="J47" s="62">
        <v>4.9355965998516799E-2</v>
      </c>
      <c r="K47" s="75">
        <f t="shared" si="16"/>
        <v>1518.1477401608104</v>
      </c>
      <c r="L47" s="76">
        <v>0.22777482486730799</v>
      </c>
      <c r="M47" s="62">
        <v>6.5066048935424597E-3</v>
      </c>
      <c r="N47" s="62">
        <f t="shared" si="17"/>
        <v>0.82784500000000005</v>
      </c>
      <c r="O47" s="43">
        <f t="shared" si="12"/>
        <v>18662.671700680512</v>
      </c>
      <c r="R47" s="51"/>
      <c r="T47" s="75">
        <f t="shared" si="23"/>
        <v>1929.9619148851</v>
      </c>
      <c r="U47" s="43">
        <f>(U$48-U$43)/5+U46</f>
        <v>6527.2666666666673</v>
      </c>
      <c r="V47" s="43">
        <f t="shared" si="18"/>
        <v>483.69414348975369</v>
      </c>
      <c r="W47" s="43">
        <f t="shared" si="4"/>
        <v>933511.27538819332</v>
      </c>
      <c r="AB47" s="62">
        <f t="shared" si="19"/>
        <v>0.16348037336425186</v>
      </c>
      <c r="AF47" s="45">
        <f t="shared" si="20"/>
        <v>0.6054142698405508</v>
      </c>
      <c r="AG47" s="62">
        <f t="shared" si="21"/>
        <v>6.0264183526547943E-2</v>
      </c>
      <c r="AI47" s="57" t="s">
        <v>93</v>
      </c>
      <c r="AK47" s="43">
        <f t="shared" si="9"/>
        <v>655415.67415268254</v>
      </c>
      <c r="AL47" s="44">
        <f t="shared" si="14"/>
        <v>-1</v>
      </c>
      <c r="AM47" s="44">
        <f t="shared" ref="AM47:AM63" si="24">AK47/AK46-1</f>
        <v>5.8165216591409941E-2</v>
      </c>
      <c r="AR47" s="62">
        <f t="shared" si="22"/>
        <v>0.4548607006963078</v>
      </c>
    </row>
    <row r="48" spans="1:50">
      <c r="A48" s="57" t="s">
        <v>94</v>
      </c>
      <c r="H48" s="75">
        <f t="shared" si="15"/>
        <v>21152.944797469063</v>
      </c>
      <c r="I48" s="76">
        <v>0.13576156161494701</v>
      </c>
      <c r="J48" s="62">
        <v>4.9895975552284401E-2</v>
      </c>
      <c r="K48" s="75">
        <f t="shared" si="16"/>
        <v>1598.80498779761</v>
      </c>
      <c r="L48" s="76">
        <v>0.22803362839984001</v>
      </c>
      <c r="M48" s="62">
        <v>6.6185100602711502E-3</v>
      </c>
      <c r="N48" s="62">
        <f t="shared" si="17"/>
        <v>0.82784500000000005</v>
      </c>
      <c r="O48" s="43">
        <f t="shared" si="12"/>
        <v>19110.164573658389</v>
      </c>
      <c r="R48" s="51"/>
      <c r="T48" s="75">
        <f t="shared" si="23"/>
        <v>1929.9619148851</v>
      </c>
      <c r="U48" s="61">
        <v>6490</v>
      </c>
      <c r="V48" s="43">
        <f t="shared" si="18"/>
        <v>480.95538580444617</v>
      </c>
      <c r="W48" s="43">
        <f t="shared" si="4"/>
        <v>928225.577361451</v>
      </c>
      <c r="AB48" s="62">
        <f t="shared" si="19"/>
        <v>0.16348037336425186</v>
      </c>
      <c r="AF48" s="45">
        <f t="shared" si="20"/>
        <v>0.6418990665078127</v>
      </c>
      <c r="AG48" s="62">
        <f t="shared" si="21"/>
        <v>6.0264183526547943E-2</v>
      </c>
      <c r="AI48" s="57" t="s">
        <v>94</v>
      </c>
      <c r="AK48" s="43">
        <f t="shared" si="9"/>
        <v>694305.07378048101</v>
      </c>
      <c r="AL48" s="44">
        <f t="shared" si="14"/>
        <v>-1</v>
      </c>
      <c r="AM48" s="44">
        <f t="shared" si="24"/>
        <v>5.9335473900703484E-2</v>
      </c>
      <c r="AR48" s="62">
        <f t="shared" si="22"/>
        <v>0.4548607006963078</v>
      </c>
    </row>
    <row r="49" spans="1:44">
      <c r="A49" s="57" t="s">
        <v>95</v>
      </c>
      <c r="H49" s="75">
        <f t="shared" si="15"/>
        <v>21745.490877727683</v>
      </c>
      <c r="I49" s="76">
        <v>0.136726945821732</v>
      </c>
      <c r="J49" s="62">
        <v>5.0486149760110698E-2</v>
      </c>
      <c r="K49" s="75">
        <f t="shared" si="16"/>
        <v>1693.7501968977008</v>
      </c>
      <c r="L49" s="76">
        <v>0.22841289148923399</v>
      </c>
      <c r="M49" s="62">
        <v>6.7304152269998399E-3</v>
      </c>
      <c r="N49" s="62">
        <f t="shared" si="17"/>
        <v>0.82784500000000005</v>
      </c>
      <c r="O49" s="43">
        <f t="shared" si="12"/>
        <v>19695.646092570176</v>
      </c>
      <c r="R49" s="51"/>
      <c r="T49" s="75">
        <f t="shared" si="23"/>
        <v>1929.9619148851</v>
      </c>
      <c r="U49" s="43">
        <f>(U$53-U$48)/5+U48</f>
        <v>6465.2</v>
      </c>
      <c r="V49" s="43">
        <f t="shared" si="18"/>
        <v>479.13281360599461</v>
      </c>
      <c r="W49" s="43">
        <f t="shared" si="4"/>
        <v>924708.08243131102</v>
      </c>
      <c r="AB49" s="62">
        <f t="shared" si="19"/>
        <v>0.16348037336425186</v>
      </c>
      <c r="AF49" s="45">
        <f t="shared" si="20"/>
        <v>0.68058258965735929</v>
      </c>
      <c r="AG49" s="62">
        <f t="shared" si="21"/>
        <v>6.0264183526547943E-2</v>
      </c>
      <c r="AI49" s="57" t="s">
        <v>95</v>
      </c>
      <c r="AK49" s="43">
        <f t="shared" si="9"/>
        <v>737441.63414621796</v>
      </c>
      <c r="AL49" s="44">
        <f t="shared" si="14"/>
        <v>-1</v>
      </c>
      <c r="AM49" s="44">
        <f t="shared" si="24"/>
        <v>6.2129115852285199E-2</v>
      </c>
      <c r="AR49" s="62">
        <f t="shared" si="22"/>
        <v>0.4548607006963078</v>
      </c>
    </row>
    <row r="50" spans="1:44">
      <c r="A50" s="57" t="s">
        <v>96</v>
      </c>
      <c r="H50" s="75">
        <f t="shared" si="15"/>
        <v>22495.355202706316</v>
      </c>
      <c r="I50" s="76">
        <v>0.137699194760004</v>
      </c>
      <c r="J50" s="62">
        <v>5.1110201956258199E-2</v>
      </c>
      <c r="K50" s="75">
        <f t="shared" si="16"/>
        <v>1803.2046573119726</v>
      </c>
      <c r="L50" s="76">
        <v>0.228896386196384</v>
      </c>
      <c r="M50" s="62">
        <v>6.8423203937285296E-3</v>
      </c>
      <c r="N50" s="62">
        <f t="shared" si="17"/>
        <v>0.82784500000000005</v>
      </c>
      <c r="O50" s="43">
        <f t="shared" si="12"/>
        <v>20425.871985096386</v>
      </c>
      <c r="R50" s="51"/>
      <c r="T50" s="75">
        <f t="shared" si="23"/>
        <v>1929.9619148851</v>
      </c>
      <c r="U50" s="43">
        <f>(U$53-U$48)/5+U49</f>
        <v>6440.4</v>
      </c>
      <c r="V50" s="43">
        <f t="shared" si="18"/>
        <v>477.31024140754312</v>
      </c>
      <c r="W50" s="43">
        <f t="shared" si="4"/>
        <v>921190.58750117128</v>
      </c>
      <c r="AB50" s="62">
        <f t="shared" si="19"/>
        <v>0.16348037336425186</v>
      </c>
      <c r="AF50" s="45">
        <f t="shared" si="20"/>
        <v>0.7215973437454436</v>
      </c>
      <c r="AG50" s="62">
        <f t="shared" si="21"/>
        <v>6.0264183526547943E-2</v>
      </c>
      <c r="AI50" s="57" t="s">
        <v>96</v>
      </c>
      <c r="AK50" s="43">
        <f t="shared" si="9"/>
        <v>784046.5615033299</v>
      </c>
      <c r="AL50" s="44">
        <f t="shared" si="14"/>
        <v>-1</v>
      </c>
      <c r="AM50" s="44">
        <f t="shared" si="24"/>
        <v>6.3198123348526813E-2</v>
      </c>
      <c r="AR50" s="62">
        <f t="shared" si="22"/>
        <v>0.4548607006963078</v>
      </c>
    </row>
    <row r="51" spans="1:44">
      <c r="A51" s="57" t="s">
        <v>97</v>
      </c>
      <c r="H51" s="75">
        <f t="shared" si="15"/>
        <v>23405.040715607891</v>
      </c>
      <c r="I51" s="76">
        <v>0.13867835724404601</v>
      </c>
      <c r="J51" s="62">
        <v>5.1758319200818102E-2</v>
      </c>
      <c r="K51" s="75">
        <f t="shared" si="16"/>
        <v>1926.9274054214695</v>
      </c>
      <c r="L51" s="76">
        <v>0.229470070759969</v>
      </c>
      <c r="M51" s="62">
        <v>6.9542255604572297E-3</v>
      </c>
      <c r="N51" s="62">
        <f t="shared" si="17"/>
        <v>0.82784500000000005</v>
      </c>
      <c r="O51" s="43">
        <f t="shared" si="12"/>
        <v>21302.673336633885</v>
      </c>
      <c r="R51" s="51"/>
      <c r="T51" s="75">
        <f t="shared" si="23"/>
        <v>1929.9619148851</v>
      </c>
      <c r="U51" s="43">
        <f>(U$53-U$48)/5+U50</f>
        <v>6415.5999999999995</v>
      </c>
      <c r="V51" s="43">
        <f t="shared" si="18"/>
        <v>475.48766920909156</v>
      </c>
      <c r="W51" s="43">
        <f t="shared" si="4"/>
        <v>917673.0925710313</v>
      </c>
      <c r="AB51" s="62">
        <f t="shared" si="19"/>
        <v>0.16348037336425186</v>
      </c>
      <c r="AF51" s="45">
        <f t="shared" si="20"/>
        <v>0.76508381850118845</v>
      </c>
      <c r="AG51" s="62">
        <f t="shared" si="21"/>
        <v>6.0264183526547943E-2</v>
      </c>
      <c r="AI51" s="57" t="s">
        <v>97</v>
      </c>
      <c r="AK51" s="43">
        <f t="shared" si="9"/>
        <v>834353.63503975782</v>
      </c>
      <c r="AL51" s="44">
        <f t="shared" si="14"/>
        <v>-1</v>
      </c>
      <c r="AM51" s="44">
        <f t="shared" si="24"/>
        <v>6.4163374991364375E-2</v>
      </c>
      <c r="AO51" s="78"/>
      <c r="AP51" s="78"/>
      <c r="AQ51" s="78"/>
      <c r="AR51" s="62">
        <f t="shared" si="22"/>
        <v>0.4548607006963078</v>
      </c>
    </row>
    <row r="52" spans="1:44">
      <c r="A52" s="57" t="s">
        <v>98</v>
      </c>
      <c r="H52" s="75">
        <f t="shared" si="15"/>
        <v>24477.742294812448</v>
      </c>
      <c r="I52" s="76">
        <v>0.13966448243525401</v>
      </c>
      <c r="J52" s="62">
        <v>5.2424596654054099E-2</v>
      </c>
      <c r="K52" s="75">
        <f t="shared" si="16"/>
        <v>2064.9835748754699</v>
      </c>
      <c r="L52" s="76">
        <v>0.230121795081348</v>
      </c>
      <c r="M52" s="62">
        <v>7.0661307271859203E-3</v>
      </c>
      <c r="N52" s="62">
        <f t="shared" si="17"/>
        <v>0.82784500000000005</v>
      </c>
      <c r="O52" s="43">
        <f t="shared" si="12"/>
        <v>22328.760144924483</v>
      </c>
      <c r="R52" s="51"/>
      <c r="T52" s="75">
        <f t="shared" si="23"/>
        <v>1929.9619148851</v>
      </c>
      <c r="U52" s="43">
        <f>(U$53-U$48)/5+U51</f>
        <v>6390.7999999999993</v>
      </c>
      <c r="V52" s="43">
        <f t="shared" si="18"/>
        <v>473.66509701064007</v>
      </c>
      <c r="W52" s="43">
        <f t="shared" si="4"/>
        <v>914155.59764089156</v>
      </c>
      <c r="AB52" s="62">
        <f t="shared" si="19"/>
        <v>0.16348037336425186</v>
      </c>
      <c r="AF52" s="45">
        <f t="shared" si="20"/>
        <v>0.81119097015253605</v>
      </c>
      <c r="AG52" s="62">
        <f t="shared" si="21"/>
        <v>6.0264183526547943E-2</v>
      </c>
      <c r="AI52" s="57" t="s">
        <v>98</v>
      </c>
      <c r="AK52" s="43">
        <f t="shared" si="9"/>
        <v>888605.56573876471</v>
      </c>
      <c r="AL52" s="44">
        <f t="shared" si="14"/>
        <v>-1</v>
      </c>
      <c r="AM52" s="44">
        <f t="shared" si="24"/>
        <v>6.5022705505947354E-2</v>
      </c>
      <c r="AR52" s="62">
        <f t="shared" si="22"/>
        <v>0.4548607006963078</v>
      </c>
    </row>
    <row r="53" spans="1:44">
      <c r="A53" s="57" t="s">
        <v>99</v>
      </c>
      <c r="H53" s="75">
        <f t="shared" si="15"/>
        <v>25717.549922864171</v>
      </c>
      <c r="I53" s="76">
        <v>0.14065761984460601</v>
      </c>
      <c r="J53" s="62">
        <v>5.3105496034087603E-2</v>
      </c>
      <c r="K53" s="75">
        <f t="shared" si="16"/>
        <v>2217.6861570531387</v>
      </c>
      <c r="L53" s="76">
        <v>0.230841045885603</v>
      </c>
      <c r="M53" s="62">
        <v>7.17803589391461E-3</v>
      </c>
      <c r="N53" s="62">
        <f t="shared" si="17"/>
        <v>0.82784500000000005</v>
      </c>
      <c r="O53" s="43">
        <f t="shared" si="12"/>
        <v>23507.831272946631</v>
      </c>
      <c r="R53" s="51"/>
      <c r="T53" s="75">
        <f t="shared" si="23"/>
        <v>1929.9619148851</v>
      </c>
      <c r="U53" s="61">
        <v>6366</v>
      </c>
      <c r="V53" s="43">
        <f t="shared" si="18"/>
        <v>471.84252481218863</v>
      </c>
      <c r="W53" s="43">
        <f t="shared" si="4"/>
        <v>910638.10271075182</v>
      </c>
      <c r="AB53" s="62">
        <f t="shared" si="19"/>
        <v>0.16348037336425186</v>
      </c>
      <c r="AF53" s="45">
        <f t="shared" si="20"/>
        <v>0.86007673165288689</v>
      </c>
      <c r="AG53" s="62">
        <f t="shared" si="21"/>
        <v>6.0264183526547943E-2</v>
      </c>
      <c r="AI53" s="57" t="s">
        <v>99</v>
      </c>
      <c r="AK53" s="43">
        <f t="shared" si="9"/>
        <v>947056.70532578032</v>
      </c>
      <c r="AL53" s="44">
        <f t="shared" si="14"/>
        <v>-1</v>
      </c>
      <c r="AM53" s="44">
        <f t="shared" si="24"/>
        <v>6.5778498178121092E-2</v>
      </c>
      <c r="AR53" s="62">
        <f t="shared" si="22"/>
        <v>0.4548607006963078</v>
      </c>
    </row>
    <row r="54" spans="1:44">
      <c r="A54" s="57" t="s">
        <v>100</v>
      </c>
      <c r="H54" s="75">
        <f t="shared" si="15"/>
        <v>27129.572173352695</v>
      </c>
      <c r="I54" s="76">
        <v>0.14165781933514399</v>
      </c>
      <c r="J54" s="62">
        <v>5.3798914960397799E-2</v>
      </c>
      <c r="K54" s="75">
        <f t="shared" si="16"/>
        <v>2385.5538675530652</v>
      </c>
      <c r="L54" s="76">
        <v>0.23161872621371701</v>
      </c>
      <c r="M54" s="62">
        <v>7.2899410606432997E-3</v>
      </c>
      <c r="N54" s="62">
        <f t="shared" si="17"/>
        <v>0.82784500000000005</v>
      </c>
      <c r="O54" s="43">
        <f t="shared" si="12"/>
        <v>24844.63454340223</v>
      </c>
      <c r="R54" s="51"/>
      <c r="T54" s="75">
        <f t="shared" si="23"/>
        <v>1929.9619148851</v>
      </c>
      <c r="U54" s="43">
        <f>(U$58-U$53)/5+U53</f>
        <v>6334.6</v>
      </c>
      <c r="V54" s="43">
        <f t="shared" si="18"/>
        <v>469.53491323834277</v>
      </c>
      <c r="W54" s="43">
        <f t="shared" si="4"/>
        <v>906184.50025888125</v>
      </c>
      <c r="AB54" s="62">
        <f t="shared" si="19"/>
        <v>0.16348037336425186</v>
      </c>
      <c r="AF54" s="45">
        <f t="shared" si="20"/>
        <v>0.91190855365612988</v>
      </c>
      <c r="AG54" s="62">
        <f t="shared" si="21"/>
        <v>6.0264183526547943E-2</v>
      </c>
      <c r="AI54" s="57" t="s">
        <v>100</v>
      </c>
      <c r="AK54" s="43">
        <f t="shared" si="9"/>
        <v>1009103.6397987828</v>
      </c>
      <c r="AL54" s="44">
        <f t="shared" si="14"/>
        <v>-1</v>
      </c>
      <c r="AM54" s="44">
        <f t="shared" si="24"/>
        <v>6.551554318139674E-2</v>
      </c>
      <c r="AR54" s="62">
        <f t="shared" si="22"/>
        <v>0.4548607006963078</v>
      </c>
    </row>
    <row r="55" spans="1:44">
      <c r="A55" s="57" t="s">
        <v>101</v>
      </c>
      <c r="H55" s="75">
        <f t="shared" si="15"/>
        <v>28715.32423015641</v>
      </c>
      <c r="I55" s="76">
        <v>0.14266513112448301</v>
      </c>
      <c r="J55" s="62">
        <v>5.4503623474283801E-2</v>
      </c>
      <c r="K55" s="75">
        <f t="shared" si="16"/>
        <v>2568.6455252575934</v>
      </c>
      <c r="L55" s="76">
        <v>0.232446964620865</v>
      </c>
      <c r="M55" s="62">
        <v>7.4018462273719998E-3</v>
      </c>
      <c r="N55" s="62">
        <f t="shared" si="17"/>
        <v>0.82784500000000005</v>
      </c>
      <c r="O55" s="43">
        <f t="shared" si="12"/>
        <v>26340.48311257143</v>
      </c>
      <c r="R55" s="51"/>
      <c r="T55" s="75">
        <f t="shared" si="23"/>
        <v>1929.9619148851</v>
      </c>
      <c r="U55" s="43">
        <f>(U$58-U$53)/5+U54</f>
        <v>6303.2000000000007</v>
      </c>
      <c r="V55" s="43">
        <f t="shared" si="18"/>
        <v>467.22730166449696</v>
      </c>
      <c r="W55" s="43">
        <f t="shared" si="4"/>
        <v>901730.8978070108</v>
      </c>
      <c r="AB55" s="62">
        <f t="shared" si="19"/>
        <v>0.16348037336425186</v>
      </c>
      <c r="AF55" s="45">
        <f t="shared" si="20"/>
        <v>0.96686397809309166</v>
      </c>
      <c r="AG55" s="62">
        <f t="shared" si="21"/>
        <v>6.0264183526547943E-2</v>
      </c>
      <c r="AI55" s="57" t="s">
        <v>101</v>
      </c>
      <c r="AK55" s="43">
        <f t="shared" si="9"/>
        <v>1075748.9498038997</v>
      </c>
      <c r="AL55" s="44">
        <f t="shared" si="14"/>
        <v>-1</v>
      </c>
      <c r="AM55" s="44">
        <f t="shared" si="24"/>
        <v>6.6044068593793082E-2</v>
      </c>
      <c r="AR55" s="62">
        <f t="shared" si="22"/>
        <v>0.4548607006963078</v>
      </c>
    </row>
    <row r="56" spans="1:44">
      <c r="A56" s="57" t="s">
        <v>102</v>
      </c>
      <c r="H56" s="75">
        <f t="shared" si="15"/>
        <v>30481.870304875898</v>
      </c>
      <c r="I56" s="76">
        <v>0.143679605787327</v>
      </c>
      <c r="J56" s="62">
        <v>5.5218922278210597E-2</v>
      </c>
      <c r="K56" s="75">
        <f t="shared" si="16"/>
        <v>2767.8245002950371</v>
      </c>
      <c r="L56" s="76">
        <v>0.23331895007893599</v>
      </c>
      <c r="M56" s="62">
        <v>7.5137513941006904E-3</v>
      </c>
      <c r="N56" s="62">
        <f t="shared" si="17"/>
        <v>0.82784500000000005</v>
      </c>
      <c r="O56" s="43">
        <f t="shared" si="12"/>
        <v>28002.088422835026</v>
      </c>
      <c r="R56" s="51"/>
      <c r="T56" s="75">
        <f t="shared" si="23"/>
        <v>1929.9619148851</v>
      </c>
      <c r="U56" s="43">
        <f>(U$58-U$53)/5+U55</f>
        <v>6271.8000000000011</v>
      </c>
      <c r="V56" s="43">
        <f t="shared" si="18"/>
        <v>464.91969009065116</v>
      </c>
      <c r="W56" s="43">
        <f t="shared" si="4"/>
        <v>897277.29535514035</v>
      </c>
      <c r="AB56" s="62">
        <f t="shared" si="19"/>
        <v>0.16348037336425186</v>
      </c>
      <c r="AF56" s="45">
        <f t="shared" si="20"/>
        <v>1.0251312463141018</v>
      </c>
      <c r="AG56" s="62">
        <f t="shared" si="21"/>
        <v>6.0264183526547943E-2</v>
      </c>
      <c r="AI56" s="57" t="s">
        <v>102</v>
      </c>
      <c r="AK56" s="43">
        <f t="shared" si="9"/>
        <v>1147279.9618169165</v>
      </c>
      <c r="AL56" s="44">
        <f t="shared" si="14"/>
        <v>-1</v>
      </c>
      <c r="AM56" s="44">
        <f t="shared" si="24"/>
        <v>6.6494149983651996E-2</v>
      </c>
      <c r="AR56" s="62">
        <f t="shared" si="22"/>
        <v>0.4548607006963078</v>
      </c>
    </row>
    <row r="57" spans="1:44">
      <c r="A57" s="57" t="s">
        <v>103</v>
      </c>
      <c r="H57" s="75">
        <f t="shared" si="15"/>
        <v>32437.403500102577</v>
      </c>
      <c r="I57" s="76">
        <v>0.14470129425801201</v>
      </c>
      <c r="J57" s="62">
        <v>5.5944435236563297E-2</v>
      </c>
      <c r="K57" s="75">
        <f t="shared" si="16"/>
        <v>2984.0762351360077</v>
      </c>
      <c r="L57" s="76">
        <v>0.23422878912047199</v>
      </c>
      <c r="M57" s="62">
        <v>7.6256565608293801E-3</v>
      </c>
      <c r="N57" s="62">
        <f t="shared" si="17"/>
        <v>0.82784500000000005</v>
      </c>
      <c r="O57" s="43">
        <f t="shared" si="12"/>
        <v>29837.218535678425</v>
      </c>
      <c r="R57" s="51"/>
      <c r="T57" s="75">
        <f t="shared" si="23"/>
        <v>1929.9619148851</v>
      </c>
      <c r="U57" s="43">
        <f>(U$58-U$53)/5+U56</f>
        <v>6240.4000000000015</v>
      </c>
      <c r="V57" s="43">
        <f t="shared" si="18"/>
        <v>462.6120785168053</v>
      </c>
      <c r="W57" s="43">
        <f t="shared" si="4"/>
        <v>892823.69290326978</v>
      </c>
      <c r="AB57" s="62">
        <f t="shared" si="19"/>
        <v>0.16348037336425186</v>
      </c>
      <c r="AF57" s="45">
        <f t="shared" si="20"/>
        <v>1.0869099438807734</v>
      </c>
      <c r="AG57" s="62">
        <f t="shared" si="21"/>
        <v>6.0264183526547943E-2</v>
      </c>
      <c r="AI57" s="57" t="s">
        <v>103</v>
      </c>
      <c r="AK57" s="43">
        <f t="shared" si="9"/>
        <v>1224003.3782301154</v>
      </c>
      <c r="AL57" s="44">
        <f t="shared" si="14"/>
        <v>-1</v>
      </c>
      <c r="AM57" s="44">
        <f t="shared" si="24"/>
        <v>6.6874188486386599E-2</v>
      </c>
      <c r="AR57" s="62">
        <f t="shared" si="22"/>
        <v>0.4548607006963078</v>
      </c>
    </row>
    <row r="58" spans="1:44">
      <c r="A58" s="57" t="s">
        <v>104</v>
      </c>
      <c r="H58" s="75">
        <f t="shared" si="15"/>
        <v>34591.2870035413</v>
      </c>
      <c r="I58" s="76">
        <v>0.14573024783306199</v>
      </c>
      <c r="J58" s="62">
        <v>5.6679983316418402E-2</v>
      </c>
      <c r="K58" s="75">
        <f t="shared" si="16"/>
        <v>3218.5026111047041</v>
      </c>
      <c r="L58" s="76">
        <v>0.23517138222773001</v>
      </c>
      <c r="M58" s="62">
        <v>7.7375617275580698E-3</v>
      </c>
      <c r="N58" s="62">
        <f t="shared" si="17"/>
        <v>0.82784500000000005</v>
      </c>
      <c r="O58" s="43">
        <f t="shared" si="12"/>
        <v>31854.726600551352</v>
      </c>
      <c r="R58" s="51"/>
      <c r="T58" s="75">
        <f t="shared" si="23"/>
        <v>1929.9619148851</v>
      </c>
      <c r="U58" s="61">
        <v>6209</v>
      </c>
      <c r="V58" s="43">
        <f t="shared" si="18"/>
        <v>460.30446694295932</v>
      </c>
      <c r="W58" s="43">
        <f t="shared" si="4"/>
        <v>888370.09045139898</v>
      </c>
      <c r="AB58" s="62">
        <f t="shared" si="19"/>
        <v>0.16348037336425186</v>
      </c>
      <c r="AF58" s="45">
        <f t="shared" si="20"/>
        <v>1.1524116842156342</v>
      </c>
      <c r="AG58" s="62">
        <f t="shared" si="21"/>
        <v>6.0264183526547943E-2</v>
      </c>
      <c r="AI58" s="57" t="s">
        <v>104</v>
      </c>
      <c r="AK58" s="43">
        <f t="shared" si="9"/>
        <v>1306247.1514134421</v>
      </c>
      <c r="AL58" s="44">
        <f t="shared" si="14"/>
        <v>-1</v>
      </c>
      <c r="AM58" s="44">
        <f t="shared" si="24"/>
        <v>6.7192439699185869E-2</v>
      </c>
      <c r="AR58" s="62">
        <f t="shared" si="22"/>
        <v>0.4548607006963078</v>
      </c>
    </row>
    <row r="59" spans="1:44">
      <c r="A59" s="57" t="s">
        <v>105</v>
      </c>
      <c r="H59" s="75">
        <f t="shared" si="15"/>
        <v>36954.096850573944</v>
      </c>
      <c r="I59" s="76">
        <v>0.14676651817376299</v>
      </c>
      <c r="J59" s="62">
        <v>5.7425507978698498E-2</v>
      </c>
      <c r="K59" s="75">
        <f t="shared" si="16"/>
        <v>3472.3196998984927</v>
      </c>
      <c r="L59" s="76">
        <v>0.23614231687423301</v>
      </c>
      <c r="M59" s="62">
        <v>7.8494668942867604E-3</v>
      </c>
      <c r="N59" s="62">
        <f t="shared" si="17"/>
        <v>0.82784500000000005</v>
      </c>
      <c r="O59" s="43">
        <f t="shared" si="12"/>
        <v>34064.58400716188</v>
      </c>
      <c r="R59" s="51"/>
      <c r="T59" s="75">
        <f t="shared" si="23"/>
        <v>1929.9619148851</v>
      </c>
      <c r="U59" s="43">
        <f>(U$63-U$58)/5+U58</f>
        <v>6172</v>
      </c>
      <c r="V59" s="43">
        <f t="shared" si="18"/>
        <v>457.58530680817285</v>
      </c>
      <c r="W59" s="43">
        <f t="shared" si="4"/>
        <v>883122.21495078725</v>
      </c>
      <c r="AB59" s="62">
        <f t="shared" si="19"/>
        <v>0.16348037336425186</v>
      </c>
      <c r="AF59" s="45">
        <f t="shared" si="20"/>
        <v>1.2218608334513432</v>
      </c>
      <c r="AG59" s="62">
        <f t="shared" si="21"/>
        <v>6.0264183526547943E-2</v>
      </c>
      <c r="AI59" s="57" t="s">
        <v>105</v>
      </c>
      <c r="AK59" s="43">
        <f t="shared" si="9"/>
        <v>1393314.114695278</v>
      </c>
      <c r="AL59" s="44">
        <f t="shared" si="14"/>
        <v>-1</v>
      </c>
      <c r="AM59" s="44">
        <f t="shared" si="24"/>
        <v>6.6654279925222326E-2</v>
      </c>
      <c r="AR59" s="62">
        <f t="shared" si="22"/>
        <v>0.4548607006963078</v>
      </c>
    </row>
    <row r="60" spans="1:44">
      <c r="A60" s="57" t="s">
        <v>106</v>
      </c>
      <c r="H60" s="75">
        <f t="shared" si="15"/>
        <v>39531.649804585875</v>
      </c>
      <c r="I60" s="76">
        <v>0.14781015730876099</v>
      </c>
      <c r="J60" s="62">
        <v>5.8181024614152199E-2</v>
      </c>
      <c r="K60" s="75">
        <f t="shared" si="16"/>
        <v>3746.0353827007261</v>
      </c>
      <c r="L60" s="76">
        <v>0.23713777497542901</v>
      </c>
      <c r="M60" s="62">
        <v>7.9613720610154596E-3</v>
      </c>
      <c r="N60" s="62">
        <f t="shared" si="17"/>
        <v>0.82784500000000005</v>
      </c>
      <c r="O60" s="43">
        <f t="shared" si="12"/>
        <v>36472.114015178122</v>
      </c>
      <c r="R60" s="51"/>
      <c r="T60" s="75">
        <f t="shared" si="23"/>
        <v>1929.9619148851</v>
      </c>
      <c r="U60" s="43">
        <f>(U$63-U$58)/5+U59</f>
        <v>6135</v>
      </c>
      <c r="V60" s="43">
        <f t="shared" si="18"/>
        <v>454.86614667338631</v>
      </c>
      <c r="W60" s="43">
        <f t="shared" si="4"/>
        <v>877874.33945017541</v>
      </c>
      <c r="AB60" s="62">
        <f t="shared" si="19"/>
        <v>0.16348037336425186</v>
      </c>
      <c r="AF60" s="45">
        <f t="shared" si="20"/>
        <v>1.2954952789623557</v>
      </c>
      <c r="AG60" s="62">
        <f t="shared" si="21"/>
        <v>6.0264183526547943E-2</v>
      </c>
      <c r="AI60" s="57" t="s">
        <v>106</v>
      </c>
      <c r="AK60" s="43">
        <f t="shared" si="9"/>
        <v>1486436.3256440728</v>
      </c>
      <c r="AL60" s="44">
        <f t="shared" si="14"/>
        <v>-1</v>
      </c>
      <c r="AM60" s="44">
        <f t="shared" si="24"/>
        <v>6.6835044565066282E-2</v>
      </c>
      <c r="AR60" s="62">
        <f t="shared" si="22"/>
        <v>0.4548607006963078</v>
      </c>
    </row>
    <row r="61" spans="1:44">
      <c r="A61" s="57" t="s">
        <v>107</v>
      </c>
      <c r="H61" s="75">
        <f t="shared" si="15"/>
        <v>42336.709273261964</v>
      </c>
      <c r="I61" s="76">
        <v>0.14886121763666901</v>
      </c>
      <c r="J61" s="62">
        <v>5.8946594240633601E-2</v>
      </c>
      <c r="K61" s="75">
        <f t="shared" si="16"/>
        <v>4041.1161504139664</v>
      </c>
      <c r="L61" s="76">
        <v>0.23815445280731601</v>
      </c>
      <c r="M61" s="62">
        <v>8.0732772277441502E-3</v>
      </c>
      <c r="N61" s="62">
        <f t="shared" si="17"/>
        <v>0.82784500000000005</v>
      </c>
      <c r="O61" s="43">
        <f t="shared" si="12"/>
        <v>39089.349238737523</v>
      </c>
      <c r="R61" s="51"/>
      <c r="T61" s="75">
        <f t="shared" si="23"/>
        <v>1929.9619148851</v>
      </c>
      <c r="U61" s="43">
        <f>(U$63-U$58)/5+U60</f>
        <v>6098</v>
      </c>
      <c r="V61" s="43">
        <f t="shared" si="18"/>
        <v>452.14698653859978</v>
      </c>
      <c r="W61" s="43">
        <f t="shared" si="4"/>
        <v>872626.46394956356</v>
      </c>
      <c r="AB61" s="62">
        <f t="shared" si="19"/>
        <v>0.16348037336425186</v>
      </c>
      <c r="AF61" s="45">
        <f t="shared" si="20"/>
        <v>1.3735672442115194</v>
      </c>
      <c r="AG61" s="62">
        <f t="shared" si="21"/>
        <v>6.0264183526547943E-2</v>
      </c>
      <c r="AI61" s="57" t="s">
        <v>107</v>
      </c>
      <c r="AK61" s="43">
        <f t="shared" si="9"/>
        <v>1585997.4176737112</v>
      </c>
      <c r="AL61" s="44">
        <f t="shared" si="14"/>
        <v>-1</v>
      </c>
      <c r="AM61" s="44">
        <f t="shared" si="24"/>
        <v>6.6979722112548989E-2</v>
      </c>
      <c r="AR61" s="62">
        <f t="shared" si="22"/>
        <v>0.4548607006963078</v>
      </c>
    </row>
    <row r="62" spans="1:44">
      <c r="A62" s="57" t="s">
        <v>108</v>
      </c>
      <c r="H62" s="75">
        <f t="shared" si="15"/>
        <v>45383.329804745023</v>
      </c>
      <c r="I62" s="76">
        <v>0.14991975192870099</v>
      </c>
      <c r="J62" s="62">
        <v>5.9722306302146998E-2</v>
      </c>
      <c r="K62" s="75">
        <f t="shared" si="16"/>
        <v>4359.1260284179407</v>
      </c>
      <c r="L62" s="76">
        <v>0.239189491713373</v>
      </c>
      <c r="M62" s="62">
        <v>8.1851823944728407E-3</v>
      </c>
      <c r="N62" s="62">
        <f t="shared" si="17"/>
        <v>0.82784500000000005</v>
      </c>
      <c r="O62" s="43">
        <f t="shared" si="12"/>
        <v>41929.488690627084</v>
      </c>
      <c r="R62" s="51"/>
      <c r="T62" s="75">
        <f t="shared" si="23"/>
        <v>1929.9619148851</v>
      </c>
      <c r="U62" s="43">
        <f>(U$63-U$58)/5+U61</f>
        <v>6061</v>
      </c>
      <c r="V62" s="43">
        <f t="shared" si="18"/>
        <v>449.42782640381324</v>
      </c>
      <c r="W62" s="43">
        <f t="shared" si="4"/>
        <v>867378.58844895172</v>
      </c>
      <c r="AB62" s="62">
        <f t="shared" si="19"/>
        <v>0.16348037336425186</v>
      </c>
      <c r="AF62" s="45">
        <f t="shared" si="20"/>
        <v>1.456344152702737</v>
      </c>
      <c r="AG62" s="62">
        <f t="shared" si="21"/>
        <v>6.0264183526547943E-2</v>
      </c>
      <c r="AI62" s="57" t="s">
        <v>108</v>
      </c>
      <c r="AK62" s="43">
        <f t="shared" si="9"/>
        <v>1692407.523478132</v>
      </c>
      <c r="AL62" s="44">
        <f t="shared" si="14"/>
        <v>-1</v>
      </c>
      <c r="AM62" s="44">
        <f t="shared" si="24"/>
        <v>6.709349247270513E-2</v>
      </c>
      <c r="AR62" s="62">
        <f t="shared" si="22"/>
        <v>0.4548607006963078</v>
      </c>
    </row>
    <row r="63" spans="1:44">
      <c r="A63" s="57" t="s">
        <v>109</v>
      </c>
      <c r="H63" s="75">
        <f t="shared" si="15"/>
        <v>48686.920309241134</v>
      </c>
      <c r="I63" s="76">
        <v>0.15098581333132099</v>
      </c>
      <c r="J63" s="62">
        <v>6.0508268218044302E-2</v>
      </c>
      <c r="K63" s="75">
        <f t="shared" si="16"/>
        <v>4701.7353159107779</v>
      </c>
      <c r="L63" s="76">
        <v>0.24024041814645</v>
      </c>
      <c r="M63" s="62">
        <v>8.2970875612015296E-3</v>
      </c>
      <c r="N63" s="62">
        <f t="shared" si="17"/>
        <v>0.82784500000000005</v>
      </c>
      <c r="O63" s="43">
        <f t="shared" si="12"/>
        <v>45006.958859314509</v>
      </c>
      <c r="R63" s="51"/>
      <c r="T63" s="75">
        <f t="shared" si="23"/>
        <v>1929.9619148851</v>
      </c>
      <c r="U63" s="61">
        <v>6024</v>
      </c>
      <c r="V63" s="43">
        <f t="shared" si="18"/>
        <v>446.70866626902676</v>
      </c>
      <c r="W63" s="43">
        <f t="shared" si="4"/>
        <v>862130.71294833999</v>
      </c>
      <c r="AB63" s="62">
        <f t="shared" si="19"/>
        <v>0.16348037336425186</v>
      </c>
      <c r="AF63" s="45">
        <f t="shared" si="20"/>
        <v>1.5441095439990296</v>
      </c>
      <c r="AG63" s="62">
        <f t="shared" si="21"/>
        <v>6.0264183526547943E-2</v>
      </c>
      <c r="AI63" s="57" t="s">
        <v>109</v>
      </c>
      <c r="AK63" s="43">
        <f t="shared" si="9"/>
        <v>1806105.0063163154</v>
      </c>
      <c r="AL63" s="44">
        <f t="shared" si="14"/>
        <v>-1</v>
      </c>
      <c r="AM63" s="44">
        <f t="shared" si="24"/>
        <v>6.7180913143495946E-2</v>
      </c>
      <c r="AR63" s="62">
        <f t="shared" si="22"/>
        <v>0.4548607006963078</v>
      </c>
    </row>
    <row r="64" spans="1:44" ht="73.75">
      <c r="A64" s="57" t="s">
        <v>110</v>
      </c>
      <c r="H64" s="73" t="s">
        <v>111</v>
      </c>
      <c r="I64" s="74" t="s">
        <v>112</v>
      </c>
      <c r="J64" s="74" t="s">
        <v>112</v>
      </c>
      <c r="K64" s="73" t="s">
        <v>111</v>
      </c>
      <c r="L64" s="74" t="s">
        <v>112</v>
      </c>
      <c r="M64" s="74" t="s">
        <v>112</v>
      </c>
      <c r="N64" s="72" t="s">
        <v>114</v>
      </c>
      <c r="R64" s="51"/>
      <c r="T64" s="32" t="s">
        <v>120</v>
      </c>
      <c r="U64" s="32" t="s">
        <v>121</v>
      </c>
      <c r="V64" s="49" t="s">
        <v>122</v>
      </c>
      <c r="AB64" s="44" t="s">
        <v>113</v>
      </c>
      <c r="AG64" s="44" t="s">
        <v>123</v>
      </c>
      <c r="AR64" s="44" t="s">
        <v>113</v>
      </c>
    </row>
    <row r="65" spans="18:18">
      <c r="R65" s="51"/>
    </row>
    <row r="66" spans="18:18">
      <c r="R66" s="51"/>
    </row>
    <row r="67" spans="18:18">
      <c r="R67" s="51"/>
    </row>
    <row r="68" spans="18:18">
      <c r="R68" s="51"/>
    </row>
    <row r="69" spans="18:18">
      <c r="R69" s="52"/>
    </row>
  </sheetData>
  <mergeCells count="5">
    <mergeCell ref="D1:O1"/>
    <mergeCell ref="Q1:W1"/>
    <mergeCell ref="Y1:AB1"/>
    <mergeCell ref="AE1:AG1"/>
    <mergeCell ref="AJ1:AM1"/>
  </mergeCells>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886F7-6F7D-4F94-80DD-CC46B7C3EFBD}">
  <dimension ref="A1:K801"/>
  <sheetViews>
    <sheetView topLeftCell="E31" workbookViewId="0">
      <selection activeCell="W5" sqref="W5"/>
    </sheetView>
  </sheetViews>
  <sheetFormatPr defaultRowHeight="13.3"/>
  <cols>
    <col min="1" max="1" width="12.69140625" bestFit="1" customWidth="1"/>
    <col min="2" max="2" width="22.23046875" customWidth="1"/>
    <col min="3" max="3" width="14.4609375" bestFit="1" customWidth="1"/>
    <col min="4" max="4" width="18.3046875" style="21" bestFit="1" customWidth="1"/>
    <col min="5" max="5" width="14.4609375" style="21" bestFit="1" customWidth="1"/>
    <col min="6" max="6" width="26.07421875" customWidth="1"/>
    <col min="9" max="9" width="10.23046875" bestFit="1" customWidth="1"/>
    <col min="10" max="10" width="19.07421875" style="18" customWidth="1"/>
    <col min="11" max="11" width="19.07421875" style="18" bestFit="1" customWidth="1"/>
  </cols>
  <sheetData>
    <row r="1" spans="1:11" ht="26.6">
      <c r="A1" s="14" t="s">
        <v>298</v>
      </c>
      <c r="B1" s="16" t="s">
        <v>299</v>
      </c>
      <c r="C1" s="16" t="s">
        <v>300</v>
      </c>
      <c r="D1" s="20" t="s">
        <v>301</v>
      </c>
      <c r="E1" s="20" t="s">
        <v>302</v>
      </c>
      <c r="F1" s="20" t="s">
        <v>303</v>
      </c>
      <c r="I1" s="15" t="s">
        <v>216</v>
      </c>
      <c r="J1" s="17" t="s">
        <v>305</v>
      </c>
      <c r="K1" s="17" t="s">
        <v>306</v>
      </c>
    </row>
    <row r="2" spans="1:11">
      <c r="A2" s="19">
        <v>20090</v>
      </c>
      <c r="B2" s="268">
        <v>121.2</v>
      </c>
      <c r="E2" s="269">
        <f>B2/100*$D$733</f>
        <v>199.45479999999998</v>
      </c>
      <c r="I2" s="15" t="s">
        <v>307</v>
      </c>
      <c r="J2" s="273">
        <v>2381.7733666666668</v>
      </c>
      <c r="K2" s="271">
        <v>2449.8905802975</v>
      </c>
    </row>
    <row r="3" spans="1:11">
      <c r="A3" s="19">
        <v>20121</v>
      </c>
      <c r="B3" s="268">
        <v>119.3</v>
      </c>
      <c r="E3" s="269">
        <f t="shared" ref="E3:E66" si="0">B3/100*$D$733</f>
        <v>196.32803333333334</v>
      </c>
      <c r="I3" s="15" t="s">
        <v>308</v>
      </c>
      <c r="J3" s="273">
        <v>2460.1070999999997</v>
      </c>
      <c r="K3" s="271">
        <v>2445.7226761700799</v>
      </c>
    </row>
    <row r="4" spans="1:11">
      <c r="A4" s="19">
        <v>20149</v>
      </c>
      <c r="B4" s="268">
        <v>120</v>
      </c>
      <c r="E4" s="269">
        <f t="shared" si="0"/>
        <v>197.48</v>
      </c>
      <c r="I4" s="15" t="s">
        <v>309</v>
      </c>
      <c r="J4" s="273">
        <v>2449.5748333333336</v>
      </c>
      <c r="K4" s="271">
        <v>2440.8735999063601</v>
      </c>
    </row>
    <row r="5" spans="1:11">
      <c r="A5" s="19">
        <v>20180</v>
      </c>
      <c r="B5" s="268">
        <v>120.2</v>
      </c>
      <c r="E5" s="269">
        <f t="shared" si="0"/>
        <v>197.80913333333334</v>
      </c>
      <c r="I5" s="15" t="s">
        <v>310</v>
      </c>
      <c r="J5" s="273">
        <v>2413.6992999999998</v>
      </c>
      <c r="K5" s="271">
        <v>2434.8060236083202</v>
      </c>
    </row>
    <row r="6" spans="1:11">
      <c r="A6" s="19">
        <v>20210</v>
      </c>
      <c r="B6" s="268">
        <v>120.3</v>
      </c>
      <c r="E6" s="269">
        <f t="shared" si="0"/>
        <v>197.97370000000001</v>
      </c>
      <c r="I6" s="15" t="s">
        <v>311</v>
      </c>
      <c r="J6" s="273">
        <v>2455.4992333333334</v>
      </c>
      <c r="K6" s="271">
        <v>2427.0696317122402</v>
      </c>
    </row>
    <row r="7" spans="1:11">
      <c r="A7" s="19">
        <v>20241</v>
      </c>
      <c r="B7" s="268">
        <v>119.3</v>
      </c>
      <c r="E7" s="269">
        <f t="shared" si="0"/>
        <v>196.32803333333334</v>
      </c>
      <c r="I7" s="15" t="s">
        <v>312</v>
      </c>
      <c r="J7" s="273">
        <v>2485.6149333333333</v>
      </c>
      <c r="K7" s="271">
        <v>2417.0030414182802</v>
      </c>
    </row>
    <row r="8" spans="1:11">
      <c r="A8" s="19">
        <v>20271</v>
      </c>
      <c r="B8" s="268">
        <v>120.4</v>
      </c>
      <c r="E8" s="269">
        <f t="shared" si="0"/>
        <v>198.13826666666665</v>
      </c>
      <c r="I8" s="15" t="s">
        <v>313</v>
      </c>
      <c r="J8" s="273">
        <v>2437.0677666666666</v>
      </c>
      <c r="K8" s="271">
        <v>2404.2291659428502</v>
      </c>
    </row>
    <row r="9" spans="1:11">
      <c r="A9" s="19">
        <v>20302</v>
      </c>
      <c r="B9" s="268">
        <v>122.6</v>
      </c>
      <c r="E9" s="269">
        <f t="shared" si="0"/>
        <v>201.75873333333334</v>
      </c>
      <c r="I9" s="15" t="s">
        <v>314</v>
      </c>
      <c r="J9" s="273">
        <v>2374.3678666666665</v>
      </c>
      <c r="K9" s="271">
        <v>2389.0570374214699</v>
      </c>
    </row>
    <row r="10" spans="1:11">
      <c r="A10" s="19">
        <v>20333</v>
      </c>
      <c r="B10" s="268">
        <v>119.9</v>
      </c>
      <c r="E10" s="269">
        <f t="shared" si="0"/>
        <v>197.31543333333335</v>
      </c>
      <c r="I10" s="15" t="s">
        <v>315</v>
      </c>
      <c r="J10" s="273">
        <v>2353.9616000000001</v>
      </c>
      <c r="K10" s="271">
        <v>2372.1240739969398</v>
      </c>
    </row>
    <row r="11" spans="1:11">
      <c r="A11" s="19">
        <v>20363</v>
      </c>
      <c r="B11" s="268">
        <v>121.4</v>
      </c>
      <c r="E11" s="269">
        <f t="shared" si="0"/>
        <v>199.78393333333332</v>
      </c>
      <c r="I11" s="15" t="s">
        <v>316</v>
      </c>
      <c r="J11" s="273">
        <v>2343.4293333333335</v>
      </c>
      <c r="K11" s="271">
        <v>2353.9208021044901</v>
      </c>
    </row>
    <row r="12" spans="1:11">
      <c r="A12" s="19">
        <v>20394</v>
      </c>
      <c r="B12" s="268">
        <v>120</v>
      </c>
      <c r="E12" s="269">
        <f t="shared" si="0"/>
        <v>197.48</v>
      </c>
      <c r="I12" s="15" t="s">
        <v>317</v>
      </c>
      <c r="J12" s="273">
        <v>2298.8317666666667</v>
      </c>
      <c r="K12" s="271">
        <v>2334.7561234393802</v>
      </c>
    </row>
    <row r="13" spans="1:11">
      <c r="A13" s="19">
        <v>20424</v>
      </c>
      <c r="B13" s="268">
        <v>122.7</v>
      </c>
      <c r="E13" s="269">
        <f t="shared" si="0"/>
        <v>201.92330000000001</v>
      </c>
      <c r="F13" s="270">
        <f>SUM(E2:E13)</f>
        <v>2381.7733666666668</v>
      </c>
      <c r="I13" s="15" t="s">
        <v>318</v>
      </c>
      <c r="J13" s="273">
        <v>2311.9970999999996</v>
      </c>
      <c r="K13" s="271">
        <v>2314.8340250091701</v>
      </c>
    </row>
    <row r="14" spans="1:11">
      <c r="A14" s="19">
        <v>20455</v>
      </c>
      <c r="B14" s="268">
        <v>126.4</v>
      </c>
      <c r="E14" s="269">
        <f t="shared" si="0"/>
        <v>208.01226666666668</v>
      </c>
      <c r="I14" s="15" t="s">
        <v>319</v>
      </c>
      <c r="J14" s="273">
        <v>2320.8836999999999</v>
      </c>
      <c r="K14" s="271">
        <v>2293.9992502536802</v>
      </c>
    </row>
    <row r="15" spans="1:11">
      <c r="A15" s="19">
        <v>20486</v>
      </c>
      <c r="B15" s="268">
        <v>122.7</v>
      </c>
      <c r="E15" s="269">
        <f t="shared" si="0"/>
        <v>201.92330000000001</v>
      </c>
      <c r="I15" s="15" t="s">
        <v>320</v>
      </c>
      <c r="J15" s="273">
        <v>2307.8829333333333</v>
      </c>
      <c r="K15" s="271">
        <v>2272.0681733626502</v>
      </c>
    </row>
    <row r="16" spans="1:11">
      <c r="A16" s="19">
        <v>20515</v>
      </c>
      <c r="B16" s="268">
        <v>126.8</v>
      </c>
      <c r="E16" s="269">
        <f t="shared" si="0"/>
        <v>208.67053333333334</v>
      </c>
      <c r="I16" s="15" t="s">
        <v>321</v>
      </c>
      <c r="J16" s="273">
        <v>2271.3491333333332</v>
      </c>
      <c r="K16" s="271">
        <v>2249.1260130232699</v>
      </c>
    </row>
    <row r="17" spans="1:11">
      <c r="A17" s="19">
        <v>20546</v>
      </c>
      <c r="B17" s="268">
        <v>123.4</v>
      </c>
      <c r="E17" s="269">
        <f t="shared" si="0"/>
        <v>203.07526666666666</v>
      </c>
      <c r="I17" s="15" t="s">
        <v>322</v>
      </c>
      <c r="J17" s="273">
        <v>2244.5247666666664</v>
      </c>
      <c r="K17" s="271">
        <v>2225.6161355224499</v>
      </c>
    </row>
    <row r="18" spans="1:11">
      <c r="A18" s="19">
        <v>20576</v>
      </c>
      <c r="B18" s="268">
        <v>123.6</v>
      </c>
      <c r="E18" s="269">
        <f t="shared" si="0"/>
        <v>203.40439999999998</v>
      </c>
      <c r="I18" s="15" t="s">
        <v>323</v>
      </c>
      <c r="J18" s="273">
        <v>2208.1555333333331</v>
      </c>
      <c r="K18" s="271">
        <v>2202.2041383502001</v>
      </c>
    </row>
    <row r="19" spans="1:11">
      <c r="A19" s="19">
        <v>20607</v>
      </c>
      <c r="B19" s="268">
        <v>124.3</v>
      </c>
      <c r="E19" s="269">
        <f t="shared" si="0"/>
        <v>204.55636666666663</v>
      </c>
      <c r="I19" s="15" t="s">
        <v>324</v>
      </c>
      <c r="J19" s="273">
        <v>2195.9775999999997</v>
      </c>
      <c r="K19" s="271">
        <v>2179.74470530796</v>
      </c>
    </row>
    <row r="20" spans="1:11">
      <c r="A20" s="19">
        <v>20637</v>
      </c>
      <c r="B20" s="268">
        <v>124.1</v>
      </c>
      <c r="E20" s="269">
        <f t="shared" si="0"/>
        <v>204.22723333333332</v>
      </c>
      <c r="I20" s="15" t="s">
        <v>325</v>
      </c>
      <c r="J20" s="273">
        <v>2181.1666</v>
      </c>
      <c r="K20" s="271">
        <v>2159.15203414702</v>
      </c>
    </row>
    <row r="21" spans="1:11">
      <c r="A21" s="19">
        <v>20668</v>
      </c>
      <c r="B21" s="268">
        <v>124.3</v>
      </c>
      <c r="E21" s="269">
        <f t="shared" si="0"/>
        <v>204.55636666666663</v>
      </c>
      <c r="I21" s="15" t="s">
        <v>326</v>
      </c>
      <c r="J21" s="273">
        <v>2077.1604666666667</v>
      </c>
      <c r="K21" s="271">
        <v>2141.50265156556</v>
      </c>
    </row>
    <row r="22" spans="1:11">
      <c r="A22" s="19">
        <v>20699</v>
      </c>
      <c r="B22" s="268">
        <v>125</v>
      </c>
      <c r="E22" s="269">
        <f t="shared" si="0"/>
        <v>205.70833333333331</v>
      </c>
      <c r="I22" s="15" t="s">
        <v>327</v>
      </c>
      <c r="J22" s="273">
        <v>2014.9542666666666</v>
      </c>
      <c r="K22" s="271">
        <v>2128.09322992031</v>
      </c>
    </row>
    <row r="23" spans="1:11">
      <c r="A23" s="19">
        <v>20729</v>
      </c>
      <c r="B23" s="268">
        <v>125.8</v>
      </c>
      <c r="E23" s="269">
        <f t="shared" si="0"/>
        <v>207.02486666666667</v>
      </c>
      <c r="I23" s="15" t="s">
        <v>328</v>
      </c>
      <c r="J23" s="273">
        <v>2086.2116333333333</v>
      </c>
      <c r="K23" s="271">
        <v>2119.57701971901</v>
      </c>
    </row>
    <row r="24" spans="1:11">
      <c r="A24" s="19">
        <v>20760</v>
      </c>
      <c r="B24" s="268">
        <v>123.6</v>
      </c>
      <c r="E24" s="269">
        <f t="shared" si="0"/>
        <v>203.40439999999998</v>
      </c>
      <c r="I24" s="15" t="s">
        <v>329</v>
      </c>
      <c r="J24" s="273">
        <v>2094.1108333333332</v>
      </c>
      <c r="K24" s="271">
        <v>2115.47588183687</v>
      </c>
    </row>
    <row r="25" spans="1:11">
      <c r="A25" s="19">
        <v>20790</v>
      </c>
      <c r="B25" s="268">
        <v>124.9</v>
      </c>
      <c r="E25" s="269">
        <f t="shared" si="0"/>
        <v>205.54376666666667</v>
      </c>
      <c r="F25" s="270">
        <f t="shared" ref="F25" si="1">SUM(E14:E25)</f>
        <v>2460.1070999999997</v>
      </c>
      <c r="I25" s="15" t="s">
        <v>330</v>
      </c>
      <c r="J25" s="273">
        <v>2108.5926999999997</v>
      </c>
      <c r="K25" s="271">
        <v>2114.9780232852299</v>
      </c>
    </row>
    <row r="26" spans="1:11">
      <c r="A26" s="19">
        <v>20821</v>
      </c>
      <c r="B26" s="268">
        <v>123.6</v>
      </c>
      <c r="E26" s="269">
        <f t="shared" si="0"/>
        <v>203.40439999999998</v>
      </c>
      <c r="I26" s="15" t="s">
        <v>331</v>
      </c>
      <c r="J26" s="273">
        <v>2132.4548666666665</v>
      </c>
      <c r="K26" s="271">
        <v>2117.0580005903998</v>
      </c>
    </row>
    <row r="27" spans="1:11">
      <c r="A27" s="19">
        <v>20852</v>
      </c>
      <c r="B27" s="268">
        <v>124.7</v>
      </c>
      <c r="E27" s="269">
        <f t="shared" si="0"/>
        <v>205.21463333333335</v>
      </c>
      <c r="I27" s="15" t="s">
        <v>49</v>
      </c>
      <c r="J27" s="273">
        <v>2138.0501333333332</v>
      </c>
      <c r="K27" s="271">
        <v>2120.62651704583</v>
      </c>
    </row>
    <row r="28" spans="1:11">
      <c r="A28" s="19">
        <v>20880</v>
      </c>
      <c r="B28" s="268">
        <v>124.2</v>
      </c>
      <c r="E28" s="269">
        <f t="shared" si="0"/>
        <v>204.39179999999999</v>
      </c>
      <c r="I28" s="15" t="s">
        <v>50</v>
      </c>
      <c r="J28" s="273">
        <v>2130.3155000000002</v>
      </c>
      <c r="K28" s="271">
        <v>2124.7482446057502</v>
      </c>
    </row>
    <row r="29" spans="1:11">
      <c r="A29" s="19">
        <v>20911</v>
      </c>
      <c r="B29" s="268">
        <v>126.1</v>
      </c>
      <c r="E29" s="269">
        <f t="shared" si="0"/>
        <v>207.51856666666666</v>
      </c>
      <c r="I29" s="15" t="s">
        <v>51</v>
      </c>
      <c r="J29" s="273">
        <v>2122.7454333333335</v>
      </c>
      <c r="K29" s="271">
        <v>2128.6620913872298</v>
      </c>
    </row>
    <row r="30" spans="1:11">
      <c r="A30" s="19">
        <v>20941</v>
      </c>
      <c r="B30" s="268">
        <v>125.6</v>
      </c>
      <c r="E30" s="269">
        <f t="shared" si="0"/>
        <v>206.69573333333332</v>
      </c>
      <c r="I30" s="15" t="s">
        <v>52</v>
      </c>
      <c r="J30" s="273">
        <v>2133.4422666666665</v>
      </c>
      <c r="K30" s="271">
        <v>2131.6626380613302</v>
      </c>
    </row>
    <row r="31" spans="1:11">
      <c r="A31" s="19">
        <v>20972</v>
      </c>
      <c r="B31" s="268">
        <v>124.2</v>
      </c>
      <c r="E31" s="269">
        <f t="shared" si="0"/>
        <v>204.39179999999999</v>
      </c>
      <c r="I31" s="15" t="s">
        <v>53</v>
      </c>
      <c r="J31" s="273">
        <v>2162.2414333333336</v>
      </c>
      <c r="K31" s="271">
        <v>2132.98529871853</v>
      </c>
    </row>
    <row r="32" spans="1:11">
      <c r="A32" s="19">
        <v>21002</v>
      </c>
      <c r="B32" s="268">
        <v>124.4</v>
      </c>
      <c r="E32" s="269">
        <f t="shared" si="0"/>
        <v>204.72093333333333</v>
      </c>
      <c r="I32" s="15" t="s">
        <v>54</v>
      </c>
      <c r="J32" s="273">
        <v>2148.5823999999998</v>
      </c>
      <c r="K32" s="271">
        <v>2131.8832837353798</v>
      </c>
    </row>
    <row r="33" spans="1:11">
      <c r="A33" s="19">
        <v>21033</v>
      </c>
      <c r="B33" s="268">
        <v>123.7</v>
      </c>
      <c r="E33" s="269">
        <f t="shared" si="0"/>
        <v>203.56896666666668</v>
      </c>
      <c r="I33" s="15" t="s">
        <v>55</v>
      </c>
      <c r="J33" s="273">
        <v>2131.3029000000001</v>
      </c>
      <c r="K33" s="271">
        <v>2127.9023648345901</v>
      </c>
    </row>
    <row r="34" spans="1:11">
      <c r="A34" s="19">
        <v>21064</v>
      </c>
      <c r="B34" s="268">
        <v>124.8</v>
      </c>
      <c r="E34" s="269">
        <f t="shared" si="0"/>
        <v>205.3792</v>
      </c>
      <c r="I34" s="15" t="s">
        <v>56</v>
      </c>
      <c r="J34" s="273">
        <v>2142.4934333333335</v>
      </c>
      <c r="K34" s="271">
        <v>2120.7553049015</v>
      </c>
    </row>
    <row r="35" spans="1:11">
      <c r="A35" s="19">
        <v>21094</v>
      </c>
      <c r="B35" s="268">
        <v>122.8</v>
      </c>
      <c r="E35" s="269">
        <f t="shared" si="0"/>
        <v>202.08786666666666</v>
      </c>
      <c r="I35" s="15" t="s">
        <v>57</v>
      </c>
      <c r="J35" s="273">
        <v>2168.8240999999998</v>
      </c>
      <c r="K35" s="271">
        <v>2110.1888721731002</v>
      </c>
    </row>
    <row r="36" spans="1:11">
      <c r="A36" s="19">
        <v>21125</v>
      </c>
      <c r="B36" s="268">
        <v>123.2</v>
      </c>
      <c r="E36" s="269">
        <f t="shared" si="0"/>
        <v>202.74613333333332</v>
      </c>
      <c r="I36" s="15" t="s">
        <v>58</v>
      </c>
      <c r="J36" s="273">
        <v>2146.443033333333</v>
      </c>
      <c r="K36" s="271">
        <v>2096.1672161707202</v>
      </c>
    </row>
    <row r="37" spans="1:11">
      <c r="A37" s="19">
        <v>21155</v>
      </c>
      <c r="B37" s="268">
        <v>121.2</v>
      </c>
      <c r="E37" s="269">
        <f t="shared" si="0"/>
        <v>199.45479999999998</v>
      </c>
      <c r="F37" s="270">
        <f t="shared" ref="F37" si="2">SUM(E26:E37)</f>
        <v>2449.5748333333336</v>
      </c>
      <c r="I37" s="15" t="s">
        <v>59</v>
      </c>
      <c r="J37" s="273">
        <v>2118.9603999999999</v>
      </c>
      <c r="K37" s="271">
        <v>2079.2408386939301</v>
      </c>
    </row>
    <row r="38" spans="1:11">
      <c r="A38" s="19">
        <v>21186</v>
      </c>
      <c r="B38" s="268">
        <v>121.6</v>
      </c>
      <c r="E38" s="269">
        <f t="shared" si="0"/>
        <v>200.11306666666667</v>
      </c>
      <c r="I38" s="15" t="s">
        <v>60</v>
      </c>
      <c r="J38" s="273">
        <v>2072.2234666666668</v>
      </c>
      <c r="K38" s="271">
        <v>2060.46299971396</v>
      </c>
    </row>
    <row r="39" spans="1:11">
      <c r="A39" s="19">
        <v>21217</v>
      </c>
      <c r="B39" s="268">
        <v>122.2</v>
      </c>
      <c r="E39" s="269">
        <f t="shared" si="0"/>
        <v>201.10046666666665</v>
      </c>
      <c r="I39" s="15" t="s">
        <v>61</v>
      </c>
      <c r="J39" s="273">
        <v>2004.4219999999998</v>
      </c>
      <c r="K39" s="271">
        <v>2041.28415481507</v>
      </c>
    </row>
    <row r="40" spans="1:11">
      <c r="A40" s="19">
        <v>21245</v>
      </c>
      <c r="B40" s="268">
        <v>121.4</v>
      </c>
      <c r="E40" s="269">
        <f t="shared" si="0"/>
        <v>199.78393333333332</v>
      </c>
      <c r="I40" s="15" t="s">
        <v>62</v>
      </c>
      <c r="J40" s="273">
        <v>1959.0016000000001</v>
      </c>
      <c r="K40" s="271">
        <v>2023.27236425107</v>
      </c>
    </row>
    <row r="41" spans="1:11">
      <c r="A41" s="19">
        <v>21276</v>
      </c>
      <c r="B41" s="268">
        <v>120.3</v>
      </c>
      <c r="E41" s="269">
        <f t="shared" si="0"/>
        <v>197.97370000000001</v>
      </c>
      <c r="I41" s="15" t="s">
        <v>63</v>
      </c>
      <c r="J41" s="273">
        <v>1957.8496333333335</v>
      </c>
      <c r="K41" s="271">
        <v>2007.6270667276101</v>
      </c>
    </row>
    <row r="42" spans="1:11">
      <c r="A42" s="19">
        <v>21306</v>
      </c>
      <c r="B42" s="268">
        <v>120.9</v>
      </c>
      <c r="E42" s="269">
        <f t="shared" si="0"/>
        <v>198.96110000000002</v>
      </c>
      <c r="I42" s="15" t="s">
        <v>64</v>
      </c>
      <c r="J42" s="273">
        <v>1970.3567</v>
      </c>
      <c r="K42" s="271">
        <v>1994.90499330782</v>
      </c>
    </row>
    <row r="43" spans="1:11">
      <c r="A43" s="19">
        <v>21337</v>
      </c>
      <c r="B43" s="268">
        <v>122.3</v>
      </c>
      <c r="E43" s="269">
        <f t="shared" si="0"/>
        <v>201.26503333333329</v>
      </c>
      <c r="I43" s="15" t="s">
        <v>65</v>
      </c>
      <c r="J43" s="273">
        <v>1985.0031333333334</v>
      </c>
      <c r="K43" s="271">
        <v>1985.16510072091</v>
      </c>
    </row>
    <row r="44" spans="1:11">
      <c r="A44" s="19">
        <v>21367</v>
      </c>
      <c r="B44" s="268">
        <v>122</v>
      </c>
      <c r="E44" s="269">
        <f t="shared" si="0"/>
        <v>200.77133333333333</v>
      </c>
      <c r="I44" s="15" t="s">
        <v>66</v>
      </c>
      <c r="J44" s="273">
        <v>1981.7117999999998</v>
      </c>
      <c r="K44" s="271">
        <v>1978.22086276299</v>
      </c>
    </row>
    <row r="45" spans="1:11">
      <c r="A45" s="19">
        <v>21398</v>
      </c>
      <c r="B45" s="268">
        <v>123.1</v>
      </c>
      <c r="E45" s="269">
        <f t="shared" si="0"/>
        <v>202.58156666666665</v>
      </c>
      <c r="I45" s="15" t="s">
        <v>67</v>
      </c>
      <c r="J45" s="273">
        <v>1947.8110666666669</v>
      </c>
      <c r="K45" s="271">
        <v>1973.8841335563</v>
      </c>
    </row>
    <row r="46" spans="1:11">
      <c r="A46" s="19">
        <v>21429</v>
      </c>
      <c r="B46" s="268">
        <v>122.9</v>
      </c>
      <c r="E46" s="269">
        <f t="shared" si="0"/>
        <v>202.25243333333336</v>
      </c>
      <c r="I46" s="15" t="s">
        <v>68</v>
      </c>
      <c r="J46" s="273">
        <v>1947.8110666666669</v>
      </c>
      <c r="K46" s="271">
        <v>1972.0016765954399</v>
      </c>
    </row>
    <row r="47" spans="1:11">
      <c r="A47" s="19">
        <v>21459</v>
      </c>
      <c r="B47" s="268">
        <v>122.1</v>
      </c>
      <c r="E47" s="269">
        <f t="shared" si="0"/>
        <v>200.93589999999998</v>
      </c>
      <c r="I47" s="15" t="s">
        <v>69</v>
      </c>
      <c r="J47" s="273">
        <v>1983.6865999999998</v>
      </c>
      <c r="K47" s="271">
        <v>1972.15952470615</v>
      </c>
    </row>
    <row r="48" spans="1:11">
      <c r="A48" s="19">
        <v>21490</v>
      </c>
      <c r="B48" s="268">
        <v>123.4</v>
      </c>
      <c r="E48" s="269">
        <f t="shared" si="0"/>
        <v>203.07526666666666</v>
      </c>
      <c r="I48" s="15" t="s">
        <v>70</v>
      </c>
      <c r="J48" s="273">
        <v>1962.7866333333334</v>
      </c>
      <c r="K48" s="271">
        <v>1973.7018046148301</v>
      </c>
    </row>
    <row r="49" spans="1:11">
      <c r="A49" s="19">
        <v>21520</v>
      </c>
      <c r="B49" s="268">
        <v>124.5</v>
      </c>
      <c r="E49" s="269">
        <f t="shared" si="0"/>
        <v>204.88550000000001</v>
      </c>
      <c r="F49" s="270">
        <f t="shared" ref="F49" si="3">SUM(E38:E49)</f>
        <v>2413.6992999999998</v>
      </c>
      <c r="I49" s="15" t="s">
        <v>71</v>
      </c>
      <c r="J49" s="273">
        <v>1968.8756000000003</v>
      </c>
      <c r="K49" s="271">
        <v>1976.08791380086</v>
      </c>
    </row>
    <row r="50" spans="1:11">
      <c r="A50" s="19">
        <v>21551</v>
      </c>
      <c r="B50" s="268">
        <v>122.7</v>
      </c>
      <c r="E50" s="269">
        <f t="shared" si="0"/>
        <v>201.92330000000001</v>
      </c>
      <c r="I50" s="15" t="s">
        <v>72</v>
      </c>
      <c r="J50" s="273">
        <v>1991.0920999999998</v>
      </c>
      <c r="K50" s="271">
        <v>1978.6680980307899</v>
      </c>
    </row>
    <row r="51" spans="1:11">
      <c r="A51" s="19">
        <v>21582</v>
      </c>
      <c r="B51" s="268">
        <v>124.1</v>
      </c>
      <c r="E51" s="269">
        <f t="shared" si="0"/>
        <v>204.22723333333332</v>
      </c>
      <c r="I51" s="15" t="s">
        <v>73</v>
      </c>
      <c r="J51" s="273">
        <v>2019.0684333333331</v>
      </c>
      <c r="K51" s="271">
        <v>1980.72047993315</v>
      </c>
    </row>
    <row r="52" spans="1:11">
      <c r="A52" s="19">
        <v>21610</v>
      </c>
      <c r="B52" s="268">
        <v>123.3</v>
      </c>
      <c r="E52" s="269">
        <f t="shared" si="0"/>
        <v>202.91069999999996</v>
      </c>
      <c r="I52" s="15" t="s">
        <v>74</v>
      </c>
      <c r="J52" s="273">
        <v>2006.0676666666666</v>
      </c>
      <c r="K52" s="271">
        <v>1981.64742215618</v>
      </c>
    </row>
    <row r="53" spans="1:11">
      <c r="A53" s="19">
        <v>21641</v>
      </c>
      <c r="B53" s="268">
        <v>121.4</v>
      </c>
      <c r="E53" s="269">
        <f t="shared" si="0"/>
        <v>199.78393333333332</v>
      </c>
      <c r="I53" s="15" t="s">
        <v>75</v>
      </c>
      <c r="J53" s="273">
        <v>2020.0558333333331</v>
      </c>
      <c r="K53" s="271">
        <v>1981.2347668821101</v>
      </c>
    </row>
    <row r="54" spans="1:11">
      <c r="A54" s="19">
        <v>21671</v>
      </c>
      <c r="B54" s="268">
        <v>124.5</v>
      </c>
      <c r="E54" s="269">
        <f t="shared" si="0"/>
        <v>204.88550000000001</v>
      </c>
      <c r="I54" s="15" t="s">
        <v>76</v>
      </c>
      <c r="J54" s="273">
        <v>2010.0172666666667</v>
      </c>
      <c r="K54" s="271">
        <v>1979.51255873829</v>
      </c>
    </row>
    <row r="55" spans="1:11">
      <c r="A55" s="19">
        <v>21702</v>
      </c>
      <c r="B55" s="268">
        <v>125.6</v>
      </c>
      <c r="E55" s="269">
        <f t="shared" si="0"/>
        <v>206.69573333333332</v>
      </c>
      <c r="I55" s="15" t="s">
        <v>77</v>
      </c>
      <c r="J55" s="273">
        <v>1986.4842333333338</v>
      </c>
      <c r="K55" s="271">
        <v>1976.89905301657</v>
      </c>
    </row>
    <row r="56" spans="1:11">
      <c r="A56" s="19">
        <v>21732</v>
      </c>
      <c r="B56" s="268">
        <v>124.7</v>
      </c>
      <c r="E56" s="269">
        <f t="shared" si="0"/>
        <v>205.21463333333335</v>
      </c>
      <c r="I56" s="15" t="s">
        <v>78</v>
      </c>
      <c r="J56" s="273">
        <v>1873.2623666666668</v>
      </c>
      <c r="K56" s="271">
        <v>1974.11755208809</v>
      </c>
    </row>
    <row r="57" spans="1:11">
      <c r="A57" s="19">
        <v>21763</v>
      </c>
      <c r="B57" s="268">
        <v>125.3</v>
      </c>
      <c r="E57" s="269">
        <f t="shared" si="0"/>
        <v>206.2020333333333</v>
      </c>
      <c r="I57" s="15" t="s">
        <v>79</v>
      </c>
      <c r="J57" s="273">
        <v>1967.0653666666667</v>
      </c>
      <c r="K57" s="271">
        <v>1971.9872101271501</v>
      </c>
    </row>
    <row r="58" spans="1:11">
      <c r="A58" s="19">
        <v>21794</v>
      </c>
      <c r="B58" s="268">
        <v>124.5</v>
      </c>
      <c r="E58" s="269">
        <f t="shared" si="0"/>
        <v>204.88550000000001</v>
      </c>
      <c r="I58" s="15" t="s">
        <v>80</v>
      </c>
      <c r="J58" s="273">
        <v>1957.8496333333333</v>
      </c>
      <c r="K58" s="271">
        <v>1970.31862945385</v>
      </c>
    </row>
    <row r="59" spans="1:11">
      <c r="A59" s="19">
        <v>21824</v>
      </c>
      <c r="B59" s="268">
        <v>125.2</v>
      </c>
      <c r="E59" s="269">
        <f t="shared" si="0"/>
        <v>206.03746666666666</v>
      </c>
      <c r="I59" s="15" t="s">
        <v>81</v>
      </c>
      <c r="J59" s="273">
        <v>1974.9645666666668</v>
      </c>
      <c r="K59" s="271">
        <v>1968.8731939536699</v>
      </c>
    </row>
    <row r="60" spans="1:11">
      <c r="A60" s="19">
        <v>21855</v>
      </c>
      <c r="B60" s="268">
        <v>126.2</v>
      </c>
      <c r="E60" s="269">
        <f t="shared" si="0"/>
        <v>207.68313333333333</v>
      </c>
      <c r="I60" s="15" t="s">
        <v>82</v>
      </c>
      <c r="J60" s="273">
        <v>1960.9764</v>
      </c>
      <c r="K60" s="271">
        <v>1967.2875975509</v>
      </c>
    </row>
    <row r="61" spans="1:11">
      <c r="A61" s="19">
        <v>21885</v>
      </c>
      <c r="B61" s="268">
        <v>124.6</v>
      </c>
      <c r="E61" s="269">
        <f t="shared" si="0"/>
        <v>205.05006666666665</v>
      </c>
      <c r="F61" s="270">
        <f t="shared" ref="F61" si="4">SUM(E50:E61)</f>
        <v>2455.4992333333334</v>
      </c>
      <c r="I61" s="15" t="s">
        <v>83</v>
      </c>
      <c r="J61" s="273">
        <v>1968.3819000000001</v>
      </c>
      <c r="K61" s="271">
        <v>1965.2594478969399</v>
      </c>
    </row>
    <row r="62" spans="1:11">
      <c r="A62" s="19">
        <v>21916</v>
      </c>
      <c r="B62" s="268">
        <v>127.6</v>
      </c>
      <c r="C62" s="143">
        <v>189.5</v>
      </c>
      <c r="E62" s="269">
        <f t="shared" si="0"/>
        <v>209.98706666666666</v>
      </c>
      <c r="I62" s="15" t="s">
        <v>84</v>
      </c>
      <c r="J62" s="273">
        <v>1975.2937000000002</v>
      </c>
      <c r="K62" s="271">
        <v>1962.4232406677099</v>
      </c>
    </row>
    <row r="63" spans="1:11">
      <c r="A63" s="19">
        <v>21947</v>
      </c>
      <c r="B63" s="268">
        <v>127.1</v>
      </c>
      <c r="C63" s="143">
        <v>214.3</v>
      </c>
      <c r="E63" s="269">
        <f t="shared" si="0"/>
        <v>209.1642333333333</v>
      </c>
      <c r="I63" s="15" t="s">
        <v>85</v>
      </c>
      <c r="J63" s="273">
        <v>1973.6480333333332</v>
      </c>
      <c r="K63" s="271">
        <v>1958.4446960601299</v>
      </c>
    </row>
    <row r="64" spans="1:11">
      <c r="A64" s="19">
        <v>21976</v>
      </c>
      <c r="B64" s="268">
        <v>127.8</v>
      </c>
      <c r="C64" s="143">
        <v>203.4</v>
      </c>
      <c r="E64" s="269">
        <f t="shared" si="0"/>
        <v>210.31620000000001</v>
      </c>
      <c r="I64" s="15" t="s">
        <v>86</v>
      </c>
      <c r="J64" s="273">
        <v>1980.559833333333</v>
      </c>
      <c r="K64" s="271">
        <v>1953.1182388644499</v>
      </c>
    </row>
    <row r="65" spans="1:11">
      <c r="A65" s="19">
        <v>22007</v>
      </c>
      <c r="B65" s="268">
        <v>126.6</v>
      </c>
      <c r="C65" s="143">
        <v>214.8</v>
      </c>
      <c r="E65" s="269">
        <f t="shared" si="0"/>
        <v>208.34139999999999</v>
      </c>
      <c r="I65" s="15" t="s">
        <v>87</v>
      </c>
      <c r="J65" s="273">
        <v>1981.2181</v>
      </c>
      <c r="K65" s="271">
        <v>1946.3903272436801</v>
      </c>
    </row>
    <row r="66" spans="1:11">
      <c r="A66" s="19">
        <v>22037</v>
      </c>
      <c r="B66" s="268">
        <v>126.1</v>
      </c>
      <c r="C66" s="143">
        <v>201.1</v>
      </c>
      <c r="E66" s="269">
        <f t="shared" si="0"/>
        <v>207.51856666666666</v>
      </c>
      <c r="I66" s="15" t="s">
        <v>88</v>
      </c>
      <c r="J66" s="273">
        <v>1942.7095000000004</v>
      </c>
      <c r="K66" s="271">
        <v>1938.48183530548</v>
      </c>
    </row>
    <row r="67" spans="1:11">
      <c r="A67" s="19">
        <v>22068</v>
      </c>
      <c r="B67" s="268">
        <v>124.4</v>
      </c>
      <c r="C67" s="143">
        <v>212.2</v>
      </c>
      <c r="E67" s="269">
        <f t="shared" ref="E67:E130" si="5">B67/100*$D$733</f>
        <v>204.72093333333333</v>
      </c>
      <c r="I67" s="15" t="s">
        <v>89</v>
      </c>
      <c r="J67" s="273">
        <v>1868.8190666666667</v>
      </c>
      <c r="K67" s="272">
        <f>K66</f>
        <v>1938.48183530548</v>
      </c>
    </row>
    <row r="68" spans="1:11">
      <c r="A68" s="19">
        <v>22098</v>
      </c>
      <c r="B68" s="268">
        <v>125</v>
      </c>
      <c r="C68" s="143">
        <v>207.4</v>
      </c>
      <c r="E68" s="269">
        <f t="shared" si="5"/>
        <v>205.70833333333331</v>
      </c>
    </row>
    <row r="69" spans="1:11">
      <c r="A69" s="19">
        <v>22129</v>
      </c>
      <c r="B69" s="268">
        <v>126.1</v>
      </c>
      <c r="C69" s="143">
        <v>205.7</v>
      </c>
      <c r="E69" s="269">
        <f t="shared" si="5"/>
        <v>207.51856666666666</v>
      </c>
    </row>
    <row r="70" spans="1:11">
      <c r="A70" s="19">
        <v>22160</v>
      </c>
      <c r="B70" s="268">
        <v>124.5</v>
      </c>
      <c r="C70" s="143">
        <v>209.9</v>
      </c>
      <c r="E70" s="269">
        <f t="shared" si="5"/>
        <v>204.88550000000001</v>
      </c>
    </row>
    <row r="71" spans="1:11">
      <c r="A71" s="19">
        <v>22190</v>
      </c>
      <c r="B71" s="268">
        <v>125.5</v>
      </c>
      <c r="C71" s="143">
        <v>206.3</v>
      </c>
      <c r="E71" s="269">
        <f t="shared" si="5"/>
        <v>206.53116666666665</v>
      </c>
    </row>
    <row r="72" spans="1:11">
      <c r="A72" s="19">
        <v>22221</v>
      </c>
      <c r="B72" s="268">
        <v>124.7</v>
      </c>
      <c r="C72" s="143">
        <v>208.8</v>
      </c>
      <c r="E72" s="269">
        <f t="shared" si="5"/>
        <v>205.21463333333335</v>
      </c>
    </row>
    <row r="73" spans="1:11">
      <c r="A73" s="19">
        <v>22251</v>
      </c>
      <c r="B73" s="268">
        <v>125</v>
      </c>
      <c r="C73" s="143">
        <v>211.1</v>
      </c>
      <c r="E73" s="269">
        <f t="shared" si="5"/>
        <v>205.70833333333331</v>
      </c>
      <c r="F73" s="270">
        <f t="shared" ref="F73" si="6">SUM(E62:E73)</f>
        <v>2485.6149333333333</v>
      </c>
    </row>
    <row r="74" spans="1:11">
      <c r="A74" s="19">
        <v>22282</v>
      </c>
      <c r="B74" s="268">
        <v>126.8</v>
      </c>
      <c r="C74" s="143">
        <v>188.8</v>
      </c>
      <c r="E74" s="269">
        <f t="shared" si="5"/>
        <v>208.67053333333334</v>
      </c>
    </row>
    <row r="75" spans="1:11">
      <c r="A75" s="19">
        <v>22313</v>
      </c>
      <c r="B75" s="268">
        <v>123.1</v>
      </c>
      <c r="C75" s="143">
        <v>208.2</v>
      </c>
      <c r="E75" s="269">
        <f t="shared" si="5"/>
        <v>202.58156666666665</v>
      </c>
    </row>
    <row r="76" spans="1:11">
      <c r="A76" s="19">
        <v>22341</v>
      </c>
      <c r="B76" s="268">
        <v>123.8</v>
      </c>
      <c r="C76" s="143">
        <v>197.9</v>
      </c>
      <c r="E76" s="269">
        <f t="shared" si="5"/>
        <v>203.73353333333333</v>
      </c>
    </row>
    <row r="77" spans="1:11">
      <c r="A77" s="19">
        <v>22372</v>
      </c>
      <c r="B77" s="268">
        <v>123.4</v>
      </c>
      <c r="C77" s="143">
        <v>209.8</v>
      </c>
      <c r="E77" s="269">
        <f t="shared" si="5"/>
        <v>203.07526666666666</v>
      </c>
    </row>
    <row r="78" spans="1:11">
      <c r="A78" s="19">
        <v>22402</v>
      </c>
      <c r="B78" s="268">
        <v>123.6</v>
      </c>
      <c r="C78" s="143">
        <v>197.5</v>
      </c>
      <c r="E78" s="269">
        <f t="shared" si="5"/>
        <v>203.40439999999998</v>
      </c>
    </row>
    <row r="79" spans="1:11">
      <c r="A79" s="19">
        <v>22433</v>
      </c>
      <c r="B79" s="268">
        <v>122.9</v>
      </c>
      <c r="C79" s="143">
        <v>209.6</v>
      </c>
      <c r="E79" s="269">
        <f t="shared" si="5"/>
        <v>202.25243333333336</v>
      </c>
    </row>
    <row r="80" spans="1:11">
      <c r="A80" s="19">
        <v>22463</v>
      </c>
      <c r="B80" s="268">
        <v>123.6</v>
      </c>
      <c r="C80" s="143">
        <v>205.3</v>
      </c>
      <c r="E80" s="269">
        <f t="shared" si="5"/>
        <v>203.40439999999998</v>
      </c>
    </row>
    <row r="81" spans="1:6">
      <c r="A81" s="19">
        <v>22494</v>
      </c>
      <c r="B81" s="268">
        <v>122.9</v>
      </c>
      <c r="C81" s="143">
        <v>199.6</v>
      </c>
      <c r="E81" s="269">
        <f t="shared" si="5"/>
        <v>202.25243333333336</v>
      </c>
    </row>
    <row r="82" spans="1:6">
      <c r="A82" s="19">
        <v>22525</v>
      </c>
      <c r="B82" s="268">
        <v>122.7</v>
      </c>
      <c r="C82" s="143">
        <v>207.5</v>
      </c>
      <c r="E82" s="269">
        <f t="shared" si="5"/>
        <v>201.92330000000001</v>
      </c>
    </row>
    <row r="83" spans="1:6">
      <c r="A83" s="19">
        <v>22555</v>
      </c>
      <c r="B83" s="268">
        <v>122.9</v>
      </c>
      <c r="C83" s="143">
        <v>202.9</v>
      </c>
      <c r="E83" s="269">
        <f t="shared" si="5"/>
        <v>202.25243333333336</v>
      </c>
    </row>
    <row r="84" spans="1:6">
      <c r="A84" s="19">
        <v>22586</v>
      </c>
      <c r="B84" s="268">
        <v>122.7</v>
      </c>
      <c r="C84" s="143">
        <v>206.3</v>
      </c>
      <c r="E84" s="269">
        <f t="shared" si="5"/>
        <v>201.92330000000001</v>
      </c>
    </row>
    <row r="85" spans="1:6">
      <c r="A85" s="19">
        <v>22616</v>
      </c>
      <c r="B85" s="268">
        <v>122.5</v>
      </c>
      <c r="C85" s="143">
        <v>207.9</v>
      </c>
      <c r="E85" s="269">
        <f t="shared" si="5"/>
        <v>201.59416666666667</v>
      </c>
      <c r="F85" s="270">
        <f t="shared" ref="F85" si="7">SUM(E74:E85)</f>
        <v>2437.0677666666666</v>
      </c>
    </row>
    <row r="86" spans="1:6">
      <c r="A86" s="19">
        <v>22647</v>
      </c>
      <c r="B86" s="268">
        <v>122.3</v>
      </c>
      <c r="C86" s="143">
        <v>182.6</v>
      </c>
      <c r="E86" s="269">
        <f t="shared" si="5"/>
        <v>201.26503333333329</v>
      </c>
    </row>
    <row r="87" spans="1:6">
      <c r="A87" s="19">
        <v>22678</v>
      </c>
      <c r="B87" s="268">
        <v>119.4</v>
      </c>
      <c r="C87" s="143">
        <v>201.9</v>
      </c>
      <c r="E87" s="269">
        <f t="shared" si="5"/>
        <v>196.49259999999998</v>
      </c>
    </row>
    <row r="88" spans="1:6">
      <c r="A88" s="19">
        <v>22706</v>
      </c>
      <c r="B88" s="268">
        <v>120.2</v>
      </c>
      <c r="C88" s="143">
        <v>192.3</v>
      </c>
      <c r="E88" s="269">
        <f t="shared" si="5"/>
        <v>197.80913333333334</v>
      </c>
    </row>
    <row r="89" spans="1:6">
      <c r="A89" s="19">
        <v>22737</v>
      </c>
      <c r="B89" s="268">
        <v>121.3</v>
      </c>
      <c r="C89" s="143">
        <v>206.9</v>
      </c>
      <c r="E89" s="269">
        <f t="shared" si="5"/>
        <v>199.61936666666668</v>
      </c>
    </row>
    <row r="90" spans="1:6">
      <c r="A90" s="19">
        <v>22767</v>
      </c>
      <c r="B90" s="268">
        <v>120.8</v>
      </c>
      <c r="C90" s="143">
        <v>192.7</v>
      </c>
      <c r="E90" s="269">
        <f t="shared" si="5"/>
        <v>198.79653333333331</v>
      </c>
    </row>
    <row r="91" spans="1:6">
      <c r="A91" s="19">
        <v>22798</v>
      </c>
      <c r="B91" s="268">
        <v>120.8</v>
      </c>
      <c r="C91" s="143">
        <v>206.8</v>
      </c>
      <c r="E91" s="269">
        <f t="shared" si="5"/>
        <v>198.79653333333331</v>
      </c>
    </row>
    <row r="92" spans="1:6">
      <c r="A92" s="19">
        <v>22828</v>
      </c>
      <c r="B92" s="268">
        <v>120.1</v>
      </c>
      <c r="C92" s="143">
        <v>200.1</v>
      </c>
      <c r="E92" s="269">
        <f t="shared" si="5"/>
        <v>197.64456666666663</v>
      </c>
    </row>
    <row r="93" spans="1:6">
      <c r="A93" s="19">
        <v>22859</v>
      </c>
      <c r="B93" s="268">
        <v>119.2</v>
      </c>
      <c r="C93" s="143">
        <v>193.2</v>
      </c>
      <c r="E93" s="269">
        <f t="shared" si="5"/>
        <v>196.16346666666666</v>
      </c>
    </row>
    <row r="94" spans="1:6">
      <c r="A94" s="19">
        <v>22890</v>
      </c>
      <c r="B94" s="268">
        <v>120.2</v>
      </c>
      <c r="C94" s="143">
        <v>203.6</v>
      </c>
      <c r="E94" s="269">
        <f t="shared" si="5"/>
        <v>197.80913333333334</v>
      </c>
    </row>
    <row r="95" spans="1:6">
      <c r="A95" s="19">
        <v>22920</v>
      </c>
      <c r="B95" s="268">
        <v>120.7</v>
      </c>
      <c r="C95" s="143">
        <v>199.7</v>
      </c>
      <c r="E95" s="269">
        <f t="shared" si="5"/>
        <v>198.63196666666667</v>
      </c>
    </row>
    <row r="96" spans="1:6">
      <c r="A96" s="19">
        <v>22951</v>
      </c>
      <c r="B96" s="268">
        <v>118.2</v>
      </c>
      <c r="C96" s="143">
        <v>199</v>
      </c>
      <c r="E96" s="269">
        <f t="shared" si="5"/>
        <v>194.51779999999999</v>
      </c>
    </row>
    <row r="97" spans="1:6">
      <c r="A97" s="19">
        <v>22981</v>
      </c>
      <c r="B97" s="268">
        <v>119.6</v>
      </c>
      <c r="C97" s="143">
        <v>202.1</v>
      </c>
      <c r="E97" s="269">
        <f t="shared" si="5"/>
        <v>196.82173333333333</v>
      </c>
      <c r="F97" s="270">
        <f t="shared" ref="F97" si="8">SUM(E86:E97)</f>
        <v>2374.3678666666665</v>
      </c>
    </row>
    <row r="98" spans="1:6">
      <c r="A98" s="19">
        <v>23012</v>
      </c>
      <c r="B98" s="268">
        <v>115.4</v>
      </c>
      <c r="C98" s="143">
        <v>172.5</v>
      </c>
      <c r="E98" s="269">
        <f t="shared" si="5"/>
        <v>189.90993333333336</v>
      </c>
    </row>
    <row r="99" spans="1:6">
      <c r="A99" s="19">
        <v>23043</v>
      </c>
      <c r="B99" s="268">
        <v>118.7</v>
      </c>
      <c r="C99" s="143">
        <v>201</v>
      </c>
      <c r="E99" s="269">
        <f t="shared" si="5"/>
        <v>195.34063333333333</v>
      </c>
    </row>
    <row r="100" spans="1:6">
      <c r="A100" s="19">
        <v>23071</v>
      </c>
      <c r="B100" s="268">
        <v>118.3</v>
      </c>
      <c r="C100" s="143">
        <v>189.3</v>
      </c>
      <c r="E100" s="269">
        <f t="shared" si="5"/>
        <v>194.68236666666667</v>
      </c>
    </row>
    <row r="101" spans="1:6">
      <c r="A101" s="19">
        <v>23102</v>
      </c>
      <c r="B101" s="268">
        <v>119.5</v>
      </c>
      <c r="C101" s="143">
        <v>203.9</v>
      </c>
      <c r="E101" s="269">
        <f t="shared" si="5"/>
        <v>196.65716666666668</v>
      </c>
    </row>
    <row r="102" spans="1:6">
      <c r="A102" s="19">
        <v>23132</v>
      </c>
      <c r="B102" s="268">
        <v>119.1</v>
      </c>
      <c r="C102" s="143">
        <v>189.9</v>
      </c>
      <c r="E102" s="269">
        <f t="shared" si="5"/>
        <v>195.99889999999996</v>
      </c>
    </row>
    <row r="103" spans="1:6">
      <c r="A103" s="19">
        <v>23163</v>
      </c>
      <c r="B103" s="268">
        <v>119.6</v>
      </c>
      <c r="C103" s="143">
        <v>204.9</v>
      </c>
      <c r="E103" s="269">
        <f t="shared" si="5"/>
        <v>196.82173333333333</v>
      </c>
    </row>
    <row r="104" spans="1:6">
      <c r="A104" s="19">
        <v>23193</v>
      </c>
      <c r="B104" s="268">
        <v>119.8</v>
      </c>
      <c r="C104" s="143">
        <v>200.4</v>
      </c>
      <c r="E104" s="269">
        <f t="shared" si="5"/>
        <v>197.15086666666664</v>
      </c>
    </row>
    <row r="105" spans="1:6">
      <c r="A105" s="19">
        <v>23224</v>
      </c>
      <c r="B105" s="268">
        <v>118.9</v>
      </c>
      <c r="C105" s="143">
        <v>192.4</v>
      </c>
      <c r="E105" s="269">
        <f t="shared" si="5"/>
        <v>195.66976666666667</v>
      </c>
    </row>
    <row r="106" spans="1:6">
      <c r="A106" s="19">
        <v>23255</v>
      </c>
      <c r="B106" s="268">
        <v>120.4</v>
      </c>
      <c r="C106" s="143">
        <v>203.9</v>
      </c>
      <c r="E106" s="269">
        <f t="shared" si="5"/>
        <v>198.13826666666665</v>
      </c>
    </row>
    <row r="107" spans="1:6">
      <c r="A107" s="19">
        <v>23285</v>
      </c>
      <c r="B107" s="268">
        <v>118.9</v>
      </c>
      <c r="C107" s="143">
        <v>197</v>
      </c>
      <c r="E107" s="269">
        <f t="shared" si="5"/>
        <v>195.66976666666667</v>
      </c>
    </row>
    <row r="108" spans="1:6">
      <c r="A108" s="19">
        <v>23316</v>
      </c>
      <c r="B108" s="268">
        <v>122.1</v>
      </c>
      <c r="C108" s="143">
        <v>205.9</v>
      </c>
      <c r="E108" s="269">
        <f t="shared" si="5"/>
        <v>200.93589999999998</v>
      </c>
    </row>
    <row r="109" spans="1:6">
      <c r="A109" s="19">
        <v>23346</v>
      </c>
      <c r="B109" s="268">
        <v>119.7</v>
      </c>
      <c r="C109" s="143">
        <v>201.9</v>
      </c>
      <c r="E109" s="269">
        <f t="shared" si="5"/>
        <v>196.9863</v>
      </c>
      <c r="F109" s="270">
        <f t="shared" ref="F109" si="9">SUM(E98:E109)</f>
        <v>2353.9616000000001</v>
      </c>
    </row>
    <row r="110" spans="1:6">
      <c r="A110" s="19">
        <v>23377</v>
      </c>
      <c r="B110" s="268">
        <v>116.8</v>
      </c>
      <c r="C110" s="143">
        <v>174.4</v>
      </c>
      <c r="E110" s="269">
        <f t="shared" si="5"/>
        <v>192.21386666666666</v>
      </c>
    </row>
    <row r="111" spans="1:6">
      <c r="A111" s="19">
        <v>23408</v>
      </c>
      <c r="B111" s="268">
        <v>120.7</v>
      </c>
      <c r="C111" s="143">
        <v>204</v>
      </c>
      <c r="E111" s="269">
        <f t="shared" si="5"/>
        <v>198.63196666666667</v>
      </c>
    </row>
    <row r="112" spans="1:6">
      <c r="A112" s="19">
        <v>23437</v>
      </c>
      <c r="B112" s="268">
        <v>120.9</v>
      </c>
      <c r="C112" s="143">
        <v>193.7</v>
      </c>
      <c r="E112" s="269">
        <f t="shared" si="5"/>
        <v>198.96110000000002</v>
      </c>
    </row>
    <row r="113" spans="1:6">
      <c r="A113" s="19">
        <v>23468</v>
      </c>
      <c r="B113" s="268">
        <v>118.5</v>
      </c>
      <c r="C113" s="143">
        <v>201.7</v>
      </c>
      <c r="E113" s="269">
        <f t="shared" si="5"/>
        <v>195.01150000000001</v>
      </c>
    </row>
    <row r="114" spans="1:6">
      <c r="A114" s="19">
        <v>23498</v>
      </c>
      <c r="B114" s="268">
        <v>119.4</v>
      </c>
      <c r="C114" s="143">
        <v>189.9</v>
      </c>
      <c r="E114" s="269">
        <f t="shared" si="5"/>
        <v>196.49259999999998</v>
      </c>
    </row>
    <row r="115" spans="1:6">
      <c r="A115" s="19">
        <v>23529</v>
      </c>
      <c r="B115" s="268">
        <v>119.6</v>
      </c>
      <c r="C115" s="143">
        <v>204.7</v>
      </c>
      <c r="E115" s="269">
        <f t="shared" si="5"/>
        <v>196.82173333333333</v>
      </c>
    </row>
    <row r="116" spans="1:6">
      <c r="A116" s="19">
        <v>23559</v>
      </c>
      <c r="B116" s="268">
        <v>117.9</v>
      </c>
      <c r="C116" s="143">
        <v>197.4</v>
      </c>
      <c r="E116" s="269">
        <f t="shared" si="5"/>
        <v>194.0241</v>
      </c>
    </row>
    <row r="117" spans="1:6">
      <c r="A117" s="19">
        <v>23590</v>
      </c>
      <c r="B117" s="268">
        <v>118.5</v>
      </c>
      <c r="C117" s="143">
        <v>191.2</v>
      </c>
      <c r="E117" s="269">
        <f t="shared" si="5"/>
        <v>195.01150000000001</v>
      </c>
    </row>
    <row r="118" spans="1:6">
      <c r="A118" s="19">
        <v>23621</v>
      </c>
      <c r="B118" s="268">
        <v>117.8</v>
      </c>
      <c r="C118" s="143">
        <v>199.3</v>
      </c>
      <c r="E118" s="269">
        <f t="shared" si="5"/>
        <v>193.85953333333333</v>
      </c>
    </row>
    <row r="119" spans="1:6">
      <c r="A119" s="19">
        <v>23651</v>
      </c>
      <c r="B119" s="268">
        <v>118.5</v>
      </c>
      <c r="C119" s="143">
        <v>196</v>
      </c>
      <c r="E119" s="269">
        <f t="shared" si="5"/>
        <v>195.01150000000001</v>
      </c>
    </row>
    <row r="120" spans="1:6">
      <c r="A120" s="19">
        <v>23682</v>
      </c>
      <c r="B120" s="268">
        <v>118.4</v>
      </c>
      <c r="C120" s="143">
        <v>199.4</v>
      </c>
      <c r="E120" s="269">
        <f t="shared" si="5"/>
        <v>194.84693333333337</v>
      </c>
    </row>
    <row r="121" spans="1:6">
      <c r="A121" s="19">
        <v>23712</v>
      </c>
      <c r="B121" s="268">
        <v>117</v>
      </c>
      <c r="C121" s="143">
        <v>197</v>
      </c>
      <c r="E121" s="269">
        <f t="shared" si="5"/>
        <v>192.54299999999998</v>
      </c>
      <c r="F121" s="270">
        <f t="shared" ref="F121" si="10">SUM(E110:E121)</f>
        <v>2343.4293333333335</v>
      </c>
    </row>
    <row r="122" spans="1:6">
      <c r="A122" s="19">
        <v>23743</v>
      </c>
      <c r="B122" s="268">
        <v>117.9</v>
      </c>
      <c r="C122" s="143">
        <v>175.4</v>
      </c>
      <c r="E122" s="269">
        <f t="shared" si="5"/>
        <v>194.0241</v>
      </c>
    </row>
    <row r="123" spans="1:6">
      <c r="A123" s="19">
        <v>23774</v>
      </c>
      <c r="B123" s="268">
        <v>117.8</v>
      </c>
      <c r="C123" s="143">
        <v>199.1</v>
      </c>
      <c r="E123" s="269">
        <f t="shared" si="5"/>
        <v>193.85953333333333</v>
      </c>
    </row>
    <row r="124" spans="1:6">
      <c r="A124" s="19">
        <v>23802</v>
      </c>
      <c r="B124" s="268">
        <v>116.4</v>
      </c>
      <c r="C124" s="143">
        <v>186.6</v>
      </c>
      <c r="E124" s="269">
        <f t="shared" si="5"/>
        <v>191.55560000000003</v>
      </c>
    </row>
    <row r="125" spans="1:6">
      <c r="A125" s="19">
        <v>23833</v>
      </c>
      <c r="B125" s="268">
        <v>116.5</v>
      </c>
      <c r="C125" s="143">
        <v>198.8</v>
      </c>
      <c r="E125" s="269">
        <f t="shared" si="5"/>
        <v>191.72016666666667</v>
      </c>
    </row>
    <row r="126" spans="1:6">
      <c r="A126" s="19">
        <v>23863</v>
      </c>
      <c r="B126" s="268">
        <v>115.5</v>
      </c>
      <c r="C126" s="143">
        <v>183.1</v>
      </c>
      <c r="E126" s="269">
        <f t="shared" si="5"/>
        <v>190.0745</v>
      </c>
    </row>
    <row r="127" spans="1:6">
      <c r="A127" s="19">
        <v>23894</v>
      </c>
      <c r="B127" s="268">
        <v>115.5</v>
      </c>
      <c r="C127" s="143">
        <v>197.7</v>
      </c>
      <c r="E127" s="269">
        <f t="shared" si="5"/>
        <v>190.0745</v>
      </c>
    </row>
    <row r="128" spans="1:6">
      <c r="A128" s="19">
        <v>23924</v>
      </c>
      <c r="B128" s="268">
        <v>116.6</v>
      </c>
      <c r="C128" s="143">
        <v>195.5</v>
      </c>
      <c r="E128" s="269">
        <f t="shared" si="5"/>
        <v>191.88473333333332</v>
      </c>
    </row>
    <row r="129" spans="1:6">
      <c r="A129" s="19">
        <v>23955</v>
      </c>
      <c r="B129" s="268">
        <v>116.8</v>
      </c>
      <c r="C129" s="143">
        <v>187.3</v>
      </c>
      <c r="E129" s="269">
        <f t="shared" si="5"/>
        <v>192.21386666666666</v>
      </c>
    </row>
    <row r="130" spans="1:6">
      <c r="A130" s="19">
        <v>23986</v>
      </c>
      <c r="B130" s="268">
        <v>115.6</v>
      </c>
      <c r="C130" s="143">
        <v>195.7</v>
      </c>
      <c r="E130" s="269">
        <f t="shared" si="5"/>
        <v>190.23906666666664</v>
      </c>
    </row>
    <row r="131" spans="1:6">
      <c r="A131" s="19">
        <v>24016</v>
      </c>
      <c r="B131" s="268">
        <v>116.4</v>
      </c>
      <c r="C131" s="143">
        <v>192.4</v>
      </c>
      <c r="E131" s="269">
        <f t="shared" ref="E131:E194" si="11">B131/100*$D$733</f>
        <v>191.55560000000003</v>
      </c>
    </row>
    <row r="132" spans="1:6">
      <c r="A132" s="19">
        <v>24047</v>
      </c>
      <c r="B132" s="268">
        <v>116.8</v>
      </c>
      <c r="C132" s="143">
        <v>196.7</v>
      </c>
      <c r="E132" s="269">
        <f t="shared" si="11"/>
        <v>192.21386666666666</v>
      </c>
    </row>
    <row r="133" spans="1:6">
      <c r="A133" s="19">
        <v>24077</v>
      </c>
      <c r="B133" s="268">
        <v>115.1</v>
      </c>
      <c r="C133" s="143">
        <v>193.7</v>
      </c>
      <c r="E133" s="269">
        <f t="shared" si="11"/>
        <v>189.41623333333334</v>
      </c>
      <c r="F133" s="270">
        <f t="shared" ref="F133" si="12">SUM(E122:E133)</f>
        <v>2298.8317666666667</v>
      </c>
    </row>
    <row r="134" spans="1:6">
      <c r="A134" s="19">
        <v>24108</v>
      </c>
      <c r="B134" s="268">
        <v>116.7</v>
      </c>
      <c r="C134" s="143">
        <v>173.8</v>
      </c>
      <c r="E134" s="269">
        <f t="shared" si="11"/>
        <v>192.04929999999999</v>
      </c>
    </row>
    <row r="135" spans="1:6">
      <c r="A135" s="19">
        <v>24139</v>
      </c>
      <c r="B135" s="268">
        <v>116</v>
      </c>
      <c r="C135" s="143">
        <v>195.7</v>
      </c>
      <c r="E135" s="269">
        <f t="shared" si="11"/>
        <v>190.89733333333331</v>
      </c>
    </row>
    <row r="136" spans="1:6">
      <c r="A136" s="19">
        <v>24167</v>
      </c>
      <c r="B136" s="268">
        <v>116.6</v>
      </c>
      <c r="C136" s="143">
        <v>187.3</v>
      </c>
      <c r="E136" s="269">
        <f t="shared" si="11"/>
        <v>191.88473333333332</v>
      </c>
    </row>
    <row r="137" spans="1:6">
      <c r="A137" s="19">
        <v>24198</v>
      </c>
      <c r="B137" s="268">
        <v>117.1</v>
      </c>
      <c r="C137" s="143">
        <v>200.1</v>
      </c>
      <c r="E137" s="269">
        <f t="shared" si="11"/>
        <v>192.70756666666668</v>
      </c>
    </row>
    <row r="138" spans="1:6">
      <c r="A138" s="19">
        <v>24228</v>
      </c>
      <c r="B138" s="268">
        <v>117.5</v>
      </c>
      <c r="C138" s="143">
        <v>186.2</v>
      </c>
      <c r="E138" s="269">
        <f t="shared" si="11"/>
        <v>193.36583333333334</v>
      </c>
    </row>
    <row r="139" spans="1:6">
      <c r="A139" s="19">
        <v>24259</v>
      </c>
      <c r="B139" s="268">
        <v>117</v>
      </c>
      <c r="C139" s="143">
        <v>200</v>
      </c>
      <c r="E139" s="269">
        <f t="shared" si="11"/>
        <v>192.54299999999998</v>
      </c>
    </row>
    <row r="140" spans="1:6">
      <c r="A140" s="19">
        <v>24289</v>
      </c>
      <c r="B140" s="268">
        <v>117.3</v>
      </c>
      <c r="C140" s="143">
        <v>196.7</v>
      </c>
      <c r="E140" s="269">
        <f t="shared" si="11"/>
        <v>193.0367</v>
      </c>
    </row>
    <row r="141" spans="1:6">
      <c r="A141" s="19">
        <v>24320</v>
      </c>
      <c r="B141" s="268">
        <v>118</v>
      </c>
      <c r="C141" s="143">
        <v>189.5</v>
      </c>
      <c r="E141" s="269">
        <f t="shared" si="11"/>
        <v>194.18866666666665</v>
      </c>
    </row>
    <row r="142" spans="1:6">
      <c r="A142" s="19">
        <v>24351</v>
      </c>
      <c r="B142" s="268">
        <v>116.6</v>
      </c>
      <c r="C142" s="143">
        <v>197.6</v>
      </c>
      <c r="E142" s="269">
        <f t="shared" si="11"/>
        <v>191.88473333333332</v>
      </c>
    </row>
    <row r="143" spans="1:6">
      <c r="A143" s="19">
        <v>24381</v>
      </c>
      <c r="B143" s="268">
        <v>117.1</v>
      </c>
      <c r="C143" s="143">
        <v>193.4</v>
      </c>
      <c r="E143" s="269">
        <f t="shared" si="11"/>
        <v>192.70756666666668</v>
      </c>
    </row>
    <row r="144" spans="1:6">
      <c r="A144" s="19">
        <v>24412</v>
      </c>
      <c r="B144" s="268">
        <v>116.6</v>
      </c>
      <c r="C144" s="143">
        <v>196.8</v>
      </c>
      <c r="E144" s="269">
        <f t="shared" si="11"/>
        <v>191.88473333333332</v>
      </c>
    </row>
    <row r="145" spans="1:6">
      <c r="A145" s="19">
        <v>24442</v>
      </c>
      <c r="B145" s="268">
        <v>118.4</v>
      </c>
      <c r="C145" s="143">
        <v>199.2</v>
      </c>
      <c r="E145" s="269">
        <f t="shared" si="11"/>
        <v>194.84693333333337</v>
      </c>
      <c r="F145" s="270">
        <f t="shared" ref="F145" si="13">SUM(E134:E145)</f>
        <v>2311.9970999999996</v>
      </c>
    </row>
    <row r="146" spans="1:6">
      <c r="A146" s="19">
        <v>24473</v>
      </c>
      <c r="B146" s="268">
        <v>120</v>
      </c>
      <c r="C146" s="143">
        <v>178.1</v>
      </c>
      <c r="E146" s="269">
        <f t="shared" si="11"/>
        <v>197.48</v>
      </c>
    </row>
    <row r="147" spans="1:6">
      <c r="A147" s="19">
        <v>24504</v>
      </c>
      <c r="B147" s="268">
        <v>116.8</v>
      </c>
      <c r="C147" s="143">
        <v>196.5</v>
      </c>
      <c r="E147" s="269">
        <f t="shared" si="11"/>
        <v>192.21386666666666</v>
      </c>
    </row>
    <row r="148" spans="1:6">
      <c r="A148" s="19">
        <v>24532</v>
      </c>
      <c r="B148" s="268">
        <v>117.4</v>
      </c>
      <c r="C148" s="143">
        <v>189.5</v>
      </c>
      <c r="E148" s="269">
        <f t="shared" si="11"/>
        <v>193.2012666666667</v>
      </c>
    </row>
    <row r="149" spans="1:6">
      <c r="A149" s="19">
        <v>24563</v>
      </c>
      <c r="B149" s="268">
        <v>117.6</v>
      </c>
      <c r="C149" s="143">
        <v>200.8</v>
      </c>
      <c r="E149" s="269">
        <f t="shared" si="11"/>
        <v>193.53039999999999</v>
      </c>
    </row>
    <row r="150" spans="1:6">
      <c r="A150" s="19">
        <v>24593</v>
      </c>
      <c r="B150" s="268">
        <v>117.6</v>
      </c>
      <c r="C150" s="143">
        <v>186.4</v>
      </c>
      <c r="E150" s="269">
        <f t="shared" si="11"/>
        <v>193.53039999999999</v>
      </c>
    </row>
    <row r="151" spans="1:6">
      <c r="A151" s="19">
        <v>24624</v>
      </c>
      <c r="B151" s="268">
        <v>117.2</v>
      </c>
      <c r="C151" s="143">
        <v>200.6</v>
      </c>
      <c r="E151" s="269">
        <f t="shared" si="11"/>
        <v>192.87213333333332</v>
      </c>
    </row>
    <row r="152" spans="1:6">
      <c r="A152" s="19">
        <v>24654</v>
      </c>
      <c r="B152" s="268">
        <v>117.6</v>
      </c>
      <c r="C152" s="143">
        <v>197.7</v>
      </c>
      <c r="E152" s="269">
        <f t="shared" si="11"/>
        <v>193.53039999999999</v>
      </c>
    </row>
    <row r="153" spans="1:6">
      <c r="A153" s="19">
        <v>24685</v>
      </c>
      <c r="B153" s="268">
        <v>116.4</v>
      </c>
      <c r="C153" s="143">
        <v>186.2</v>
      </c>
      <c r="E153" s="269">
        <f t="shared" si="11"/>
        <v>191.55560000000003</v>
      </c>
    </row>
    <row r="154" spans="1:6">
      <c r="A154" s="19">
        <v>24716</v>
      </c>
      <c r="B154" s="268">
        <v>118.1</v>
      </c>
      <c r="C154" s="143">
        <v>200.1</v>
      </c>
      <c r="E154" s="269">
        <f t="shared" si="11"/>
        <v>194.35323333333335</v>
      </c>
    </row>
    <row r="155" spans="1:6">
      <c r="A155" s="19">
        <v>24746</v>
      </c>
      <c r="B155" s="268">
        <v>117.6</v>
      </c>
      <c r="C155" s="143">
        <v>194.5</v>
      </c>
      <c r="E155" s="269">
        <f t="shared" si="11"/>
        <v>193.53039999999999</v>
      </c>
    </row>
    <row r="156" spans="1:6">
      <c r="A156" s="19">
        <v>24777</v>
      </c>
      <c r="B156" s="268">
        <v>116.5</v>
      </c>
      <c r="C156" s="143">
        <v>197.2</v>
      </c>
      <c r="E156" s="269">
        <f t="shared" si="11"/>
        <v>191.72016666666667</v>
      </c>
    </row>
    <row r="157" spans="1:6">
      <c r="A157" s="19">
        <v>24807</v>
      </c>
      <c r="B157" s="268">
        <v>117.5</v>
      </c>
      <c r="C157" s="143">
        <v>198.3</v>
      </c>
      <c r="E157" s="269">
        <f t="shared" si="11"/>
        <v>193.36583333333334</v>
      </c>
      <c r="F157" s="270">
        <f t="shared" ref="F157" si="14">SUM(E146:E157)</f>
        <v>2320.8836999999999</v>
      </c>
    </row>
    <row r="158" spans="1:6">
      <c r="A158" s="19">
        <v>24838</v>
      </c>
      <c r="B158" s="268">
        <v>116.6</v>
      </c>
      <c r="C158" s="143">
        <v>173.3</v>
      </c>
      <c r="E158" s="269">
        <f t="shared" si="11"/>
        <v>191.88473333333332</v>
      </c>
    </row>
    <row r="159" spans="1:6">
      <c r="A159" s="19">
        <v>24869</v>
      </c>
      <c r="B159" s="268">
        <v>117.2</v>
      </c>
      <c r="C159" s="143">
        <v>197.2</v>
      </c>
      <c r="E159" s="269">
        <f t="shared" si="11"/>
        <v>192.87213333333332</v>
      </c>
    </row>
    <row r="160" spans="1:6">
      <c r="A160" s="19">
        <v>24898</v>
      </c>
      <c r="B160" s="268">
        <v>118.2</v>
      </c>
      <c r="C160" s="143">
        <v>191.5</v>
      </c>
      <c r="E160" s="269">
        <f t="shared" si="11"/>
        <v>194.51779999999999</v>
      </c>
    </row>
    <row r="161" spans="1:6">
      <c r="A161" s="19">
        <v>24929</v>
      </c>
      <c r="B161" s="268">
        <v>117.9</v>
      </c>
      <c r="C161" s="143">
        <v>201.5</v>
      </c>
      <c r="E161" s="269">
        <f t="shared" si="11"/>
        <v>194.0241</v>
      </c>
    </row>
    <row r="162" spans="1:6">
      <c r="A162" s="19">
        <v>24959</v>
      </c>
      <c r="B162" s="268">
        <v>116.8</v>
      </c>
      <c r="C162" s="143">
        <v>184.9</v>
      </c>
      <c r="E162" s="269">
        <f t="shared" si="11"/>
        <v>192.21386666666666</v>
      </c>
    </row>
    <row r="163" spans="1:6">
      <c r="A163" s="19">
        <v>24990</v>
      </c>
      <c r="B163" s="268">
        <v>116.7</v>
      </c>
      <c r="C163" s="143">
        <v>200.3</v>
      </c>
      <c r="E163" s="269">
        <f t="shared" si="11"/>
        <v>192.04929999999999</v>
      </c>
    </row>
    <row r="164" spans="1:6">
      <c r="A164" s="19">
        <v>25020</v>
      </c>
      <c r="B164" s="268">
        <v>116.4</v>
      </c>
      <c r="C164" s="143">
        <v>196.2</v>
      </c>
      <c r="E164" s="269">
        <f t="shared" si="11"/>
        <v>191.55560000000003</v>
      </c>
    </row>
    <row r="165" spans="1:6">
      <c r="A165" s="19">
        <v>25051</v>
      </c>
      <c r="B165" s="268">
        <v>115.9</v>
      </c>
      <c r="C165" s="143">
        <v>185</v>
      </c>
      <c r="E165" s="269">
        <f t="shared" si="11"/>
        <v>190.73276666666666</v>
      </c>
    </row>
    <row r="166" spans="1:6">
      <c r="A166" s="19">
        <v>25082</v>
      </c>
      <c r="B166" s="268">
        <v>117.2</v>
      </c>
      <c r="C166" s="143">
        <v>198.7</v>
      </c>
      <c r="E166" s="269">
        <f t="shared" si="11"/>
        <v>192.87213333333332</v>
      </c>
    </row>
    <row r="167" spans="1:6">
      <c r="A167" s="19">
        <v>25112</v>
      </c>
      <c r="B167" s="268">
        <v>114.8</v>
      </c>
      <c r="C167" s="143">
        <v>189.7</v>
      </c>
      <c r="E167" s="269">
        <f t="shared" si="11"/>
        <v>188.92253333333332</v>
      </c>
    </row>
    <row r="168" spans="1:6">
      <c r="A168" s="19">
        <v>25143</v>
      </c>
      <c r="B168" s="268">
        <v>118.9</v>
      </c>
      <c r="C168" s="143">
        <v>201.2</v>
      </c>
      <c r="E168" s="269">
        <f t="shared" si="11"/>
        <v>195.66976666666667</v>
      </c>
    </row>
    <row r="169" spans="1:6">
      <c r="A169" s="19">
        <v>25173</v>
      </c>
      <c r="B169" s="268">
        <v>115.8</v>
      </c>
      <c r="C169" s="143">
        <v>195.3</v>
      </c>
      <c r="E169" s="269">
        <f t="shared" si="11"/>
        <v>190.56819999999999</v>
      </c>
      <c r="F169" s="270">
        <f t="shared" ref="F169" si="15">SUM(E158:E169)</f>
        <v>2307.8829333333333</v>
      </c>
    </row>
    <row r="170" spans="1:6">
      <c r="A170" s="19">
        <v>25204</v>
      </c>
      <c r="B170" s="268">
        <v>113</v>
      </c>
      <c r="C170" s="143">
        <v>167.8</v>
      </c>
      <c r="E170" s="269">
        <f t="shared" si="11"/>
        <v>185.96033333333332</v>
      </c>
    </row>
    <row r="171" spans="1:6">
      <c r="A171" s="19">
        <v>25235</v>
      </c>
      <c r="B171" s="268">
        <v>115.3</v>
      </c>
      <c r="C171" s="143">
        <v>193.9</v>
      </c>
      <c r="E171" s="269">
        <f t="shared" si="11"/>
        <v>189.74536666666665</v>
      </c>
    </row>
    <row r="172" spans="1:6">
      <c r="A172" s="19">
        <v>25263</v>
      </c>
      <c r="B172" s="268">
        <v>114.1</v>
      </c>
      <c r="C172" s="143">
        <v>184.6</v>
      </c>
      <c r="E172" s="269">
        <f t="shared" si="11"/>
        <v>187.77056666666667</v>
      </c>
    </row>
    <row r="173" spans="1:6">
      <c r="A173" s="19">
        <v>25294</v>
      </c>
      <c r="B173" s="268">
        <v>114.2</v>
      </c>
      <c r="C173" s="143">
        <v>195.7</v>
      </c>
      <c r="E173" s="269">
        <f t="shared" si="11"/>
        <v>187.93513333333334</v>
      </c>
    </row>
    <row r="174" spans="1:6">
      <c r="A174" s="19">
        <v>25324</v>
      </c>
      <c r="B174" s="268">
        <v>116</v>
      </c>
      <c r="C174" s="143">
        <v>183.1</v>
      </c>
      <c r="E174" s="269">
        <f t="shared" si="11"/>
        <v>190.89733333333331</v>
      </c>
    </row>
    <row r="175" spans="1:6">
      <c r="A175" s="19">
        <v>25355</v>
      </c>
      <c r="B175" s="268">
        <v>115.8</v>
      </c>
      <c r="C175" s="143">
        <v>199.3</v>
      </c>
      <c r="E175" s="269">
        <f t="shared" si="11"/>
        <v>190.56819999999999</v>
      </c>
    </row>
    <row r="176" spans="1:6">
      <c r="A176" s="19">
        <v>25385</v>
      </c>
      <c r="B176" s="268">
        <v>114.6</v>
      </c>
      <c r="C176" s="143">
        <v>193.8</v>
      </c>
      <c r="E176" s="269">
        <f t="shared" si="11"/>
        <v>188.59339999999997</v>
      </c>
    </row>
    <row r="177" spans="1:6">
      <c r="A177" s="19">
        <v>25416</v>
      </c>
      <c r="B177" s="268">
        <v>115.8</v>
      </c>
      <c r="C177" s="143">
        <v>184.5</v>
      </c>
      <c r="E177" s="269">
        <f t="shared" si="11"/>
        <v>190.56819999999999</v>
      </c>
    </row>
    <row r="178" spans="1:6">
      <c r="A178" s="19">
        <v>25447</v>
      </c>
      <c r="B178" s="268">
        <v>115.3</v>
      </c>
      <c r="C178" s="143">
        <v>195.4</v>
      </c>
      <c r="E178" s="269">
        <f t="shared" si="11"/>
        <v>189.74536666666665</v>
      </c>
    </row>
    <row r="179" spans="1:6">
      <c r="A179" s="19">
        <v>25477</v>
      </c>
      <c r="B179" s="268">
        <v>114.1</v>
      </c>
      <c r="C179" s="143">
        <v>188.7</v>
      </c>
      <c r="E179" s="269">
        <f t="shared" si="11"/>
        <v>187.77056666666667</v>
      </c>
    </row>
    <row r="180" spans="1:6">
      <c r="A180" s="19">
        <v>25508</v>
      </c>
      <c r="B180" s="268">
        <v>115.5</v>
      </c>
      <c r="C180" s="143">
        <v>196.1</v>
      </c>
      <c r="E180" s="269">
        <f t="shared" si="11"/>
        <v>190.0745</v>
      </c>
    </row>
    <row r="181" spans="1:6">
      <c r="A181" s="19">
        <v>25538</v>
      </c>
      <c r="B181" s="268">
        <v>116.5</v>
      </c>
      <c r="C181" s="143">
        <v>196.8</v>
      </c>
      <c r="E181" s="269">
        <f t="shared" si="11"/>
        <v>191.72016666666667</v>
      </c>
      <c r="F181" s="270">
        <f t="shared" ref="F181" si="16">SUM(E170:E181)</f>
        <v>2271.3491333333332</v>
      </c>
    </row>
    <row r="182" spans="1:6">
      <c r="A182" s="19">
        <v>25569</v>
      </c>
      <c r="B182" s="268">
        <v>112.3</v>
      </c>
      <c r="C182" s="143">
        <v>166.6</v>
      </c>
      <c r="E182" s="269">
        <f t="shared" si="11"/>
        <v>184.80836666666667</v>
      </c>
    </row>
    <row r="183" spans="1:6">
      <c r="A183" s="19">
        <v>25600</v>
      </c>
      <c r="B183" s="268">
        <v>115</v>
      </c>
      <c r="C183" s="143">
        <v>193.4</v>
      </c>
      <c r="E183" s="269">
        <f t="shared" si="11"/>
        <v>189.25166666666664</v>
      </c>
    </row>
    <row r="184" spans="1:6">
      <c r="A184" s="19">
        <v>25628</v>
      </c>
      <c r="B184" s="268">
        <v>114.4</v>
      </c>
      <c r="C184" s="143">
        <v>184.9</v>
      </c>
      <c r="E184" s="269">
        <f t="shared" si="11"/>
        <v>188.26426666666669</v>
      </c>
    </row>
    <row r="185" spans="1:6">
      <c r="A185" s="19">
        <v>25659</v>
      </c>
      <c r="B185" s="268">
        <v>114.2</v>
      </c>
      <c r="C185" s="143">
        <v>195.2</v>
      </c>
      <c r="E185" s="269">
        <f t="shared" si="11"/>
        <v>187.93513333333334</v>
      </c>
    </row>
    <row r="186" spans="1:6">
      <c r="A186" s="19">
        <v>25689</v>
      </c>
      <c r="B186" s="268">
        <v>115</v>
      </c>
      <c r="C186" s="143">
        <v>180.9</v>
      </c>
      <c r="E186" s="269">
        <f t="shared" si="11"/>
        <v>189.25166666666664</v>
      </c>
    </row>
    <row r="187" spans="1:6">
      <c r="A187" s="19">
        <v>25720</v>
      </c>
      <c r="B187" s="268">
        <v>114.5</v>
      </c>
      <c r="C187" s="143">
        <v>197</v>
      </c>
      <c r="E187" s="269">
        <f t="shared" si="11"/>
        <v>188.42883333333333</v>
      </c>
    </row>
    <row r="188" spans="1:6">
      <c r="A188" s="19">
        <v>25750</v>
      </c>
      <c r="B188" s="268">
        <v>113.6</v>
      </c>
      <c r="C188" s="143">
        <v>191.9</v>
      </c>
      <c r="E188" s="269">
        <f t="shared" si="11"/>
        <v>186.9477333333333</v>
      </c>
    </row>
    <row r="189" spans="1:6">
      <c r="A189" s="19">
        <v>25781</v>
      </c>
      <c r="B189" s="268">
        <v>113.8</v>
      </c>
      <c r="C189" s="143">
        <v>180.9</v>
      </c>
      <c r="E189" s="269">
        <f t="shared" si="11"/>
        <v>187.27686666666665</v>
      </c>
    </row>
    <row r="190" spans="1:6">
      <c r="A190" s="19">
        <v>25812</v>
      </c>
      <c r="B190" s="268">
        <v>112.1</v>
      </c>
      <c r="C190" s="143">
        <v>189.6</v>
      </c>
      <c r="E190" s="269">
        <f t="shared" si="11"/>
        <v>184.47923333333333</v>
      </c>
    </row>
    <row r="191" spans="1:6">
      <c r="A191" s="19">
        <v>25842</v>
      </c>
      <c r="B191" s="268">
        <v>113.7</v>
      </c>
      <c r="C191" s="143">
        <v>187.8</v>
      </c>
      <c r="E191" s="269">
        <f t="shared" si="11"/>
        <v>187.1123</v>
      </c>
    </row>
    <row r="192" spans="1:6">
      <c r="A192" s="19">
        <v>25873</v>
      </c>
      <c r="B192" s="268">
        <v>113</v>
      </c>
      <c r="C192" s="143">
        <v>191.6</v>
      </c>
      <c r="E192" s="269">
        <f t="shared" si="11"/>
        <v>185.96033333333332</v>
      </c>
    </row>
    <row r="193" spans="1:6">
      <c r="A193" s="19">
        <v>25903</v>
      </c>
      <c r="B193" s="268">
        <v>112.3</v>
      </c>
      <c r="C193" s="143">
        <v>189</v>
      </c>
      <c r="E193" s="269">
        <f t="shared" si="11"/>
        <v>184.80836666666667</v>
      </c>
      <c r="F193" s="270">
        <f t="shared" ref="F193" si="17">SUM(E182:E193)</f>
        <v>2244.5247666666664</v>
      </c>
    </row>
    <row r="194" spans="1:6">
      <c r="A194" s="19">
        <v>25934</v>
      </c>
      <c r="B194" s="268">
        <v>113.3</v>
      </c>
      <c r="C194" s="143">
        <v>168.1</v>
      </c>
      <c r="E194" s="269">
        <f t="shared" si="11"/>
        <v>186.45403333333334</v>
      </c>
    </row>
    <row r="195" spans="1:6">
      <c r="A195" s="19">
        <v>25965</v>
      </c>
      <c r="B195" s="268">
        <v>112.6</v>
      </c>
      <c r="C195" s="143">
        <v>189.5</v>
      </c>
      <c r="E195" s="269">
        <f t="shared" ref="E195:E258" si="18">B195/100*$D$733</f>
        <v>185.30206666666663</v>
      </c>
    </row>
    <row r="196" spans="1:6">
      <c r="A196" s="19">
        <v>25993</v>
      </c>
      <c r="B196" s="268">
        <v>112.6</v>
      </c>
      <c r="C196" s="143">
        <v>182.4</v>
      </c>
      <c r="E196" s="269">
        <f t="shared" si="18"/>
        <v>185.30206666666663</v>
      </c>
    </row>
    <row r="197" spans="1:6">
      <c r="A197" s="19">
        <v>26024</v>
      </c>
      <c r="B197" s="268">
        <v>112.5</v>
      </c>
      <c r="C197" s="143">
        <v>192.1</v>
      </c>
      <c r="E197" s="269">
        <f t="shared" si="18"/>
        <v>185.13749999999999</v>
      </c>
    </row>
    <row r="198" spans="1:6">
      <c r="A198" s="19">
        <v>26054</v>
      </c>
      <c r="B198" s="268">
        <v>110.6</v>
      </c>
      <c r="C198" s="143">
        <v>173.4</v>
      </c>
      <c r="E198" s="269">
        <f t="shared" si="18"/>
        <v>182.01073333333332</v>
      </c>
    </row>
    <row r="199" spans="1:6">
      <c r="A199" s="19">
        <v>26085</v>
      </c>
      <c r="B199" s="268">
        <v>110.5</v>
      </c>
      <c r="C199" s="143">
        <v>190.4</v>
      </c>
      <c r="E199" s="269">
        <f t="shared" si="18"/>
        <v>181.84616666666665</v>
      </c>
    </row>
    <row r="200" spans="1:6">
      <c r="A200" s="19">
        <v>26115</v>
      </c>
      <c r="B200" s="268">
        <v>112.4</v>
      </c>
      <c r="C200" s="143">
        <v>190.5</v>
      </c>
      <c r="E200" s="269">
        <f t="shared" si="18"/>
        <v>184.97293333333334</v>
      </c>
    </row>
    <row r="201" spans="1:6">
      <c r="A201" s="19">
        <v>26146</v>
      </c>
      <c r="B201" s="268">
        <v>112.3</v>
      </c>
      <c r="C201" s="143">
        <v>177.7</v>
      </c>
      <c r="E201" s="269">
        <f t="shared" si="18"/>
        <v>184.80836666666667</v>
      </c>
    </row>
    <row r="202" spans="1:6">
      <c r="A202" s="19">
        <v>26177</v>
      </c>
      <c r="B202" s="268">
        <v>111</v>
      </c>
      <c r="C202" s="143">
        <v>187.6</v>
      </c>
      <c r="E202" s="269">
        <f t="shared" si="18"/>
        <v>182.66900000000001</v>
      </c>
    </row>
    <row r="203" spans="1:6">
      <c r="A203" s="19">
        <v>26207</v>
      </c>
      <c r="B203" s="268">
        <v>112.4</v>
      </c>
      <c r="C203" s="143">
        <v>185.5</v>
      </c>
      <c r="E203" s="269">
        <f t="shared" si="18"/>
        <v>184.97293333333334</v>
      </c>
    </row>
    <row r="204" spans="1:6">
      <c r="A204" s="19">
        <v>26238</v>
      </c>
      <c r="B204" s="268">
        <v>111.2</v>
      </c>
      <c r="C204" s="143">
        <v>188.8</v>
      </c>
      <c r="E204" s="269">
        <f t="shared" si="18"/>
        <v>182.99813333333336</v>
      </c>
    </row>
    <row r="205" spans="1:6">
      <c r="A205" s="19">
        <v>26268</v>
      </c>
      <c r="B205" s="268">
        <v>110.4</v>
      </c>
      <c r="C205" s="143">
        <v>185.7</v>
      </c>
      <c r="E205" s="269">
        <f t="shared" si="18"/>
        <v>181.6816</v>
      </c>
      <c r="F205" s="270">
        <f t="shared" ref="F205" si="19">SUM(E194:E205)</f>
        <v>2208.1555333333331</v>
      </c>
    </row>
    <row r="206" spans="1:6">
      <c r="A206" s="19">
        <v>26299</v>
      </c>
      <c r="B206" s="268">
        <v>111.9</v>
      </c>
      <c r="C206" s="143">
        <v>165.2</v>
      </c>
      <c r="E206" s="269">
        <f t="shared" si="18"/>
        <v>184.15010000000001</v>
      </c>
    </row>
    <row r="207" spans="1:6">
      <c r="A207" s="19">
        <v>26330</v>
      </c>
      <c r="B207" s="268">
        <v>110.2</v>
      </c>
      <c r="C207" s="143">
        <v>185.2</v>
      </c>
      <c r="E207" s="269">
        <f t="shared" si="18"/>
        <v>181.35246666666669</v>
      </c>
    </row>
    <row r="208" spans="1:6">
      <c r="A208" s="19">
        <v>26359</v>
      </c>
      <c r="B208" s="268">
        <v>112.6</v>
      </c>
      <c r="C208" s="143">
        <v>182.1</v>
      </c>
      <c r="E208" s="269">
        <f t="shared" si="18"/>
        <v>185.30206666666663</v>
      </c>
    </row>
    <row r="209" spans="1:6">
      <c r="A209" s="19">
        <v>26390</v>
      </c>
      <c r="B209" s="268">
        <v>112</v>
      </c>
      <c r="C209" s="143">
        <v>191.1</v>
      </c>
      <c r="E209" s="269">
        <f t="shared" si="18"/>
        <v>184.31466666666668</v>
      </c>
    </row>
    <row r="210" spans="1:6">
      <c r="A210" s="19">
        <v>26420</v>
      </c>
      <c r="B210" s="268">
        <v>110.8</v>
      </c>
      <c r="C210" s="143">
        <v>173.2</v>
      </c>
      <c r="E210" s="269">
        <f t="shared" si="18"/>
        <v>182.33986666666664</v>
      </c>
    </row>
    <row r="211" spans="1:6">
      <c r="A211" s="19">
        <v>26451</v>
      </c>
      <c r="B211" s="268">
        <v>110.6</v>
      </c>
      <c r="C211" s="143">
        <v>191.4</v>
      </c>
      <c r="E211" s="269">
        <f t="shared" si="18"/>
        <v>182.01073333333332</v>
      </c>
    </row>
    <row r="212" spans="1:6">
      <c r="A212" s="19">
        <v>26481</v>
      </c>
      <c r="B212" s="268">
        <v>111.2</v>
      </c>
      <c r="C212" s="143">
        <v>188.9</v>
      </c>
      <c r="E212" s="269">
        <f t="shared" si="18"/>
        <v>182.99813333333336</v>
      </c>
    </row>
    <row r="213" spans="1:6">
      <c r="A213" s="19">
        <v>26512</v>
      </c>
      <c r="B213" s="268">
        <v>110.6</v>
      </c>
      <c r="C213" s="143">
        <v>174.3</v>
      </c>
      <c r="E213" s="269">
        <f t="shared" si="18"/>
        <v>182.01073333333332</v>
      </c>
    </row>
    <row r="214" spans="1:6">
      <c r="A214" s="19">
        <v>26543</v>
      </c>
      <c r="B214" s="268">
        <v>111.9</v>
      </c>
      <c r="C214" s="143">
        <v>189.5</v>
      </c>
      <c r="E214" s="269">
        <f t="shared" si="18"/>
        <v>184.15010000000001</v>
      </c>
    </row>
    <row r="215" spans="1:6">
      <c r="A215" s="19">
        <v>26573</v>
      </c>
      <c r="B215" s="268">
        <v>110.3</v>
      </c>
      <c r="C215" s="143">
        <v>182.6</v>
      </c>
      <c r="E215" s="269">
        <f t="shared" si="18"/>
        <v>181.51703333333333</v>
      </c>
    </row>
    <row r="216" spans="1:6">
      <c r="A216" s="19">
        <v>26604</v>
      </c>
      <c r="B216" s="268">
        <v>110.5</v>
      </c>
      <c r="C216" s="143">
        <v>187.5</v>
      </c>
      <c r="E216" s="269">
        <f t="shared" si="18"/>
        <v>181.84616666666665</v>
      </c>
    </row>
    <row r="217" spans="1:6">
      <c r="A217" s="19">
        <v>26634</v>
      </c>
      <c r="B217" s="268">
        <v>111.8</v>
      </c>
      <c r="C217" s="143">
        <v>188.6</v>
      </c>
      <c r="E217" s="269">
        <f t="shared" si="18"/>
        <v>183.98553333333331</v>
      </c>
      <c r="F217" s="270">
        <f t="shared" ref="F217" si="20">SUM(E206:E217)</f>
        <v>2195.9775999999997</v>
      </c>
    </row>
    <row r="218" spans="1:6">
      <c r="A218" s="19">
        <v>26665</v>
      </c>
      <c r="B218" s="268">
        <v>111.9</v>
      </c>
      <c r="C218" s="143">
        <v>164.7</v>
      </c>
      <c r="E218" s="269">
        <f t="shared" si="18"/>
        <v>184.15010000000001</v>
      </c>
    </row>
    <row r="219" spans="1:6">
      <c r="A219" s="19">
        <v>26696</v>
      </c>
      <c r="B219" s="268">
        <v>112.1</v>
      </c>
      <c r="C219" s="143">
        <v>188.6</v>
      </c>
      <c r="E219" s="269">
        <f t="shared" si="18"/>
        <v>184.47923333333333</v>
      </c>
    </row>
    <row r="220" spans="1:6">
      <c r="A220" s="19">
        <v>26724</v>
      </c>
      <c r="B220" s="268">
        <v>111.2</v>
      </c>
      <c r="C220" s="143">
        <v>180</v>
      </c>
      <c r="E220" s="269">
        <f t="shared" si="18"/>
        <v>182.99813333333336</v>
      </c>
    </row>
    <row r="221" spans="1:6">
      <c r="A221" s="19">
        <v>26755</v>
      </c>
      <c r="B221" s="268">
        <v>111.1</v>
      </c>
      <c r="C221" s="143">
        <v>189.1</v>
      </c>
      <c r="E221" s="269">
        <f t="shared" si="18"/>
        <v>182.83356666666666</v>
      </c>
    </row>
    <row r="222" spans="1:6">
      <c r="A222" s="19">
        <v>26785</v>
      </c>
      <c r="B222" s="268">
        <v>110.7</v>
      </c>
      <c r="C222" s="143">
        <v>172.6</v>
      </c>
      <c r="E222" s="269">
        <f t="shared" si="18"/>
        <v>182.17529999999999</v>
      </c>
    </row>
    <row r="223" spans="1:6">
      <c r="A223" s="19">
        <v>26816</v>
      </c>
      <c r="B223" s="268">
        <v>111.5</v>
      </c>
      <c r="C223" s="143">
        <v>193.2</v>
      </c>
      <c r="E223" s="269">
        <f t="shared" si="18"/>
        <v>183.49183333333332</v>
      </c>
    </row>
    <row r="224" spans="1:6">
      <c r="A224" s="19">
        <v>26846</v>
      </c>
      <c r="B224" s="268">
        <v>109.9</v>
      </c>
      <c r="C224" s="143">
        <v>187.1</v>
      </c>
      <c r="E224" s="269">
        <f t="shared" si="18"/>
        <v>180.85876666666667</v>
      </c>
    </row>
    <row r="225" spans="1:6">
      <c r="A225" s="19">
        <v>26877</v>
      </c>
      <c r="B225" s="268">
        <v>109.2</v>
      </c>
      <c r="C225" s="143">
        <v>171.6</v>
      </c>
      <c r="E225" s="269">
        <f t="shared" si="18"/>
        <v>179.70680000000002</v>
      </c>
    </row>
    <row r="226" spans="1:6">
      <c r="A226" s="19">
        <v>26908</v>
      </c>
      <c r="B226" s="268">
        <v>109.7</v>
      </c>
      <c r="C226" s="143">
        <v>185.7</v>
      </c>
      <c r="E226" s="269">
        <f t="shared" si="18"/>
        <v>180.52963333333332</v>
      </c>
    </row>
    <row r="227" spans="1:6">
      <c r="A227" s="19">
        <v>26938</v>
      </c>
      <c r="B227" s="268">
        <v>109.6</v>
      </c>
      <c r="C227" s="143">
        <v>181.5</v>
      </c>
      <c r="E227" s="269">
        <f t="shared" si="18"/>
        <v>180.36506666666665</v>
      </c>
    </row>
    <row r="228" spans="1:6">
      <c r="A228" s="19">
        <v>26969</v>
      </c>
      <c r="B228" s="268">
        <v>109.5</v>
      </c>
      <c r="C228" s="143">
        <v>186.2</v>
      </c>
      <c r="E228" s="269">
        <f t="shared" si="18"/>
        <v>180.20050000000001</v>
      </c>
    </row>
    <row r="229" spans="1:6">
      <c r="A229" s="19">
        <v>26999</v>
      </c>
      <c r="B229" s="268">
        <v>109</v>
      </c>
      <c r="C229" s="143">
        <v>183.9</v>
      </c>
      <c r="E229" s="269">
        <f t="shared" si="18"/>
        <v>179.37766666666667</v>
      </c>
      <c r="F229" s="270">
        <f t="shared" ref="F229" si="21">SUM(E218:E229)</f>
        <v>2181.1666</v>
      </c>
    </row>
    <row r="230" spans="1:6">
      <c r="A230" s="19">
        <v>27030</v>
      </c>
      <c r="B230" s="268">
        <v>105</v>
      </c>
      <c r="C230" s="143">
        <v>154</v>
      </c>
      <c r="E230" s="269">
        <f t="shared" si="18"/>
        <v>172.79500000000002</v>
      </c>
    </row>
    <row r="231" spans="1:6">
      <c r="A231" s="19">
        <v>27061</v>
      </c>
      <c r="B231" s="268">
        <v>108.2</v>
      </c>
      <c r="C231" s="143">
        <v>181.7</v>
      </c>
      <c r="E231" s="269">
        <f t="shared" si="18"/>
        <v>178.06113333333334</v>
      </c>
    </row>
    <row r="232" spans="1:6">
      <c r="A232" s="19">
        <v>27089</v>
      </c>
      <c r="B232" s="268">
        <v>106.7</v>
      </c>
      <c r="C232" s="143">
        <v>172.3</v>
      </c>
      <c r="E232" s="269">
        <f t="shared" si="18"/>
        <v>175.59263333333331</v>
      </c>
    </row>
    <row r="233" spans="1:6">
      <c r="A233" s="19">
        <v>27120</v>
      </c>
      <c r="B233" s="268">
        <v>105.6</v>
      </c>
      <c r="C233" s="143">
        <v>179.8</v>
      </c>
      <c r="E233" s="269">
        <f t="shared" si="18"/>
        <v>173.7824</v>
      </c>
    </row>
    <row r="234" spans="1:6">
      <c r="A234" s="19">
        <v>27150</v>
      </c>
      <c r="B234" s="268">
        <v>106.1</v>
      </c>
      <c r="C234" s="143">
        <v>165.2</v>
      </c>
      <c r="E234" s="269">
        <f t="shared" si="18"/>
        <v>174.60523333333333</v>
      </c>
    </row>
    <row r="235" spans="1:6">
      <c r="A235" s="19">
        <v>27181</v>
      </c>
      <c r="B235" s="268">
        <v>106.1</v>
      </c>
      <c r="C235" s="143">
        <v>183.5</v>
      </c>
      <c r="E235" s="269">
        <f t="shared" si="18"/>
        <v>174.60523333333333</v>
      </c>
    </row>
    <row r="236" spans="1:6">
      <c r="A236" s="19">
        <v>27211</v>
      </c>
      <c r="B236" s="268">
        <v>105.2</v>
      </c>
      <c r="C236" s="143">
        <v>179.3</v>
      </c>
      <c r="E236" s="269">
        <f t="shared" si="18"/>
        <v>173.12413333333333</v>
      </c>
    </row>
    <row r="237" spans="1:6">
      <c r="A237" s="19">
        <v>27242</v>
      </c>
      <c r="B237" s="268">
        <v>103.8</v>
      </c>
      <c r="C237" s="143">
        <v>162.6</v>
      </c>
      <c r="E237" s="269">
        <f t="shared" si="18"/>
        <v>170.8202</v>
      </c>
    </row>
    <row r="238" spans="1:6">
      <c r="A238" s="19">
        <v>27273</v>
      </c>
      <c r="B238" s="268">
        <v>104.5</v>
      </c>
      <c r="C238" s="143">
        <v>176.8</v>
      </c>
      <c r="E238" s="269">
        <f t="shared" si="18"/>
        <v>171.97216666666665</v>
      </c>
    </row>
    <row r="239" spans="1:6">
      <c r="A239" s="19">
        <v>27303</v>
      </c>
      <c r="B239" s="268">
        <v>102.8</v>
      </c>
      <c r="C239" s="143">
        <v>170.1</v>
      </c>
      <c r="E239" s="269">
        <f t="shared" si="18"/>
        <v>169.17453333333333</v>
      </c>
    </row>
    <row r="240" spans="1:6">
      <c r="A240" s="19">
        <v>27334</v>
      </c>
      <c r="B240" s="268">
        <v>105.1</v>
      </c>
      <c r="C240" s="143">
        <v>178.9</v>
      </c>
      <c r="E240" s="269">
        <f t="shared" si="18"/>
        <v>172.95956666666666</v>
      </c>
    </row>
    <row r="241" spans="1:6">
      <c r="A241" s="19">
        <v>27364</v>
      </c>
      <c r="B241" s="268">
        <v>103.1</v>
      </c>
      <c r="C241" s="143">
        <v>173.9</v>
      </c>
      <c r="E241" s="269">
        <f t="shared" si="18"/>
        <v>169.66823333333332</v>
      </c>
      <c r="F241" s="270">
        <f t="shared" ref="F241" si="22">SUM(E230:E241)</f>
        <v>2077.1604666666667</v>
      </c>
    </row>
    <row r="242" spans="1:6">
      <c r="A242" s="19">
        <v>27395</v>
      </c>
      <c r="B242" s="268">
        <v>100.1</v>
      </c>
      <c r="C242" s="143">
        <v>146.1</v>
      </c>
      <c r="E242" s="269">
        <f t="shared" si="18"/>
        <v>164.73123333333331</v>
      </c>
    </row>
    <row r="243" spans="1:6">
      <c r="A243" s="19">
        <v>27426</v>
      </c>
      <c r="B243" s="268">
        <v>101.2</v>
      </c>
      <c r="C243" s="143">
        <v>169.8</v>
      </c>
      <c r="E243" s="269">
        <f t="shared" si="18"/>
        <v>166.54146666666665</v>
      </c>
    </row>
    <row r="244" spans="1:6">
      <c r="A244" s="19">
        <v>27454</v>
      </c>
      <c r="B244" s="268">
        <v>99.6</v>
      </c>
      <c r="C244" s="143">
        <v>161.19999999999999</v>
      </c>
      <c r="E244" s="269">
        <f t="shared" si="18"/>
        <v>163.9084</v>
      </c>
    </row>
    <row r="245" spans="1:6">
      <c r="A245" s="19">
        <v>27485</v>
      </c>
      <c r="B245" s="268">
        <v>99.9</v>
      </c>
      <c r="C245" s="143">
        <v>169.9</v>
      </c>
      <c r="E245" s="269">
        <f t="shared" si="18"/>
        <v>164.40210000000002</v>
      </c>
    </row>
    <row r="246" spans="1:6">
      <c r="A246" s="19">
        <v>27515</v>
      </c>
      <c r="B246" s="268">
        <v>101.7</v>
      </c>
      <c r="C246" s="143">
        <v>159</v>
      </c>
      <c r="E246" s="269">
        <f t="shared" si="18"/>
        <v>167.36430000000001</v>
      </c>
    </row>
    <row r="247" spans="1:6">
      <c r="A247" s="19">
        <v>27546</v>
      </c>
      <c r="B247" s="268">
        <v>102.2</v>
      </c>
      <c r="C247" s="143">
        <v>176.8</v>
      </c>
      <c r="E247" s="269">
        <f t="shared" si="18"/>
        <v>168.18713333333332</v>
      </c>
    </row>
    <row r="248" spans="1:6">
      <c r="A248" s="19">
        <v>27576</v>
      </c>
      <c r="B248" s="268">
        <v>102.2</v>
      </c>
      <c r="C248" s="143">
        <v>174.1</v>
      </c>
      <c r="E248" s="269">
        <f t="shared" si="18"/>
        <v>168.18713333333332</v>
      </c>
    </row>
    <row r="249" spans="1:6">
      <c r="A249" s="19">
        <v>27607</v>
      </c>
      <c r="B249" s="268">
        <v>102.9</v>
      </c>
      <c r="C249" s="143">
        <v>161.4</v>
      </c>
      <c r="E249" s="269">
        <f t="shared" si="18"/>
        <v>169.33910000000003</v>
      </c>
    </row>
    <row r="250" spans="1:6">
      <c r="A250" s="19">
        <v>27638</v>
      </c>
      <c r="B250" s="268">
        <v>103.3</v>
      </c>
      <c r="C250" s="143">
        <v>174.3</v>
      </c>
      <c r="E250" s="269">
        <f t="shared" si="18"/>
        <v>169.99736666666664</v>
      </c>
    </row>
    <row r="251" spans="1:6">
      <c r="A251" s="19">
        <v>27668</v>
      </c>
      <c r="B251" s="268">
        <v>103.6</v>
      </c>
      <c r="C251" s="143">
        <v>171.3</v>
      </c>
      <c r="E251" s="269">
        <f t="shared" si="18"/>
        <v>170.49106666666665</v>
      </c>
    </row>
    <row r="252" spans="1:6">
      <c r="A252" s="19">
        <v>27699</v>
      </c>
      <c r="B252" s="268">
        <v>104.2</v>
      </c>
      <c r="C252" s="143">
        <v>177.1</v>
      </c>
      <c r="E252" s="269">
        <f t="shared" si="18"/>
        <v>171.47846666666666</v>
      </c>
    </row>
    <row r="253" spans="1:6">
      <c r="A253" s="19">
        <v>27729</v>
      </c>
      <c r="B253" s="268">
        <v>103.5</v>
      </c>
      <c r="C253" s="143">
        <v>174.4</v>
      </c>
      <c r="E253" s="269">
        <f t="shared" si="18"/>
        <v>170.32649999999998</v>
      </c>
      <c r="F253" s="270">
        <f t="shared" ref="F253" si="23">SUM(E242:E253)</f>
        <v>2014.9542666666666</v>
      </c>
    </row>
    <row r="254" spans="1:6">
      <c r="A254" s="19">
        <v>27760</v>
      </c>
      <c r="B254" s="268">
        <v>103.3</v>
      </c>
      <c r="C254" s="143">
        <v>150.69999999999999</v>
      </c>
      <c r="E254" s="269">
        <f t="shared" si="18"/>
        <v>169.99736666666664</v>
      </c>
    </row>
    <row r="255" spans="1:6">
      <c r="A255" s="19">
        <v>27791</v>
      </c>
      <c r="B255" s="268">
        <v>105.3</v>
      </c>
      <c r="C255" s="143">
        <v>175.9</v>
      </c>
      <c r="E255" s="269">
        <f t="shared" si="18"/>
        <v>173.28869999999998</v>
      </c>
    </row>
    <row r="256" spans="1:6">
      <c r="A256" s="19">
        <v>27820</v>
      </c>
      <c r="B256" s="268">
        <v>107.3</v>
      </c>
      <c r="C256" s="143">
        <v>173.4</v>
      </c>
      <c r="E256" s="269">
        <f t="shared" si="18"/>
        <v>176.58003333333332</v>
      </c>
    </row>
    <row r="257" spans="1:6">
      <c r="A257" s="19">
        <v>27851</v>
      </c>
      <c r="B257" s="268">
        <v>106.2</v>
      </c>
      <c r="C257" s="143">
        <v>181.1</v>
      </c>
      <c r="E257" s="269">
        <f t="shared" si="18"/>
        <v>174.7698</v>
      </c>
    </row>
    <row r="258" spans="1:6">
      <c r="A258" s="19">
        <v>27881</v>
      </c>
      <c r="B258" s="268">
        <v>105.5</v>
      </c>
      <c r="C258" s="143">
        <v>165</v>
      </c>
      <c r="E258" s="269">
        <f t="shared" si="18"/>
        <v>173.61783333333332</v>
      </c>
    </row>
    <row r="259" spans="1:6">
      <c r="A259" s="19">
        <v>27912</v>
      </c>
      <c r="B259" s="268">
        <v>104.6</v>
      </c>
      <c r="C259" s="143">
        <v>181.4</v>
      </c>
      <c r="E259" s="269">
        <f t="shared" ref="E259:E322" si="24">B259/100*$D$733</f>
        <v>172.13673333333332</v>
      </c>
    </row>
    <row r="260" spans="1:6">
      <c r="A260" s="19">
        <v>27942</v>
      </c>
      <c r="B260" s="268">
        <v>106.5</v>
      </c>
      <c r="C260" s="143">
        <v>181.8</v>
      </c>
      <c r="E260" s="269">
        <f t="shared" si="24"/>
        <v>175.26349999999999</v>
      </c>
    </row>
    <row r="261" spans="1:6">
      <c r="A261" s="19">
        <v>27973</v>
      </c>
      <c r="B261" s="268">
        <v>106.4</v>
      </c>
      <c r="C261" s="143">
        <v>167</v>
      </c>
      <c r="E261" s="269">
        <f t="shared" si="24"/>
        <v>175.09893333333335</v>
      </c>
    </row>
    <row r="262" spans="1:6">
      <c r="A262" s="19">
        <v>28004</v>
      </c>
      <c r="B262" s="268">
        <v>104.9</v>
      </c>
      <c r="C262" s="143">
        <v>177</v>
      </c>
      <c r="E262" s="269">
        <f t="shared" si="24"/>
        <v>172.63043333333334</v>
      </c>
    </row>
    <row r="263" spans="1:6">
      <c r="A263" s="19">
        <v>28034</v>
      </c>
      <c r="B263" s="268">
        <v>106.2</v>
      </c>
      <c r="C263" s="143">
        <v>175.6</v>
      </c>
      <c r="E263" s="269">
        <f t="shared" si="24"/>
        <v>174.7698</v>
      </c>
    </row>
    <row r="264" spans="1:6">
      <c r="A264" s="19">
        <v>28065</v>
      </c>
      <c r="B264" s="268">
        <v>106.3</v>
      </c>
      <c r="C264" s="143">
        <v>180.9</v>
      </c>
      <c r="E264" s="269">
        <f t="shared" si="24"/>
        <v>174.93436666666665</v>
      </c>
    </row>
    <row r="265" spans="1:6">
      <c r="A265" s="19">
        <v>28095</v>
      </c>
      <c r="B265" s="268">
        <v>105.2</v>
      </c>
      <c r="C265" s="143">
        <v>177.4</v>
      </c>
      <c r="E265" s="269">
        <f t="shared" si="24"/>
        <v>173.12413333333333</v>
      </c>
      <c r="F265" s="270">
        <f t="shared" ref="F265" si="25">SUM(E254:E265)</f>
        <v>2086.2116333333333</v>
      </c>
    </row>
    <row r="266" spans="1:6">
      <c r="A266" s="19">
        <v>28126</v>
      </c>
      <c r="B266" s="268">
        <v>107.8</v>
      </c>
      <c r="C266" s="143">
        <v>158</v>
      </c>
      <c r="E266" s="269">
        <f t="shared" si="24"/>
        <v>177.40286666666668</v>
      </c>
    </row>
    <row r="267" spans="1:6">
      <c r="A267" s="19">
        <v>28157</v>
      </c>
      <c r="B267" s="268">
        <v>104.7</v>
      </c>
      <c r="C267" s="143">
        <v>174.7</v>
      </c>
      <c r="E267" s="269">
        <f t="shared" si="24"/>
        <v>172.3013</v>
      </c>
    </row>
    <row r="268" spans="1:6">
      <c r="A268" s="19">
        <v>28185</v>
      </c>
      <c r="B268" s="268">
        <v>106.2</v>
      </c>
      <c r="C268" s="143">
        <v>172.2</v>
      </c>
      <c r="E268" s="269">
        <f t="shared" si="24"/>
        <v>174.7698</v>
      </c>
    </row>
    <row r="269" spans="1:6">
      <c r="A269" s="19">
        <v>28216</v>
      </c>
      <c r="B269" s="268">
        <v>106.9</v>
      </c>
      <c r="C269" s="143">
        <v>182.5</v>
      </c>
      <c r="E269" s="269">
        <f t="shared" si="24"/>
        <v>175.92176666666666</v>
      </c>
    </row>
    <row r="270" spans="1:6">
      <c r="A270" s="19">
        <v>28246</v>
      </c>
      <c r="B270" s="268">
        <v>105.9</v>
      </c>
      <c r="C270" s="143">
        <v>165.8</v>
      </c>
      <c r="E270" s="269">
        <f t="shared" si="24"/>
        <v>174.27610000000001</v>
      </c>
    </row>
    <row r="271" spans="1:6">
      <c r="A271" s="19">
        <v>28277</v>
      </c>
      <c r="B271" s="268">
        <v>105.3</v>
      </c>
      <c r="C271" s="143">
        <v>182.1</v>
      </c>
      <c r="E271" s="269">
        <f t="shared" si="24"/>
        <v>173.28869999999998</v>
      </c>
    </row>
    <row r="272" spans="1:6">
      <c r="A272" s="19">
        <v>28307</v>
      </c>
      <c r="B272" s="268">
        <v>105.8</v>
      </c>
      <c r="C272" s="143">
        <v>180.4</v>
      </c>
      <c r="E272" s="269">
        <f t="shared" si="24"/>
        <v>174.11153333333334</v>
      </c>
    </row>
    <row r="273" spans="1:6">
      <c r="A273" s="19">
        <v>28338</v>
      </c>
      <c r="B273" s="268">
        <v>106.4</v>
      </c>
      <c r="C273" s="143">
        <v>166.6</v>
      </c>
      <c r="E273" s="269">
        <f t="shared" si="24"/>
        <v>175.09893333333335</v>
      </c>
    </row>
    <row r="274" spans="1:6">
      <c r="A274" s="19">
        <v>28369</v>
      </c>
      <c r="B274" s="268">
        <v>105.5</v>
      </c>
      <c r="C274" s="143">
        <v>177.7</v>
      </c>
      <c r="E274" s="269">
        <f t="shared" si="24"/>
        <v>173.61783333333332</v>
      </c>
    </row>
    <row r="275" spans="1:6">
      <c r="A275" s="19">
        <v>28399</v>
      </c>
      <c r="B275" s="268">
        <v>105.9</v>
      </c>
      <c r="C275" s="143">
        <v>175</v>
      </c>
      <c r="E275" s="269">
        <f t="shared" si="24"/>
        <v>174.27610000000001</v>
      </c>
    </row>
    <row r="276" spans="1:6">
      <c r="A276" s="19">
        <v>28430</v>
      </c>
      <c r="B276" s="268">
        <v>105.4</v>
      </c>
      <c r="C276" s="143">
        <v>179.2</v>
      </c>
      <c r="E276" s="269">
        <f t="shared" si="24"/>
        <v>173.45326666666668</v>
      </c>
    </row>
    <row r="277" spans="1:6">
      <c r="A277" s="19">
        <v>28460</v>
      </c>
      <c r="B277" s="268">
        <v>106.7</v>
      </c>
      <c r="C277" s="143">
        <v>180</v>
      </c>
      <c r="E277" s="269">
        <f t="shared" si="24"/>
        <v>175.59263333333331</v>
      </c>
      <c r="F277" s="270">
        <f t="shared" ref="F277" si="26">SUM(E266:E277)</f>
        <v>2094.1108333333332</v>
      </c>
    </row>
    <row r="278" spans="1:6">
      <c r="A278" s="19">
        <v>28491</v>
      </c>
      <c r="B278" s="268">
        <v>107.5</v>
      </c>
      <c r="C278" s="143">
        <v>157.6</v>
      </c>
      <c r="E278" s="269">
        <f t="shared" si="24"/>
        <v>176.90916666666666</v>
      </c>
    </row>
    <row r="279" spans="1:6">
      <c r="A279" s="19">
        <v>28522</v>
      </c>
      <c r="B279" s="268">
        <v>105.6</v>
      </c>
      <c r="C279" s="143">
        <v>176</v>
      </c>
      <c r="E279" s="269">
        <f t="shared" si="24"/>
        <v>173.7824</v>
      </c>
    </row>
    <row r="280" spans="1:6">
      <c r="A280" s="19">
        <v>28550</v>
      </c>
      <c r="B280" s="268">
        <v>106.7</v>
      </c>
      <c r="C280" s="143">
        <v>173.4</v>
      </c>
      <c r="E280" s="269">
        <f t="shared" si="24"/>
        <v>175.59263333333331</v>
      </c>
    </row>
    <row r="281" spans="1:6">
      <c r="A281" s="19">
        <v>28581</v>
      </c>
      <c r="B281" s="268">
        <v>106.4</v>
      </c>
      <c r="C281" s="143">
        <v>182.3</v>
      </c>
      <c r="E281" s="269">
        <f t="shared" si="24"/>
        <v>175.09893333333335</v>
      </c>
    </row>
    <row r="282" spans="1:6">
      <c r="A282" s="19">
        <v>28611</v>
      </c>
      <c r="B282" s="268">
        <v>106.4</v>
      </c>
      <c r="C282" s="143">
        <v>166.8</v>
      </c>
      <c r="E282" s="269">
        <f t="shared" si="24"/>
        <v>175.09893333333335</v>
      </c>
    </row>
    <row r="283" spans="1:6">
      <c r="A283" s="19">
        <v>28642</v>
      </c>
      <c r="B283" s="268">
        <v>106.6</v>
      </c>
      <c r="C283" s="143">
        <v>184.1</v>
      </c>
      <c r="E283" s="269">
        <f t="shared" si="24"/>
        <v>175.42806666666664</v>
      </c>
    </row>
    <row r="284" spans="1:6">
      <c r="A284" s="19">
        <v>28672</v>
      </c>
      <c r="B284" s="268">
        <v>106.3</v>
      </c>
      <c r="C284" s="143">
        <v>181.4</v>
      </c>
      <c r="E284" s="269">
        <f t="shared" si="24"/>
        <v>174.93436666666665</v>
      </c>
    </row>
    <row r="285" spans="1:6">
      <c r="A285" s="19">
        <v>28703</v>
      </c>
      <c r="B285" s="268">
        <v>106.4</v>
      </c>
      <c r="C285" s="143">
        <v>166.1</v>
      </c>
      <c r="E285" s="269">
        <f t="shared" si="24"/>
        <v>175.09893333333335</v>
      </c>
    </row>
    <row r="286" spans="1:6">
      <c r="A286" s="19">
        <v>28734</v>
      </c>
      <c r="B286" s="268">
        <v>107.7</v>
      </c>
      <c r="C286" s="143">
        <v>180.9</v>
      </c>
      <c r="E286" s="269">
        <f t="shared" si="24"/>
        <v>177.23829999999998</v>
      </c>
    </row>
    <row r="287" spans="1:6">
      <c r="A287" s="19">
        <v>28764</v>
      </c>
      <c r="B287" s="268">
        <v>107.1</v>
      </c>
      <c r="C287" s="143">
        <v>176.9</v>
      </c>
      <c r="E287" s="269">
        <f t="shared" si="24"/>
        <v>176.2509</v>
      </c>
    </row>
    <row r="288" spans="1:6">
      <c r="A288" s="19">
        <v>28795</v>
      </c>
      <c r="B288" s="268">
        <v>106.7</v>
      </c>
      <c r="C288" s="143">
        <v>181.1</v>
      </c>
      <c r="E288" s="269">
        <f t="shared" si="24"/>
        <v>175.59263333333331</v>
      </c>
    </row>
    <row r="289" spans="1:6">
      <c r="A289" s="19">
        <v>28825</v>
      </c>
      <c r="B289" s="268">
        <v>107.9</v>
      </c>
      <c r="C289" s="143">
        <v>181.3</v>
      </c>
      <c r="E289" s="269">
        <f t="shared" si="24"/>
        <v>177.56743333333333</v>
      </c>
      <c r="F289" s="270">
        <f t="shared" ref="F289" si="27">SUM(E278:E289)</f>
        <v>2108.5926999999997</v>
      </c>
    </row>
    <row r="290" spans="1:6">
      <c r="A290" s="19">
        <v>28856</v>
      </c>
      <c r="B290" s="268">
        <v>107.3</v>
      </c>
      <c r="C290" s="143">
        <v>158</v>
      </c>
      <c r="E290" s="269">
        <f t="shared" si="24"/>
        <v>176.58003333333332</v>
      </c>
    </row>
    <row r="291" spans="1:6">
      <c r="A291" s="19">
        <v>28887</v>
      </c>
      <c r="B291" s="268">
        <v>107.6</v>
      </c>
      <c r="C291" s="143">
        <v>179</v>
      </c>
      <c r="E291" s="269">
        <f t="shared" si="24"/>
        <v>177.07373333333331</v>
      </c>
    </row>
    <row r="292" spans="1:6">
      <c r="A292" s="19">
        <v>28915</v>
      </c>
      <c r="B292" s="268">
        <v>107.3</v>
      </c>
      <c r="C292" s="143">
        <v>174.6</v>
      </c>
      <c r="E292" s="269">
        <f t="shared" si="24"/>
        <v>176.58003333333332</v>
      </c>
    </row>
    <row r="293" spans="1:6">
      <c r="A293" s="19">
        <v>28946</v>
      </c>
      <c r="B293" s="268">
        <v>107.3</v>
      </c>
      <c r="C293" s="143">
        <v>184.2</v>
      </c>
      <c r="E293" s="269">
        <f t="shared" si="24"/>
        <v>176.58003333333332</v>
      </c>
    </row>
    <row r="294" spans="1:6">
      <c r="A294" s="19">
        <v>28976</v>
      </c>
      <c r="B294" s="268">
        <v>107.4</v>
      </c>
      <c r="C294" s="143">
        <v>168.7</v>
      </c>
      <c r="E294" s="269">
        <f t="shared" si="24"/>
        <v>176.74460000000002</v>
      </c>
    </row>
    <row r="295" spans="1:6">
      <c r="A295" s="19">
        <v>29007</v>
      </c>
      <c r="B295" s="268">
        <v>108.6</v>
      </c>
      <c r="C295" s="143">
        <v>187.9</v>
      </c>
      <c r="E295" s="269">
        <f t="shared" si="24"/>
        <v>178.71939999999998</v>
      </c>
    </row>
    <row r="296" spans="1:6">
      <c r="A296" s="19">
        <v>29037</v>
      </c>
      <c r="B296" s="268">
        <v>108</v>
      </c>
      <c r="C296" s="143">
        <v>184</v>
      </c>
      <c r="E296" s="269">
        <f t="shared" si="24"/>
        <v>177.732</v>
      </c>
    </row>
    <row r="297" spans="1:6">
      <c r="A297" s="19">
        <v>29068</v>
      </c>
      <c r="B297" s="268">
        <v>107.5</v>
      </c>
      <c r="C297" s="143">
        <v>167.8</v>
      </c>
      <c r="E297" s="269">
        <f t="shared" si="24"/>
        <v>176.90916666666666</v>
      </c>
    </row>
    <row r="298" spans="1:6">
      <c r="A298" s="19">
        <v>29099</v>
      </c>
      <c r="B298" s="268">
        <v>108.6</v>
      </c>
      <c r="C298" s="143">
        <v>182.4</v>
      </c>
      <c r="E298" s="269">
        <f t="shared" si="24"/>
        <v>178.71939999999998</v>
      </c>
    </row>
    <row r="299" spans="1:6">
      <c r="A299" s="19">
        <v>29129</v>
      </c>
      <c r="B299" s="268">
        <v>108.2</v>
      </c>
      <c r="C299" s="143">
        <v>178.8</v>
      </c>
      <c r="E299" s="269">
        <f t="shared" si="24"/>
        <v>178.06113333333334</v>
      </c>
    </row>
    <row r="300" spans="1:6">
      <c r="A300" s="19">
        <v>29160</v>
      </c>
      <c r="B300" s="268">
        <v>109.5</v>
      </c>
      <c r="C300" s="143">
        <v>185.8</v>
      </c>
      <c r="E300" s="269">
        <f t="shared" si="24"/>
        <v>180.20050000000001</v>
      </c>
    </row>
    <row r="301" spans="1:6">
      <c r="A301" s="19">
        <v>29190</v>
      </c>
      <c r="B301" s="268">
        <v>108.5</v>
      </c>
      <c r="C301" s="143">
        <v>182.4</v>
      </c>
      <c r="E301" s="269">
        <f t="shared" si="24"/>
        <v>178.55483333333333</v>
      </c>
      <c r="F301" s="270">
        <f t="shared" ref="F301" si="28">SUM(E290:E301)</f>
        <v>2132.4548666666665</v>
      </c>
    </row>
    <row r="302" spans="1:6">
      <c r="A302" s="19">
        <v>29221</v>
      </c>
      <c r="B302" s="268">
        <v>105.9</v>
      </c>
      <c r="C302" s="143">
        <v>156.30000000000001</v>
      </c>
      <c r="E302" s="269">
        <f t="shared" si="24"/>
        <v>174.27610000000001</v>
      </c>
    </row>
    <row r="303" spans="1:6">
      <c r="A303" s="19">
        <v>29252</v>
      </c>
      <c r="B303" s="268">
        <v>110.5</v>
      </c>
      <c r="C303" s="143">
        <v>183.9</v>
      </c>
      <c r="E303" s="269">
        <f t="shared" si="24"/>
        <v>181.84616666666665</v>
      </c>
    </row>
    <row r="304" spans="1:6">
      <c r="A304" s="19">
        <v>29281</v>
      </c>
      <c r="B304" s="268">
        <v>108.9</v>
      </c>
      <c r="C304" s="143">
        <v>177.7</v>
      </c>
      <c r="E304" s="269">
        <f t="shared" si="24"/>
        <v>179.2131</v>
      </c>
    </row>
    <row r="305" spans="1:6">
      <c r="A305" s="19">
        <v>29312</v>
      </c>
      <c r="B305" s="268">
        <v>108.3</v>
      </c>
      <c r="C305" s="143">
        <v>185.8</v>
      </c>
      <c r="E305" s="269">
        <f t="shared" si="24"/>
        <v>178.22569999999999</v>
      </c>
    </row>
    <row r="306" spans="1:6">
      <c r="A306" s="19">
        <v>29342</v>
      </c>
      <c r="B306" s="268">
        <v>110.2</v>
      </c>
      <c r="C306" s="143">
        <v>173</v>
      </c>
      <c r="E306" s="269">
        <f t="shared" si="24"/>
        <v>181.35246666666669</v>
      </c>
    </row>
    <row r="307" spans="1:6">
      <c r="A307" s="19">
        <v>29373</v>
      </c>
      <c r="B307" s="268">
        <v>108.5</v>
      </c>
      <c r="C307" s="143">
        <v>187.4</v>
      </c>
      <c r="E307" s="269">
        <f t="shared" si="24"/>
        <v>178.55483333333333</v>
      </c>
    </row>
    <row r="308" spans="1:6">
      <c r="A308" s="19">
        <v>29403</v>
      </c>
      <c r="B308" s="268">
        <v>107.6</v>
      </c>
      <c r="C308" s="143">
        <v>183.2</v>
      </c>
      <c r="E308" s="269">
        <f t="shared" si="24"/>
        <v>177.07373333333331</v>
      </c>
    </row>
    <row r="309" spans="1:6">
      <c r="A309" s="19">
        <v>29434</v>
      </c>
      <c r="B309" s="268">
        <v>108.3</v>
      </c>
      <c r="C309" s="143">
        <v>168.5</v>
      </c>
      <c r="E309" s="269">
        <f t="shared" si="24"/>
        <v>178.22569999999999</v>
      </c>
    </row>
    <row r="310" spans="1:6">
      <c r="A310" s="19">
        <v>29465</v>
      </c>
      <c r="B310" s="268">
        <v>108.1</v>
      </c>
      <c r="C310" s="143">
        <v>181</v>
      </c>
      <c r="E310" s="269">
        <f t="shared" si="24"/>
        <v>177.89656666666664</v>
      </c>
    </row>
    <row r="311" spans="1:6">
      <c r="A311" s="19">
        <v>29495</v>
      </c>
      <c r="B311" s="268">
        <v>107.5</v>
      </c>
      <c r="C311" s="143">
        <v>177.6</v>
      </c>
      <c r="E311" s="269">
        <f t="shared" si="24"/>
        <v>176.90916666666666</v>
      </c>
    </row>
    <row r="312" spans="1:6">
      <c r="A312" s="19">
        <v>29526</v>
      </c>
      <c r="B312" s="268">
        <v>107.6</v>
      </c>
      <c r="C312" s="143">
        <v>182.9</v>
      </c>
      <c r="E312" s="269">
        <f t="shared" si="24"/>
        <v>177.07373333333331</v>
      </c>
    </row>
    <row r="313" spans="1:6">
      <c r="A313" s="19">
        <v>29556</v>
      </c>
      <c r="B313" s="268">
        <v>107.8</v>
      </c>
      <c r="C313" s="143">
        <v>180.8</v>
      </c>
      <c r="E313" s="269">
        <f t="shared" si="24"/>
        <v>177.40286666666668</v>
      </c>
      <c r="F313" s="270">
        <f t="shared" ref="F313" si="29">SUM(E302:E313)</f>
        <v>2138.0501333333332</v>
      </c>
    </row>
    <row r="314" spans="1:6">
      <c r="A314" s="19">
        <v>29587</v>
      </c>
      <c r="B314" s="268">
        <v>107.2</v>
      </c>
      <c r="C314" s="143">
        <v>158.30000000000001</v>
      </c>
      <c r="E314" s="269">
        <f t="shared" si="24"/>
        <v>176.41546666666667</v>
      </c>
    </row>
    <row r="315" spans="1:6">
      <c r="A315" s="19">
        <v>29618</v>
      </c>
      <c r="B315" s="268">
        <v>108.4</v>
      </c>
      <c r="C315" s="143">
        <v>180.5</v>
      </c>
      <c r="E315" s="269">
        <f t="shared" si="24"/>
        <v>178.39026666666666</v>
      </c>
    </row>
    <row r="316" spans="1:6">
      <c r="A316" s="19">
        <v>29646</v>
      </c>
      <c r="B316" s="268">
        <v>107</v>
      </c>
      <c r="C316" s="143">
        <v>174.6</v>
      </c>
      <c r="E316" s="269">
        <f t="shared" si="24"/>
        <v>176.08633333333333</v>
      </c>
    </row>
    <row r="317" spans="1:6">
      <c r="A317" s="19">
        <v>29677</v>
      </c>
      <c r="B317" s="268">
        <v>107.9</v>
      </c>
      <c r="C317" s="143">
        <v>185.2</v>
      </c>
      <c r="E317" s="269">
        <f t="shared" si="24"/>
        <v>177.56743333333333</v>
      </c>
    </row>
    <row r="318" spans="1:6">
      <c r="A318" s="19">
        <v>29707</v>
      </c>
      <c r="B318" s="268">
        <v>108.2</v>
      </c>
      <c r="C318" s="143">
        <v>169.7</v>
      </c>
      <c r="E318" s="269">
        <f t="shared" si="24"/>
        <v>178.06113333333334</v>
      </c>
    </row>
    <row r="319" spans="1:6">
      <c r="A319" s="19">
        <v>29738</v>
      </c>
      <c r="B319" s="268">
        <v>107.7</v>
      </c>
      <c r="C319" s="143">
        <v>185.6</v>
      </c>
      <c r="E319" s="269">
        <f t="shared" si="24"/>
        <v>177.23829999999998</v>
      </c>
    </row>
    <row r="320" spans="1:6">
      <c r="A320" s="19">
        <v>29768</v>
      </c>
      <c r="B320" s="268">
        <v>107.9</v>
      </c>
      <c r="C320" s="143">
        <v>183.8</v>
      </c>
      <c r="E320" s="269">
        <f t="shared" si="24"/>
        <v>177.56743333333333</v>
      </c>
    </row>
    <row r="321" spans="1:6">
      <c r="A321" s="19">
        <v>29799</v>
      </c>
      <c r="B321" s="268">
        <v>107.7</v>
      </c>
      <c r="C321" s="143">
        <v>167.3</v>
      </c>
      <c r="E321" s="269">
        <f t="shared" si="24"/>
        <v>177.23829999999998</v>
      </c>
    </row>
    <row r="322" spans="1:6">
      <c r="A322" s="19">
        <v>29830</v>
      </c>
      <c r="B322" s="268">
        <v>107.2</v>
      </c>
      <c r="C322" s="143">
        <v>179</v>
      </c>
      <c r="E322" s="269">
        <f t="shared" si="24"/>
        <v>176.41546666666667</v>
      </c>
    </row>
    <row r="323" spans="1:6">
      <c r="A323" s="19">
        <v>29860</v>
      </c>
      <c r="B323" s="268">
        <v>110.3</v>
      </c>
      <c r="C323" s="143">
        <v>181.9</v>
      </c>
      <c r="E323" s="269">
        <f t="shared" ref="E323:E386" si="30">B323/100*$D$733</f>
        <v>181.51703333333333</v>
      </c>
    </row>
    <row r="324" spans="1:6">
      <c r="A324" s="19">
        <v>29891</v>
      </c>
      <c r="B324" s="268">
        <v>107.8</v>
      </c>
      <c r="C324" s="143">
        <v>183.4</v>
      </c>
      <c r="E324" s="269">
        <f t="shared" si="30"/>
        <v>177.40286666666668</v>
      </c>
    </row>
    <row r="325" spans="1:6">
      <c r="A325" s="19">
        <v>29921</v>
      </c>
      <c r="B325" s="268">
        <v>107.2</v>
      </c>
      <c r="C325" s="143">
        <v>179.8</v>
      </c>
      <c r="E325" s="269">
        <f t="shared" si="30"/>
        <v>176.41546666666667</v>
      </c>
      <c r="F325" s="270">
        <f t="shared" ref="F325" si="31">SUM(E314:E325)</f>
        <v>2130.3155000000002</v>
      </c>
    </row>
    <row r="326" spans="1:6">
      <c r="A326" s="19">
        <v>29952</v>
      </c>
      <c r="B326" s="268">
        <v>108.7</v>
      </c>
      <c r="C326" s="143">
        <v>160.19999999999999</v>
      </c>
      <c r="E326" s="269">
        <f t="shared" si="30"/>
        <v>178.88396666666665</v>
      </c>
    </row>
    <row r="327" spans="1:6">
      <c r="A327" s="19">
        <v>29983</v>
      </c>
      <c r="B327" s="268">
        <v>107</v>
      </c>
      <c r="C327" s="143">
        <v>178.1</v>
      </c>
      <c r="E327" s="269">
        <f t="shared" si="30"/>
        <v>176.08633333333333</v>
      </c>
    </row>
    <row r="328" spans="1:6">
      <c r="A328" s="19">
        <v>30011</v>
      </c>
      <c r="B328" s="268">
        <v>107.9</v>
      </c>
      <c r="C328" s="143">
        <v>175.9</v>
      </c>
      <c r="E328" s="269">
        <f t="shared" si="30"/>
        <v>177.56743333333333</v>
      </c>
    </row>
    <row r="329" spans="1:6">
      <c r="A329" s="19">
        <v>30042</v>
      </c>
      <c r="B329" s="268">
        <v>107.2</v>
      </c>
      <c r="C329" s="143">
        <v>184.9</v>
      </c>
      <c r="E329" s="269">
        <f t="shared" si="30"/>
        <v>176.41546666666667</v>
      </c>
    </row>
    <row r="330" spans="1:6">
      <c r="A330" s="19">
        <v>30072</v>
      </c>
      <c r="B330" s="268">
        <v>107.7</v>
      </c>
      <c r="C330" s="143">
        <v>169.4</v>
      </c>
      <c r="E330" s="269">
        <f t="shared" si="30"/>
        <v>177.23829999999998</v>
      </c>
    </row>
    <row r="331" spans="1:6">
      <c r="A331" s="19">
        <v>30103</v>
      </c>
      <c r="B331" s="268">
        <v>106.7</v>
      </c>
      <c r="C331" s="143">
        <v>184</v>
      </c>
      <c r="E331" s="269">
        <f t="shared" si="30"/>
        <v>175.59263333333331</v>
      </c>
    </row>
    <row r="332" spans="1:6">
      <c r="A332" s="19">
        <v>30133</v>
      </c>
      <c r="B332" s="268">
        <v>108.2</v>
      </c>
      <c r="C332" s="143">
        <v>184.7</v>
      </c>
      <c r="E332" s="269">
        <f t="shared" si="30"/>
        <v>178.06113333333334</v>
      </c>
    </row>
    <row r="333" spans="1:6">
      <c r="A333" s="19">
        <v>30164</v>
      </c>
      <c r="B333" s="268">
        <v>107.8</v>
      </c>
      <c r="C333" s="143">
        <v>167.7</v>
      </c>
      <c r="E333" s="269">
        <f t="shared" si="30"/>
        <v>177.40286666666668</v>
      </c>
    </row>
    <row r="334" spans="1:6">
      <c r="A334" s="19">
        <v>30195</v>
      </c>
      <c r="B334" s="268">
        <v>106.8</v>
      </c>
      <c r="C334" s="143">
        <v>178.2</v>
      </c>
      <c r="E334" s="269">
        <f t="shared" si="30"/>
        <v>175.75720000000001</v>
      </c>
    </row>
    <row r="335" spans="1:6">
      <c r="A335" s="19">
        <v>30225</v>
      </c>
      <c r="B335" s="268">
        <v>107.9</v>
      </c>
      <c r="C335" s="143">
        <v>178.4</v>
      </c>
      <c r="E335" s="269">
        <f t="shared" si="30"/>
        <v>177.56743333333333</v>
      </c>
    </row>
    <row r="336" spans="1:6">
      <c r="A336" s="19">
        <v>30256</v>
      </c>
      <c r="B336" s="268">
        <v>107.1</v>
      </c>
      <c r="C336" s="143">
        <v>182.9</v>
      </c>
      <c r="E336" s="269">
        <f t="shared" si="30"/>
        <v>176.2509</v>
      </c>
    </row>
    <row r="337" spans="1:6">
      <c r="A337" s="19">
        <v>30286</v>
      </c>
      <c r="B337" s="268">
        <v>106.9</v>
      </c>
      <c r="C337" s="143">
        <v>179.4</v>
      </c>
      <c r="E337" s="269">
        <f t="shared" si="30"/>
        <v>175.92176666666666</v>
      </c>
      <c r="F337" s="270">
        <f t="shared" ref="F337" si="32">SUM(E326:E337)</f>
        <v>2122.7454333333335</v>
      </c>
    </row>
    <row r="338" spans="1:6">
      <c r="A338" s="19">
        <v>30317</v>
      </c>
      <c r="B338" s="268">
        <v>108.7</v>
      </c>
      <c r="C338" s="143">
        <v>160.30000000000001</v>
      </c>
      <c r="E338" s="269">
        <f t="shared" si="30"/>
        <v>178.88396666666665</v>
      </c>
    </row>
    <row r="339" spans="1:6">
      <c r="A339" s="19">
        <v>30348</v>
      </c>
      <c r="B339" s="268">
        <v>105.4</v>
      </c>
      <c r="C339" s="143">
        <v>176.1</v>
      </c>
      <c r="E339" s="269">
        <f t="shared" si="30"/>
        <v>173.45326666666668</v>
      </c>
    </row>
    <row r="340" spans="1:6">
      <c r="A340" s="19">
        <v>30376</v>
      </c>
      <c r="B340" s="268">
        <v>107.6</v>
      </c>
      <c r="C340" s="143">
        <v>176</v>
      </c>
      <c r="E340" s="269">
        <f t="shared" si="30"/>
        <v>177.07373333333331</v>
      </c>
    </row>
    <row r="341" spans="1:6">
      <c r="A341" s="19">
        <v>30407</v>
      </c>
      <c r="B341" s="268">
        <v>108.3</v>
      </c>
      <c r="C341" s="143">
        <v>186.8</v>
      </c>
      <c r="E341" s="269">
        <f t="shared" si="30"/>
        <v>178.22569999999999</v>
      </c>
    </row>
    <row r="342" spans="1:6">
      <c r="A342" s="19">
        <v>30437</v>
      </c>
      <c r="B342" s="268">
        <v>107.4</v>
      </c>
      <c r="C342" s="143">
        <v>168.8</v>
      </c>
      <c r="E342" s="269">
        <f t="shared" si="30"/>
        <v>176.74460000000002</v>
      </c>
    </row>
    <row r="343" spans="1:6">
      <c r="A343" s="19">
        <v>30468</v>
      </c>
      <c r="B343" s="268">
        <v>107.8</v>
      </c>
      <c r="C343" s="143">
        <v>185.7</v>
      </c>
      <c r="E343" s="269">
        <f t="shared" si="30"/>
        <v>177.40286666666668</v>
      </c>
    </row>
    <row r="344" spans="1:6">
      <c r="A344" s="19">
        <v>30498</v>
      </c>
      <c r="B344" s="268">
        <v>108.2</v>
      </c>
      <c r="C344" s="143">
        <v>184.6</v>
      </c>
      <c r="E344" s="269">
        <f t="shared" si="30"/>
        <v>178.06113333333334</v>
      </c>
    </row>
    <row r="345" spans="1:6">
      <c r="A345" s="19">
        <v>30529</v>
      </c>
      <c r="B345" s="268">
        <v>108.7</v>
      </c>
      <c r="C345" s="143">
        <v>169</v>
      </c>
      <c r="E345" s="269">
        <f t="shared" si="30"/>
        <v>178.88396666666665</v>
      </c>
    </row>
    <row r="346" spans="1:6">
      <c r="A346" s="19">
        <v>30560</v>
      </c>
      <c r="B346" s="268">
        <v>108.7</v>
      </c>
      <c r="C346" s="143">
        <v>181.4</v>
      </c>
      <c r="E346" s="269">
        <f t="shared" si="30"/>
        <v>178.88396666666665</v>
      </c>
    </row>
    <row r="347" spans="1:6">
      <c r="A347" s="19">
        <v>30590</v>
      </c>
      <c r="B347" s="268">
        <v>108.5</v>
      </c>
      <c r="C347" s="143">
        <v>179.7</v>
      </c>
      <c r="E347" s="269">
        <f t="shared" si="30"/>
        <v>178.55483333333333</v>
      </c>
    </row>
    <row r="348" spans="1:6">
      <c r="A348" s="19">
        <v>30621</v>
      </c>
      <c r="B348" s="268">
        <v>107.3</v>
      </c>
      <c r="C348" s="143">
        <v>183.6</v>
      </c>
      <c r="E348" s="269">
        <f t="shared" si="30"/>
        <v>176.58003333333332</v>
      </c>
    </row>
    <row r="349" spans="1:6">
      <c r="A349" s="19">
        <v>30651</v>
      </c>
      <c r="B349" s="268">
        <v>109.8</v>
      </c>
      <c r="C349" s="143">
        <v>184.3</v>
      </c>
      <c r="E349" s="269">
        <f t="shared" si="30"/>
        <v>180.69419999999997</v>
      </c>
      <c r="F349" s="270">
        <f t="shared" ref="F349" si="33">SUM(E338:E349)</f>
        <v>2133.4422666666665</v>
      </c>
    </row>
    <row r="350" spans="1:6">
      <c r="A350" s="19">
        <v>30682</v>
      </c>
      <c r="B350" s="268">
        <v>109.3</v>
      </c>
      <c r="C350" s="143">
        <v>161.19999999999999</v>
      </c>
      <c r="E350" s="269">
        <f t="shared" si="30"/>
        <v>179.87136666666666</v>
      </c>
    </row>
    <row r="351" spans="1:6">
      <c r="A351" s="19">
        <v>30713</v>
      </c>
      <c r="B351" s="268">
        <v>108.9</v>
      </c>
      <c r="C351" s="143">
        <v>182.2</v>
      </c>
      <c r="E351" s="269">
        <f t="shared" si="30"/>
        <v>179.2131</v>
      </c>
    </row>
    <row r="352" spans="1:6">
      <c r="A352" s="19">
        <v>30742</v>
      </c>
      <c r="B352" s="268">
        <v>110.5</v>
      </c>
      <c r="C352" s="143">
        <v>180.9</v>
      </c>
      <c r="E352" s="269">
        <f t="shared" si="30"/>
        <v>181.84616666666665</v>
      </c>
    </row>
    <row r="353" spans="1:6">
      <c r="A353" s="19">
        <v>30773</v>
      </c>
      <c r="B353" s="268">
        <v>109.7</v>
      </c>
      <c r="C353" s="143">
        <v>189.4</v>
      </c>
      <c r="E353" s="269">
        <f t="shared" si="30"/>
        <v>180.52963333333332</v>
      </c>
    </row>
    <row r="354" spans="1:6">
      <c r="A354" s="19">
        <v>30803</v>
      </c>
      <c r="B354" s="268">
        <v>109.1</v>
      </c>
      <c r="C354" s="143">
        <v>171</v>
      </c>
      <c r="E354" s="269">
        <f t="shared" si="30"/>
        <v>179.54223333333331</v>
      </c>
    </row>
    <row r="355" spans="1:6">
      <c r="A355" s="19">
        <v>30834</v>
      </c>
      <c r="B355" s="268">
        <v>110</v>
      </c>
      <c r="C355" s="143">
        <v>189.8</v>
      </c>
      <c r="E355" s="269">
        <f t="shared" si="30"/>
        <v>181.02333333333334</v>
      </c>
    </row>
    <row r="356" spans="1:6">
      <c r="A356" s="19">
        <v>30864</v>
      </c>
      <c r="B356" s="268">
        <v>108.8</v>
      </c>
      <c r="C356" s="143">
        <v>185.5</v>
      </c>
      <c r="E356" s="269">
        <f t="shared" si="30"/>
        <v>179.04853333333335</v>
      </c>
    </row>
    <row r="357" spans="1:6">
      <c r="A357" s="19">
        <v>30895</v>
      </c>
      <c r="B357" s="268">
        <v>108.7</v>
      </c>
      <c r="C357" s="143">
        <v>168.7</v>
      </c>
      <c r="E357" s="269">
        <f t="shared" si="30"/>
        <v>178.88396666666665</v>
      </c>
    </row>
    <row r="358" spans="1:6">
      <c r="A358" s="19">
        <v>30926</v>
      </c>
      <c r="B358" s="268">
        <v>109.9</v>
      </c>
      <c r="C358" s="143">
        <v>183.1</v>
      </c>
      <c r="E358" s="269">
        <f t="shared" si="30"/>
        <v>180.85876666666667</v>
      </c>
    </row>
    <row r="359" spans="1:6">
      <c r="A359" s="19">
        <v>30956</v>
      </c>
      <c r="B359" s="268">
        <v>109.7</v>
      </c>
      <c r="C359" s="143">
        <v>181.6</v>
      </c>
      <c r="E359" s="269">
        <f t="shared" si="30"/>
        <v>180.52963333333332</v>
      </c>
    </row>
    <row r="360" spans="1:6">
      <c r="A360" s="19">
        <v>30987</v>
      </c>
      <c r="B360" s="268">
        <v>110</v>
      </c>
      <c r="C360" s="143">
        <v>188.6</v>
      </c>
      <c r="E360" s="269">
        <f t="shared" si="30"/>
        <v>181.02333333333334</v>
      </c>
    </row>
    <row r="361" spans="1:6">
      <c r="A361" s="19">
        <v>31017</v>
      </c>
      <c r="B361" s="268">
        <v>109.3</v>
      </c>
      <c r="C361" s="143">
        <v>183.6</v>
      </c>
      <c r="E361" s="269">
        <f t="shared" si="30"/>
        <v>179.87136666666666</v>
      </c>
      <c r="F361" s="270">
        <f t="shared" ref="F361" si="34">SUM(E350:E361)</f>
        <v>2162.2414333333336</v>
      </c>
    </row>
    <row r="362" spans="1:6">
      <c r="A362" s="19">
        <v>31048</v>
      </c>
      <c r="B362" s="268">
        <v>107.1</v>
      </c>
      <c r="C362" s="143">
        <v>157.9</v>
      </c>
      <c r="E362" s="269">
        <f t="shared" si="30"/>
        <v>176.2509</v>
      </c>
    </row>
    <row r="363" spans="1:6">
      <c r="A363" s="19">
        <v>31079</v>
      </c>
      <c r="B363" s="268">
        <v>109.7</v>
      </c>
      <c r="C363" s="143">
        <v>183.7</v>
      </c>
      <c r="E363" s="269">
        <f t="shared" si="30"/>
        <v>180.52963333333332</v>
      </c>
    </row>
    <row r="364" spans="1:6">
      <c r="A364" s="19">
        <v>31107</v>
      </c>
      <c r="B364" s="268">
        <v>108.3</v>
      </c>
      <c r="C364" s="143">
        <v>177.1</v>
      </c>
      <c r="E364" s="269">
        <f t="shared" si="30"/>
        <v>178.22569999999999</v>
      </c>
    </row>
    <row r="365" spans="1:6">
      <c r="A365" s="19">
        <v>31138</v>
      </c>
      <c r="B365" s="268">
        <v>109</v>
      </c>
      <c r="C365" s="143">
        <v>188.6</v>
      </c>
      <c r="E365" s="269">
        <f t="shared" si="30"/>
        <v>179.37766666666667</v>
      </c>
    </row>
    <row r="366" spans="1:6">
      <c r="A366" s="19">
        <v>31168</v>
      </c>
      <c r="B366" s="268">
        <v>109.7</v>
      </c>
      <c r="C366" s="143">
        <v>172.2</v>
      </c>
      <c r="E366" s="269">
        <f t="shared" si="30"/>
        <v>180.52963333333332</v>
      </c>
    </row>
    <row r="367" spans="1:6">
      <c r="A367" s="19">
        <v>31199</v>
      </c>
      <c r="B367" s="268">
        <v>109.1</v>
      </c>
      <c r="C367" s="143">
        <v>188.8</v>
      </c>
      <c r="E367" s="269">
        <f t="shared" si="30"/>
        <v>179.54223333333331</v>
      </c>
    </row>
    <row r="368" spans="1:6">
      <c r="A368" s="19">
        <v>31229</v>
      </c>
      <c r="B368" s="268">
        <v>109</v>
      </c>
      <c r="C368" s="143">
        <v>186.5</v>
      </c>
      <c r="E368" s="269">
        <f t="shared" si="30"/>
        <v>179.37766666666667</v>
      </c>
    </row>
    <row r="369" spans="1:6">
      <c r="A369" s="19">
        <v>31260</v>
      </c>
      <c r="B369" s="268">
        <v>108.7</v>
      </c>
      <c r="C369" s="143">
        <v>169.3</v>
      </c>
      <c r="E369" s="269">
        <f t="shared" si="30"/>
        <v>178.88396666666665</v>
      </c>
    </row>
    <row r="370" spans="1:6">
      <c r="A370" s="19">
        <v>31291</v>
      </c>
      <c r="B370" s="268">
        <v>108.8</v>
      </c>
      <c r="C370" s="143">
        <v>182.2</v>
      </c>
      <c r="E370" s="269">
        <f t="shared" si="30"/>
        <v>179.04853333333335</v>
      </c>
    </row>
    <row r="371" spans="1:6">
      <c r="A371" s="19">
        <v>31321</v>
      </c>
      <c r="B371" s="268">
        <v>108.1</v>
      </c>
      <c r="C371" s="143">
        <v>179.5</v>
      </c>
      <c r="E371" s="269">
        <f t="shared" si="30"/>
        <v>177.89656666666664</v>
      </c>
    </row>
    <row r="372" spans="1:6">
      <c r="A372" s="19">
        <v>31352</v>
      </c>
      <c r="B372" s="268">
        <v>109.8</v>
      </c>
      <c r="C372" s="143">
        <v>188.4</v>
      </c>
      <c r="E372" s="269">
        <f t="shared" si="30"/>
        <v>180.69419999999997</v>
      </c>
    </row>
    <row r="373" spans="1:6">
      <c r="A373" s="19">
        <v>31382</v>
      </c>
      <c r="B373" s="268">
        <v>108.3</v>
      </c>
      <c r="C373" s="143">
        <v>182.4</v>
      </c>
      <c r="E373" s="269">
        <f t="shared" si="30"/>
        <v>178.22569999999999</v>
      </c>
      <c r="F373" s="270">
        <f t="shared" ref="F373" si="35">SUM(E362:E373)</f>
        <v>2148.5823999999998</v>
      </c>
    </row>
    <row r="374" spans="1:6">
      <c r="A374" s="19">
        <v>31413</v>
      </c>
      <c r="B374" s="268">
        <v>107.3</v>
      </c>
      <c r="C374" s="143">
        <v>158.6</v>
      </c>
      <c r="E374" s="269">
        <f t="shared" si="30"/>
        <v>176.58003333333332</v>
      </c>
    </row>
    <row r="375" spans="1:6">
      <c r="A375" s="19">
        <v>31444</v>
      </c>
      <c r="B375" s="268">
        <v>109.1</v>
      </c>
      <c r="C375" s="143">
        <v>183</v>
      </c>
      <c r="E375" s="269">
        <f t="shared" si="30"/>
        <v>179.54223333333331</v>
      </c>
    </row>
    <row r="376" spans="1:6">
      <c r="A376" s="19">
        <v>31472</v>
      </c>
      <c r="B376" s="268">
        <v>108</v>
      </c>
      <c r="C376" s="143">
        <v>176.7</v>
      </c>
      <c r="E376" s="269">
        <f t="shared" si="30"/>
        <v>177.732</v>
      </c>
    </row>
    <row r="377" spans="1:6">
      <c r="A377" s="19">
        <v>31503</v>
      </c>
      <c r="B377" s="268">
        <v>106.9</v>
      </c>
      <c r="C377" s="143">
        <v>184.8</v>
      </c>
      <c r="E377" s="269">
        <f t="shared" si="30"/>
        <v>175.92176666666666</v>
      </c>
    </row>
    <row r="378" spans="1:6">
      <c r="A378" s="19">
        <v>31533</v>
      </c>
      <c r="B378" s="268">
        <v>110.6</v>
      </c>
      <c r="C378" s="143">
        <v>173</v>
      </c>
      <c r="E378" s="269">
        <f t="shared" si="30"/>
        <v>182.01073333333332</v>
      </c>
    </row>
    <row r="379" spans="1:6">
      <c r="A379" s="19">
        <v>31564</v>
      </c>
      <c r="B379" s="268">
        <v>108.3</v>
      </c>
      <c r="C379" s="143">
        <v>186.9</v>
      </c>
      <c r="E379" s="269">
        <f t="shared" si="30"/>
        <v>178.22569999999999</v>
      </c>
    </row>
    <row r="380" spans="1:6">
      <c r="A380" s="19">
        <v>31594</v>
      </c>
      <c r="B380" s="268">
        <v>107.6</v>
      </c>
      <c r="C380" s="143">
        <v>183.9</v>
      </c>
      <c r="E380" s="269">
        <f t="shared" si="30"/>
        <v>177.07373333333331</v>
      </c>
    </row>
    <row r="381" spans="1:6">
      <c r="A381" s="19">
        <v>31625</v>
      </c>
      <c r="B381" s="268">
        <v>107.9</v>
      </c>
      <c r="C381" s="143">
        <v>167.9</v>
      </c>
      <c r="E381" s="269">
        <f t="shared" si="30"/>
        <v>177.56743333333333</v>
      </c>
    </row>
    <row r="382" spans="1:6">
      <c r="A382" s="19">
        <v>31656</v>
      </c>
      <c r="B382" s="268">
        <v>107.8</v>
      </c>
      <c r="C382" s="143">
        <v>180.3</v>
      </c>
      <c r="E382" s="269">
        <f t="shared" si="30"/>
        <v>177.40286666666668</v>
      </c>
    </row>
    <row r="383" spans="1:6">
      <c r="A383" s="19">
        <v>31686</v>
      </c>
      <c r="B383" s="268">
        <v>107.6</v>
      </c>
      <c r="C383" s="143">
        <v>178.3</v>
      </c>
      <c r="E383" s="269">
        <f t="shared" si="30"/>
        <v>177.07373333333331</v>
      </c>
    </row>
    <row r="384" spans="1:6">
      <c r="A384" s="19">
        <v>31717</v>
      </c>
      <c r="B384" s="268">
        <v>107.4</v>
      </c>
      <c r="C384" s="143">
        <v>183.9</v>
      </c>
      <c r="E384" s="269">
        <f t="shared" si="30"/>
        <v>176.74460000000002</v>
      </c>
    </row>
    <row r="385" spans="1:6">
      <c r="A385" s="19">
        <v>31747</v>
      </c>
      <c r="B385" s="268">
        <v>106.6</v>
      </c>
      <c r="C385" s="143">
        <v>180.3</v>
      </c>
      <c r="E385" s="269">
        <f t="shared" si="30"/>
        <v>175.42806666666664</v>
      </c>
      <c r="F385" s="270">
        <f t="shared" ref="F385" si="36">SUM(E374:E385)</f>
        <v>2131.3029000000001</v>
      </c>
    </row>
    <row r="386" spans="1:6">
      <c r="A386" s="19">
        <v>31778</v>
      </c>
      <c r="B386" s="268">
        <v>107.4</v>
      </c>
      <c r="C386" s="143">
        <v>158.6</v>
      </c>
      <c r="E386" s="269">
        <f t="shared" si="30"/>
        <v>176.74460000000002</v>
      </c>
    </row>
    <row r="387" spans="1:6">
      <c r="A387" s="19">
        <v>31809</v>
      </c>
      <c r="B387" s="268">
        <v>107.2</v>
      </c>
      <c r="C387" s="143">
        <v>180.1</v>
      </c>
      <c r="E387" s="269">
        <f t="shared" ref="E387:E450" si="37">B387/100*$D$733</f>
        <v>176.41546666666667</v>
      </c>
    </row>
    <row r="388" spans="1:6">
      <c r="A388" s="19">
        <v>31837</v>
      </c>
      <c r="B388" s="268">
        <v>107.7</v>
      </c>
      <c r="C388" s="143">
        <v>176.2</v>
      </c>
      <c r="E388" s="269">
        <f t="shared" si="37"/>
        <v>177.23829999999998</v>
      </c>
    </row>
    <row r="389" spans="1:6">
      <c r="A389" s="19">
        <v>31868</v>
      </c>
      <c r="B389" s="268">
        <v>107.8</v>
      </c>
      <c r="C389" s="143">
        <v>186.5</v>
      </c>
      <c r="E389" s="269">
        <f t="shared" si="37"/>
        <v>177.40286666666668</v>
      </c>
    </row>
    <row r="390" spans="1:6">
      <c r="A390" s="19">
        <v>31898</v>
      </c>
      <c r="B390" s="268">
        <v>109.1</v>
      </c>
      <c r="C390" s="143">
        <v>170</v>
      </c>
      <c r="E390" s="269">
        <f t="shared" si="37"/>
        <v>179.54223333333331</v>
      </c>
    </row>
    <row r="391" spans="1:6">
      <c r="A391" s="19">
        <v>31929</v>
      </c>
      <c r="B391" s="268">
        <v>108.1</v>
      </c>
      <c r="C391" s="143">
        <v>186.7</v>
      </c>
      <c r="E391" s="269">
        <f t="shared" si="37"/>
        <v>177.89656666666664</v>
      </c>
    </row>
    <row r="392" spans="1:6">
      <c r="A392" s="19">
        <v>31959</v>
      </c>
      <c r="B392" s="268">
        <v>108.8</v>
      </c>
      <c r="C392" s="143">
        <v>186.1</v>
      </c>
      <c r="E392" s="269">
        <f t="shared" si="37"/>
        <v>179.04853333333335</v>
      </c>
    </row>
    <row r="393" spans="1:6">
      <c r="A393" s="19">
        <v>31990</v>
      </c>
      <c r="B393" s="268">
        <v>108.9</v>
      </c>
      <c r="C393" s="143">
        <v>169.4</v>
      </c>
      <c r="E393" s="269">
        <f t="shared" si="37"/>
        <v>179.2131</v>
      </c>
    </row>
    <row r="394" spans="1:6">
      <c r="A394" s="19">
        <v>32021</v>
      </c>
      <c r="B394" s="268">
        <v>108.2</v>
      </c>
      <c r="C394" s="143">
        <v>180.8</v>
      </c>
      <c r="E394" s="269">
        <f t="shared" si="37"/>
        <v>178.06113333333334</v>
      </c>
    </row>
    <row r="395" spans="1:6">
      <c r="A395" s="19">
        <v>32051</v>
      </c>
      <c r="B395" s="268">
        <v>111.3</v>
      </c>
      <c r="C395" s="143">
        <v>185</v>
      </c>
      <c r="E395" s="269">
        <f t="shared" si="37"/>
        <v>183.1627</v>
      </c>
    </row>
    <row r="396" spans="1:6">
      <c r="A396" s="19">
        <v>32082</v>
      </c>
      <c r="B396" s="268">
        <v>109.1</v>
      </c>
      <c r="C396" s="143">
        <v>186.9</v>
      </c>
      <c r="E396" s="269">
        <f t="shared" si="37"/>
        <v>179.54223333333331</v>
      </c>
    </row>
    <row r="397" spans="1:6">
      <c r="A397" s="19">
        <v>32112</v>
      </c>
      <c r="B397" s="268">
        <v>108.3</v>
      </c>
      <c r="C397" s="143">
        <v>183.1</v>
      </c>
      <c r="E397" s="269">
        <f t="shared" si="37"/>
        <v>178.22569999999999</v>
      </c>
      <c r="F397" s="270">
        <f t="shared" ref="F397" si="38">SUM(E386:E397)</f>
        <v>2142.4934333333335</v>
      </c>
    </row>
    <row r="398" spans="1:6">
      <c r="A398" s="19">
        <v>32143</v>
      </c>
      <c r="B398" s="268">
        <v>110.9</v>
      </c>
      <c r="C398" s="143">
        <v>163.69999999999999</v>
      </c>
      <c r="E398" s="269">
        <f t="shared" si="37"/>
        <v>182.50443333333334</v>
      </c>
    </row>
    <row r="399" spans="1:6">
      <c r="A399" s="19">
        <v>32174</v>
      </c>
      <c r="B399" s="268">
        <v>110.3</v>
      </c>
      <c r="C399" s="143">
        <v>184.6</v>
      </c>
      <c r="E399" s="269">
        <f t="shared" si="37"/>
        <v>181.51703333333333</v>
      </c>
    </row>
    <row r="400" spans="1:6">
      <c r="A400" s="19">
        <v>32203</v>
      </c>
      <c r="B400" s="268">
        <v>112.1</v>
      </c>
      <c r="C400" s="143">
        <v>183.1</v>
      </c>
      <c r="E400" s="269">
        <f t="shared" si="37"/>
        <v>184.47923333333333</v>
      </c>
    </row>
    <row r="401" spans="1:6">
      <c r="A401" s="19">
        <v>32234</v>
      </c>
      <c r="B401" s="268">
        <v>110.1</v>
      </c>
      <c r="C401" s="143">
        <v>190.5</v>
      </c>
      <c r="E401" s="269">
        <f t="shared" si="37"/>
        <v>181.18789999999998</v>
      </c>
    </row>
    <row r="402" spans="1:6">
      <c r="A402" s="19">
        <v>32264</v>
      </c>
      <c r="B402" s="268">
        <v>108.4</v>
      </c>
      <c r="C402" s="143">
        <v>168.2</v>
      </c>
      <c r="E402" s="269">
        <f t="shared" si="37"/>
        <v>178.39026666666666</v>
      </c>
    </row>
    <row r="403" spans="1:6">
      <c r="A403" s="19">
        <v>32295</v>
      </c>
      <c r="B403" s="268">
        <v>108.9</v>
      </c>
      <c r="C403" s="143">
        <v>188.1</v>
      </c>
      <c r="E403" s="269">
        <f t="shared" si="37"/>
        <v>179.2131</v>
      </c>
    </row>
    <row r="404" spans="1:6">
      <c r="A404" s="19">
        <v>32325</v>
      </c>
      <c r="B404" s="268">
        <v>109.7</v>
      </c>
      <c r="C404" s="143">
        <v>187.6</v>
      </c>
      <c r="E404" s="269">
        <f t="shared" si="37"/>
        <v>180.52963333333332</v>
      </c>
    </row>
    <row r="405" spans="1:6">
      <c r="A405" s="19">
        <v>32356</v>
      </c>
      <c r="B405" s="268">
        <v>110.1</v>
      </c>
      <c r="C405" s="143">
        <v>171</v>
      </c>
      <c r="E405" s="269">
        <f t="shared" si="37"/>
        <v>181.18789999999998</v>
      </c>
    </row>
    <row r="406" spans="1:6">
      <c r="A406" s="19">
        <v>32387</v>
      </c>
      <c r="B406" s="268">
        <v>109.3</v>
      </c>
      <c r="C406" s="143">
        <v>182.5</v>
      </c>
      <c r="E406" s="269">
        <f t="shared" si="37"/>
        <v>179.87136666666666</v>
      </c>
    </row>
    <row r="407" spans="1:6">
      <c r="A407" s="19">
        <v>32417</v>
      </c>
      <c r="B407" s="268">
        <v>109.5</v>
      </c>
      <c r="C407" s="143">
        <v>182.1</v>
      </c>
      <c r="E407" s="269">
        <f t="shared" si="37"/>
        <v>180.20050000000001</v>
      </c>
    </row>
    <row r="408" spans="1:6">
      <c r="A408" s="19">
        <v>32448</v>
      </c>
      <c r="B408" s="268">
        <v>108.7</v>
      </c>
      <c r="C408" s="143">
        <v>185.6</v>
      </c>
      <c r="E408" s="269">
        <f t="shared" si="37"/>
        <v>178.88396666666665</v>
      </c>
    </row>
    <row r="409" spans="1:6">
      <c r="A409" s="19">
        <v>32478</v>
      </c>
      <c r="B409" s="268">
        <v>109.9</v>
      </c>
      <c r="C409" s="143">
        <v>185.9</v>
      </c>
      <c r="E409" s="269">
        <f t="shared" si="37"/>
        <v>180.85876666666667</v>
      </c>
      <c r="F409" s="270">
        <f t="shared" ref="F409" si="39">SUM(E398:E409)</f>
        <v>2168.8240999999998</v>
      </c>
    </row>
    <row r="410" spans="1:6">
      <c r="A410" s="19">
        <v>32509</v>
      </c>
      <c r="B410" s="268">
        <v>110.4</v>
      </c>
      <c r="C410" s="143">
        <v>162.5</v>
      </c>
      <c r="E410" s="269">
        <f t="shared" si="37"/>
        <v>181.6816</v>
      </c>
    </row>
    <row r="411" spans="1:6">
      <c r="A411" s="19">
        <v>32540</v>
      </c>
      <c r="B411" s="268">
        <v>108.6</v>
      </c>
      <c r="C411" s="143">
        <v>181.8</v>
      </c>
      <c r="E411" s="269">
        <f t="shared" si="37"/>
        <v>178.71939999999998</v>
      </c>
    </row>
    <row r="412" spans="1:6">
      <c r="A412" s="19">
        <v>32568</v>
      </c>
      <c r="B412" s="268">
        <v>108.3</v>
      </c>
      <c r="C412" s="143">
        <v>177.6</v>
      </c>
      <c r="E412" s="269">
        <f t="shared" si="37"/>
        <v>178.22569999999999</v>
      </c>
    </row>
    <row r="413" spans="1:6">
      <c r="A413" s="19">
        <v>32599</v>
      </c>
      <c r="B413" s="268">
        <v>109.3</v>
      </c>
      <c r="C413" s="143">
        <v>189.1</v>
      </c>
      <c r="E413" s="269">
        <f t="shared" si="37"/>
        <v>179.87136666666666</v>
      </c>
    </row>
    <row r="414" spans="1:6">
      <c r="A414" s="19">
        <v>32629</v>
      </c>
      <c r="B414" s="268">
        <v>107.6</v>
      </c>
      <c r="C414" s="143">
        <v>166.3</v>
      </c>
      <c r="E414" s="269">
        <f t="shared" si="37"/>
        <v>177.07373333333331</v>
      </c>
    </row>
    <row r="415" spans="1:6">
      <c r="A415" s="19">
        <v>32660</v>
      </c>
      <c r="B415" s="268">
        <v>108.8</v>
      </c>
      <c r="C415" s="143">
        <v>188</v>
      </c>
      <c r="E415" s="269">
        <f t="shared" si="37"/>
        <v>179.04853333333335</v>
      </c>
    </row>
    <row r="416" spans="1:6">
      <c r="A416" s="19">
        <v>32690</v>
      </c>
      <c r="B416" s="268">
        <v>108.6</v>
      </c>
      <c r="C416" s="143">
        <v>186</v>
      </c>
      <c r="E416" s="269">
        <f t="shared" si="37"/>
        <v>178.71939999999998</v>
      </c>
    </row>
    <row r="417" spans="1:6">
      <c r="A417" s="19">
        <v>32721</v>
      </c>
      <c r="B417" s="268">
        <v>108.1</v>
      </c>
      <c r="C417" s="143">
        <v>167.9</v>
      </c>
      <c r="E417" s="269">
        <f t="shared" si="37"/>
        <v>177.89656666666664</v>
      </c>
    </row>
    <row r="418" spans="1:6">
      <c r="A418" s="19">
        <v>32752</v>
      </c>
      <c r="B418" s="268">
        <v>109.2</v>
      </c>
      <c r="C418" s="143">
        <v>182.2</v>
      </c>
      <c r="E418" s="269">
        <f t="shared" si="37"/>
        <v>179.70680000000002</v>
      </c>
    </row>
    <row r="419" spans="1:6">
      <c r="A419" s="19">
        <v>32782</v>
      </c>
      <c r="B419" s="268">
        <v>108.2</v>
      </c>
      <c r="C419" s="143">
        <v>180.5</v>
      </c>
      <c r="E419" s="269">
        <f t="shared" si="37"/>
        <v>178.06113333333334</v>
      </c>
    </row>
    <row r="420" spans="1:6">
      <c r="A420" s="19">
        <v>32813</v>
      </c>
      <c r="B420" s="268">
        <v>108.4</v>
      </c>
      <c r="C420" s="143">
        <v>185.2</v>
      </c>
      <c r="E420" s="269">
        <f t="shared" si="37"/>
        <v>178.39026666666666</v>
      </c>
    </row>
    <row r="421" spans="1:6">
      <c r="A421" s="19">
        <v>32843</v>
      </c>
      <c r="B421" s="268">
        <v>108.8</v>
      </c>
      <c r="C421" s="143">
        <v>184</v>
      </c>
      <c r="E421" s="269">
        <f t="shared" si="37"/>
        <v>179.04853333333335</v>
      </c>
      <c r="F421" s="270">
        <f t="shared" ref="F421" si="40">SUM(E410:E421)</f>
        <v>2146.443033333333</v>
      </c>
    </row>
    <row r="422" spans="1:6">
      <c r="A422" s="19">
        <v>32874</v>
      </c>
      <c r="B422" s="268">
        <v>107.2</v>
      </c>
      <c r="C422" s="143">
        <v>157.19999999999999</v>
      </c>
      <c r="E422" s="269">
        <f t="shared" si="37"/>
        <v>176.41546666666667</v>
      </c>
    </row>
    <row r="423" spans="1:6">
      <c r="A423" s="19">
        <v>32905</v>
      </c>
      <c r="B423" s="268">
        <v>107.6</v>
      </c>
      <c r="C423" s="143">
        <v>179.3</v>
      </c>
      <c r="E423" s="269">
        <f t="shared" si="37"/>
        <v>177.07373333333331</v>
      </c>
    </row>
    <row r="424" spans="1:6">
      <c r="A424" s="19">
        <v>32933</v>
      </c>
      <c r="B424" s="268">
        <v>107.8</v>
      </c>
      <c r="C424" s="143">
        <v>176.9</v>
      </c>
      <c r="E424" s="269">
        <f t="shared" si="37"/>
        <v>177.40286666666668</v>
      </c>
    </row>
    <row r="425" spans="1:6">
      <c r="A425" s="19">
        <v>32964</v>
      </c>
      <c r="B425" s="268">
        <v>107.6</v>
      </c>
      <c r="C425" s="143">
        <v>185.7</v>
      </c>
      <c r="E425" s="269">
        <f t="shared" si="37"/>
        <v>177.07373333333331</v>
      </c>
    </row>
    <row r="426" spans="1:6">
      <c r="A426" s="19">
        <v>32994</v>
      </c>
      <c r="B426" s="268">
        <v>107.1</v>
      </c>
      <c r="C426" s="143">
        <v>164.7</v>
      </c>
      <c r="E426" s="269">
        <f t="shared" si="37"/>
        <v>176.2509</v>
      </c>
    </row>
    <row r="427" spans="1:6">
      <c r="A427" s="19">
        <v>33025</v>
      </c>
      <c r="B427" s="268">
        <v>108.2</v>
      </c>
      <c r="C427" s="143">
        <v>186.5</v>
      </c>
      <c r="E427" s="269">
        <f t="shared" si="37"/>
        <v>178.06113333333334</v>
      </c>
    </row>
    <row r="428" spans="1:6">
      <c r="A428" s="19">
        <v>33055</v>
      </c>
      <c r="B428" s="268">
        <v>106.9</v>
      </c>
      <c r="C428" s="143">
        <v>183.2</v>
      </c>
      <c r="E428" s="269">
        <f t="shared" si="37"/>
        <v>175.92176666666666</v>
      </c>
    </row>
    <row r="429" spans="1:6">
      <c r="A429" s="19">
        <v>33086</v>
      </c>
      <c r="B429" s="268">
        <v>107.1</v>
      </c>
      <c r="C429" s="143">
        <v>165.7</v>
      </c>
      <c r="E429" s="269">
        <f t="shared" si="37"/>
        <v>176.2509</v>
      </c>
    </row>
    <row r="430" spans="1:6">
      <c r="A430" s="19">
        <v>33117</v>
      </c>
      <c r="B430" s="268">
        <v>107.2</v>
      </c>
      <c r="C430" s="143">
        <v>178.6</v>
      </c>
      <c r="E430" s="269">
        <f t="shared" si="37"/>
        <v>176.41546666666667</v>
      </c>
    </row>
    <row r="431" spans="1:6">
      <c r="A431" s="19">
        <v>33147</v>
      </c>
      <c r="B431" s="268">
        <v>107.6</v>
      </c>
      <c r="C431" s="143">
        <v>179</v>
      </c>
      <c r="E431" s="269">
        <f t="shared" si="37"/>
        <v>177.07373333333331</v>
      </c>
    </row>
    <row r="432" spans="1:6">
      <c r="A432" s="19">
        <v>33178</v>
      </c>
      <c r="B432" s="268">
        <v>107.1</v>
      </c>
      <c r="C432" s="143">
        <v>182.8</v>
      </c>
      <c r="E432" s="269">
        <f t="shared" si="37"/>
        <v>176.2509</v>
      </c>
    </row>
    <row r="433" spans="1:6">
      <c r="A433" s="19">
        <v>33208</v>
      </c>
      <c r="B433" s="268">
        <v>106.2</v>
      </c>
      <c r="C433" s="143">
        <v>179</v>
      </c>
      <c r="E433" s="269">
        <f t="shared" si="37"/>
        <v>174.7698</v>
      </c>
      <c r="F433" s="270">
        <f t="shared" ref="F433" si="41">SUM(E422:E433)</f>
        <v>2118.9603999999999</v>
      </c>
    </row>
    <row r="434" spans="1:6">
      <c r="A434" s="19">
        <v>33239</v>
      </c>
      <c r="B434" s="268">
        <v>104.3</v>
      </c>
      <c r="C434" s="143">
        <v>152.6</v>
      </c>
      <c r="E434" s="269">
        <f t="shared" si="37"/>
        <v>171.64303333333331</v>
      </c>
    </row>
    <row r="435" spans="1:6">
      <c r="A435" s="19">
        <v>33270</v>
      </c>
      <c r="B435" s="268">
        <v>107.8</v>
      </c>
      <c r="C435" s="143">
        <v>179.7</v>
      </c>
      <c r="E435" s="269">
        <f t="shared" si="37"/>
        <v>177.40286666666668</v>
      </c>
    </row>
    <row r="436" spans="1:6">
      <c r="A436" s="19">
        <v>33298</v>
      </c>
      <c r="B436" s="268">
        <v>105.5</v>
      </c>
      <c r="C436" s="143">
        <v>173.9</v>
      </c>
      <c r="E436" s="269">
        <f t="shared" si="37"/>
        <v>173.61783333333332</v>
      </c>
    </row>
    <row r="437" spans="1:6">
      <c r="A437" s="19">
        <v>33329</v>
      </c>
      <c r="B437" s="268">
        <v>105.1</v>
      </c>
      <c r="C437" s="143">
        <v>182</v>
      </c>
      <c r="E437" s="269">
        <f t="shared" si="37"/>
        <v>172.95956666666666</v>
      </c>
    </row>
    <row r="438" spans="1:6">
      <c r="A438" s="19">
        <v>33359</v>
      </c>
      <c r="B438" s="268">
        <v>105.8</v>
      </c>
      <c r="C438" s="143">
        <v>163</v>
      </c>
      <c r="E438" s="269">
        <f t="shared" si="37"/>
        <v>174.11153333333334</v>
      </c>
    </row>
    <row r="439" spans="1:6">
      <c r="A439" s="19">
        <v>33390</v>
      </c>
      <c r="B439" s="268">
        <v>104.7</v>
      </c>
      <c r="C439" s="143">
        <v>181.4</v>
      </c>
      <c r="E439" s="269">
        <f t="shared" si="37"/>
        <v>172.3013</v>
      </c>
    </row>
    <row r="440" spans="1:6">
      <c r="A440" s="19">
        <v>33420</v>
      </c>
      <c r="B440" s="268">
        <v>104.5</v>
      </c>
      <c r="C440" s="143">
        <v>180.5</v>
      </c>
      <c r="E440" s="269">
        <f t="shared" si="37"/>
        <v>171.97216666666665</v>
      </c>
    </row>
    <row r="441" spans="1:6">
      <c r="A441" s="19">
        <v>33451</v>
      </c>
      <c r="B441" s="268">
        <v>104.5</v>
      </c>
      <c r="C441" s="143">
        <v>162.30000000000001</v>
      </c>
      <c r="E441" s="269">
        <f t="shared" si="37"/>
        <v>171.97216666666665</v>
      </c>
    </row>
    <row r="442" spans="1:6">
      <c r="A442" s="19">
        <v>33482</v>
      </c>
      <c r="B442" s="268">
        <v>104.1</v>
      </c>
      <c r="C442" s="143">
        <v>174</v>
      </c>
      <c r="E442" s="269">
        <f t="shared" si="37"/>
        <v>171.31389999999999</v>
      </c>
    </row>
    <row r="443" spans="1:6">
      <c r="A443" s="19">
        <v>33512</v>
      </c>
      <c r="B443" s="268">
        <v>103.6</v>
      </c>
      <c r="C443" s="143">
        <v>173.2</v>
      </c>
      <c r="E443" s="269">
        <f t="shared" si="37"/>
        <v>170.49106666666665</v>
      </c>
    </row>
    <row r="444" spans="1:6">
      <c r="A444" s="19">
        <v>33543</v>
      </c>
      <c r="B444" s="268">
        <v>105.8</v>
      </c>
      <c r="C444" s="143">
        <v>181.6</v>
      </c>
      <c r="E444" s="269">
        <f t="shared" si="37"/>
        <v>174.11153333333334</v>
      </c>
    </row>
    <row r="445" spans="1:6">
      <c r="A445" s="19">
        <v>33573</v>
      </c>
      <c r="B445" s="268">
        <v>103.5</v>
      </c>
      <c r="C445" s="143">
        <v>174.9</v>
      </c>
      <c r="E445" s="269">
        <f t="shared" si="37"/>
        <v>170.32649999999998</v>
      </c>
      <c r="F445" s="270">
        <f t="shared" ref="F445" si="42">SUM(E434:E445)</f>
        <v>2072.2234666666668</v>
      </c>
    </row>
    <row r="446" spans="1:6">
      <c r="A446" s="19">
        <v>33604</v>
      </c>
      <c r="B446" s="268">
        <v>102.6</v>
      </c>
      <c r="C446" s="143">
        <v>150.4</v>
      </c>
      <c r="E446" s="269">
        <f t="shared" si="37"/>
        <v>168.84540000000001</v>
      </c>
    </row>
    <row r="447" spans="1:6">
      <c r="A447" s="19">
        <v>33635</v>
      </c>
      <c r="B447" s="268">
        <v>103.8</v>
      </c>
      <c r="C447" s="143">
        <v>173.4</v>
      </c>
      <c r="E447" s="269">
        <f t="shared" si="37"/>
        <v>170.8202</v>
      </c>
    </row>
    <row r="448" spans="1:6">
      <c r="A448" s="19">
        <v>33664</v>
      </c>
      <c r="B448" s="268">
        <v>102.5</v>
      </c>
      <c r="C448" s="143">
        <v>170.1</v>
      </c>
      <c r="E448" s="269">
        <f t="shared" si="37"/>
        <v>168.68083333333331</v>
      </c>
    </row>
    <row r="449" spans="1:6">
      <c r="A449" s="19">
        <v>33695</v>
      </c>
      <c r="B449" s="268">
        <v>101.7</v>
      </c>
      <c r="C449" s="143">
        <v>176.6</v>
      </c>
      <c r="E449" s="269">
        <f t="shared" si="37"/>
        <v>167.36430000000001</v>
      </c>
    </row>
    <row r="450" spans="1:6">
      <c r="A450" s="19">
        <v>33725</v>
      </c>
      <c r="B450" s="268">
        <v>102.3</v>
      </c>
      <c r="C450" s="143">
        <v>158.1</v>
      </c>
      <c r="E450" s="269">
        <f t="shared" si="37"/>
        <v>168.35169999999999</v>
      </c>
    </row>
    <row r="451" spans="1:6">
      <c r="A451" s="19">
        <v>33756</v>
      </c>
      <c r="B451" s="268">
        <v>101.3</v>
      </c>
      <c r="C451" s="143">
        <v>176</v>
      </c>
      <c r="E451" s="269">
        <f t="shared" ref="E451:E514" si="43">B451/100*$D$733</f>
        <v>166.70603333333332</v>
      </c>
    </row>
    <row r="452" spans="1:6">
      <c r="A452" s="19">
        <v>33786</v>
      </c>
      <c r="B452" s="268">
        <v>101.5</v>
      </c>
      <c r="C452" s="143">
        <v>176</v>
      </c>
      <c r="E452" s="269">
        <f t="shared" si="43"/>
        <v>167.03516666666664</v>
      </c>
    </row>
    <row r="453" spans="1:6">
      <c r="A453" s="19">
        <v>33817</v>
      </c>
      <c r="B453" s="268">
        <v>100.2</v>
      </c>
      <c r="C453" s="143">
        <v>156</v>
      </c>
      <c r="E453" s="269">
        <f t="shared" si="43"/>
        <v>164.89580000000001</v>
      </c>
    </row>
    <row r="454" spans="1:6">
      <c r="A454" s="19">
        <v>33848</v>
      </c>
      <c r="B454" s="268">
        <v>99.8</v>
      </c>
      <c r="C454" s="143">
        <v>167.5</v>
      </c>
      <c r="E454" s="269">
        <f t="shared" si="43"/>
        <v>164.23753333333332</v>
      </c>
    </row>
    <row r="455" spans="1:6">
      <c r="A455" s="19">
        <v>33878</v>
      </c>
      <c r="B455" s="268">
        <v>103.2</v>
      </c>
      <c r="C455" s="143">
        <v>173.1</v>
      </c>
      <c r="E455" s="269">
        <f t="shared" si="43"/>
        <v>169.83279999999999</v>
      </c>
    </row>
    <row r="456" spans="1:6">
      <c r="A456" s="19">
        <v>33909</v>
      </c>
      <c r="B456" s="268">
        <v>100.1</v>
      </c>
      <c r="C456" s="143">
        <v>172.2</v>
      </c>
      <c r="E456" s="269">
        <f t="shared" si="43"/>
        <v>164.73123333333331</v>
      </c>
    </row>
    <row r="457" spans="1:6">
      <c r="A457" s="19">
        <v>33939</v>
      </c>
      <c r="B457" s="268">
        <v>99</v>
      </c>
      <c r="C457" s="143">
        <v>167.8</v>
      </c>
      <c r="E457" s="269">
        <f t="shared" si="43"/>
        <v>162.92099999999999</v>
      </c>
      <c r="F457" s="270">
        <f t="shared" ref="F457" si="44">SUM(E446:E457)</f>
        <v>2004.4219999999998</v>
      </c>
    </row>
    <row r="458" spans="1:6">
      <c r="A458" s="19">
        <v>33970</v>
      </c>
      <c r="B458" s="268">
        <v>99.8</v>
      </c>
      <c r="C458" s="143">
        <v>145.4</v>
      </c>
      <c r="E458" s="269">
        <f t="shared" si="43"/>
        <v>164.23753333333332</v>
      </c>
    </row>
    <row r="459" spans="1:6">
      <c r="A459" s="19">
        <v>34001</v>
      </c>
      <c r="B459" s="268">
        <v>99.1</v>
      </c>
      <c r="C459" s="143">
        <v>164.9</v>
      </c>
      <c r="E459" s="269">
        <f t="shared" si="43"/>
        <v>163.08556666666667</v>
      </c>
    </row>
    <row r="460" spans="1:6">
      <c r="A460" s="19">
        <v>34029</v>
      </c>
      <c r="B460" s="268">
        <v>100</v>
      </c>
      <c r="C460" s="143">
        <v>165.8</v>
      </c>
      <c r="E460" s="269">
        <f t="shared" si="43"/>
        <v>164.56666666666666</v>
      </c>
    </row>
    <row r="461" spans="1:6">
      <c r="A461" s="19">
        <v>34060</v>
      </c>
      <c r="B461" s="268">
        <v>100.7</v>
      </c>
      <c r="C461" s="143">
        <v>174.2</v>
      </c>
      <c r="E461" s="269">
        <f t="shared" si="43"/>
        <v>165.71863333333334</v>
      </c>
    </row>
    <row r="462" spans="1:6">
      <c r="A462" s="19">
        <v>34090</v>
      </c>
      <c r="B462" s="268">
        <v>98.7</v>
      </c>
      <c r="C462" s="143">
        <v>152.1</v>
      </c>
      <c r="E462" s="269">
        <f t="shared" si="43"/>
        <v>162.4273</v>
      </c>
    </row>
    <row r="463" spans="1:6">
      <c r="A463" s="19">
        <v>34121</v>
      </c>
      <c r="B463" s="268">
        <v>96.7</v>
      </c>
      <c r="C463" s="143">
        <v>167</v>
      </c>
      <c r="E463" s="269">
        <f t="shared" si="43"/>
        <v>159.13596666666669</v>
      </c>
    </row>
    <row r="464" spans="1:6">
      <c r="A464" s="19">
        <v>34151</v>
      </c>
      <c r="B464" s="268">
        <v>100</v>
      </c>
      <c r="C464" s="143">
        <v>172.3</v>
      </c>
      <c r="E464" s="269">
        <f t="shared" si="43"/>
        <v>164.56666666666666</v>
      </c>
    </row>
    <row r="465" spans="1:6">
      <c r="A465" s="19">
        <v>34182</v>
      </c>
      <c r="B465" s="268">
        <v>99.3</v>
      </c>
      <c r="C465" s="143">
        <v>154</v>
      </c>
      <c r="E465" s="269">
        <f t="shared" si="43"/>
        <v>163.41469999999998</v>
      </c>
    </row>
    <row r="466" spans="1:6">
      <c r="A466" s="19">
        <v>34213</v>
      </c>
      <c r="B466" s="268">
        <v>99.6</v>
      </c>
      <c r="C466" s="143">
        <v>165.7</v>
      </c>
      <c r="E466" s="269">
        <f t="shared" si="43"/>
        <v>163.9084</v>
      </c>
    </row>
    <row r="467" spans="1:6">
      <c r="A467" s="19">
        <v>34243</v>
      </c>
      <c r="B467" s="268">
        <v>99.4</v>
      </c>
      <c r="C467" s="143">
        <v>165.4</v>
      </c>
      <c r="E467" s="269">
        <f t="shared" si="43"/>
        <v>163.57926666666668</v>
      </c>
    </row>
    <row r="468" spans="1:6">
      <c r="A468" s="19">
        <v>34274</v>
      </c>
      <c r="B468" s="268">
        <v>98.9</v>
      </c>
      <c r="C468" s="143">
        <v>168.9</v>
      </c>
      <c r="E468" s="269">
        <f t="shared" si="43"/>
        <v>162.75643333333335</v>
      </c>
    </row>
    <row r="469" spans="1:6">
      <c r="A469" s="19">
        <v>34304</v>
      </c>
      <c r="B469" s="268">
        <v>98.2</v>
      </c>
      <c r="C469" s="143">
        <v>164.8</v>
      </c>
      <c r="E469" s="269">
        <f t="shared" si="43"/>
        <v>161.60446666666667</v>
      </c>
      <c r="F469" s="270">
        <f t="shared" ref="F469" si="45">SUM(E458:E469)</f>
        <v>1959.0016000000001</v>
      </c>
    </row>
    <row r="470" spans="1:6">
      <c r="A470" s="19">
        <v>34335</v>
      </c>
      <c r="B470" s="268">
        <v>100.2</v>
      </c>
      <c r="C470" s="143">
        <v>145.9</v>
      </c>
      <c r="E470" s="269">
        <f t="shared" si="43"/>
        <v>164.89580000000001</v>
      </c>
    </row>
    <row r="471" spans="1:6">
      <c r="A471" s="19">
        <v>34366</v>
      </c>
      <c r="B471" s="268">
        <v>98</v>
      </c>
      <c r="C471" s="143">
        <v>162.69999999999999</v>
      </c>
      <c r="E471" s="269">
        <f t="shared" si="43"/>
        <v>161.27533333333332</v>
      </c>
    </row>
    <row r="472" spans="1:6">
      <c r="A472" s="19">
        <v>34394</v>
      </c>
      <c r="B472" s="268">
        <v>98.8</v>
      </c>
      <c r="C472" s="143">
        <v>163.69999999999999</v>
      </c>
      <c r="E472" s="269">
        <f t="shared" si="43"/>
        <v>162.59186666666668</v>
      </c>
    </row>
    <row r="473" spans="1:6">
      <c r="A473" s="19">
        <v>34425</v>
      </c>
      <c r="B473" s="268">
        <v>99.2</v>
      </c>
      <c r="C473" s="143">
        <v>171.5</v>
      </c>
      <c r="E473" s="269">
        <f t="shared" si="43"/>
        <v>163.25013333333334</v>
      </c>
    </row>
    <row r="474" spans="1:6">
      <c r="A474" s="19">
        <v>34455</v>
      </c>
      <c r="B474" s="268">
        <v>96.5</v>
      </c>
      <c r="C474" s="143">
        <v>148.19999999999999</v>
      </c>
      <c r="E474" s="269">
        <f t="shared" si="43"/>
        <v>158.80683333333332</v>
      </c>
    </row>
    <row r="475" spans="1:6">
      <c r="A475" s="19">
        <v>34486</v>
      </c>
      <c r="B475" s="268">
        <v>99.1</v>
      </c>
      <c r="C475" s="143">
        <v>170.8</v>
      </c>
      <c r="E475" s="269">
        <f t="shared" si="43"/>
        <v>163.08556666666667</v>
      </c>
    </row>
    <row r="476" spans="1:6">
      <c r="A476" s="19">
        <v>34516</v>
      </c>
      <c r="B476" s="268">
        <v>99.3</v>
      </c>
      <c r="C476" s="143">
        <v>170.8</v>
      </c>
      <c r="E476" s="269">
        <f t="shared" si="43"/>
        <v>163.41469999999998</v>
      </c>
    </row>
    <row r="477" spans="1:6">
      <c r="A477" s="19">
        <v>34547</v>
      </c>
      <c r="B477" s="268">
        <v>99.8</v>
      </c>
      <c r="C477" s="143">
        <v>154.69999999999999</v>
      </c>
      <c r="E477" s="269">
        <f t="shared" si="43"/>
        <v>164.23753333333332</v>
      </c>
    </row>
    <row r="478" spans="1:6">
      <c r="A478" s="19">
        <v>34578</v>
      </c>
      <c r="B478" s="268">
        <v>99.5</v>
      </c>
      <c r="C478" s="143">
        <v>165.3</v>
      </c>
      <c r="E478" s="269">
        <f t="shared" si="43"/>
        <v>163.74383333333333</v>
      </c>
    </row>
    <row r="479" spans="1:6">
      <c r="A479" s="19">
        <v>34608</v>
      </c>
      <c r="B479" s="268">
        <v>99.4</v>
      </c>
      <c r="C479" s="143">
        <v>165.1</v>
      </c>
      <c r="E479" s="269">
        <f t="shared" si="43"/>
        <v>163.57926666666668</v>
      </c>
    </row>
    <row r="480" spans="1:6">
      <c r="A480" s="19">
        <v>34639</v>
      </c>
      <c r="B480" s="268">
        <v>99.4</v>
      </c>
      <c r="C480" s="143">
        <v>169.3</v>
      </c>
      <c r="E480" s="269">
        <f t="shared" si="43"/>
        <v>163.57926666666668</v>
      </c>
    </row>
    <row r="481" spans="1:6">
      <c r="A481" s="19">
        <v>34669</v>
      </c>
      <c r="B481" s="268">
        <v>100.5</v>
      </c>
      <c r="C481" s="143">
        <v>168.8</v>
      </c>
      <c r="E481" s="269">
        <f t="shared" si="43"/>
        <v>165.38949999999997</v>
      </c>
      <c r="F481" s="270">
        <f t="shared" ref="F481" si="46">SUM(E470:E481)</f>
        <v>1957.8496333333335</v>
      </c>
    </row>
    <row r="482" spans="1:6">
      <c r="A482" s="19">
        <v>34700</v>
      </c>
      <c r="B482" s="268">
        <v>99.5</v>
      </c>
      <c r="C482" s="143">
        <v>144.80000000000001</v>
      </c>
      <c r="E482" s="269">
        <f t="shared" si="43"/>
        <v>163.74383333333333</v>
      </c>
    </row>
    <row r="483" spans="1:6">
      <c r="A483" s="19">
        <v>34731</v>
      </c>
      <c r="B483" s="268">
        <v>99.7</v>
      </c>
      <c r="C483" s="143">
        <v>165.7</v>
      </c>
      <c r="E483" s="269">
        <f t="shared" si="43"/>
        <v>164.07296666666667</v>
      </c>
    </row>
    <row r="484" spans="1:6">
      <c r="A484" s="19">
        <v>34759</v>
      </c>
      <c r="B484" s="268">
        <v>99.7</v>
      </c>
      <c r="C484" s="143">
        <v>165.3</v>
      </c>
      <c r="E484" s="269">
        <f t="shared" si="43"/>
        <v>164.07296666666667</v>
      </c>
    </row>
    <row r="485" spans="1:6">
      <c r="A485" s="19">
        <v>34790</v>
      </c>
      <c r="B485" s="268">
        <v>99.9</v>
      </c>
      <c r="C485" s="143">
        <v>172.2</v>
      </c>
      <c r="E485" s="269">
        <f t="shared" si="43"/>
        <v>164.40210000000002</v>
      </c>
    </row>
    <row r="486" spans="1:6">
      <c r="A486" s="19">
        <v>34820</v>
      </c>
      <c r="B486" s="268">
        <v>98.1</v>
      </c>
      <c r="C486" s="143">
        <v>150.80000000000001</v>
      </c>
      <c r="E486" s="269">
        <f t="shared" si="43"/>
        <v>161.43989999999999</v>
      </c>
    </row>
    <row r="487" spans="1:6">
      <c r="A487" s="19">
        <v>34851</v>
      </c>
      <c r="B487" s="268">
        <v>100.3</v>
      </c>
      <c r="C487" s="143">
        <v>172.4</v>
      </c>
      <c r="E487" s="269">
        <f t="shared" si="43"/>
        <v>165.06036666666665</v>
      </c>
    </row>
    <row r="488" spans="1:6">
      <c r="A488" s="19">
        <v>34881</v>
      </c>
      <c r="B488" s="268">
        <v>99.6</v>
      </c>
      <c r="C488" s="143">
        <v>170.7</v>
      </c>
      <c r="E488" s="269">
        <f t="shared" si="43"/>
        <v>163.9084</v>
      </c>
    </row>
    <row r="489" spans="1:6">
      <c r="A489" s="19">
        <v>34912</v>
      </c>
      <c r="B489" s="268">
        <v>99.7</v>
      </c>
      <c r="C489" s="143">
        <v>154.5</v>
      </c>
      <c r="E489" s="269">
        <f t="shared" si="43"/>
        <v>164.07296666666667</v>
      </c>
    </row>
    <row r="490" spans="1:6">
      <c r="A490" s="19">
        <v>34943</v>
      </c>
      <c r="B490" s="268">
        <v>100.2</v>
      </c>
      <c r="C490" s="143">
        <v>166</v>
      </c>
      <c r="E490" s="269">
        <f t="shared" si="43"/>
        <v>164.89580000000001</v>
      </c>
    </row>
    <row r="491" spans="1:6">
      <c r="A491" s="19">
        <v>34973</v>
      </c>
      <c r="B491" s="268">
        <v>99.9</v>
      </c>
      <c r="C491" s="143">
        <v>166</v>
      </c>
      <c r="E491" s="269">
        <f t="shared" si="43"/>
        <v>164.40210000000002</v>
      </c>
    </row>
    <row r="492" spans="1:6">
      <c r="A492" s="19">
        <v>35004</v>
      </c>
      <c r="B492" s="268">
        <v>99.9</v>
      </c>
      <c r="C492" s="143">
        <v>170</v>
      </c>
      <c r="E492" s="269">
        <f t="shared" si="43"/>
        <v>164.40210000000002</v>
      </c>
    </row>
    <row r="493" spans="1:6">
      <c r="A493" s="19">
        <v>35034</v>
      </c>
      <c r="B493" s="268">
        <v>100.8</v>
      </c>
      <c r="C493" s="143">
        <v>169</v>
      </c>
      <c r="E493" s="269">
        <f t="shared" si="43"/>
        <v>165.88319999999999</v>
      </c>
      <c r="F493" s="270">
        <f t="shared" ref="F493" si="47">SUM(E482:E493)</f>
        <v>1970.3567</v>
      </c>
    </row>
    <row r="494" spans="1:6">
      <c r="A494" s="19">
        <v>35065</v>
      </c>
      <c r="B494" s="268">
        <v>100.1</v>
      </c>
      <c r="C494" s="143">
        <v>146.69999999999999</v>
      </c>
      <c r="E494" s="269">
        <f t="shared" si="43"/>
        <v>164.73123333333331</v>
      </c>
    </row>
    <row r="495" spans="1:6">
      <c r="A495" s="19">
        <v>35096</v>
      </c>
      <c r="B495" s="268">
        <v>100.9</v>
      </c>
      <c r="C495" s="143">
        <v>168.5</v>
      </c>
      <c r="E495" s="269">
        <f t="shared" si="43"/>
        <v>166.04776666666669</v>
      </c>
    </row>
    <row r="496" spans="1:6">
      <c r="A496" s="19">
        <v>35125</v>
      </c>
      <c r="B496" s="268">
        <v>100.6</v>
      </c>
      <c r="C496" s="143">
        <v>167.5</v>
      </c>
      <c r="E496" s="269">
        <f t="shared" si="43"/>
        <v>165.55406666666667</v>
      </c>
    </row>
    <row r="497" spans="1:6">
      <c r="A497" s="19">
        <v>35156</v>
      </c>
      <c r="B497" s="268">
        <v>100.1</v>
      </c>
      <c r="C497" s="143">
        <v>172.8</v>
      </c>
      <c r="E497" s="269">
        <f t="shared" si="43"/>
        <v>164.73123333333331</v>
      </c>
    </row>
    <row r="498" spans="1:6">
      <c r="A498" s="19">
        <v>35186</v>
      </c>
      <c r="B498" s="268">
        <v>100.4</v>
      </c>
      <c r="C498" s="143">
        <v>154.9</v>
      </c>
      <c r="E498" s="269">
        <f t="shared" si="43"/>
        <v>165.22493333333333</v>
      </c>
    </row>
    <row r="499" spans="1:6">
      <c r="A499" s="19">
        <v>35217</v>
      </c>
      <c r="B499" s="268">
        <v>99.9</v>
      </c>
      <c r="C499" s="143">
        <v>172.3</v>
      </c>
      <c r="E499" s="269">
        <f t="shared" si="43"/>
        <v>164.40210000000002</v>
      </c>
    </row>
    <row r="500" spans="1:6">
      <c r="A500" s="19">
        <v>35247</v>
      </c>
      <c r="B500" s="268">
        <v>100</v>
      </c>
      <c r="C500" s="143">
        <v>171.8</v>
      </c>
      <c r="E500" s="269">
        <f t="shared" si="43"/>
        <v>164.56666666666666</v>
      </c>
    </row>
    <row r="501" spans="1:6">
      <c r="A501" s="19">
        <v>35278</v>
      </c>
      <c r="B501" s="268">
        <v>101</v>
      </c>
      <c r="C501" s="143">
        <v>157.4</v>
      </c>
      <c r="E501" s="269">
        <f t="shared" si="43"/>
        <v>166.21233333333333</v>
      </c>
    </row>
    <row r="502" spans="1:6">
      <c r="A502" s="19">
        <v>35309</v>
      </c>
      <c r="B502" s="268">
        <v>100.2</v>
      </c>
      <c r="C502" s="143">
        <v>166.8</v>
      </c>
      <c r="E502" s="269">
        <f t="shared" si="43"/>
        <v>164.89580000000001</v>
      </c>
    </row>
    <row r="503" spans="1:6">
      <c r="A503" s="19">
        <v>35339</v>
      </c>
      <c r="B503" s="268">
        <v>100</v>
      </c>
      <c r="C503" s="143">
        <v>167</v>
      </c>
      <c r="E503" s="269">
        <f t="shared" si="43"/>
        <v>164.56666666666666</v>
      </c>
    </row>
    <row r="504" spans="1:6">
      <c r="A504" s="19">
        <v>35370</v>
      </c>
      <c r="B504" s="268">
        <v>102.3</v>
      </c>
      <c r="C504" s="143">
        <v>174.8</v>
      </c>
      <c r="E504" s="269">
        <f t="shared" si="43"/>
        <v>168.35169999999999</v>
      </c>
    </row>
    <row r="505" spans="1:6">
      <c r="A505" s="19">
        <v>35400</v>
      </c>
      <c r="B505" s="268">
        <v>100.7</v>
      </c>
      <c r="C505" s="143">
        <v>169.3</v>
      </c>
      <c r="E505" s="269">
        <f t="shared" si="43"/>
        <v>165.71863333333334</v>
      </c>
      <c r="F505" s="270">
        <f t="shared" ref="F505" si="48">SUM(E494:E505)</f>
        <v>1985.0031333333334</v>
      </c>
    </row>
    <row r="506" spans="1:6">
      <c r="A506" s="19">
        <v>35431</v>
      </c>
      <c r="B506" s="268">
        <v>100.3</v>
      </c>
      <c r="C506" s="143">
        <v>147.4</v>
      </c>
      <c r="E506" s="269">
        <f t="shared" si="43"/>
        <v>165.06036666666665</v>
      </c>
    </row>
    <row r="507" spans="1:6">
      <c r="A507" s="19">
        <v>35462</v>
      </c>
      <c r="B507" s="268">
        <v>101.2</v>
      </c>
      <c r="C507" s="143">
        <v>169.1</v>
      </c>
      <c r="E507" s="269">
        <f t="shared" si="43"/>
        <v>166.54146666666665</v>
      </c>
    </row>
    <row r="508" spans="1:6">
      <c r="A508" s="19">
        <v>35490</v>
      </c>
      <c r="B508" s="268">
        <v>98.8</v>
      </c>
      <c r="C508" s="143">
        <v>164.3</v>
      </c>
      <c r="E508" s="269">
        <f t="shared" si="43"/>
        <v>162.59186666666668</v>
      </c>
    </row>
    <row r="509" spans="1:6">
      <c r="A509" s="19">
        <v>35521</v>
      </c>
      <c r="B509" s="268">
        <v>99.8</v>
      </c>
      <c r="C509" s="143">
        <v>172.3</v>
      </c>
      <c r="E509" s="269">
        <f t="shared" si="43"/>
        <v>164.23753333333332</v>
      </c>
    </row>
    <row r="510" spans="1:6">
      <c r="A510" s="19">
        <v>35551</v>
      </c>
      <c r="B510" s="268">
        <v>103.1</v>
      </c>
      <c r="C510" s="143">
        <v>159.4</v>
      </c>
      <c r="E510" s="269">
        <f t="shared" si="43"/>
        <v>169.66823333333332</v>
      </c>
    </row>
    <row r="511" spans="1:6">
      <c r="A511" s="19">
        <v>35582</v>
      </c>
      <c r="B511" s="268">
        <v>100.7</v>
      </c>
      <c r="C511" s="143">
        <v>173.4</v>
      </c>
      <c r="E511" s="269">
        <f t="shared" si="43"/>
        <v>165.71863333333334</v>
      </c>
    </row>
    <row r="512" spans="1:6">
      <c r="A512" s="19">
        <v>35612</v>
      </c>
      <c r="B512" s="268">
        <v>100.5</v>
      </c>
      <c r="C512" s="143">
        <v>172.3</v>
      </c>
      <c r="E512" s="269">
        <f t="shared" si="43"/>
        <v>165.38949999999997</v>
      </c>
    </row>
    <row r="513" spans="1:6">
      <c r="A513" s="19">
        <v>35643</v>
      </c>
      <c r="B513" s="268">
        <v>100.1</v>
      </c>
      <c r="C513" s="143">
        <v>156</v>
      </c>
      <c r="E513" s="269">
        <f t="shared" si="43"/>
        <v>164.73123333333331</v>
      </c>
    </row>
    <row r="514" spans="1:6">
      <c r="A514" s="19">
        <v>35674</v>
      </c>
      <c r="B514" s="268">
        <v>100.1</v>
      </c>
      <c r="C514" s="143">
        <v>166.2</v>
      </c>
      <c r="E514" s="269">
        <f t="shared" si="43"/>
        <v>164.73123333333331</v>
      </c>
    </row>
    <row r="515" spans="1:6">
      <c r="A515" s="19">
        <v>35704</v>
      </c>
      <c r="B515" s="268">
        <v>100.5</v>
      </c>
      <c r="C515" s="143">
        <v>168.2</v>
      </c>
      <c r="E515" s="269">
        <f t="shared" ref="E515:E578" si="49">B515/100*$D$733</f>
        <v>165.38949999999997</v>
      </c>
    </row>
    <row r="516" spans="1:6">
      <c r="A516" s="19">
        <v>35735</v>
      </c>
      <c r="B516" s="268">
        <v>100</v>
      </c>
      <c r="C516" s="143">
        <v>171.2</v>
      </c>
      <c r="E516" s="269">
        <f t="shared" si="49"/>
        <v>164.56666666666666</v>
      </c>
    </row>
    <row r="517" spans="1:6">
      <c r="A517" s="19">
        <v>35765</v>
      </c>
      <c r="B517" s="268">
        <v>99.1</v>
      </c>
      <c r="C517" s="143">
        <v>166.4</v>
      </c>
      <c r="E517" s="269">
        <f t="shared" si="49"/>
        <v>163.08556666666667</v>
      </c>
      <c r="F517" s="270">
        <f t="shared" ref="F517" si="50">SUM(E506:E517)</f>
        <v>1981.7117999999998</v>
      </c>
    </row>
    <row r="518" spans="1:6">
      <c r="A518" s="19">
        <v>35796</v>
      </c>
      <c r="B518" s="268">
        <v>99.8</v>
      </c>
      <c r="C518" s="143">
        <v>147.1</v>
      </c>
      <c r="E518" s="269">
        <f t="shared" si="49"/>
        <v>164.23753333333332</v>
      </c>
    </row>
    <row r="519" spans="1:6">
      <c r="A519" s="19">
        <v>35827</v>
      </c>
      <c r="B519" s="268">
        <v>99.2</v>
      </c>
      <c r="C519" s="143">
        <v>165.2</v>
      </c>
      <c r="E519" s="269">
        <f t="shared" si="49"/>
        <v>163.25013333333334</v>
      </c>
    </row>
    <row r="520" spans="1:6">
      <c r="A520" s="19">
        <v>35855</v>
      </c>
      <c r="B520" s="268">
        <v>98.5</v>
      </c>
      <c r="C520" s="143">
        <v>163.6</v>
      </c>
      <c r="E520" s="269">
        <f t="shared" si="49"/>
        <v>162.09816666666666</v>
      </c>
    </row>
    <row r="521" spans="1:6">
      <c r="A521" s="19">
        <v>35886</v>
      </c>
      <c r="B521" s="268">
        <v>99</v>
      </c>
      <c r="C521" s="143">
        <v>170.9</v>
      </c>
      <c r="E521" s="269">
        <f t="shared" si="49"/>
        <v>162.92099999999999</v>
      </c>
    </row>
    <row r="522" spans="1:6">
      <c r="A522" s="19">
        <v>35916</v>
      </c>
      <c r="B522" s="268">
        <v>98.9</v>
      </c>
      <c r="C522" s="143">
        <v>153</v>
      </c>
      <c r="E522" s="269">
        <f t="shared" si="49"/>
        <v>162.75643333333335</v>
      </c>
    </row>
    <row r="523" spans="1:6">
      <c r="A523" s="19">
        <v>35947</v>
      </c>
      <c r="B523" s="268">
        <v>98.3</v>
      </c>
      <c r="C523" s="143">
        <v>169.2</v>
      </c>
      <c r="E523" s="269">
        <f t="shared" si="49"/>
        <v>161.76903333333334</v>
      </c>
    </row>
    <row r="524" spans="1:6">
      <c r="A524" s="19">
        <v>35977</v>
      </c>
      <c r="B524" s="268">
        <v>98.6</v>
      </c>
      <c r="C524" s="143">
        <v>168.9</v>
      </c>
      <c r="E524" s="269">
        <f t="shared" si="49"/>
        <v>162.26273333333333</v>
      </c>
    </row>
    <row r="525" spans="1:6">
      <c r="A525" s="19">
        <v>36008</v>
      </c>
      <c r="B525" s="268">
        <v>97.8</v>
      </c>
      <c r="C525" s="143">
        <v>152.5</v>
      </c>
      <c r="E525" s="269">
        <f t="shared" si="49"/>
        <v>160.9462</v>
      </c>
    </row>
    <row r="526" spans="1:6">
      <c r="A526" s="19">
        <v>36039</v>
      </c>
      <c r="B526" s="268">
        <v>97.5</v>
      </c>
      <c r="C526" s="143">
        <v>162</v>
      </c>
      <c r="E526" s="269">
        <f t="shared" si="49"/>
        <v>160.45249999999999</v>
      </c>
    </row>
    <row r="527" spans="1:6">
      <c r="A527" s="19">
        <v>36069</v>
      </c>
      <c r="B527" s="268">
        <v>100.5</v>
      </c>
      <c r="C527" s="143">
        <v>168.6</v>
      </c>
      <c r="E527" s="269">
        <f t="shared" si="49"/>
        <v>165.38949999999997</v>
      </c>
    </row>
    <row r="528" spans="1:6">
      <c r="A528" s="19">
        <v>36100</v>
      </c>
      <c r="B528" s="268">
        <v>98.1</v>
      </c>
      <c r="C528" s="143">
        <v>168.1</v>
      </c>
      <c r="E528" s="269">
        <f t="shared" si="49"/>
        <v>161.43989999999999</v>
      </c>
    </row>
    <row r="529" spans="1:6">
      <c r="A529" s="19">
        <v>36130</v>
      </c>
      <c r="B529" s="268">
        <v>97.4</v>
      </c>
      <c r="C529" s="143">
        <v>163.30000000000001</v>
      </c>
      <c r="E529" s="269">
        <f t="shared" si="49"/>
        <v>160.28793333333334</v>
      </c>
      <c r="F529" s="270">
        <f t="shared" ref="F529" si="51">SUM(E518:E529)</f>
        <v>1947.8110666666669</v>
      </c>
    </row>
    <row r="530" spans="1:6">
      <c r="A530" s="19">
        <v>36161</v>
      </c>
      <c r="B530" s="268">
        <v>98.3</v>
      </c>
      <c r="C530" s="143">
        <v>144.5</v>
      </c>
      <c r="E530" s="269">
        <f t="shared" si="49"/>
        <v>161.76903333333334</v>
      </c>
    </row>
    <row r="531" spans="1:6">
      <c r="A531" s="19">
        <v>36192</v>
      </c>
      <c r="B531" s="268">
        <v>97.3</v>
      </c>
      <c r="C531" s="143">
        <v>161.5</v>
      </c>
      <c r="E531" s="269">
        <f t="shared" si="49"/>
        <v>160.12336666666667</v>
      </c>
    </row>
    <row r="532" spans="1:6">
      <c r="A532" s="19">
        <v>36220</v>
      </c>
      <c r="B532" s="268">
        <v>99</v>
      </c>
      <c r="C532" s="143">
        <v>163.4</v>
      </c>
      <c r="E532" s="269">
        <f t="shared" si="49"/>
        <v>162.92099999999999</v>
      </c>
    </row>
    <row r="533" spans="1:6">
      <c r="A533" s="19">
        <v>36251</v>
      </c>
      <c r="B533" s="268">
        <v>98.2</v>
      </c>
      <c r="C533" s="143">
        <v>168.6</v>
      </c>
      <c r="E533" s="269">
        <f t="shared" si="49"/>
        <v>161.60446666666667</v>
      </c>
    </row>
    <row r="534" spans="1:6">
      <c r="A534" s="19">
        <v>36281</v>
      </c>
      <c r="B534" s="268">
        <v>97.9</v>
      </c>
      <c r="C534" s="143">
        <v>150.9</v>
      </c>
      <c r="E534" s="269">
        <f t="shared" si="49"/>
        <v>161.11076666666668</v>
      </c>
    </row>
    <row r="535" spans="1:6">
      <c r="A535" s="19">
        <v>36312</v>
      </c>
      <c r="B535" s="268">
        <v>98.1</v>
      </c>
      <c r="C535" s="143">
        <v>167.8</v>
      </c>
      <c r="E535" s="269">
        <f t="shared" si="49"/>
        <v>161.43989999999999</v>
      </c>
    </row>
    <row r="536" spans="1:6">
      <c r="A536" s="19">
        <v>36342</v>
      </c>
      <c r="B536" s="268">
        <v>99.2</v>
      </c>
      <c r="C536" s="143">
        <v>168.7</v>
      </c>
      <c r="E536" s="269">
        <f t="shared" si="49"/>
        <v>163.25013333333334</v>
      </c>
    </row>
    <row r="537" spans="1:6">
      <c r="A537" s="19">
        <v>36373</v>
      </c>
      <c r="B537" s="268">
        <v>98.9</v>
      </c>
      <c r="C537" s="143">
        <v>153.5</v>
      </c>
      <c r="E537" s="269">
        <f t="shared" si="49"/>
        <v>162.75643333333335</v>
      </c>
    </row>
    <row r="538" spans="1:6">
      <c r="A538" s="19">
        <v>36404</v>
      </c>
      <c r="B538" s="268">
        <v>99.4</v>
      </c>
      <c r="C538" s="143">
        <v>164.2</v>
      </c>
      <c r="E538" s="269">
        <f t="shared" si="49"/>
        <v>163.57926666666668</v>
      </c>
    </row>
    <row r="539" spans="1:6">
      <c r="A539" s="19">
        <v>36434</v>
      </c>
      <c r="B539" s="268">
        <v>99</v>
      </c>
      <c r="C539" s="143">
        <v>164.9</v>
      </c>
      <c r="E539" s="269">
        <f t="shared" si="49"/>
        <v>162.92099999999999</v>
      </c>
    </row>
    <row r="540" spans="1:6">
      <c r="A540" s="19">
        <v>36465</v>
      </c>
      <c r="B540" s="268">
        <v>99</v>
      </c>
      <c r="C540" s="143">
        <v>169</v>
      </c>
      <c r="E540" s="269">
        <f t="shared" si="49"/>
        <v>162.92099999999999</v>
      </c>
    </row>
    <row r="541" spans="1:6">
      <c r="A541" s="19">
        <v>36495</v>
      </c>
      <c r="B541" s="268">
        <v>99.3</v>
      </c>
      <c r="C541" s="143">
        <v>165.9</v>
      </c>
      <c r="E541" s="269">
        <f t="shared" si="49"/>
        <v>163.41469999999998</v>
      </c>
      <c r="F541" s="270">
        <f t="shared" ref="F541" si="52">SUM(E530:E541)</f>
        <v>1947.8110666666669</v>
      </c>
    </row>
    <row r="542" spans="1:6">
      <c r="A542" s="19">
        <v>36526</v>
      </c>
      <c r="B542" s="268">
        <v>99.6</v>
      </c>
      <c r="C542" s="143">
        <v>146.4</v>
      </c>
      <c r="E542" s="269">
        <f t="shared" si="49"/>
        <v>163.9084</v>
      </c>
    </row>
    <row r="543" spans="1:6">
      <c r="A543" s="19">
        <v>36557</v>
      </c>
      <c r="B543" s="268">
        <v>99.4</v>
      </c>
      <c r="C543" s="143">
        <v>164.5</v>
      </c>
      <c r="E543" s="269">
        <f t="shared" si="49"/>
        <v>163.57926666666668</v>
      </c>
    </row>
    <row r="544" spans="1:6">
      <c r="A544" s="19">
        <v>36586</v>
      </c>
      <c r="B544" s="268">
        <v>102.6</v>
      </c>
      <c r="C544" s="143">
        <v>168.9</v>
      </c>
      <c r="E544" s="269">
        <f t="shared" si="49"/>
        <v>168.84540000000001</v>
      </c>
    </row>
    <row r="545" spans="1:6">
      <c r="A545" s="19">
        <v>36617</v>
      </c>
      <c r="B545" s="268">
        <v>101.1</v>
      </c>
      <c r="C545" s="143">
        <v>172.9</v>
      </c>
      <c r="E545" s="269">
        <f t="shared" si="49"/>
        <v>166.37689999999998</v>
      </c>
    </row>
    <row r="546" spans="1:6">
      <c r="A546" s="19">
        <v>36647</v>
      </c>
      <c r="B546" s="268">
        <v>98.6</v>
      </c>
      <c r="C546" s="143">
        <v>152.19999999999999</v>
      </c>
      <c r="E546" s="269">
        <f t="shared" si="49"/>
        <v>162.26273333333333</v>
      </c>
    </row>
    <row r="547" spans="1:6">
      <c r="A547" s="19">
        <v>36678</v>
      </c>
      <c r="B547" s="268">
        <v>100.6</v>
      </c>
      <c r="C547" s="143">
        <v>171.6</v>
      </c>
      <c r="E547" s="269">
        <f t="shared" si="49"/>
        <v>165.55406666666667</v>
      </c>
    </row>
    <row r="548" spans="1:6">
      <c r="A548" s="19">
        <v>36708</v>
      </c>
      <c r="B548" s="268">
        <v>99.5</v>
      </c>
      <c r="C548" s="143">
        <v>169</v>
      </c>
      <c r="E548" s="269">
        <f t="shared" si="49"/>
        <v>163.74383333333333</v>
      </c>
    </row>
    <row r="549" spans="1:6">
      <c r="A549" s="19">
        <v>36739</v>
      </c>
      <c r="B549" s="268">
        <v>100.1</v>
      </c>
      <c r="C549" s="143">
        <v>155.69999999999999</v>
      </c>
      <c r="E549" s="269">
        <f t="shared" si="49"/>
        <v>164.73123333333331</v>
      </c>
    </row>
    <row r="550" spans="1:6">
      <c r="A550" s="19">
        <v>36770</v>
      </c>
      <c r="B550" s="268">
        <v>100.8</v>
      </c>
      <c r="C550" s="143">
        <v>166.7</v>
      </c>
      <c r="E550" s="269">
        <f t="shared" si="49"/>
        <v>165.88319999999999</v>
      </c>
    </row>
    <row r="551" spans="1:6">
      <c r="A551" s="19">
        <v>36800</v>
      </c>
      <c r="B551" s="268">
        <v>101.1</v>
      </c>
      <c r="C551" s="143">
        <v>168.4</v>
      </c>
      <c r="E551" s="269">
        <f t="shared" si="49"/>
        <v>166.37689999999998</v>
      </c>
    </row>
    <row r="552" spans="1:6">
      <c r="A552" s="19">
        <v>36831</v>
      </c>
      <c r="B552" s="268">
        <v>100.5</v>
      </c>
      <c r="C552" s="143">
        <v>171.3</v>
      </c>
      <c r="E552" s="269">
        <f t="shared" si="49"/>
        <v>165.38949999999997</v>
      </c>
    </row>
    <row r="553" spans="1:6">
      <c r="A553" s="19">
        <v>36861</v>
      </c>
      <c r="B553" s="268">
        <v>101.5</v>
      </c>
      <c r="C553" s="143">
        <v>169.3</v>
      </c>
      <c r="E553" s="269">
        <f t="shared" si="49"/>
        <v>167.03516666666664</v>
      </c>
      <c r="F553" s="270">
        <f t="shared" ref="F553" si="53">SUM(E542:E553)</f>
        <v>1983.6865999999998</v>
      </c>
    </row>
    <row r="554" spans="1:6">
      <c r="A554" s="19">
        <v>36892</v>
      </c>
      <c r="B554" s="268">
        <v>100.2</v>
      </c>
      <c r="C554" s="143">
        <v>147.80000000000001</v>
      </c>
      <c r="E554" s="269">
        <f t="shared" si="49"/>
        <v>164.89580000000001</v>
      </c>
    </row>
    <row r="555" spans="1:6">
      <c r="A555" s="19">
        <v>36923</v>
      </c>
      <c r="B555" s="268">
        <v>100.3</v>
      </c>
      <c r="C555" s="143">
        <v>166</v>
      </c>
      <c r="E555" s="269">
        <f t="shared" si="49"/>
        <v>165.06036666666665</v>
      </c>
    </row>
    <row r="556" spans="1:6">
      <c r="A556" s="19">
        <v>36951</v>
      </c>
      <c r="B556" s="268">
        <v>99.4</v>
      </c>
      <c r="C556" s="143">
        <v>163.19999999999999</v>
      </c>
      <c r="E556" s="269">
        <f t="shared" si="49"/>
        <v>163.57926666666668</v>
      </c>
    </row>
    <row r="557" spans="1:6">
      <c r="A557" s="19">
        <v>36982</v>
      </c>
      <c r="B557" s="268">
        <v>99.2</v>
      </c>
      <c r="C557" s="143">
        <v>169.7</v>
      </c>
      <c r="E557" s="269">
        <f t="shared" si="49"/>
        <v>163.25013333333334</v>
      </c>
    </row>
    <row r="558" spans="1:6">
      <c r="A558" s="19">
        <v>37012</v>
      </c>
      <c r="B558" s="268">
        <v>98.9</v>
      </c>
      <c r="C558" s="143">
        <v>152.80000000000001</v>
      </c>
      <c r="E558" s="269">
        <f t="shared" si="49"/>
        <v>162.75643333333335</v>
      </c>
    </row>
    <row r="559" spans="1:6">
      <c r="A559" s="19">
        <v>37043</v>
      </c>
      <c r="B559" s="268">
        <v>100</v>
      </c>
      <c r="C559" s="143">
        <v>170.7</v>
      </c>
      <c r="E559" s="269">
        <f t="shared" si="49"/>
        <v>164.56666666666666</v>
      </c>
    </row>
    <row r="560" spans="1:6">
      <c r="A560" s="19">
        <v>37073</v>
      </c>
      <c r="B560" s="268">
        <v>98.4</v>
      </c>
      <c r="C560" s="143">
        <v>166.8</v>
      </c>
      <c r="E560" s="269">
        <f t="shared" si="49"/>
        <v>161.93360000000001</v>
      </c>
    </row>
    <row r="561" spans="1:6">
      <c r="A561" s="19">
        <v>37104</v>
      </c>
      <c r="B561" s="268">
        <v>99.1</v>
      </c>
      <c r="C561" s="143">
        <v>154.19999999999999</v>
      </c>
      <c r="E561" s="269">
        <f t="shared" si="49"/>
        <v>163.08556666666667</v>
      </c>
    </row>
    <row r="562" spans="1:6">
      <c r="A562" s="19">
        <v>37135</v>
      </c>
      <c r="B562" s="268">
        <v>99.1</v>
      </c>
      <c r="C562" s="143">
        <v>163.69999999999999</v>
      </c>
      <c r="E562" s="269">
        <f t="shared" si="49"/>
        <v>163.08556666666667</v>
      </c>
    </row>
    <row r="563" spans="1:6">
      <c r="A563" s="19">
        <v>37165</v>
      </c>
      <c r="B563" s="268">
        <v>99.1</v>
      </c>
      <c r="C563" s="143">
        <v>164.7</v>
      </c>
      <c r="E563" s="269">
        <f t="shared" si="49"/>
        <v>163.08556666666667</v>
      </c>
    </row>
    <row r="564" spans="1:6">
      <c r="A564" s="19">
        <v>37196</v>
      </c>
      <c r="B564" s="268">
        <v>100.7</v>
      </c>
      <c r="C564" s="143">
        <v>171.4</v>
      </c>
      <c r="E564" s="269">
        <f t="shared" si="49"/>
        <v>165.71863333333334</v>
      </c>
    </row>
    <row r="565" spans="1:6">
      <c r="A565" s="19">
        <v>37226</v>
      </c>
      <c r="B565" s="268">
        <v>98.3</v>
      </c>
      <c r="C565" s="143">
        <v>163.69999999999999</v>
      </c>
      <c r="E565" s="269">
        <f t="shared" si="49"/>
        <v>161.76903333333334</v>
      </c>
      <c r="F565" s="270">
        <f t="shared" ref="F565" si="54">SUM(E554:E565)</f>
        <v>1962.7866333333334</v>
      </c>
    </row>
    <row r="566" spans="1:6">
      <c r="A566" s="19">
        <v>37257</v>
      </c>
      <c r="B566" s="268">
        <v>96.4</v>
      </c>
      <c r="C566" s="143">
        <v>142.9</v>
      </c>
      <c r="E566" s="269">
        <f t="shared" si="49"/>
        <v>158.64226666666667</v>
      </c>
    </row>
    <row r="567" spans="1:6">
      <c r="A567" s="19">
        <v>37288</v>
      </c>
      <c r="B567" s="268">
        <v>99.4</v>
      </c>
      <c r="C567" s="143">
        <v>164.6</v>
      </c>
      <c r="E567" s="269">
        <f t="shared" si="49"/>
        <v>163.57926666666668</v>
      </c>
    </row>
    <row r="568" spans="1:6">
      <c r="A568" s="19">
        <v>37316</v>
      </c>
      <c r="B568" s="268">
        <v>98.4</v>
      </c>
      <c r="C568" s="143">
        <v>162</v>
      </c>
      <c r="E568" s="269">
        <f t="shared" si="49"/>
        <v>161.93360000000001</v>
      </c>
    </row>
    <row r="569" spans="1:6">
      <c r="A569" s="19">
        <v>37347</v>
      </c>
      <c r="B569" s="268">
        <v>98.1</v>
      </c>
      <c r="C569" s="143">
        <v>168</v>
      </c>
      <c r="E569" s="269">
        <f t="shared" si="49"/>
        <v>161.43989999999999</v>
      </c>
    </row>
    <row r="570" spans="1:6">
      <c r="A570" s="19">
        <v>37377</v>
      </c>
      <c r="B570" s="268">
        <v>100.8</v>
      </c>
      <c r="C570" s="143">
        <v>155.6</v>
      </c>
      <c r="E570" s="269">
        <f t="shared" si="49"/>
        <v>165.88319999999999</v>
      </c>
    </row>
    <row r="571" spans="1:6">
      <c r="A571" s="19">
        <v>37408</v>
      </c>
      <c r="B571" s="268">
        <v>99.3</v>
      </c>
      <c r="C571" s="143">
        <v>169.9</v>
      </c>
      <c r="E571" s="269">
        <f t="shared" si="49"/>
        <v>163.41469999999998</v>
      </c>
    </row>
    <row r="572" spans="1:6">
      <c r="A572" s="19">
        <v>37438</v>
      </c>
      <c r="B572" s="268">
        <v>100.4</v>
      </c>
      <c r="C572" s="143">
        <v>170.8</v>
      </c>
      <c r="E572" s="269">
        <f t="shared" si="49"/>
        <v>165.22493333333333</v>
      </c>
    </row>
    <row r="573" spans="1:6">
      <c r="A573" s="19">
        <v>37469</v>
      </c>
      <c r="B573" s="268">
        <v>101.1</v>
      </c>
      <c r="C573" s="143">
        <v>158</v>
      </c>
      <c r="E573" s="269">
        <f t="shared" si="49"/>
        <v>166.37689999999998</v>
      </c>
    </row>
    <row r="574" spans="1:6">
      <c r="A574" s="19">
        <v>37500</v>
      </c>
      <c r="B574" s="268">
        <v>99.8</v>
      </c>
      <c r="C574" s="143">
        <v>165.2</v>
      </c>
      <c r="E574" s="269">
        <f t="shared" si="49"/>
        <v>164.23753333333332</v>
      </c>
    </row>
    <row r="575" spans="1:6">
      <c r="A575" s="19">
        <v>37530</v>
      </c>
      <c r="B575" s="268">
        <v>100.4</v>
      </c>
      <c r="C575" s="143">
        <v>167</v>
      </c>
      <c r="E575" s="269">
        <f t="shared" si="49"/>
        <v>165.22493333333333</v>
      </c>
    </row>
    <row r="576" spans="1:6">
      <c r="A576" s="19">
        <v>37561</v>
      </c>
      <c r="B576" s="268">
        <v>101.6</v>
      </c>
      <c r="C576" s="143">
        <v>173.3</v>
      </c>
      <c r="E576" s="269">
        <f t="shared" si="49"/>
        <v>167.19973333333334</v>
      </c>
    </row>
    <row r="577" spans="1:6">
      <c r="A577" s="19">
        <v>37591</v>
      </c>
      <c r="B577" s="268">
        <v>100.7</v>
      </c>
      <c r="C577" s="143">
        <v>168.1</v>
      </c>
      <c r="E577" s="269">
        <f t="shared" si="49"/>
        <v>165.71863333333334</v>
      </c>
      <c r="F577" s="270">
        <f t="shared" ref="F577" si="55">SUM(E566:E577)</f>
        <v>1968.8756000000003</v>
      </c>
    </row>
    <row r="578" spans="1:6">
      <c r="A578" s="19">
        <v>37622</v>
      </c>
      <c r="B578" s="268">
        <v>100.5</v>
      </c>
      <c r="C578" s="143">
        <v>149</v>
      </c>
      <c r="E578" s="269">
        <f t="shared" si="49"/>
        <v>165.38949999999997</v>
      </c>
    </row>
    <row r="579" spans="1:6">
      <c r="A579" s="19">
        <v>37653</v>
      </c>
      <c r="B579" s="268">
        <v>100.7</v>
      </c>
      <c r="C579" s="143">
        <v>167.1</v>
      </c>
      <c r="E579" s="269">
        <f t="shared" ref="E579:E642" si="56">B579/100*$D$733</f>
        <v>165.71863333333334</v>
      </c>
    </row>
    <row r="580" spans="1:6">
      <c r="A580" s="19">
        <v>37681</v>
      </c>
      <c r="B580" s="268">
        <v>99.9</v>
      </c>
      <c r="C580" s="143">
        <v>164.6</v>
      </c>
      <c r="E580" s="269">
        <f t="shared" si="56"/>
        <v>164.40210000000002</v>
      </c>
    </row>
    <row r="581" spans="1:6">
      <c r="A581" s="19">
        <v>37712</v>
      </c>
      <c r="B581" s="268">
        <v>98.4</v>
      </c>
      <c r="C581" s="143">
        <v>168.8</v>
      </c>
      <c r="E581" s="269">
        <f t="shared" si="56"/>
        <v>161.93360000000001</v>
      </c>
    </row>
    <row r="582" spans="1:6">
      <c r="A582" s="19">
        <v>37742</v>
      </c>
      <c r="B582" s="268">
        <v>103.5</v>
      </c>
      <c r="C582" s="143">
        <v>159.80000000000001</v>
      </c>
      <c r="E582" s="269">
        <f t="shared" si="56"/>
        <v>170.32649999999998</v>
      </c>
    </row>
    <row r="583" spans="1:6">
      <c r="A583" s="19">
        <v>37773</v>
      </c>
      <c r="B583" s="268">
        <v>100.5</v>
      </c>
      <c r="C583" s="143">
        <v>172</v>
      </c>
      <c r="E583" s="269">
        <f t="shared" si="56"/>
        <v>165.38949999999997</v>
      </c>
    </row>
    <row r="584" spans="1:6">
      <c r="A584" s="19">
        <v>37803</v>
      </c>
      <c r="B584" s="268">
        <v>101.3</v>
      </c>
      <c r="C584" s="143">
        <v>172.4</v>
      </c>
      <c r="E584" s="269">
        <f t="shared" si="56"/>
        <v>166.70603333333332</v>
      </c>
    </row>
    <row r="585" spans="1:6">
      <c r="A585" s="19">
        <v>37834</v>
      </c>
      <c r="B585" s="268">
        <v>100</v>
      </c>
      <c r="C585" s="143">
        <v>156.69999999999999</v>
      </c>
      <c r="E585" s="269">
        <f t="shared" si="56"/>
        <v>164.56666666666666</v>
      </c>
    </row>
    <row r="586" spans="1:6">
      <c r="A586" s="19">
        <v>37865</v>
      </c>
      <c r="B586" s="268">
        <v>100.6</v>
      </c>
      <c r="C586" s="143">
        <v>166.7</v>
      </c>
      <c r="E586" s="269">
        <f t="shared" si="56"/>
        <v>165.55406666666667</v>
      </c>
    </row>
    <row r="587" spans="1:6">
      <c r="A587" s="19">
        <v>37895</v>
      </c>
      <c r="B587" s="268">
        <v>103.1</v>
      </c>
      <c r="C587" s="143">
        <v>171.2</v>
      </c>
      <c r="E587" s="269">
        <f t="shared" si="56"/>
        <v>169.66823333333332</v>
      </c>
    </row>
    <row r="588" spans="1:6">
      <c r="A588" s="19">
        <v>37926</v>
      </c>
      <c r="B588" s="268">
        <v>100.7</v>
      </c>
      <c r="C588" s="143">
        <v>171.9</v>
      </c>
      <c r="E588" s="269">
        <f t="shared" si="56"/>
        <v>165.71863333333334</v>
      </c>
    </row>
    <row r="589" spans="1:6">
      <c r="A589" s="19">
        <v>37956</v>
      </c>
      <c r="B589" s="268">
        <v>100.7</v>
      </c>
      <c r="C589" s="143">
        <v>168.2</v>
      </c>
      <c r="E589" s="269">
        <f t="shared" si="56"/>
        <v>165.71863333333334</v>
      </c>
      <c r="F589" s="270">
        <f t="shared" ref="F589" si="57">SUM(E578:E589)</f>
        <v>1991.0920999999998</v>
      </c>
    </row>
    <row r="590" spans="1:6">
      <c r="A590" s="19">
        <v>37987</v>
      </c>
      <c r="B590" s="268">
        <v>102</v>
      </c>
      <c r="C590" s="143">
        <v>151.19999999999999</v>
      </c>
      <c r="E590" s="269">
        <f t="shared" si="56"/>
        <v>167.858</v>
      </c>
    </row>
    <row r="591" spans="1:6">
      <c r="A591" s="19">
        <v>38018</v>
      </c>
      <c r="B591" s="268">
        <v>102.1</v>
      </c>
      <c r="C591" s="143">
        <v>168.9</v>
      </c>
      <c r="E591" s="269">
        <f t="shared" si="56"/>
        <v>168.02256666666665</v>
      </c>
    </row>
    <row r="592" spans="1:6">
      <c r="A592" s="19">
        <v>38047</v>
      </c>
      <c r="B592" s="268">
        <v>104.5</v>
      </c>
      <c r="C592" s="143">
        <v>172.4</v>
      </c>
      <c r="E592" s="269">
        <f t="shared" si="56"/>
        <v>171.97216666666665</v>
      </c>
    </row>
    <row r="593" spans="1:6">
      <c r="A593" s="19">
        <v>38078</v>
      </c>
      <c r="B593" s="268">
        <v>103.3</v>
      </c>
      <c r="C593" s="143">
        <v>176.9</v>
      </c>
      <c r="E593" s="269">
        <f t="shared" si="56"/>
        <v>169.99736666666664</v>
      </c>
    </row>
    <row r="594" spans="1:6">
      <c r="A594" s="19">
        <v>38108</v>
      </c>
      <c r="B594" s="268">
        <v>101.6</v>
      </c>
      <c r="C594" s="143">
        <v>156.1</v>
      </c>
      <c r="E594" s="269">
        <f t="shared" si="56"/>
        <v>167.19973333333334</v>
      </c>
    </row>
    <row r="595" spans="1:6">
      <c r="A595" s="19">
        <v>38139</v>
      </c>
      <c r="B595" s="268">
        <v>101.7</v>
      </c>
      <c r="C595" s="143">
        <v>173.8</v>
      </c>
      <c r="E595" s="269">
        <f t="shared" si="56"/>
        <v>167.36430000000001</v>
      </c>
    </row>
    <row r="596" spans="1:6">
      <c r="A596" s="19">
        <v>38169</v>
      </c>
      <c r="B596" s="268">
        <v>102.5</v>
      </c>
      <c r="C596" s="143">
        <v>174.1</v>
      </c>
      <c r="E596" s="269">
        <f t="shared" si="56"/>
        <v>168.68083333333331</v>
      </c>
    </row>
    <row r="597" spans="1:6">
      <c r="A597" s="19">
        <v>38200</v>
      </c>
      <c r="B597" s="268">
        <v>102</v>
      </c>
      <c r="C597" s="143">
        <v>159.9</v>
      </c>
      <c r="E597" s="269">
        <f t="shared" si="56"/>
        <v>167.858</v>
      </c>
    </row>
    <row r="598" spans="1:6">
      <c r="A598" s="19">
        <v>38231</v>
      </c>
      <c r="B598" s="268">
        <v>102.4</v>
      </c>
      <c r="C598" s="143">
        <v>169.5</v>
      </c>
      <c r="E598" s="269">
        <f t="shared" si="56"/>
        <v>168.51626666666667</v>
      </c>
    </row>
    <row r="599" spans="1:6">
      <c r="A599" s="19">
        <v>38261</v>
      </c>
      <c r="B599" s="268">
        <v>101.5</v>
      </c>
      <c r="C599" s="143">
        <v>167.9</v>
      </c>
      <c r="E599" s="269">
        <f t="shared" si="56"/>
        <v>167.03516666666664</v>
      </c>
    </row>
    <row r="600" spans="1:6">
      <c r="A600" s="19">
        <v>38292</v>
      </c>
      <c r="B600" s="268">
        <v>101.6</v>
      </c>
      <c r="C600" s="143">
        <v>173</v>
      </c>
      <c r="E600" s="269">
        <f t="shared" si="56"/>
        <v>167.19973333333334</v>
      </c>
    </row>
    <row r="601" spans="1:6">
      <c r="A601" s="19">
        <v>38322</v>
      </c>
      <c r="B601" s="268">
        <v>101.7</v>
      </c>
      <c r="C601" s="143">
        <v>169.7</v>
      </c>
      <c r="E601" s="269">
        <f t="shared" si="56"/>
        <v>167.36430000000001</v>
      </c>
      <c r="F601" s="270">
        <f t="shared" ref="F601" si="58">SUM(E590:E601)</f>
        <v>2019.0684333333331</v>
      </c>
    </row>
    <row r="602" spans="1:6">
      <c r="A602" s="19">
        <v>38353</v>
      </c>
      <c r="B602" s="268">
        <v>102</v>
      </c>
      <c r="C602" s="143">
        <v>151.4</v>
      </c>
      <c r="E602" s="269">
        <f t="shared" si="56"/>
        <v>167.858</v>
      </c>
    </row>
    <row r="603" spans="1:6">
      <c r="A603" s="19">
        <v>38384</v>
      </c>
      <c r="B603" s="268">
        <v>100.5</v>
      </c>
      <c r="C603" s="143">
        <v>166.1</v>
      </c>
      <c r="E603" s="269">
        <f t="shared" si="56"/>
        <v>165.38949999999997</v>
      </c>
    </row>
    <row r="604" spans="1:6">
      <c r="A604" s="19">
        <v>38412</v>
      </c>
      <c r="B604" s="268">
        <v>101.8</v>
      </c>
      <c r="C604" s="143">
        <v>168.2</v>
      </c>
      <c r="E604" s="269">
        <f t="shared" si="56"/>
        <v>167.52886666666666</v>
      </c>
    </row>
    <row r="605" spans="1:6">
      <c r="A605" s="19">
        <v>38443</v>
      </c>
      <c r="B605" s="268">
        <v>102.3</v>
      </c>
      <c r="C605" s="143">
        <v>175</v>
      </c>
      <c r="E605" s="269">
        <f t="shared" si="56"/>
        <v>168.35169999999999</v>
      </c>
    </row>
    <row r="606" spans="1:6">
      <c r="A606" s="19">
        <v>38473</v>
      </c>
      <c r="B606" s="268">
        <v>100.5</v>
      </c>
      <c r="C606" s="143">
        <v>154.4</v>
      </c>
      <c r="E606" s="269">
        <f t="shared" si="56"/>
        <v>165.38949999999997</v>
      </c>
    </row>
    <row r="607" spans="1:6">
      <c r="A607" s="19">
        <v>38504</v>
      </c>
      <c r="B607" s="268">
        <v>101.7</v>
      </c>
      <c r="C607" s="143">
        <v>173.8</v>
      </c>
      <c r="E607" s="269">
        <f t="shared" si="56"/>
        <v>167.36430000000001</v>
      </c>
    </row>
    <row r="608" spans="1:6">
      <c r="A608" s="19">
        <v>38534</v>
      </c>
      <c r="B608" s="268">
        <v>101.3</v>
      </c>
      <c r="C608" s="143">
        <v>172.1</v>
      </c>
      <c r="E608" s="269">
        <f t="shared" si="56"/>
        <v>166.70603333333332</v>
      </c>
    </row>
    <row r="609" spans="1:6">
      <c r="A609" s="19">
        <v>38565</v>
      </c>
      <c r="B609" s="268">
        <v>101.7</v>
      </c>
      <c r="C609" s="143">
        <v>159.5</v>
      </c>
      <c r="E609" s="269">
        <f t="shared" si="56"/>
        <v>167.36430000000001</v>
      </c>
    </row>
    <row r="610" spans="1:6">
      <c r="A610" s="19">
        <v>38596</v>
      </c>
      <c r="B610" s="268">
        <v>101.9</v>
      </c>
      <c r="C610" s="143">
        <v>168.9</v>
      </c>
      <c r="E610" s="269">
        <f t="shared" si="56"/>
        <v>167.69343333333336</v>
      </c>
    </row>
    <row r="611" spans="1:6">
      <c r="A611" s="19">
        <v>38626</v>
      </c>
      <c r="B611" s="268">
        <v>101.3</v>
      </c>
      <c r="C611" s="143">
        <v>167.5</v>
      </c>
      <c r="E611" s="269">
        <f t="shared" si="56"/>
        <v>166.70603333333332</v>
      </c>
    </row>
    <row r="612" spans="1:6">
      <c r="A612" s="19">
        <v>38657</v>
      </c>
      <c r="B612" s="268">
        <v>101.4</v>
      </c>
      <c r="C612" s="143">
        <v>172.8</v>
      </c>
      <c r="E612" s="269">
        <f t="shared" si="56"/>
        <v>166.8706</v>
      </c>
    </row>
    <row r="613" spans="1:6">
      <c r="A613" s="19">
        <v>38687</v>
      </c>
      <c r="B613" s="268">
        <v>102.6</v>
      </c>
      <c r="C613" s="143">
        <v>171.2</v>
      </c>
      <c r="E613" s="269">
        <f t="shared" si="56"/>
        <v>168.84540000000001</v>
      </c>
      <c r="F613" s="270">
        <f t="shared" ref="F613" si="59">SUM(E602:E613)</f>
        <v>2006.0676666666666</v>
      </c>
    </row>
    <row r="614" spans="1:6">
      <c r="A614" s="19">
        <v>38718</v>
      </c>
      <c r="B614" s="268">
        <v>101.5</v>
      </c>
      <c r="C614" s="143">
        <v>150.9</v>
      </c>
      <c r="E614" s="269">
        <f t="shared" si="56"/>
        <v>167.03516666666664</v>
      </c>
    </row>
    <row r="615" spans="1:6">
      <c r="A615" s="19">
        <v>38749</v>
      </c>
      <c r="B615" s="268">
        <v>103</v>
      </c>
      <c r="C615" s="143">
        <v>169.9</v>
      </c>
      <c r="E615" s="269">
        <f t="shared" si="56"/>
        <v>169.50366666666667</v>
      </c>
    </row>
    <row r="616" spans="1:6">
      <c r="A616" s="19">
        <v>38777</v>
      </c>
      <c r="B616" s="268">
        <v>103</v>
      </c>
      <c r="C616" s="143">
        <v>170.4</v>
      </c>
      <c r="E616" s="269">
        <f t="shared" si="56"/>
        <v>169.50366666666667</v>
      </c>
    </row>
    <row r="617" spans="1:6">
      <c r="A617" s="19">
        <v>38808</v>
      </c>
      <c r="B617" s="268">
        <v>102.6</v>
      </c>
      <c r="C617" s="143">
        <v>175</v>
      </c>
      <c r="E617" s="269">
        <f t="shared" si="56"/>
        <v>168.84540000000001</v>
      </c>
    </row>
    <row r="618" spans="1:6">
      <c r="A618" s="19">
        <v>38838</v>
      </c>
      <c r="B618" s="268">
        <v>101.8</v>
      </c>
      <c r="C618" s="143">
        <v>156.19999999999999</v>
      </c>
      <c r="E618" s="269">
        <f t="shared" si="56"/>
        <v>167.52886666666666</v>
      </c>
    </row>
    <row r="619" spans="1:6">
      <c r="A619" s="19">
        <v>38869</v>
      </c>
      <c r="B619" s="268">
        <v>102.8</v>
      </c>
      <c r="C619" s="143">
        <v>175.7</v>
      </c>
      <c r="E619" s="269">
        <f t="shared" si="56"/>
        <v>169.17453333333333</v>
      </c>
    </row>
    <row r="620" spans="1:6">
      <c r="A620" s="19">
        <v>38899</v>
      </c>
      <c r="B620" s="268">
        <v>101.4</v>
      </c>
      <c r="C620" s="143">
        <v>172.5</v>
      </c>
      <c r="E620" s="269">
        <f t="shared" si="56"/>
        <v>166.8706</v>
      </c>
    </row>
    <row r="621" spans="1:6">
      <c r="A621" s="19">
        <v>38930</v>
      </c>
      <c r="B621" s="268">
        <v>102.3</v>
      </c>
      <c r="C621" s="143">
        <v>160.6</v>
      </c>
      <c r="E621" s="269">
        <f t="shared" si="56"/>
        <v>168.35169999999999</v>
      </c>
    </row>
    <row r="622" spans="1:6">
      <c r="A622" s="19">
        <v>38961</v>
      </c>
      <c r="B622" s="268">
        <v>102.3</v>
      </c>
      <c r="C622" s="143">
        <v>169.7</v>
      </c>
      <c r="E622" s="269">
        <f t="shared" si="56"/>
        <v>168.35169999999999</v>
      </c>
    </row>
    <row r="623" spans="1:6">
      <c r="A623" s="19">
        <v>38991</v>
      </c>
      <c r="B623" s="268">
        <v>102.1</v>
      </c>
      <c r="C623" s="143">
        <v>169.2</v>
      </c>
      <c r="E623" s="269">
        <f t="shared" si="56"/>
        <v>168.02256666666665</v>
      </c>
    </row>
    <row r="624" spans="1:6">
      <c r="A624" s="19">
        <v>39022</v>
      </c>
      <c r="B624" s="268">
        <v>102.1</v>
      </c>
      <c r="C624" s="143">
        <v>173.9</v>
      </c>
      <c r="E624" s="269">
        <f t="shared" si="56"/>
        <v>168.02256666666665</v>
      </c>
    </row>
    <row r="625" spans="1:6">
      <c r="A625" s="19">
        <v>39052</v>
      </c>
      <c r="B625" s="268">
        <v>102.6</v>
      </c>
      <c r="C625" s="143">
        <v>171.1</v>
      </c>
      <c r="E625" s="269">
        <f t="shared" si="56"/>
        <v>168.84540000000001</v>
      </c>
      <c r="F625" s="270">
        <f t="shared" ref="F625" si="60">SUM(E614:E625)</f>
        <v>2020.0558333333331</v>
      </c>
    </row>
    <row r="626" spans="1:6">
      <c r="A626" s="19">
        <v>39083</v>
      </c>
      <c r="B626" s="268">
        <v>101.6</v>
      </c>
      <c r="C626" s="143">
        <v>151.80000000000001</v>
      </c>
      <c r="E626" s="269">
        <f t="shared" si="56"/>
        <v>167.19973333333334</v>
      </c>
    </row>
    <row r="627" spans="1:6">
      <c r="A627" s="19">
        <v>39114</v>
      </c>
      <c r="B627" s="268">
        <v>101.9</v>
      </c>
      <c r="C627" s="143">
        <v>168.2</v>
      </c>
      <c r="E627" s="269">
        <f t="shared" si="56"/>
        <v>167.69343333333336</v>
      </c>
    </row>
    <row r="628" spans="1:6">
      <c r="A628" s="19">
        <v>39142</v>
      </c>
      <c r="B628" s="268">
        <v>101.5</v>
      </c>
      <c r="C628" s="143">
        <v>168.5</v>
      </c>
      <c r="E628" s="269">
        <f t="shared" si="56"/>
        <v>167.03516666666664</v>
      </c>
    </row>
    <row r="629" spans="1:6">
      <c r="A629" s="19">
        <v>39173</v>
      </c>
      <c r="B629" s="268">
        <v>101.2</v>
      </c>
      <c r="C629" s="143">
        <v>172.3</v>
      </c>
      <c r="E629" s="269">
        <f t="shared" si="56"/>
        <v>166.54146666666665</v>
      </c>
    </row>
    <row r="630" spans="1:6">
      <c r="A630" s="19">
        <v>39203</v>
      </c>
      <c r="B630" s="268">
        <v>102.9</v>
      </c>
      <c r="C630" s="143">
        <v>158.4</v>
      </c>
      <c r="E630" s="269">
        <f t="shared" si="56"/>
        <v>169.33910000000003</v>
      </c>
    </row>
    <row r="631" spans="1:6">
      <c r="A631" s="19">
        <v>39234</v>
      </c>
      <c r="B631" s="268">
        <v>102.3</v>
      </c>
      <c r="C631" s="143">
        <v>175.1</v>
      </c>
      <c r="E631" s="269">
        <f t="shared" si="56"/>
        <v>168.35169999999999</v>
      </c>
    </row>
    <row r="632" spans="1:6">
      <c r="A632" s="19">
        <v>39264</v>
      </c>
      <c r="B632" s="268">
        <v>100.4</v>
      </c>
      <c r="C632" s="143">
        <v>171.7</v>
      </c>
      <c r="E632" s="269">
        <f t="shared" si="56"/>
        <v>165.22493333333333</v>
      </c>
    </row>
    <row r="633" spans="1:6">
      <c r="A633" s="19">
        <v>39295</v>
      </c>
      <c r="B633" s="268">
        <v>102.1</v>
      </c>
      <c r="C633" s="143">
        <v>161.19999999999999</v>
      </c>
      <c r="E633" s="269">
        <f t="shared" si="56"/>
        <v>168.02256666666665</v>
      </c>
    </row>
    <row r="634" spans="1:6">
      <c r="A634" s="19">
        <v>39326</v>
      </c>
      <c r="B634" s="268">
        <v>100.4</v>
      </c>
      <c r="C634" s="143">
        <v>167.2</v>
      </c>
      <c r="E634" s="269">
        <f t="shared" si="56"/>
        <v>165.22493333333333</v>
      </c>
    </row>
    <row r="635" spans="1:6">
      <c r="A635" s="19">
        <v>39356</v>
      </c>
      <c r="B635" s="268">
        <v>102</v>
      </c>
      <c r="C635" s="143">
        <v>169.7</v>
      </c>
      <c r="E635" s="269">
        <f t="shared" si="56"/>
        <v>167.858</v>
      </c>
    </row>
    <row r="636" spans="1:6">
      <c r="A636" s="19">
        <v>39387</v>
      </c>
      <c r="B636" s="268">
        <v>104</v>
      </c>
      <c r="C636" s="143">
        <v>177.9</v>
      </c>
      <c r="E636" s="269">
        <f t="shared" si="56"/>
        <v>171.14933333333335</v>
      </c>
    </row>
    <row r="637" spans="1:6">
      <c r="A637" s="19">
        <v>39417</v>
      </c>
      <c r="B637" s="268">
        <v>101.1</v>
      </c>
      <c r="C637" s="143">
        <v>169</v>
      </c>
      <c r="E637" s="269">
        <f t="shared" si="56"/>
        <v>166.37689999999998</v>
      </c>
      <c r="F637" s="270">
        <f t="shared" ref="F637" si="61">SUM(E626:E637)</f>
        <v>2010.0172666666667</v>
      </c>
    </row>
    <row r="638" spans="1:6">
      <c r="A638" s="19">
        <v>39448</v>
      </c>
      <c r="B638" s="268">
        <v>100</v>
      </c>
      <c r="C638" s="143">
        <v>149.69999999999999</v>
      </c>
      <c r="E638" s="269">
        <f t="shared" si="56"/>
        <v>164.56666666666666</v>
      </c>
    </row>
    <row r="639" spans="1:6">
      <c r="A639" s="19">
        <v>39479</v>
      </c>
      <c r="B639" s="268">
        <v>104</v>
      </c>
      <c r="C639" s="143">
        <v>171.3</v>
      </c>
      <c r="E639" s="269">
        <f t="shared" si="56"/>
        <v>171.14933333333335</v>
      </c>
    </row>
    <row r="640" spans="1:6">
      <c r="A640" s="19">
        <v>39508</v>
      </c>
      <c r="B640" s="268">
        <v>102</v>
      </c>
      <c r="C640" s="143">
        <v>169.1</v>
      </c>
      <c r="E640" s="269">
        <f t="shared" si="56"/>
        <v>167.858</v>
      </c>
    </row>
    <row r="641" spans="1:6">
      <c r="A641" s="19">
        <v>39539</v>
      </c>
      <c r="B641" s="268">
        <v>101</v>
      </c>
      <c r="C641" s="143">
        <v>171.4</v>
      </c>
      <c r="E641" s="269">
        <f t="shared" si="56"/>
        <v>166.21233333333333</v>
      </c>
    </row>
    <row r="642" spans="1:6">
      <c r="A642" s="19">
        <v>39569</v>
      </c>
      <c r="B642" s="268">
        <v>103.4</v>
      </c>
      <c r="C642" s="143">
        <v>159.19999999999999</v>
      </c>
      <c r="E642" s="269">
        <f t="shared" si="56"/>
        <v>170.16193333333334</v>
      </c>
    </row>
    <row r="643" spans="1:6">
      <c r="A643" s="19">
        <v>39600</v>
      </c>
      <c r="B643" s="268">
        <v>100.3</v>
      </c>
      <c r="C643" s="143">
        <v>171.4</v>
      </c>
      <c r="E643" s="269">
        <f t="shared" ref="E643:E706" si="62">B643/100*$D$733</f>
        <v>165.06036666666665</v>
      </c>
    </row>
    <row r="644" spans="1:6">
      <c r="A644" s="19">
        <v>39630</v>
      </c>
      <c r="B644" s="268">
        <v>101.6</v>
      </c>
      <c r="C644" s="143">
        <v>173.9</v>
      </c>
      <c r="E644" s="269">
        <f t="shared" si="62"/>
        <v>167.19973333333334</v>
      </c>
    </row>
    <row r="645" spans="1:6">
      <c r="A645" s="19">
        <v>39661</v>
      </c>
      <c r="B645" s="268">
        <v>99.2</v>
      </c>
      <c r="C645" s="143">
        <v>156.5</v>
      </c>
      <c r="E645" s="269">
        <f t="shared" si="62"/>
        <v>163.25013333333334</v>
      </c>
    </row>
    <row r="646" spans="1:6">
      <c r="A646" s="19">
        <v>39692</v>
      </c>
      <c r="B646" s="268">
        <v>99.5</v>
      </c>
      <c r="C646" s="143">
        <v>165.6</v>
      </c>
      <c r="E646" s="269">
        <f t="shared" si="62"/>
        <v>163.74383333333333</v>
      </c>
    </row>
    <row r="647" spans="1:6">
      <c r="A647" s="19">
        <v>39722</v>
      </c>
      <c r="B647" s="268">
        <v>102.5</v>
      </c>
      <c r="C647" s="143">
        <v>170.5</v>
      </c>
      <c r="E647" s="269">
        <f t="shared" si="62"/>
        <v>168.68083333333331</v>
      </c>
    </row>
    <row r="648" spans="1:6">
      <c r="A648" s="19">
        <v>39753</v>
      </c>
      <c r="B648" s="268">
        <v>97.8</v>
      </c>
      <c r="C648" s="143">
        <v>167.2</v>
      </c>
      <c r="E648" s="269">
        <f t="shared" si="62"/>
        <v>160.9462</v>
      </c>
    </row>
    <row r="649" spans="1:6">
      <c r="A649" s="19">
        <v>39783</v>
      </c>
      <c r="B649" s="268">
        <v>95.8</v>
      </c>
      <c r="C649" s="143">
        <v>159.9</v>
      </c>
      <c r="E649" s="269">
        <f t="shared" si="62"/>
        <v>157.65486666666666</v>
      </c>
      <c r="F649" s="270">
        <f t="shared" ref="F649" si="63">SUM(E638:E649)</f>
        <v>1986.4842333333338</v>
      </c>
    </row>
    <row r="650" spans="1:6">
      <c r="A650" s="19">
        <v>39814</v>
      </c>
      <c r="B650" s="268">
        <v>95.2</v>
      </c>
      <c r="C650" s="143">
        <v>142.69999999999999</v>
      </c>
      <c r="E650" s="269">
        <f t="shared" si="62"/>
        <v>156.66746666666668</v>
      </c>
    </row>
    <row r="651" spans="1:6">
      <c r="A651" s="19">
        <v>39845</v>
      </c>
      <c r="B651" s="268">
        <v>92.5</v>
      </c>
      <c r="C651" s="143">
        <v>152.30000000000001</v>
      </c>
      <c r="E651" s="269">
        <f t="shared" si="62"/>
        <v>152.22416666666666</v>
      </c>
    </row>
    <row r="652" spans="1:6">
      <c r="A652" s="19">
        <v>39873</v>
      </c>
      <c r="B652" s="268">
        <v>90.7</v>
      </c>
      <c r="C652" s="143">
        <v>150.19999999999999</v>
      </c>
      <c r="E652" s="269">
        <f t="shared" si="62"/>
        <v>149.26196666666667</v>
      </c>
    </row>
    <row r="653" spans="1:6">
      <c r="A653" s="19">
        <v>39904</v>
      </c>
      <c r="B653" s="268">
        <v>93.6</v>
      </c>
      <c r="C653" s="143">
        <v>158.1</v>
      </c>
      <c r="E653" s="269">
        <f t="shared" si="62"/>
        <v>154.03439999999998</v>
      </c>
    </row>
    <row r="654" spans="1:6">
      <c r="A654" s="19">
        <v>39934</v>
      </c>
      <c r="B654" s="268">
        <v>93.2</v>
      </c>
      <c r="C654" s="143">
        <v>143.19999999999999</v>
      </c>
      <c r="E654" s="269">
        <f t="shared" si="62"/>
        <v>153.37613333333334</v>
      </c>
    </row>
    <row r="655" spans="1:6">
      <c r="A655" s="19">
        <v>39965</v>
      </c>
      <c r="B655" s="268">
        <v>94.2</v>
      </c>
      <c r="C655" s="143">
        <v>160.69999999999999</v>
      </c>
      <c r="E655" s="269">
        <f t="shared" si="62"/>
        <v>155.02180000000001</v>
      </c>
    </row>
    <row r="656" spans="1:6">
      <c r="A656" s="19">
        <v>39995</v>
      </c>
      <c r="B656" s="268">
        <v>96.3</v>
      </c>
      <c r="C656" s="143">
        <v>165.2</v>
      </c>
      <c r="E656" s="269">
        <f t="shared" si="62"/>
        <v>158.4777</v>
      </c>
    </row>
    <row r="657" spans="1:6">
      <c r="A657" s="19">
        <v>40026</v>
      </c>
      <c r="B657" s="268">
        <v>95.5</v>
      </c>
      <c r="C657" s="143">
        <v>150.9</v>
      </c>
      <c r="E657" s="269">
        <f t="shared" si="62"/>
        <v>157.16116666666665</v>
      </c>
    </row>
    <row r="658" spans="1:6">
      <c r="A658" s="19">
        <v>40057</v>
      </c>
      <c r="B658" s="268">
        <v>96.4</v>
      </c>
      <c r="C658" s="143">
        <v>160.4</v>
      </c>
      <c r="E658" s="269">
        <f t="shared" si="62"/>
        <v>158.64226666666667</v>
      </c>
    </row>
    <row r="659" spans="1:6">
      <c r="A659" s="19">
        <v>40087</v>
      </c>
      <c r="B659" s="268">
        <v>96.4</v>
      </c>
      <c r="C659" s="143">
        <v>160.4</v>
      </c>
      <c r="E659" s="269">
        <f t="shared" si="62"/>
        <v>158.64226666666667</v>
      </c>
    </row>
    <row r="660" spans="1:6">
      <c r="A660" s="19">
        <v>40118</v>
      </c>
      <c r="B660" s="268">
        <v>97.1</v>
      </c>
      <c r="C660" s="143">
        <v>165.7</v>
      </c>
      <c r="E660" s="269">
        <f t="shared" si="62"/>
        <v>159.79423333333332</v>
      </c>
    </row>
    <row r="661" spans="1:6">
      <c r="A661" s="19">
        <v>40148</v>
      </c>
      <c r="B661" s="268">
        <v>97.2</v>
      </c>
      <c r="C661" s="143">
        <v>161.9</v>
      </c>
      <c r="E661" s="269">
        <f t="shared" si="62"/>
        <v>159.9588</v>
      </c>
      <c r="F661" s="270">
        <f t="shared" ref="F661" si="64">SUM(E650:E661)</f>
        <v>1873.2623666666668</v>
      </c>
    </row>
    <row r="662" spans="1:6">
      <c r="A662" s="19">
        <v>40179</v>
      </c>
      <c r="B662" s="268">
        <v>98.8</v>
      </c>
      <c r="C662" s="143">
        <v>147.80000000000001</v>
      </c>
      <c r="E662" s="269">
        <f t="shared" si="62"/>
        <v>162.59186666666668</v>
      </c>
    </row>
    <row r="663" spans="1:6">
      <c r="A663" s="19">
        <v>40210</v>
      </c>
      <c r="B663" s="268">
        <v>98.7</v>
      </c>
      <c r="C663" s="143">
        <v>162.1</v>
      </c>
      <c r="E663" s="269">
        <f t="shared" si="62"/>
        <v>162.4273</v>
      </c>
    </row>
    <row r="664" spans="1:6">
      <c r="A664" s="19">
        <v>40238</v>
      </c>
      <c r="B664" s="268">
        <v>100.2</v>
      </c>
      <c r="C664" s="143">
        <v>165.6</v>
      </c>
      <c r="E664" s="269">
        <f t="shared" si="62"/>
        <v>164.89580000000001</v>
      </c>
    </row>
    <row r="665" spans="1:6">
      <c r="A665" s="19">
        <v>40269</v>
      </c>
      <c r="B665" s="268">
        <v>100.8</v>
      </c>
      <c r="C665" s="143">
        <v>169.9</v>
      </c>
      <c r="E665" s="269">
        <f t="shared" si="62"/>
        <v>165.88319999999999</v>
      </c>
    </row>
    <row r="666" spans="1:6">
      <c r="A666" s="19">
        <v>40299</v>
      </c>
      <c r="B666" s="268">
        <v>99.5</v>
      </c>
      <c r="C666" s="143">
        <v>152.4</v>
      </c>
      <c r="E666" s="269">
        <f t="shared" si="62"/>
        <v>163.74383333333333</v>
      </c>
    </row>
    <row r="667" spans="1:6">
      <c r="A667" s="19">
        <v>40330</v>
      </c>
      <c r="B667" s="268">
        <v>99.3</v>
      </c>
      <c r="C667" s="143">
        <v>168.9</v>
      </c>
      <c r="E667" s="269">
        <f t="shared" si="62"/>
        <v>163.41469999999998</v>
      </c>
    </row>
    <row r="668" spans="1:6">
      <c r="A668" s="19">
        <v>40360</v>
      </c>
      <c r="B668" s="268">
        <v>99.9</v>
      </c>
      <c r="C668" s="143">
        <v>171.1</v>
      </c>
      <c r="E668" s="269">
        <f t="shared" si="62"/>
        <v>164.40210000000002</v>
      </c>
    </row>
    <row r="669" spans="1:6">
      <c r="A669" s="19">
        <v>40391</v>
      </c>
      <c r="B669" s="268">
        <v>99.4</v>
      </c>
      <c r="C669" s="143">
        <v>156.80000000000001</v>
      </c>
      <c r="E669" s="269">
        <f t="shared" si="62"/>
        <v>163.57926666666668</v>
      </c>
    </row>
    <row r="670" spans="1:6">
      <c r="A670" s="19">
        <v>40422</v>
      </c>
      <c r="B670" s="268">
        <v>100.1</v>
      </c>
      <c r="C670" s="143">
        <v>165.9</v>
      </c>
      <c r="E670" s="269">
        <f t="shared" si="62"/>
        <v>164.73123333333331</v>
      </c>
    </row>
    <row r="671" spans="1:6">
      <c r="A671" s="19">
        <v>40452</v>
      </c>
      <c r="B671" s="268">
        <v>99.3</v>
      </c>
      <c r="C671" s="143">
        <v>164.7</v>
      </c>
      <c r="E671" s="269">
        <f t="shared" si="62"/>
        <v>163.41469999999998</v>
      </c>
    </row>
    <row r="672" spans="1:6">
      <c r="A672" s="19">
        <v>40483</v>
      </c>
      <c r="B672" s="268">
        <v>99.2</v>
      </c>
      <c r="C672" s="143">
        <v>168.9</v>
      </c>
      <c r="E672" s="269">
        <f t="shared" si="62"/>
        <v>163.25013333333334</v>
      </c>
    </row>
    <row r="673" spans="1:6">
      <c r="A673" s="19">
        <v>40513</v>
      </c>
      <c r="B673" s="268">
        <v>100.1</v>
      </c>
      <c r="C673" s="143">
        <v>166.2</v>
      </c>
      <c r="E673" s="269">
        <f t="shared" si="62"/>
        <v>164.73123333333331</v>
      </c>
      <c r="F673" s="270">
        <f t="shared" ref="F673" si="65">SUM(E662:E673)</f>
        <v>1967.0653666666667</v>
      </c>
    </row>
    <row r="674" spans="1:6">
      <c r="A674" s="19">
        <v>40544</v>
      </c>
      <c r="B674" s="268">
        <v>99.6</v>
      </c>
      <c r="C674" s="143">
        <v>148.69999999999999</v>
      </c>
      <c r="E674" s="269">
        <f t="shared" si="62"/>
        <v>163.9084</v>
      </c>
    </row>
    <row r="675" spans="1:6">
      <c r="A675" s="19">
        <v>40575</v>
      </c>
      <c r="B675" s="268">
        <v>98.6</v>
      </c>
      <c r="C675" s="143">
        <v>162</v>
      </c>
      <c r="E675" s="269">
        <f t="shared" si="62"/>
        <v>162.26273333333333</v>
      </c>
    </row>
    <row r="676" spans="1:6">
      <c r="A676" s="19">
        <v>40603</v>
      </c>
      <c r="B676" s="268">
        <v>97.8</v>
      </c>
      <c r="C676" s="143">
        <v>161.30000000000001</v>
      </c>
      <c r="E676" s="269">
        <f t="shared" si="62"/>
        <v>160.9462</v>
      </c>
    </row>
    <row r="677" spans="1:6">
      <c r="A677" s="19">
        <v>40634</v>
      </c>
      <c r="B677" s="268">
        <v>97.5</v>
      </c>
      <c r="C677" s="143">
        <v>163.69999999999999</v>
      </c>
      <c r="E677" s="269">
        <f t="shared" si="62"/>
        <v>160.45249999999999</v>
      </c>
    </row>
    <row r="678" spans="1:6">
      <c r="A678" s="19">
        <v>40664</v>
      </c>
      <c r="B678" s="268">
        <v>96.8</v>
      </c>
      <c r="C678" s="143">
        <v>148</v>
      </c>
      <c r="E678" s="269">
        <f t="shared" si="62"/>
        <v>159.30053333333333</v>
      </c>
    </row>
    <row r="679" spans="1:6">
      <c r="A679" s="19">
        <v>40695</v>
      </c>
      <c r="B679" s="268">
        <v>99.6</v>
      </c>
      <c r="C679" s="143">
        <v>169</v>
      </c>
      <c r="E679" s="269">
        <f t="shared" si="62"/>
        <v>163.9084</v>
      </c>
    </row>
    <row r="680" spans="1:6">
      <c r="A680" s="19">
        <v>40725</v>
      </c>
      <c r="B680" s="268">
        <v>99</v>
      </c>
      <c r="C680" s="143">
        <v>169.1</v>
      </c>
      <c r="E680" s="269">
        <f t="shared" si="62"/>
        <v>162.92099999999999</v>
      </c>
    </row>
    <row r="681" spans="1:6">
      <c r="A681" s="19">
        <v>40756</v>
      </c>
      <c r="B681" s="268">
        <v>100</v>
      </c>
      <c r="C681" s="143">
        <v>157.5</v>
      </c>
      <c r="E681" s="269">
        <f t="shared" si="62"/>
        <v>164.56666666666666</v>
      </c>
    </row>
    <row r="682" spans="1:6">
      <c r="A682" s="19">
        <v>40787</v>
      </c>
      <c r="B682" s="268">
        <v>100.3</v>
      </c>
      <c r="C682" s="143">
        <v>165.2</v>
      </c>
      <c r="E682" s="269">
        <f t="shared" si="62"/>
        <v>165.06036666666665</v>
      </c>
    </row>
    <row r="683" spans="1:6">
      <c r="A683" s="19">
        <v>40817</v>
      </c>
      <c r="B683" s="268">
        <v>99.5</v>
      </c>
      <c r="C683" s="143">
        <v>164.7</v>
      </c>
      <c r="E683" s="269">
        <f t="shared" si="62"/>
        <v>163.74383333333333</v>
      </c>
    </row>
    <row r="684" spans="1:6">
      <c r="A684" s="19">
        <v>40848</v>
      </c>
      <c r="B684" s="268">
        <v>100</v>
      </c>
      <c r="C684" s="143">
        <v>169.7</v>
      </c>
      <c r="E684" s="269">
        <f t="shared" si="62"/>
        <v>164.56666666666666</v>
      </c>
    </row>
    <row r="685" spans="1:6">
      <c r="A685" s="19">
        <v>40878</v>
      </c>
      <c r="B685" s="268">
        <v>101</v>
      </c>
      <c r="C685" s="143">
        <v>167.4</v>
      </c>
      <c r="E685" s="269">
        <f t="shared" si="62"/>
        <v>166.21233333333333</v>
      </c>
      <c r="F685" s="270">
        <f t="shared" ref="F685" si="66">SUM(E674:E685)</f>
        <v>1957.8496333333333</v>
      </c>
    </row>
    <row r="686" spans="1:6">
      <c r="A686" s="19">
        <v>40909</v>
      </c>
      <c r="B686" s="268">
        <v>99.4</v>
      </c>
      <c r="C686" s="143">
        <v>149</v>
      </c>
      <c r="E686" s="269">
        <f t="shared" si="62"/>
        <v>163.57926666666668</v>
      </c>
    </row>
    <row r="687" spans="1:6">
      <c r="A687" s="19">
        <v>40940</v>
      </c>
      <c r="B687" s="268">
        <v>102</v>
      </c>
      <c r="C687" s="143">
        <v>168.6</v>
      </c>
      <c r="E687" s="269">
        <f t="shared" si="62"/>
        <v>167.858</v>
      </c>
    </row>
    <row r="688" spans="1:6">
      <c r="A688" s="19">
        <v>40969</v>
      </c>
      <c r="B688" s="268">
        <v>101.9</v>
      </c>
      <c r="C688" s="143">
        <v>168.8</v>
      </c>
      <c r="E688" s="269">
        <f t="shared" si="62"/>
        <v>167.69343333333336</v>
      </c>
    </row>
    <row r="689" spans="1:6">
      <c r="A689" s="19">
        <v>41000</v>
      </c>
      <c r="B689" s="268">
        <v>100.2</v>
      </c>
      <c r="C689" s="143">
        <v>169.6</v>
      </c>
      <c r="E689" s="269">
        <f t="shared" si="62"/>
        <v>164.89580000000001</v>
      </c>
    </row>
    <row r="690" spans="1:6">
      <c r="A690" s="19">
        <v>41030</v>
      </c>
      <c r="B690" s="268">
        <v>101.2</v>
      </c>
      <c r="C690" s="143">
        <v>155.69999999999999</v>
      </c>
      <c r="E690" s="269">
        <f t="shared" si="62"/>
        <v>166.54146666666665</v>
      </c>
    </row>
    <row r="691" spans="1:6">
      <c r="A691" s="19">
        <v>41061</v>
      </c>
      <c r="B691" s="268">
        <v>100.3</v>
      </c>
      <c r="C691" s="143">
        <v>171.3</v>
      </c>
      <c r="E691" s="269">
        <f t="shared" si="62"/>
        <v>165.06036666666665</v>
      </c>
    </row>
    <row r="692" spans="1:6">
      <c r="A692" s="19">
        <v>41091</v>
      </c>
      <c r="B692" s="268">
        <v>98.3</v>
      </c>
      <c r="C692" s="143">
        <v>168.9</v>
      </c>
      <c r="E692" s="269">
        <f t="shared" si="62"/>
        <v>161.76903333333334</v>
      </c>
    </row>
    <row r="693" spans="1:6">
      <c r="A693" s="19">
        <v>41122</v>
      </c>
      <c r="B693" s="268">
        <v>99.5</v>
      </c>
      <c r="C693" s="143">
        <v>157.9</v>
      </c>
      <c r="E693" s="269">
        <f t="shared" si="62"/>
        <v>163.74383333333333</v>
      </c>
    </row>
    <row r="694" spans="1:6">
      <c r="A694" s="19">
        <v>41153</v>
      </c>
      <c r="B694" s="268">
        <v>98.4</v>
      </c>
      <c r="C694" s="143">
        <v>162.69999999999999</v>
      </c>
      <c r="E694" s="269">
        <f t="shared" si="62"/>
        <v>161.93360000000001</v>
      </c>
    </row>
    <row r="695" spans="1:6">
      <c r="A695" s="19">
        <v>41183</v>
      </c>
      <c r="B695" s="268">
        <v>99.4</v>
      </c>
      <c r="C695" s="143">
        <v>165.9</v>
      </c>
      <c r="E695" s="269">
        <f t="shared" si="62"/>
        <v>163.57926666666668</v>
      </c>
    </row>
    <row r="696" spans="1:6">
      <c r="A696" s="19">
        <v>41214</v>
      </c>
      <c r="B696" s="268">
        <v>101</v>
      </c>
      <c r="C696" s="143">
        <v>172.6</v>
      </c>
      <c r="E696" s="269">
        <f t="shared" si="62"/>
        <v>166.21233333333333</v>
      </c>
    </row>
    <row r="697" spans="1:6">
      <c r="A697" s="19">
        <v>41244</v>
      </c>
      <c r="B697" s="268">
        <v>98.5</v>
      </c>
      <c r="C697" s="143">
        <v>164.1</v>
      </c>
      <c r="E697" s="269">
        <f t="shared" si="62"/>
        <v>162.09816666666666</v>
      </c>
      <c r="F697" s="270">
        <f t="shared" ref="F697" si="67">SUM(E686:E697)</f>
        <v>1974.9645666666668</v>
      </c>
    </row>
    <row r="698" spans="1:6">
      <c r="A698" s="19">
        <v>41275</v>
      </c>
      <c r="B698" s="268">
        <v>97.1</v>
      </c>
      <c r="C698" s="143">
        <v>145.9</v>
      </c>
      <c r="E698" s="269">
        <f t="shared" si="62"/>
        <v>159.79423333333332</v>
      </c>
    </row>
    <row r="699" spans="1:6">
      <c r="A699" s="19">
        <v>41306</v>
      </c>
      <c r="B699" s="268">
        <v>98.5</v>
      </c>
      <c r="C699" s="143">
        <v>163.6</v>
      </c>
      <c r="E699" s="269">
        <f t="shared" si="62"/>
        <v>162.09816666666666</v>
      </c>
    </row>
    <row r="700" spans="1:6">
      <c r="A700" s="19">
        <v>41334</v>
      </c>
      <c r="B700" s="268">
        <v>96.9</v>
      </c>
      <c r="C700" s="143">
        <v>161.1</v>
      </c>
      <c r="E700" s="269">
        <f t="shared" si="62"/>
        <v>159.46510000000001</v>
      </c>
    </row>
    <row r="701" spans="1:6">
      <c r="A701" s="19">
        <v>41365</v>
      </c>
      <c r="B701" s="268">
        <v>99.1</v>
      </c>
      <c r="C701" s="143">
        <v>168.3</v>
      </c>
      <c r="E701" s="269">
        <f t="shared" si="62"/>
        <v>163.08556666666667</v>
      </c>
    </row>
    <row r="702" spans="1:6">
      <c r="A702" s="19">
        <v>41395</v>
      </c>
      <c r="B702" s="268">
        <v>102.2</v>
      </c>
      <c r="C702" s="143">
        <v>157.69999999999999</v>
      </c>
      <c r="E702" s="269">
        <f t="shared" si="62"/>
        <v>168.18713333333332</v>
      </c>
    </row>
    <row r="703" spans="1:6">
      <c r="A703" s="19">
        <v>41426</v>
      </c>
      <c r="B703" s="268">
        <v>98.7</v>
      </c>
      <c r="C703" s="143">
        <v>168.6</v>
      </c>
      <c r="E703" s="269">
        <f t="shared" si="62"/>
        <v>162.4273</v>
      </c>
    </row>
    <row r="704" spans="1:6">
      <c r="A704" s="19">
        <v>41456</v>
      </c>
      <c r="B704" s="268">
        <v>98.9</v>
      </c>
      <c r="C704" s="143">
        <v>170.2</v>
      </c>
      <c r="E704" s="269">
        <f t="shared" si="62"/>
        <v>162.75643333333335</v>
      </c>
    </row>
    <row r="705" spans="1:6">
      <c r="A705" s="19">
        <v>41487</v>
      </c>
      <c r="B705" s="268">
        <v>100.2</v>
      </c>
      <c r="C705" s="143">
        <v>159</v>
      </c>
      <c r="E705" s="269">
        <f t="shared" si="62"/>
        <v>164.89580000000001</v>
      </c>
    </row>
    <row r="706" spans="1:6">
      <c r="A706" s="19">
        <v>41518</v>
      </c>
      <c r="B706" s="268">
        <v>98.9</v>
      </c>
      <c r="C706" s="143">
        <v>163.5</v>
      </c>
      <c r="E706" s="269">
        <f t="shared" si="62"/>
        <v>162.75643333333335</v>
      </c>
    </row>
    <row r="707" spans="1:6">
      <c r="A707" s="19">
        <v>41548</v>
      </c>
      <c r="B707" s="268">
        <v>100.3</v>
      </c>
      <c r="C707" s="143">
        <v>167.8</v>
      </c>
      <c r="E707" s="269">
        <f t="shared" ref="E707:E770" si="68">B707/100*$D$733</f>
        <v>165.06036666666665</v>
      </c>
    </row>
    <row r="708" spans="1:6">
      <c r="A708" s="19">
        <v>41579</v>
      </c>
      <c r="B708" s="268">
        <v>101</v>
      </c>
      <c r="C708" s="143">
        <v>172.8</v>
      </c>
      <c r="E708" s="269">
        <f t="shared" si="68"/>
        <v>166.21233333333333</v>
      </c>
    </row>
    <row r="709" spans="1:6">
      <c r="A709" s="19">
        <v>41609</v>
      </c>
      <c r="B709" s="268">
        <v>99.8</v>
      </c>
      <c r="C709" s="143">
        <v>166.3</v>
      </c>
      <c r="E709" s="269">
        <f t="shared" si="68"/>
        <v>164.23753333333332</v>
      </c>
      <c r="F709" s="270">
        <f t="shared" ref="F709" si="69">SUM(E698:E709)</f>
        <v>1960.9764</v>
      </c>
    </row>
    <row r="710" spans="1:6">
      <c r="A710" s="19">
        <v>41640</v>
      </c>
      <c r="B710" s="268">
        <v>101</v>
      </c>
      <c r="C710" s="143">
        <v>152.19999999999999</v>
      </c>
      <c r="E710" s="269">
        <f t="shared" si="68"/>
        <v>166.21233333333333</v>
      </c>
    </row>
    <row r="711" spans="1:6">
      <c r="A711" s="19">
        <v>41671</v>
      </c>
      <c r="B711" s="268">
        <v>99.5</v>
      </c>
      <c r="C711" s="143">
        <v>165.5</v>
      </c>
      <c r="E711" s="269">
        <f t="shared" si="68"/>
        <v>163.74383333333333</v>
      </c>
    </row>
    <row r="712" spans="1:6">
      <c r="A712" s="19">
        <v>41699</v>
      </c>
      <c r="B712" s="268">
        <v>98.7</v>
      </c>
      <c r="C712" s="143">
        <v>164.3</v>
      </c>
      <c r="E712" s="269">
        <f t="shared" si="68"/>
        <v>162.4273</v>
      </c>
    </row>
    <row r="713" spans="1:6">
      <c r="A713" s="19">
        <v>41730</v>
      </c>
      <c r="B713" s="268">
        <v>98.4</v>
      </c>
      <c r="C713" s="143">
        <v>168.1</v>
      </c>
      <c r="E713" s="269">
        <f t="shared" si="68"/>
        <v>161.93360000000001</v>
      </c>
    </row>
    <row r="714" spans="1:6">
      <c r="A714" s="19">
        <v>41760</v>
      </c>
      <c r="B714" s="268">
        <v>102.5</v>
      </c>
      <c r="C714" s="143">
        <v>158.1</v>
      </c>
      <c r="E714" s="269">
        <f t="shared" si="68"/>
        <v>168.68083333333331</v>
      </c>
    </row>
    <row r="715" spans="1:6">
      <c r="A715" s="19">
        <v>41791</v>
      </c>
      <c r="B715" s="268">
        <v>98.9</v>
      </c>
      <c r="C715" s="143">
        <v>169.3</v>
      </c>
      <c r="E715" s="269">
        <f t="shared" si="68"/>
        <v>162.75643333333335</v>
      </c>
    </row>
    <row r="716" spans="1:6">
      <c r="A716" s="19">
        <v>41821</v>
      </c>
      <c r="B716" s="268">
        <v>100.4</v>
      </c>
      <c r="C716" s="143">
        <v>172.9</v>
      </c>
      <c r="E716" s="269">
        <f t="shared" si="68"/>
        <v>165.22493333333333</v>
      </c>
    </row>
    <row r="717" spans="1:6">
      <c r="A717" s="19">
        <v>41852</v>
      </c>
      <c r="B717" s="268">
        <v>98.5</v>
      </c>
      <c r="C717" s="143">
        <v>156.1</v>
      </c>
      <c r="E717" s="269">
        <f t="shared" si="68"/>
        <v>162.09816666666666</v>
      </c>
    </row>
    <row r="718" spans="1:6">
      <c r="A718" s="19">
        <v>41883</v>
      </c>
      <c r="B718" s="268">
        <v>98.9</v>
      </c>
      <c r="C718" s="143">
        <v>163.6</v>
      </c>
      <c r="E718" s="269">
        <f t="shared" si="68"/>
        <v>162.75643333333335</v>
      </c>
    </row>
    <row r="719" spans="1:6">
      <c r="A719" s="19">
        <v>41913</v>
      </c>
      <c r="B719" s="268">
        <v>101.7</v>
      </c>
      <c r="C719" s="143">
        <v>170.2</v>
      </c>
      <c r="E719" s="269">
        <f t="shared" si="68"/>
        <v>167.36430000000001</v>
      </c>
    </row>
    <row r="720" spans="1:6">
      <c r="A720" s="19">
        <v>41944</v>
      </c>
      <c r="B720" s="268">
        <v>98.9</v>
      </c>
      <c r="C720" s="143">
        <v>169.4</v>
      </c>
      <c r="E720" s="269">
        <f t="shared" si="68"/>
        <v>162.75643333333335</v>
      </c>
    </row>
    <row r="721" spans="1:6">
      <c r="A721" s="19">
        <v>41974</v>
      </c>
      <c r="B721" s="268">
        <v>98.7</v>
      </c>
      <c r="C721" s="143">
        <v>164.5</v>
      </c>
      <c r="E721" s="269">
        <f>B721/100*$D$733</f>
        <v>162.4273</v>
      </c>
      <c r="F721" s="270">
        <f t="shared" ref="F721" si="70">SUM(E710:E721)</f>
        <v>1968.3819000000001</v>
      </c>
    </row>
    <row r="722" spans="1:6">
      <c r="A722" s="19">
        <v>42005</v>
      </c>
      <c r="B722" s="268">
        <v>100.8</v>
      </c>
      <c r="C722" s="143">
        <v>151.6</v>
      </c>
      <c r="E722" s="269">
        <f t="shared" si="68"/>
        <v>165.88319999999999</v>
      </c>
    </row>
    <row r="723" spans="1:6">
      <c r="A723" s="19">
        <v>42036</v>
      </c>
      <c r="B723" s="268">
        <v>99.8</v>
      </c>
      <c r="C723" s="143">
        <v>165.4</v>
      </c>
      <c r="E723" s="269">
        <f t="shared" si="68"/>
        <v>164.23753333333332</v>
      </c>
    </row>
    <row r="724" spans="1:6">
      <c r="A724" s="19">
        <v>42064</v>
      </c>
      <c r="B724" s="268">
        <v>100.3</v>
      </c>
      <c r="C724" s="143">
        <v>167</v>
      </c>
      <c r="E724" s="269">
        <f t="shared" si="68"/>
        <v>165.06036666666665</v>
      </c>
    </row>
    <row r="725" spans="1:6">
      <c r="A725" s="19">
        <v>42095</v>
      </c>
      <c r="B725" s="268">
        <v>101</v>
      </c>
      <c r="C725" s="143">
        <v>172.2</v>
      </c>
      <c r="E725" s="269">
        <f t="shared" si="68"/>
        <v>166.21233333333333</v>
      </c>
    </row>
    <row r="726" spans="1:6">
      <c r="A726" s="19">
        <v>42125</v>
      </c>
      <c r="B726" s="268">
        <v>100</v>
      </c>
      <c r="C726" s="143">
        <v>153.9</v>
      </c>
      <c r="E726" s="269">
        <f t="shared" si="68"/>
        <v>164.56666666666666</v>
      </c>
    </row>
    <row r="727" spans="1:6">
      <c r="A727" s="19">
        <v>42156</v>
      </c>
      <c r="B727" s="268">
        <v>99.5</v>
      </c>
      <c r="C727" s="143">
        <v>169.6</v>
      </c>
      <c r="E727" s="269">
        <f t="shared" si="68"/>
        <v>163.74383333333333</v>
      </c>
    </row>
    <row r="728" spans="1:6">
      <c r="A728" s="19">
        <v>42186</v>
      </c>
      <c r="B728" s="268">
        <v>101.4</v>
      </c>
      <c r="C728" s="143">
        <v>173.7</v>
      </c>
      <c r="E728" s="269">
        <f t="shared" si="68"/>
        <v>166.8706</v>
      </c>
    </row>
    <row r="729" spans="1:6">
      <c r="A729" s="19">
        <v>42217</v>
      </c>
      <c r="B729" s="268">
        <v>99.8</v>
      </c>
      <c r="C729" s="143">
        <v>157</v>
      </c>
      <c r="E729" s="269">
        <f t="shared" si="68"/>
        <v>164.23753333333332</v>
      </c>
    </row>
    <row r="730" spans="1:6">
      <c r="A730" s="19">
        <v>42248</v>
      </c>
      <c r="B730" s="268">
        <v>99.9</v>
      </c>
      <c r="C730" s="143">
        <v>164.6</v>
      </c>
      <c r="E730" s="269">
        <f t="shared" si="68"/>
        <v>164.40210000000002</v>
      </c>
    </row>
    <row r="731" spans="1:6">
      <c r="A731" s="19">
        <v>42278</v>
      </c>
      <c r="B731" s="268">
        <v>99.2</v>
      </c>
      <c r="C731" s="143">
        <v>165.3</v>
      </c>
      <c r="E731" s="269">
        <f t="shared" si="68"/>
        <v>163.25013333333334</v>
      </c>
    </row>
    <row r="732" spans="1:6">
      <c r="A732" s="19">
        <v>42309</v>
      </c>
      <c r="B732" s="268">
        <v>99.4</v>
      </c>
      <c r="C732" s="143">
        <v>169.7</v>
      </c>
      <c r="E732" s="269">
        <f t="shared" si="68"/>
        <v>163.57926666666668</v>
      </c>
    </row>
    <row r="733" spans="1:6">
      <c r="A733" s="19">
        <v>42339</v>
      </c>
      <c r="B733" s="268">
        <v>99.2</v>
      </c>
      <c r="C733" s="143">
        <v>164.8</v>
      </c>
      <c r="D733" s="269">
        <f>AVERAGE(C722:C733)</f>
        <v>164.56666666666666</v>
      </c>
      <c r="E733" s="269">
        <f>B733/100*$D$733</f>
        <v>163.25013333333334</v>
      </c>
      <c r="F733" s="270">
        <f t="shared" ref="F733" si="71">SUM(E722:E733)</f>
        <v>1975.2937000000002</v>
      </c>
    </row>
    <row r="734" spans="1:6">
      <c r="A734" s="19">
        <v>42370</v>
      </c>
      <c r="B734" s="268">
        <v>99.9</v>
      </c>
      <c r="C734" s="143">
        <v>150.19999999999999</v>
      </c>
      <c r="E734" s="269">
        <f t="shared" si="68"/>
        <v>164.40210000000002</v>
      </c>
    </row>
    <row r="735" spans="1:6">
      <c r="A735" s="19">
        <v>42401</v>
      </c>
      <c r="B735" s="268">
        <v>99.5</v>
      </c>
      <c r="C735" s="143">
        <v>164.7</v>
      </c>
      <c r="E735" s="269">
        <f t="shared" si="68"/>
        <v>163.74383333333333</v>
      </c>
    </row>
    <row r="736" spans="1:6">
      <c r="A736" s="19">
        <v>42430</v>
      </c>
      <c r="B736" s="268">
        <v>101.5</v>
      </c>
      <c r="C736" s="143">
        <v>169.2</v>
      </c>
      <c r="E736" s="269">
        <f t="shared" si="68"/>
        <v>167.03516666666664</v>
      </c>
    </row>
    <row r="737" spans="1:6">
      <c r="A737" s="19">
        <v>42461</v>
      </c>
      <c r="B737" s="268">
        <v>100.3</v>
      </c>
      <c r="C737" s="143">
        <v>171.2</v>
      </c>
      <c r="E737" s="269">
        <f t="shared" si="68"/>
        <v>165.06036666666665</v>
      </c>
    </row>
    <row r="738" spans="1:6">
      <c r="A738" s="19">
        <v>42491</v>
      </c>
      <c r="B738" s="268">
        <v>98.5</v>
      </c>
      <c r="C738" s="143">
        <v>151.9</v>
      </c>
      <c r="E738" s="269">
        <f t="shared" si="68"/>
        <v>162.09816666666666</v>
      </c>
    </row>
    <row r="739" spans="1:6">
      <c r="A739" s="19">
        <v>42522</v>
      </c>
      <c r="B739" s="268">
        <v>100.1</v>
      </c>
      <c r="C739" s="143">
        <v>170.8</v>
      </c>
      <c r="E739" s="269">
        <f t="shared" si="68"/>
        <v>164.73123333333331</v>
      </c>
    </row>
    <row r="740" spans="1:6">
      <c r="A740" s="19">
        <v>42552</v>
      </c>
      <c r="B740" s="268">
        <v>99.5</v>
      </c>
      <c r="C740" s="143">
        <v>170.2</v>
      </c>
      <c r="E740" s="269">
        <f t="shared" si="68"/>
        <v>163.74383333333333</v>
      </c>
    </row>
    <row r="741" spans="1:6">
      <c r="A741" s="19">
        <v>42583</v>
      </c>
      <c r="B741" s="268">
        <v>99.7</v>
      </c>
      <c r="C741" s="143">
        <v>156.6</v>
      </c>
      <c r="E741" s="269">
        <f t="shared" si="68"/>
        <v>164.07296666666667</v>
      </c>
    </row>
    <row r="742" spans="1:6">
      <c r="A742" s="19">
        <v>42614</v>
      </c>
      <c r="B742" s="268">
        <v>101</v>
      </c>
      <c r="C742" s="143">
        <v>166.4</v>
      </c>
      <c r="E742" s="269">
        <f t="shared" si="68"/>
        <v>166.21233333333333</v>
      </c>
    </row>
    <row r="743" spans="1:6">
      <c r="A743" s="19">
        <v>42644</v>
      </c>
      <c r="B743" s="268">
        <v>99.3</v>
      </c>
      <c r="C743" s="143">
        <v>165.6</v>
      </c>
      <c r="E743" s="269">
        <f t="shared" si="68"/>
        <v>163.41469999999998</v>
      </c>
    </row>
    <row r="744" spans="1:6">
      <c r="A744" s="19">
        <v>42675</v>
      </c>
      <c r="B744" s="268">
        <v>99.7</v>
      </c>
      <c r="C744" s="143">
        <v>170.2</v>
      </c>
      <c r="E744" s="269">
        <f t="shared" si="68"/>
        <v>164.07296666666667</v>
      </c>
    </row>
    <row r="745" spans="1:6">
      <c r="A745" s="19">
        <v>42705</v>
      </c>
      <c r="B745" s="268">
        <v>100.3</v>
      </c>
      <c r="C745" s="143">
        <v>167.1</v>
      </c>
      <c r="E745" s="269">
        <f t="shared" si="68"/>
        <v>165.06036666666665</v>
      </c>
      <c r="F745" s="270">
        <f t="shared" ref="F745" si="72">SUM(E734:E745)</f>
        <v>1973.6480333333332</v>
      </c>
    </row>
    <row r="746" spans="1:6">
      <c r="A746" s="19">
        <v>42736</v>
      </c>
      <c r="B746" s="268">
        <v>99</v>
      </c>
      <c r="C746" s="143">
        <v>148.80000000000001</v>
      </c>
      <c r="E746" s="269">
        <f t="shared" si="68"/>
        <v>162.92099999999999</v>
      </c>
    </row>
    <row r="747" spans="1:6">
      <c r="A747" s="19">
        <v>42767</v>
      </c>
      <c r="B747" s="268">
        <v>100.6</v>
      </c>
      <c r="C747" s="143">
        <v>166.5</v>
      </c>
      <c r="E747" s="269">
        <f t="shared" si="68"/>
        <v>165.55406666666667</v>
      </c>
    </row>
    <row r="748" spans="1:6">
      <c r="A748" s="19">
        <v>42795</v>
      </c>
      <c r="B748" s="268">
        <v>100.4</v>
      </c>
      <c r="C748" s="143">
        <v>167.5</v>
      </c>
      <c r="E748" s="269">
        <f t="shared" si="68"/>
        <v>165.22493333333333</v>
      </c>
    </row>
    <row r="749" spans="1:6">
      <c r="A749" s="19">
        <v>42826</v>
      </c>
      <c r="B749" s="268">
        <v>100.5</v>
      </c>
      <c r="C749" s="143">
        <v>171.5</v>
      </c>
      <c r="E749" s="269">
        <f t="shared" si="68"/>
        <v>165.38949999999997</v>
      </c>
    </row>
    <row r="750" spans="1:6">
      <c r="A750" s="19">
        <v>42856</v>
      </c>
      <c r="B750" s="268">
        <v>100.1</v>
      </c>
      <c r="C750" s="143">
        <v>154.6</v>
      </c>
      <c r="E750" s="269">
        <f t="shared" si="68"/>
        <v>164.73123333333331</v>
      </c>
    </row>
    <row r="751" spans="1:6">
      <c r="A751" s="19">
        <v>42887</v>
      </c>
      <c r="B751" s="268">
        <v>101</v>
      </c>
      <c r="C751" s="143">
        <v>172.1</v>
      </c>
      <c r="E751" s="269">
        <f t="shared" si="68"/>
        <v>166.21233333333333</v>
      </c>
    </row>
    <row r="752" spans="1:6">
      <c r="A752" s="19">
        <v>42917</v>
      </c>
      <c r="B752" s="268">
        <v>99.4</v>
      </c>
      <c r="C752" s="143">
        <v>169.6</v>
      </c>
      <c r="E752" s="269">
        <f t="shared" si="68"/>
        <v>163.57926666666668</v>
      </c>
    </row>
    <row r="753" spans="1:6">
      <c r="A753" s="19">
        <v>42948</v>
      </c>
      <c r="B753" s="268">
        <v>99.7</v>
      </c>
      <c r="C753" s="143">
        <v>156.5</v>
      </c>
      <c r="E753" s="269">
        <f t="shared" si="68"/>
        <v>164.07296666666667</v>
      </c>
    </row>
    <row r="754" spans="1:6">
      <c r="A754" s="19">
        <v>42979</v>
      </c>
      <c r="B754" s="268">
        <v>100.8</v>
      </c>
      <c r="C754" s="143">
        <v>166.1</v>
      </c>
      <c r="E754" s="269">
        <f t="shared" si="68"/>
        <v>165.88319999999999</v>
      </c>
    </row>
    <row r="755" spans="1:6">
      <c r="A755" s="19">
        <v>43009</v>
      </c>
      <c r="B755" s="268">
        <v>100.3</v>
      </c>
      <c r="C755" s="143">
        <v>167.4</v>
      </c>
      <c r="E755" s="269">
        <f t="shared" si="68"/>
        <v>165.06036666666665</v>
      </c>
    </row>
    <row r="756" spans="1:6">
      <c r="A756" s="19">
        <v>43040</v>
      </c>
      <c r="B756" s="268">
        <v>100.6</v>
      </c>
      <c r="C756" s="143">
        <v>172</v>
      </c>
      <c r="E756" s="269">
        <f t="shared" si="68"/>
        <v>165.55406666666667</v>
      </c>
    </row>
    <row r="757" spans="1:6">
      <c r="A757" s="19">
        <v>43070</v>
      </c>
      <c r="B757" s="268">
        <v>101.1</v>
      </c>
      <c r="C757" s="143">
        <v>168.8</v>
      </c>
      <c r="E757" s="269">
        <f t="shared" si="68"/>
        <v>166.37689999999998</v>
      </c>
      <c r="F757" s="270">
        <f t="shared" ref="F757" si="73">SUM(E746:E757)</f>
        <v>1980.559833333333</v>
      </c>
    </row>
    <row r="758" spans="1:6">
      <c r="A758" s="19">
        <v>43101</v>
      </c>
      <c r="B758" s="268">
        <v>100.2</v>
      </c>
      <c r="C758" s="143">
        <v>150.5</v>
      </c>
      <c r="E758" s="269">
        <f t="shared" si="68"/>
        <v>164.89580000000001</v>
      </c>
    </row>
    <row r="759" spans="1:6">
      <c r="A759" s="19">
        <v>43132</v>
      </c>
      <c r="B759" s="268">
        <v>99.4</v>
      </c>
      <c r="C759" s="143">
        <v>164.7</v>
      </c>
      <c r="E759" s="269">
        <f t="shared" si="68"/>
        <v>163.57926666666668</v>
      </c>
    </row>
    <row r="760" spans="1:6">
      <c r="A760" s="19">
        <v>43160</v>
      </c>
      <c r="B760" s="268">
        <v>99.9</v>
      </c>
      <c r="C760" s="143">
        <v>166.7</v>
      </c>
      <c r="E760" s="269">
        <f t="shared" si="68"/>
        <v>164.40210000000002</v>
      </c>
    </row>
    <row r="761" spans="1:6">
      <c r="A761" s="19">
        <v>43191</v>
      </c>
      <c r="B761" s="268">
        <v>99.6</v>
      </c>
      <c r="C761" s="143">
        <v>169.9</v>
      </c>
      <c r="E761" s="269">
        <f t="shared" si="68"/>
        <v>163.9084</v>
      </c>
    </row>
    <row r="762" spans="1:6">
      <c r="A762" s="19">
        <v>43221</v>
      </c>
      <c r="B762" s="268">
        <v>102</v>
      </c>
      <c r="C762" s="143">
        <v>157.80000000000001</v>
      </c>
      <c r="E762" s="269">
        <f t="shared" si="68"/>
        <v>167.858</v>
      </c>
    </row>
    <row r="763" spans="1:6">
      <c r="A763" s="19">
        <v>43252</v>
      </c>
      <c r="B763" s="268">
        <v>101.2</v>
      </c>
      <c r="C763" s="143">
        <v>172</v>
      </c>
      <c r="E763" s="269">
        <f t="shared" si="68"/>
        <v>166.54146666666665</v>
      </c>
    </row>
    <row r="764" spans="1:6">
      <c r="A764" s="19">
        <v>43282</v>
      </c>
      <c r="B764" s="268">
        <v>99.9</v>
      </c>
      <c r="C764" s="143">
        <v>169.8</v>
      </c>
      <c r="E764" s="269">
        <f t="shared" si="68"/>
        <v>164.40210000000002</v>
      </c>
    </row>
    <row r="765" spans="1:6">
      <c r="A765" s="19">
        <v>43313</v>
      </c>
      <c r="B765" s="268">
        <v>100.5</v>
      </c>
      <c r="C765" s="143">
        <v>157.69999999999999</v>
      </c>
      <c r="E765" s="269">
        <f t="shared" si="68"/>
        <v>165.38949999999997</v>
      </c>
    </row>
    <row r="766" spans="1:6">
      <c r="A766" s="19">
        <v>43344</v>
      </c>
      <c r="B766" s="268">
        <v>98.7</v>
      </c>
      <c r="C766" s="143">
        <v>162.5</v>
      </c>
      <c r="E766" s="269">
        <f t="shared" si="68"/>
        <v>162.4273</v>
      </c>
    </row>
    <row r="767" spans="1:6">
      <c r="A767" s="19">
        <v>43374</v>
      </c>
      <c r="B767" s="268">
        <v>100.5</v>
      </c>
      <c r="C767" s="143">
        <v>168</v>
      </c>
      <c r="E767" s="269">
        <f t="shared" si="68"/>
        <v>165.38949999999997</v>
      </c>
    </row>
    <row r="768" spans="1:6">
      <c r="A768" s="19">
        <v>43405</v>
      </c>
      <c r="B768" s="268">
        <v>102.8</v>
      </c>
      <c r="C768" s="143">
        <v>176</v>
      </c>
      <c r="E768" s="269">
        <f t="shared" si="68"/>
        <v>169.17453333333333</v>
      </c>
    </row>
    <row r="769" spans="1:6">
      <c r="A769" s="19">
        <v>43435</v>
      </c>
      <c r="B769" s="268">
        <v>99.2</v>
      </c>
      <c r="C769" s="143">
        <v>166</v>
      </c>
      <c r="E769" s="269">
        <f t="shared" si="68"/>
        <v>163.25013333333334</v>
      </c>
      <c r="F769" s="270">
        <f t="shared" ref="F769" si="74">SUM(E758:E769)</f>
        <v>1981.2181</v>
      </c>
    </row>
    <row r="770" spans="1:6">
      <c r="A770" s="19">
        <v>43466</v>
      </c>
      <c r="B770" s="268">
        <v>98.3</v>
      </c>
      <c r="C770" s="143">
        <v>147.69999999999999</v>
      </c>
      <c r="E770" s="269">
        <f t="shared" si="68"/>
        <v>161.76903333333334</v>
      </c>
    </row>
    <row r="771" spans="1:6">
      <c r="A771" s="19">
        <v>43497</v>
      </c>
      <c r="B771" s="268">
        <v>98.9</v>
      </c>
      <c r="C771" s="143">
        <v>164</v>
      </c>
      <c r="E771" s="269">
        <f t="shared" ref="E771:E800" si="75">B771/100*$D$733</f>
        <v>162.75643333333335</v>
      </c>
    </row>
    <row r="772" spans="1:6">
      <c r="A772" s="19">
        <v>43525</v>
      </c>
      <c r="B772" s="268">
        <v>97.9</v>
      </c>
      <c r="C772" s="143">
        <v>163.30000000000001</v>
      </c>
      <c r="E772" s="269">
        <f t="shared" si="75"/>
        <v>161.11076666666668</v>
      </c>
    </row>
    <row r="773" spans="1:6">
      <c r="A773" s="19">
        <v>43556</v>
      </c>
      <c r="B773" s="268">
        <v>98.3</v>
      </c>
      <c r="C773" s="143">
        <v>167.6</v>
      </c>
      <c r="E773" s="269">
        <f t="shared" si="75"/>
        <v>161.76903333333334</v>
      </c>
    </row>
    <row r="774" spans="1:6">
      <c r="A774" s="19">
        <v>43586</v>
      </c>
      <c r="B774" s="268">
        <v>99.4</v>
      </c>
      <c r="C774" s="143">
        <v>154</v>
      </c>
      <c r="E774" s="269">
        <f t="shared" si="75"/>
        <v>163.57926666666668</v>
      </c>
    </row>
    <row r="775" spans="1:6">
      <c r="A775" s="19">
        <v>43617</v>
      </c>
      <c r="B775" s="268">
        <v>98.1</v>
      </c>
      <c r="C775" s="143">
        <v>166.4</v>
      </c>
      <c r="E775" s="269">
        <f t="shared" si="75"/>
        <v>161.43989999999999</v>
      </c>
    </row>
    <row r="776" spans="1:6">
      <c r="A776" s="19">
        <v>43647</v>
      </c>
      <c r="B776" s="268">
        <v>99.4</v>
      </c>
      <c r="C776" s="143">
        <v>168.8</v>
      </c>
      <c r="E776" s="269">
        <f t="shared" si="75"/>
        <v>163.57926666666668</v>
      </c>
    </row>
    <row r="777" spans="1:6">
      <c r="A777" s="19">
        <v>43678</v>
      </c>
      <c r="B777" s="268">
        <v>99.2</v>
      </c>
      <c r="C777" s="143">
        <v>155.5</v>
      </c>
      <c r="E777" s="269">
        <f t="shared" si="75"/>
        <v>163.25013333333334</v>
      </c>
    </row>
    <row r="778" spans="1:6">
      <c r="A778" s="19">
        <v>43709</v>
      </c>
      <c r="B778" s="268">
        <v>97.8</v>
      </c>
      <c r="C778" s="143">
        <v>160.80000000000001</v>
      </c>
      <c r="E778" s="269">
        <f t="shared" si="75"/>
        <v>160.9462</v>
      </c>
    </row>
    <row r="779" spans="1:6">
      <c r="A779" s="19">
        <v>43739</v>
      </c>
      <c r="B779" s="268">
        <v>97.9</v>
      </c>
      <c r="C779" s="143">
        <v>164.1</v>
      </c>
      <c r="E779" s="269">
        <f t="shared" si="75"/>
        <v>161.11076666666668</v>
      </c>
    </row>
    <row r="780" spans="1:6">
      <c r="A780" s="19">
        <v>43770</v>
      </c>
      <c r="B780" s="268">
        <v>97.7</v>
      </c>
      <c r="C780" s="143">
        <v>167.6</v>
      </c>
      <c r="E780" s="269">
        <f t="shared" si="75"/>
        <v>160.78163333333333</v>
      </c>
    </row>
    <row r="781" spans="1:6">
      <c r="A781" s="19">
        <v>43800</v>
      </c>
      <c r="B781" s="268">
        <v>97.6</v>
      </c>
      <c r="C781" s="143">
        <v>163.5</v>
      </c>
      <c r="E781" s="269">
        <f t="shared" si="75"/>
        <v>160.61706666666666</v>
      </c>
      <c r="F781" s="270">
        <f t="shared" ref="F781" si="76">SUM(E770:E781)</f>
        <v>1942.7095000000004</v>
      </c>
    </row>
    <row r="782" spans="1:6">
      <c r="A782" s="19">
        <v>43831</v>
      </c>
      <c r="B782" s="268">
        <v>100.1</v>
      </c>
      <c r="C782" s="143">
        <v>150.19999999999999</v>
      </c>
      <c r="E782" s="269">
        <f t="shared" si="75"/>
        <v>164.73123333333331</v>
      </c>
    </row>
    <row r="783" spans="1:6">
      <c r="A783" s="19">
        <v>43862</v>
      </c>
      <c r="B783" s="268">
        <v>97.5</v>
      </c>
      <c r="C783" s="143">
        <v>161.6</v>
      </c>
      <c r="E783" s="269">
        <f t="shared" si="75"/>
        <v>160.45249999999999</v>
      </c>
    </row>
    <row r="784" spans="1:6">
      <c r="A784" s="19">
        <v>43891</v>
      </c>
      <c r="B784" s="268">
        <v>97</v>
      </c>
      <c r="C784" s="143">
        <v>161.6</v>
      </c>
      <c r="E784" s="269">
        <f t="shared" si="75"/>
        <v>159.62966666666665</v>
      </c>
    </row>
    <row r="785" spans="1:6">
      <c r="A785" s="19">
        <v>43922</v>
      </c>
      <c r="B785" s="268">
        <v>96</v>
      </c>
      <c r="C785" s="143">
        <v>163.5</v>
      </c>
      <c r="E785" s="269">
        <f t="shared" si="75"/>
        <v>157.98399999999998</v>
      </c>
    </row>
    <row r="786" spans="1:6">
      <c r="A786" s="19">
        <v>43952</v>
      </c>
      <c r="B786" s="268">
        <v>87.5</v>
      </c>
      <c r="C786" s="143">
        <v>135.80000000000001</v>
      </c>
      <c r="E786" s="269">
        <f t="shared" si="75"/>
        <v>143.99583333333334</v>
      </c>
    </row>
    <row r="787" spans="1:6">
      <c r="A787" s="19">
        <v>43983</v>
      </c>
      <c r="B787" s="268">
        <v>89.5</v>
      </c>
      <c r="C787" s="143">
        <v>151.6</v>
      </c>
      <c r="E787" s="269">
        <f t="shared" si="75"/>
        <v>147.28716666666668</v>
      </c>
    </row>
    <row r="788" spans="1:6">
      <c r="A788" s="19">
        <v>44013</v>
      </c>
      <c r="B788" s="268">
        <v>94.5</v>
      </c>
      <c r="C788" s="143">
        <v>160.5</v>
      </c>
      <c r="E788" s="269">
        <f t="shared" si="75"/>
        <v>155.51549999999997</v>
      </c>
    </row>
    <row r="789" spans="1:6">
      <c r="A789" s="19">
        <v>44044</v>
      </c>
      <c r="B789" s="268">
        <v>89.9</v>
      </c>
      <c r="C789" s="143">
        <v>141</v>
      </c>
      <c r="E789" s="269">
        <f t="shared" si="75"/>
        <v>147.94543333333334</v>
      </c>
    </row>
    <row r="790" spans="1:6">
      <c r="A790" s="19">
        <v>44075</v>
      </c>
      <c r="B790" s="268">
        <v>95.3</v>
      </c>
      <c r="C790" s="143">
        <v>156.6</v>
      </c>
      <c r="E790" s="269">
        <f t="shared" si="75"/>
        <v>156.83203333333333</v>
      </c>
    </row>
    <row r="791" spans="1:6">
      <c r="A791" s="19">
        <v>44105</v>
      </c>
      <c r="B791" s="268">
        <v>97.6</v>
      </c>
      <c r="C791" s="143">
        <v>163.69999999999999</v>
      </c>
      <c r="E791" s="269">
        <f t="shared" si="75"/>
        <v>160.61706666666666</v>
      </c>
    </row>
    <row r="792" spans="1:6">
      <c r="A792" s="19">
        <v>44136</v>
      </c>
      <c r="B792" s="268">
        <v>95.6</v>
      </c>
      <c r="C792" s="143">
        <v>164</v>
      </c>
      <c r="E792" s="269">
        <f t="shared" si="75"/>
        <v>157.32573333333332</v>
      </c>
    </row>
    <row r="793" spans="1:6">
      <c r="A793" s="19">
        <v>44166</v>
      </c>
      <c r="B793" s="268">
        <v>95.1</v>
      </c>
      <c r="C793" s="143">
        <v>159.19999999999999</v>
      </c>
      <c r="E793" s="269">
        <f t="shared" si="75"/>
        <v>156.50289999999998</v>
      </c>
      <c r="F793" s="270">
        <f t="shared" ref="F793" si="77">SUM(E782:E793)</f>
        <v>1868.8190666666667</v>
      </c>
    </row>
    <row r="794" spans="1:6">
      <c r="A794" s="19">
        <v>44197</v>
      </c>
      <c r="B794" s="268">
        <v>97.8</v>
      </c>
      <c r="C794" s="143">
        <v>146.80000000000001</v>
      </c>
      <c r="E794" s="269">
        <f t="shared" si="75"/>
        <v>160.9462</v>
      </c>
    </row>
    <row r="795" spans="1:6">
      <c r="A795" s="19">
        <v>44228</v>
      </c>
      <c r="B795" s="268">
        <v>94.1</v>
      </c>
      <c r="C795" s="143">
        <v>156</v>
      </c>
      <c r="E795" s="269">
        <f t="shared" si="75"/>
        <v>154.85723333333331</v>
      </c>
    </row>
    <row r="796" spans="1:6">
      <c r="A796" s="19">
        <v>44256</v>
      </c>
      <c r="B796" s="268">
        <v>97.2</v>
      </c>
      <c r="C796" s="143">
        <v>162</v>
      </c>
      <c r="E796" s="269">
        <f t="shared" si="75"/>
        <v>159.9588</v>
      </c>
    </row>
    <row r="797" spans="1:6">
      <c r="A797" s="19">
        <v>44287</v>
      </c>
      <c r="B797" s="268">
        <v>99.9</v>
      </c>
      <c r="C797" s="143">
        <v>170</v>
      </c>
      <c r="E797" s="269">
        <f t="shared" si="75"/>
        <v>164.40210000000002</v>
      </c>
    </row>
    <row r="798" spans="1:6">
      <c r="A798" s="19">
        <v>44317</v>
      </c>
      <c r="B798" s="268">
        <v>94.8</v>
      </c>
      <c r="C798" s="143">
        <v>147.1</v>
      </c>
      <c r="E798" s="269">
        <f t="shared" si="75"/>
        <v>156.00919999999999</v>
      </c>
    </row>
    <row r="799" spans="1:6">
      <c r="A799" s="19">
        <v>44348</v>
      </c>
      <c r="B799" s="268">
        <v>97.1</v>
      </c>
      <c r="C799" s="143">
        <v>164.3</v>
      </c>
      <c r="E799" s="269">
        <f t="shared" si="75"/>
        <v>159.79423333333332</v>
      </c>
    </row>
    <row r="800" spans="1:6">
      <c r="A800" s="19">
        <v>44378</v>
      </c>
      <c r="B800" s="268">
        <v>98.7</v>
      </c>
      <c r="C800" s="143">
        <v>167.8</v>
      </c>
      <c r="E800" s="269">
        <f t="shared" si="75"/>
        <v>162.4273</v>
      </c>
    </row>
    <row r="801" spans="1:5">
      <c r="A801" s="19">
        <v>44409</v>
      </c>
      <c r="B801" s="268">
        <v>93.4</v>
      </c>
      <c r="C801" s="143">
        <v>146.69999999999999</v>
      </c>
      <c r="E801" s="269">
        <f>B801/100*$D$733</f>
        <v>153.70526666666666</v>
      </c>
    </row>
  </sheetData>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6456C-1DAD-444A-A723-941138F0F34A}">
  <sheetPr>
    <pageSetUpPr fitToPage="1"/>
  </sheetPr>
  <dimension ref="A1:AP27"/>
  <sheetViews>
    <sheetView view="pageBreakPreview" zoomScale="85" zoomScaleNormal="75" zoomScaleSheetLayoutView="85" workbookViewId="0">
      <selection activeCell="W5" sqref="W5"/>
    </sheetView>
  </sheetViews>
  <sheetFormatPr defaultColWidth="9" defaultRowHeight="13.3"/>
  <cols>
    <col min="1" max="1" width="6.07421875" style="98" customWidth="1"/>
    <col min="2" max="2" width="4.3046875" style="98" customWidth="1"/>
    <col min="3" max="3" width="20.69140625" style="98" customWidth="1"/>
    <col min="4" max="18" width="9.3046875" style="98" customWidth="1"/>
    <col min="19" max="22" width="9" style="98"/>
    <col min="23" max="23" width="9" style="98" customWidth="1"/>
    <col min="24" max="16384" width="9" style="98"/>
  </cols>
  <sheetData>
    <row r="1" spans="1:42" ht="40.200000000000003" customHeight="1">
      <c r="A1" s="97" t="s">
        <v>127</v>
      </c>
    </row>
    <row r="2" spans="1:42" ht="6" customHeight="1">
      <c r="B2" s="99"/>
    </row>
    <row r="3" spans="1:42" ht="21" customHeight="1" thickBot="1">
      <c r="A3" s="100" t="s">
        <v>128</v>
      </c>
      <c r="B3" s="100"/>
      <c r="C3" s="100"/>
      <c r="D3" s="100"/>
      <c r="E3" s="100"/>
      <c r="F3" s="100"/>
      <c r="G3" s="100"/>
      <c r="H3" s="100"/>
      <c r="I3" s="100"/>
      <c r="J3" s="100"/>
      <c r="K3" s="100"/>
      <c r="L3" s="100"/>
      <c r="M3" s="100"/>
      <c r="N3" s="100"/>
      <c r="O3" s="100"/>
      <c r="P3" s="100"/>
      <c r="Q3" s="100"/>
      <c r="R3" s="100"/>
      <c r="S3" s="100"/>
      <c r="T3" s="100"/>
      <c r="U3" s="100"/>
      <c r="V3" s="100"/>
      <c r="AC3" s="101"/>
      <c r="AD3" s="101"/>
      <c r="AE3" s="101"/>
      <c r="AF3" s="101" t="s">
        <v>129</v>
      </c>
    </row>
    <row r="4" spans="1:42" ht="30" customHeight="1" thickBot="1">
      <c r="A4" s="409" t="s">
        <v>130</v>
      </c>
      <c r="B4" s="410"/>
      <c r="C4" s="411"/>
      <c r="D4" s="102">
        <v>2002</v>
      </c>
      <c r="E4" s="102">
        <v>2003</v>
      </c>
      <c r="F4" s="102">
        <v>2004</v>
      </c>
      <c r="G4" s="102">
        <v>2005</v>
      </c>
      <c r="H4" s="102">
        <v>2006</v>
      </c>
      <c r="I4" s="102">
        <v>2007</v>
      </c>
      <c r="J4" s="102">
        <v>2008</v>
      </c>
      <c r="K4" s="102">
        <v>2009</v>
      </c>
      <c r="L4" s="102">
        <v>2010</v>
      </c>
      <c r="M4" s="102">
        <v>2011</v>
      </c>
      <c r="N4" s="102">
        <v>2012</v>
      </c>
      <c r="O4" s="102">
        <v>2013</v>
      </c>
      <c r="P4" s="102">
        <v>2014</v>
      </c>
      <c r="Q4" s="102">
        <v>2015</v>
      </c>
      <c r="R4" s="102">
        <v>2016</v>
      </c>
      <c r="S4" s="102">
        <v>2017</v>
      </c>
      <c r="T4" s="102">
        <v>2018</v>
      </c>
      <c r="U4" s="103">
        <v>2019</v>
      </c>
      <c r="V4" s="102">
        <v>2020</v>
      </c>
      <c r="W4" s="104">
        <v>2021</v>
      </c>
      <c r="X4" s="102">
        <v>2022</v>
      </c>
      <c r="Y4" s="103">
        <v>2023</v>
      </c>
      <c r="Z4" s="103">
        <v>2024</v>
      </c>
      <c r="AA4" s="102">
        <v>2025</v>
      </c>
      <c r="AB4" s="102">
        <v>2026</v>
      </c>
      <c r="AC4" s="102">
        <v>2027</v>
      </c>
      <c r="AD4" s="102">
        <v>2028</v>
      </c>
      <c r="AE4" s="102">
        <v>2029</v>
      </c>
      <c r="AF4" s="102">
        <v>2030</v>
      </c>
      <c r="AG4" s="225">
        <v>2031</v>
      </c>
      <c r="AH4" s="104">
        <v>2032</v>
      </c>
      <c r="AI4" s="102">
        <v>2033</v>
      </c>
      <c r="AJ4" s="102">
        <v>2034</v>
      </c>
      <c r="AK4" s="102">
        <v>2035</v>
      </c>
      <c r="AL4" s="102">
        <v>2036</v>
      </c>
      <c r="AM4" s="102">
        <v>2037</v>
      </c>
      <c r="AN4" s="102">
        <v>2038</v>
      </c>
      <c r="AO4" s="102">
        <v>2039</v>
      </c>
      <c r="AP4" s="102">
        <v>2040</v>
      </c>
    </row>
    <row r="5" spans="1:42" ht="15.9" customHeight="1">
      <c r="A5" s="105" t="s">
        <v>131</v>
      </c>
      <c r="B5" s="106"/>
      <c r="C5" s="107"/>
      <c r="D5" s="235"/>
      <c r="E5" s="195">
        <f>(E6/D6-1)*100</f>
        <v>1.927794640420144</v>
      </c>
      <c r="F5" s="195">
        <f t="shared" ref="F5" si="0">(F6/E6-1)*100</f>
        <v>1.6816648962383773</v>
      </c>
      <c r="G5" s="195">
        <f t="shared" ref="G5" si="1">(G6/F6-1)*100</f>
        <v>2.1561282262302583</v>
      </c>
      <c r="H5" s="195">
        <f t="shared" ref="H5" si="2">(H6/G6-1)*100</f>
        <v>1.2909172228934507</v>
      </c>
      <c r="I5" s="195">
        <f t="shared" ref="I5" si="3">(I6/H6-1)*100</f>
        <v>1.0506957237006009</v>
      </c>
      <c r="J5" s="195">
        <f t="shared" ref="J5" si="4">(J6/I6-1)*100</f>
        <v>-3.6050031293265228</v>
      </c>
      <c r="K5" s="195">
        <f t="shared" ref="K5" si="5">(K6/J6-1)*100</f>
        <v>-2.4366178145558526</v>
      </c>
      <c r="L5" s="195">
        <f t="shared" ref="L5" si="6">(L6/K6-1)*100</f>
        <v>3.2641529409985326</v>
      </c>
      <c r="M5" s="195">
        <f t="shared" ref="M5" si="7">(M6/L6-1)*100</f>
        <v>0.5109129977383553</v>
      </c>
      <c r="N5" s="195">
        <f>(N6/M6-1)*100</f>
        <v>0.63008094934344783</v>
      </c>
      <c r="O5" s="195">
        <f t="shared" ref="O5" si="8">(O6/N6-1)*100</f>
        <v>2.7335348048010522</v>
      </c>
      <c r="P5" s="195">
        <f t="shared" ref="P5" si="9">(P6/O6-1)*100</f>
        <v>-0.35498394603523664</v>
      </c>
      <c r="Q5" s="195">
        <f t="shared" ref="Q5" si="10">(Q6/P6-1)*100</f>
        <v>1.7385601733411082</v>
      </c>
      <c r="R5" s="195">
        <f t="shared" ref="R5" si="11">(R6/Q6-1)*100</f>
        <v>0.75141455662701695</v>
      </c>
      <c r="S5" s="195">
        <f t="shared" ref="S5" si="12">(S6/R6-1)*100</f>
        <v>1.7944752397819785</v>
      </c>
      <c r="T5" s="195">
        <f t="shared" ref="T5" si="13">(T6/S6-1)*100</f>
        <v>0.18880550556492626</v>
      </c>
      <c r="U5" s="195">
        <f t="shared" ref="U5" si="14">(U6/T6-1)*100</f>
        <v>-0.65512658064557083</v>
      </c>
      <c r="V5" s="195">
        <f t="shared" ref="V5" si="15">(V6/U6-1)*100</f>
        <v>-4.534802249503378</v>
      </c>
      <c r="W5" s="206">
        <v>2.6</v>
      </c>
      <c r="X5" s="206">
        <v>3.2</v>
      </c>
      <c r="Y5" s="206">
        <v>2.1</v>
      </c>
      <c r="Z5" s="207">
        <v>2.6</v>
      </c>
      <c r="AA5" s="206">
        <v>1.9</v>
      </c>
      <c r="AB5" s="206">
        <v>2</v>
      </c>
      <c r="AC5" s="206">
        <v>1.9</v>
      </c>
      <c r="AD5" s="206">
        <v>1.9</v>
      </c>
      <c r="AE5" s="206">
        <v>1.8</v>
      </c>
      <c r="AF5" s="206">
        <v>1.8</v>
      </c>
      <c r="AG5" s="226">
        <v>1.7</v>
      </c>
      <c r="AH5" s="219">
        <f t="shared" ref="AH5:AP5" si="16">AG5</f>
        <v>1.7</v>
      </c>
      <c r="AI5" s="218">
        <f t="shared" si="16"/>
        <v>1.7</v>
      </c>
      <c r="AJ5" s="218">
        <f t="shared" si="16"/>
        <v>1.7</v>
      </c>
      <c r="AK5" s="218">
        <f t="shared" si="16"/>
        <v>1.7</v>
      </c>
      <c r="AL5" s="218">
        <f t="shared" si="16"/>
        <v>1.7</v>
      </c>
      <c r="AM5" s="218">
        <f t="shared" si="16"/>
        <v>1.7</v>
      </c>
      <c r="AN5" s="218">
        <f t="shared" si="16"/>
        <v>1.7</v>
      </c>
      <c r="AO5" s="218">
        <f t="shared" si="16"/>
        <v>1.7</v>
      </c>
      <c r="AP5" s="218">
        <f t="shared" si="16"/>
        <v>1.7</v>
      </c>
    </row>
    <row r="6" spans="1:42" s="108" customFormat="1" ht="15.9" customHeight="1">
      <c r="A6" s="246" t="s">
        <v>132</v>
      </c>
      <c r="B6" s="247"/>
      <c r="C6" s="248"/>
      <c r="D6" s="238">
        <v>486.54559999999998</v>
      </c>
      <c r="E6" s="239">
        <v>495.92520000000002</v>
      </c>
      <c r="F6" s="239">
        <v>504.26499999999999</v>
      </c>
      <c r="G6" s="239">
        <v>515.13760000000002</v>
      </c>
      <c r="H6" s="210">
        <v>521.7876</v>
      </c>
      <c r="I6" s="210">
        <v>527.27</v>
      </c>
      <c r="J6" s="210">
        <v>508.26190000000003</v>
      </c>
      <c r="K6" s="210">
        <v>495.8775</v>
      </c>
      <c r="L6" s="210">
        <v>512.06370000000004</v>
      </c>
      <c r="M6" s="210">
        <v>514.67989999999998</v>
      </c>
      <c r="N6" s="210">
        <v>517.92279999999994</v>
      </c>
      <c r="O6" s="210">
        <v>532.08040000000005</v>
      </c>
      <c r="P6" s="210">
        <v>530.19159999999999</v>
      </c>
      <c r="Q6" s="210">
        <v>539.40930000000003</v>
      </c>
      <c r="R6" s="210">
        <v>543.46249999999998</v>
      </c>
      <c r="S6" s="210">
        <v>553.21480000000008</v>
      </c>
      <c r="T6" s="210">
        <v>554.25930000000005</v>
      </c>
      <c r="U6" s="210">
        <v>550.62819999999999</v>
      </c>
      <c r="V6" s="210">
        <v>525.65830000000005</v>
      </c>
      <c r="W6" s="193">
        <f>V6*(1+W5/100)</f>
        <v>539.32541580000009</v>
      </c>
      <c r="X6" s="193">
        <f t="shared" ref="X6" si="17">W6*(1+X5/100)</f>
        <v>556.5838291056001</v>
      </c>
      <c r="Y6" s="193">
        <f>X6*(1+Y5/100)</f>
        <v>568.27208951681769</v>
      </c>
      <c r="Z6" s="193">
        <f t="shared" ref="Z6:AP6" si="18">Y6*(1+Z5/100)</f>
        <v>583.04716384425501</v>
      </c>
      <c r="AA6" s="193">
        <f t="shared" si="18"/>
        <v>594.12505995729578</v>
      </c>
      <c r="AB6" s="193">
        <f t="shared" si="18"/>
        <v>606.00756115644174</v>
      </c>
      <c r="AC6" s="193">
        <f t="shared" si="18"/>
        <v>617.52170481841404</v>
      </c>
      <c r="AD6" s="193">
        <f t="shared" si="18"/>
        <v>629.25461720996384</v>
      </c>
      <c r="AE6" s="193">
        <f t="shared" si="18"/>
        <v>640.58120031974317</v>
      </c>
      <c r="AF6" s="193">
        <f t="shared" si="18"/>
        <v>652.11166192549854</v>
      </c>
      <c r="AG6" s="227">
        <f t="shared" si="18"/>
        <v>663.19756017823192</v>
      </c>
      <c r="AH6" s="220">
        <f t="shared" si="18"/>
        <v>674.47191870126176</v>
      </c>
      <c r="AI6" s="193">
        <f t="shared" si="18"/>
        <v>685.9379413191831</v>
      </c>
      <c r="AJ6" s="193">
        <f t="shared" si="18"/>
        <v>697.59888632160914</v>
      </c>
      <c r="AK6" s="193">
        <f t="shared" si="18"/>
        <v>709.4580673890764</v>
      </c>
      <c r="AL6" s="193">
        <f t="shared" si="18"/>
        <v>721.5188545346906</v>
      </c>
      <c r="AM6" s="193">
        <f t="shared" si="18"/>
        <v>733.78467506178026</v>
      </c>
      <c r="AN6" s="193">
        <f t="shared" si="18"/>
        <v>746.25901453783047</v>
      </c>
      <c r="AO6" s="193">
        <f t="shared" si="18"/>
        <v>758.94541778497353</v>
      </c>
      <c r="AP6" s="193">
        <f t="shared" si="18"/>
        <v>771.84748988731803</v>
      </c>
    </row>
    <row r="7" spans="1:42" ht="15.9" customHeight="1">
      <c r="A7" s="105" t="s">
        <v>133</v>
      </c>
      <c r="B7" s="106"/>
      <c r="C7" s="107"/>
      <c r="D7" s="236">
        <v>0.8</v>
      </c>
      <c r="E7" s="237">
        <v>2.1</v>
      </c>
      <c r="F7" s="237">
        <v>1.6</v>
      </c>
      <c r="G7" s="237">
        <v>1.6</v>
      </c>
      <c r="H7" s="208">
        <v>1</v>
      </c>
      <c r="I7" s="208">
        <v>0.4</v>
      </c>
      <c r="J7" s="208">
        <v>-4.9000000000000004</v>
      </c>
      <c r="K7" s="208">
        <v>-1.3</v>
      </c>
      <c r="L7" s="208">
        <v>2.6</v>
      </c>
      <c r="M7" s="208">
        <v>-0.6</v>
      </c>
      <c r="N7" s="208">
        <v>0.6</v>
      </c>
      <c r="O7" s="208">
        <v>3.1</v>
      </c>
      <c r="P7" s="208">
        <v>0.1</v>
      </c>
      <c r="Q7" s="208">
        <v>3.3</v>
      </c>
      <c r="R7" s="208">
        <v>0.8</v>
      </c>
      <c r="S7" s="208">
        <v>1.3</v>
      </c>
      <c r="T7" s="208">
        <v>-0.3</v>
      </c>
      <c r="U7" s="208">
        <v>-0.3</v>
      </c>
      <c r="V7" s="208">
        <v>-3.9</v>
      </c>
      <c r="W7" s="208">
        <v>1.4</v>
      </c>
      <c r="X7" s="208">
        <v>3.1</v>
      </c>
      <c r="Y7" s="208">
        <v>2.6</v>
      </c>
      <c r="Z7" s="209">
        <v>2.8</v>
      </c>
      <c r="AA7" s="208">
        <v>2</v>
      </c>
      <c r="AB7" s="208">
        <v>2.1</v>
      </c>
      <c r="AC7" s="208">
        <v>2</v>
      </c>
      <c r="AD7" s="208">
        <v>1.9</v>
      </c>
      <c r="AE7" s="208">
        <v>1.8</v>
      </c>
      <c r="AF7" s="208">
        <v>1.8</v>
      </c>
      <c r="AG7" s="228">
        <v>1.7</v>
      </c>
      <c r="AH7" s="221"/>
      <c r="AI7" s="111"/>
      <c r="AJ7" s="111"/>
      <c r="AK7" s="111"/>
      <c r="AL7" s="111"/>
      <c r="AM7" s="111"/>
      <c r="AN7" s="111"/>
      <c r="AO7" s="111"/>
      <c r="AP7" s="111"/>
    </row>
    <row r="8" spans="1:42" ht="15.9" customHeight="1">
      <c r="A8" s="113" t="s">
        <v>134</v>
      </c>
      <c r="B8" s="106"/>
      <c r="C8" s="107"/>
      <c r="D8" s="236">
        <v>-0.7</v>
      </c>
      <c r="E8" s="195">
        <f>(E9/D9-1)*100</f>
        <v>0.52660535736799297</v>
      </c>
      <c r="F8" s="195">
        <f t="shared" ref="F8:M8" si="19">(F9/E9-1)*100</f>
        <v>0.64820477113678443</v>
      </c>
      <c r="G8" s="195">
        <f t="shared" si="19"/>
        <v>0.84513142670705754</v>
      </c>
      <c r="H8" s="195">
        <f t="shared" si="19"/>
        <v>0.5900098799928255</v>
      </c>
      <c r="I8" s="195">
        <f t="shared" si="19"/>
        <v>0.22763610237857002</v>
      </c>
      <c r="J8" s="195">
        <f t="shared" si="19"/>
        <v>-4.1431128872910001</v>
      </c>
      <c r="K8" s="195">
        <f t="shared" si="19"/>
        <v>-3.6435775533056658</v>
      </c>
      <c r="L8" s="195">
        <f t="shared" si="19"/>
        <v>1.5090070346472695</v>
      </c>
      <c r="M8" s="195">
        <f t="shared" si="19"/>
        <v>-0.95699485077507251</v>
      </c>
      <c r="N8" s="195">
        <f>(N9/M9-1)*100</f>
        <v>-0.1233100118890329</v>
      </c>
      <c r="O8" s="195">
        <f t="shared" ref="O8" si="20">(O9/N9-1)*100</f>
        <v>2.6553995513630912</v>
      </c>
      <c r="P8" s="195">
        <f t="shared" ref="P8" si="21">(P9/O9-1)*100</f>
        <v>2.0934272388380082</v>
      </c>
      <c r="Q8" s="195">
        <f t="shared" ref="Q8" si="22">(Q9/P9-1)*100</f>
        <v>3.3092270560658665</v>
      </c>
      <c r="R8" s="195">
        <f t="shared" ref="R8" si="23">(R9/Q9-1)*100</f>
        <v>0.75596488807729845</v>
      </c>
      <c r="S8" s="195">
        <f t="shared" ref="S8" si="24">(S9/R9-1)*100</f>
        <v>1.9996615440638799</v>
      </c>
      <c r="T8" s="195">
        <f t="shared" ref="T8" si="25">(T9/S9-1)*100</f>
        <v>0.10469265292585295</v>
      </c>
      <c r="U8" s="195">
        <f t="shared" ref="U8" si="26">(U9/T9-1)*100</f>
        <v>0.1802612493859268</v>
      </c>
      <c r="V8" s="195">
        <f t="shared" ref="V8" si="27">(V9/U9-1)*100</f>
        <v>-3.9110615074469779</v>
      </c>
      <c r="W8" s="208">
        <v>1.7</v>
      </c>
      <c r="X8" s="208">
        <v>3.6</v>
      </c>
      <c r="Y8" s="208">
        <v>2.8</v>
      </c>
      <c r="Z8" s="209">
        <v>3.6</v>
      </c>
      <c r="AA8" s="208">
        <v>3.2</v>
      </c>
      <c r="AB8" s="208">
        <v>3.4</v>
      </c>
      <c r="AC8" s="208">
        <v>3.4</v>
      </c>
      <c r="AD8" s="208">
        <v>3.3</v>
      </c>
      <c r="AE8" s="208">
        <v>3.3</v>
      </c>
      <c r="AF8" s="208">
        <v>3.2</v>
      </c>
      <c r="AG8" s="228">
        <v>3.2</v>
      </c>
      <c r="AH8" s="222">
        <f t="shared" ref="AH8:AP8" si="28">AG8</f>
        <v>3.2</v>
      </c>
      <c r="AI8" s="118">
        <f t="shared" si="28"/>
        <v>3.2</v>
      </c>
      <c r="AJ8" s="118">
        <f t="shared" si="28"/>
        <v>3.2</v>
      </c>
      <c r="AK8" s="118">
        <f t="shared" si="28"/>
        <v>3.2</v>
      </c>
      <c r="AL8" s="118">
        <f t="shared" si="28"/>
        <v>3.2</v>
      </c>
      <c r="AM8" s="118">
        <f t="shared" si="28"/>
        <v>3.2</v>
      </c>
      <c r="AN8" s="118">
        <f t="shared" si="28"/>
        <v>3.2</v>
      </c>
      <c r="AO8" s="118">
        <f t="shared" si="28"/>
        <v>3.2</v>
      </c>
      <c r="AP8" s="118">
        <f t="shared" si="28"/>
        <v>3.2</v>
      </c>
    </row>
    <row r="9" spans="1:42" ht="15.9" customHeight="1">
      <c r="A9" s="113" t="s">
        <v>135</v>
      </c>
      <c r="B9" s="114"/>
      <c r="C9" s="115"/>
      <c r="D9" s="238">
        <v>523.46600000000001</v>
      </c>
      <c r="E9" s="239">
        <v>526.22259999999994</v>
      </c>
      <c r="F9" s="239">
        <v>529.6336</v>
      </c>
      <c r="G9" s="239">
        <v>534.10969999999998</v>
      </c>
      <c r="H9" s="210">
        <v>537.26099999999997</v>
      </c>
      <c r="I9" s="210">
        <v>538.48400000000004</v>
      </c>
      <c r="J9" s="210">
        <v>516.17399999999998</v>
      </c>
      <c r="K9" s="210">
        <v>497.36680000000001</v>
      </c>
      <c r="L9" s="210">
        <v>504.87209999999999</v>
      </c>
      <c r="M9" s="210">
        <v>500.04050000000001</v>
      </c>
      <c r="N9" s="210">
        <v>499.4239</v>
      </c>
      <c r="O9" s="210">
        <v>512.68560000000002</v>
      </c>
      <c r="P9" s="210">
        <v>523.41830000000004</v>
      </c>
      <c r="Q9" s="210">
        <v>540.73940000000005</v>
      </c>
      <c r="R9" s="210">
        <v>544.82719999999995</v>
      </c>
      <c r="S9" s="210">
        <v>555.72190000000001</v>
      </c>
      <c r="T9" s="210">
        <v>556.30369999999994</v>
      </c>
      <c r="U9" s="210">
        <v>557.30650000000003</v>
      </c>
      <c r="V9" s="210">
        <v>535.50990000000002</v>
      </c>
      <c r="W9" s="210">
        <v>544.9</v>
      </c>
      <c r="X9" s="210">
        <v>564.6</v>
      </c>
      <c r="Y9" s="210">
        <v>580.6</v>
      </c>
      <c r="Z9" s="211">
        <v>601.79999999999995</v>
      </c>
      <c r="AA9" s="210">
        <v>621.20000000000005</v>
      </c>
      <c r="AB9" s="210">
        <v>642.5</v>
      </c>
      <c r="AC9" s="210">
        <v>664.4</v>
      </c>
      <c r="AD9" s="210">
        <v>686.5</v>
      </c>
      <c r="AE9" s="210">
        <v>709</v>
      </c>
      <c r="AF9" s="210">
        <v>731.8</v>
      </c>
      <c r="AG9" s="229">
        <v>754.9</v>
      </c>
      <c r="AH9" s="220">
        <f>AG9*(1+AH8/100)</f>
        <v>779.05679999999995</v>
      </c>
      <c r="AI9" s="193">
        <f t="shared" ref="AI9:AP9" si="29">AH9*(1+AI8/100)</f>
        <v>803.98661759999993</v>
      </c>
      <c r="AJ9" s="193">
        <f t="shared" si="29"/>
        <v>829.71418936319992</v>
      </c>
      <c r="AK9" s="193">
        <f t="shared" si="29"/>
        <v>856.26504342282237</v>
      </c>
      <c r="AL9" s="193">
        <f t="shared" si="29"/>
        <v>883.66552481235271</v>
      </c>
      <c r="AM9" s="193">
        <f t="shared" si="29"/>
        <v>911.94282160634805</v>
      </c>
      <c r="AN9" s="193">
        <f t="shared" si="29"/>
        <v>941.12499189775122</v>
      </c>
      <c r="AO9" s="193">
        <f t="shared" si="29"/>
        <v>971.24099163847927</v>
      </c>
      <c r="AP9" s="193">
        <f t="shared" si="29"/>
        <v>1002.3207033709107</v>
      </c>
    </row>
    <row r="10" spans="1:42" ht="15.9" customHeight="1">
      <c r="A10" s="116" t="s">
        <v>136</v>
      </c>
      <c r="B10" s="114"/>
      <c r="C10" s="115"/>
      <c r="D10" s="236">
        <v>-1</v>
      </c>
      <c r="E10" s="237">
        <v>0.6</v>
      </c>
      <c r="F10" s="237">
        <v>0.9</v>
      </c>
      <c r="G10" s="237">
        <v>1.2</v>
      </c>
      <c r="H10" s="208">
        <v>1</v>
      </c>
      <c r="I10" s="208">
        <v>0.5</v>
      </c>
      <c r="J10" s="208">
        <v>-4.7</v>
      </c>
      <c r="K10" s="208">
        <v>-3.4</v>
      </c>
      <c r="L10" s="208">
        <v>1.2</v>
      </c>
      <c r="M10" s="208">
        <v>-0.8</v>
      </c>
      <c r="N10" s="208">
        <v>0.1</v>
      </c>
      <c r="O10" s="208">
        <v>3.5</v>
      </c>
      <c r="P10" s="208">
        <v>2.5</v>
      </c>
      <c r="Q10" s="208">
        <v>3.6</v>
      </c>
      <c r="R10" s="208">
        <v>0.5</v>
      </c>
      <c r="S10" s="208">
        <v>2.2999999999999998</v>
      </c>
      <c r="T10" s="208">
        <v>0.6</v>
      </c>
      <c r="U10" s="208">
        <v>0.6</v>
      </c>
      <c r="V10" s="208">
        <v>-3.9</v>
      </c>
      <c r="W10" s="208">
        <v>2.6</v>
      </c>
      <c r="X10" s="208">
        <v>4.3</v>
      </c>
      <c r="Y10" s="208">
        <v>3.2</v>
      </c>
      <c r="Z10" s="209">
        <v>4</v>
      </c>
      <c r="AA10" s="208">
        <v>3.7</v>
      </c>
      <c r="AB10" s="208">
        <v>3.9</v>
      </c>
      <c r="AC10" s="208">
        <v>3.8</v>
      </c>
      <c r="AD10" s="208">
        <v>3.8</v>
      </c>
      <c r="AE10" s="208">
        <v>3.7</v>
      </c>
      <c r="AF10" s="208">
        <v>3.7</v>
      </c>
      <c r="AG10" s="228">
        <v>3.6</v>
      </c>
      <c r="AH10" s="221"/>
      <c r="AI10" s="111"/>
      <c r="AJ10" s="111"/>
      <c r="AK10" s="111"/>
      <c r="AL10" s="111"/>
      <c r="AM10" s="111"/>
      <c r="AN10" s="111"/>
      <c r="AO10" s="111"/>
      <c r="AP10" s="111"/>
    </row>
    <row r="11" spans="1:42" ht="15.9" customHeight="1">
      <c r="A11" s="116" t="s">
        <v>137</v>
      </c>
      <c r="B11" s="114"/>
      <c r="C11" s="115"/>
      <c r="D11" s="240">
        <v>417</v>
      </c>
      <c r="E11" s="241">
        <v>419</v>
      </c>
      <c r="F11" s="241">
        <v>423</v>
      </c>
      <c r="G11" s="241">
        <v>428</v>
      </c>
      <c r="H11" s="212">
        <v>432</v>
      </c>
      <c r="I11" s="212">
        <v>434</v>
      </c>
      <c r="J11" s="212">
        <v>414</v>
      </c>
      <c r="K11" s="212">
        <v>400</v>
      </c>
      <c r="L11" s="212">
        <v>405</v>
      </c>
      <c r="M11" s="212">
        <v>402</v>
      </c>
      <c r="N11" s="212">
        <v>402</v>
      </c>
      <c r="O11" s="212">
        <v>416</v>
      </c>
      <c r="P11" s="212">
        <v>427</v>
      </c>
      <c r="Q11" s="212">
        <v>442</v>
      </c>
      <c r="R11" s="212">
        <v>444</v>
      </c>
      <c r="S11" s="212">
        <v>455</v>
      </c>
      <c r="T11" s="212">
        <v>457</v>
      </c>
      <c r="U11" s="212">
        <v>460</v>
      </c>
      <c r="V11" s="212">
        <v>441</v>
      </c>
      <c r="W11" s="212">
        <v>453</v>
      </c>
      <c r="X11" s="212">
        <v>472</v>
      </c>
      <c r="Y11" s="212">
        <v>488</v>
      </c>
      <c r="Z11" s="213">
        <v>507</v>
      </c>
      <c r="AA11" s="212">
        <v>526</v>
      </c>
      <c r="AB11" s="212">
        <v>547</v>
      </c>
      <c r="AC11" s="212">
        <v>568</v>
      </c>
      <c r="AD11" s="212">
        <v>589</v>
      </c>
      <c r="AE11" s="212">
        <v>611</v>
      </c>
      <c r="AF11" s="212">
        <v>633</v>
      </c>
      <c r="AG11" s="230">
        <v>656</v>
      </c>
      <c r="AH11" s="223"/>
      <c r="AI11" s="117"/>
      <c r="AJ11" s="117"/>
      <c r="AK11" s="117"/>
      <c r="AL11" s="117"/>
      <c r="AM11" s="117"/>
      <c r="AN11" s="117"/>
      <c r="AO11" s="117"/>
      <c r="AP11" s="117"/>
    </row>
    <row r="12" spans="1:42" ht="15.9" customHeight="1">
      <c r="A12" s="249" t="s">
        <v>138</v>
      </c>
      <c r="B12" s="250"/>
      <c r="C12" s="251"/>
      <c r="D12" s="236">
        <v>-2.6</v>
      </c>
      <c r="E12" s="237">
        <v>-1.8</v>
      </c>
      <c r="F12" s="237">
        <v>-1.3</v>
      </c>
      <c r="G12" s="237">
        <v>0</v>
      </c>
      <c r="H12" s="208">
        <v>0.7</v>
      </c>
      <c r="I12" s="208">
        <v>1.6</v>
      </c>
      <c r="J12" s="208">
        <v>-1.8</v>
      </c>
      <c r="K12" s="208">
        <v>-4.2</v>
      </c>
      <c r="L12" s="208">
        <v>-1.3</v>
      </c>
      <c r="M12" s="208">
        <v>-1.4</v>
      </c>
      <c r="N12" s="208">
        <v>-1.4</v>
      </c>
      <c r="O12" s="208">
        <v>0.4</v>
      </c>
      <c r="P12" s="208">
        <v>-0.9</v>
      </c>
      <c r="Q12" s="208">
        <v>-0.1</v>
      </c>
      <c r="R12" s="208">
        <v>-0.2</v>
      </c>
      <c r="S12" s="208">
        <v>0.8</v>
      </c>
      <c r="T12" s="208">
        <v>0.3</v>
      </c>
      <c r="U12" s="208">
        <v>-0.9</v>
      </c>
      <c r="V12" s="208">
        <v>-5.8</v>
      </c>
      <c r="W12" s="196">
        <f>(W6/W14-1)*100</f>
        <v>-3.9272365805169018</v>
      </c>
      <c r="X12" s="196">
        <f t="shared" ref="X12" si="30">(X6/X14-1)*100</f>
        <v>-1.8345625258351039</v>
      </c>
      <c r="Y12" s="196">
        <f>(Y6/Y14-1)*100</f>
        <v>-0.96154974197394383</v>
      </c>
      <c r="Z12" s="196">
        <f t="shared" ref="Z12:AP12" si="31">(Z6/Z14-1)*100</f>
        <v>0.11177336427068418</v>
      </c>
      <c r="AA12" s="196">
        <f t="shared" si="31"/>
        <v>0.11177336427068418</v>
      </c>
      <c r="AB12" s="196">
        <f t="shared" si="31"/>
        <v>0.11177336427068418</v>
      </c>
      <c r="AC12" s="196">
        <f t="shared" si="31"/>
        <v>0.11177336427068418</v>
      </c>
      <c r="AD12" s="196">
        <f t="shared" si="31"/>
        <v>0.11177336427066198</v>
      </c>
      <c r="AE12" s="196">
        <f t="shared" si="31"/>
        <v>0.11177336427066198</v>
      </c>
      <c r="AF12" s="196">
        <f t="shared" si="31"/>
        <v>0.11177336427066198</v>
      </c>
      <c r="AG12" s="231">
        <f t="shared" si="31"/>
        <v>0.11177336427066198</v>
      </c>
      <c r="AH12" s="224">
        <f t="shared" si="31"/>
        <v>0.11177336427066198</v>
      </c>
      <c r="AI12" s="196">
        <f t="shared" si="31"/>
        <v>0.11177336427066198</v>
      </c>
      <c r="AJ12" s="196">
        <f t="shared" si="31"/>
        <v>0.11177336427063977</v>
      </c>
      <c r="AK12" s="196">
        <f t="shared" si="31"/>
        <v>0.11177336427066198</v>
      </c>
      <c r="AL12" s="196">
        <f t="shared" si="31"/>
        <v>0.11177336427066198</v>
      </c>
      <c r="AM12" s="196">
        <f t="shared" si="31"/>
        <v>0.11177336427063977</v>
      </c>
      <c r="AN12" s="196">
        <f t="shared" si="31"/>
        <v>0.11177336427063977</v>
      </c>
      <c r="AO12" s="196">
        <f t="shared" si="31"/>
        <v>0.11177336427063977</v>
      </c>
      <c r="AP12" s="196">
        <f t="shared" si="31"/>
        <v>0.11177336427063977</v>
      </c>
    </row>
    <row r="13" spans="1:42" ht="15.9" customHeight="1">
      <c r="A13" s="113" t="s">
        <v>24</v>
      </c>
      <c r="B13" s="114"/>
      <c r="C13" s="115"/>
      <c r="D13" s="236">
        <v>1</v>
      </c>
      <c r="E13" s="237">
        <v>1.1000000000000001</v>
      </c>
      <c r="F13" s="237">
        <v>1.1000000000000001</v>
      </c>
      <c r="G13" s="237">
        <v>0.9</v>
      </c>
      <c r="H13" s="208">
        <v>0.5</v>
      </c>
      <c r="I13" s="208">
        <v>0.1</v>
      </c>
      <c r="J13" s="208">
        <v>-0.1</v>
      </c>
      <c r="K13" s="208">
        <v>-0.1</v>
      </c>
      <c r="L13" s="208">
        <v>0.2</v>
      </c>
      <c r="M13" s="208">
        <v>0.5</v>
      </c>
      <c r="N13" s="208">
        <v>0.7</v>
      </c>
      <c r="O13" s="208">
        <v>0.9</v>
      </c>
      <c r="P13" s="208">
        <v>0.9</v>
      </c>
      <c r="Q13" s="208">
        <v>0.9</v>
      </c>
      <c r="R13" s="208">
        <v>0.9</v>
      </c>
      <c r="S13" s="208">
        <v>0.8</v>
      </c>
      <c r="T13" s="208">
        <v>0.7</v>
      </c>
      <c r="U13" s="208">
        <v>0.7</v>
      </c>
      <c r="V13" s="208">
        <v>0.5</v>
      </c>
      <c r="W13" s="208">
        <v>0.6</v>
      </c>
      <c r="X13" s="208">
        <v>1</v>
      </c>
      <c r="Y13" s="208">
        <v>1.2</v>
      </c>
      <c r="Z13" s="208">
        <v>1.5</v>
      </c>
      <c r="AA13" s="208">
        <v>1.9</v>
      </c>
      <c r="AB13" s="208">
        <v>2</v>
      </c>
      <c r="AC13" s="208">
        <v>1.9</v>
      </c>
      <c r="AD13" s="208">
        <v>1.9</v>
      </c>
      <c r="AE13" s="208">
        <v>1.8</v>
      </c>
      <c r="AF13" s="208">
        <v>1.8</v>
      </c>
      <c r="AG13" s="228">
        <v>1.7</v>
      </c>
      <c r="AH13" s="222">
        <f>AG13</f>
        <v>1.7</v>
      </c>
      <c r="AI13" s="118">
        <f t="shared" ref="AI13:AP13" si="32">AH13</f>
        <v>1.7</v>
      </c>
      <c r="AJ13" s="118">
        <f t="shared" si="32"/>
        <v>1.7</v>
      </c>
      <c r="AK13" s="118">
        <f t="shared" si="32"/>
        <v>1.7</v>
      </c>
      <c r="AL13" s="118">
        <f t="shared" si="32"/>
        <v>1.7</v>
      </c>
      <c r="AM13" s="118">
        <f t="shared" si="32"/>
        <v>1.7</v>
      </c>
      <c r="AN13" s="118">
        <f t="shared" si="32"/>
        <v>1.7</v>
      </c>
      <c r="AO13" s="118">
        <f t="shared" si="32"/>
        <v>1.7</v>
      </c>
      <c r="AP13" s="118">
        <f t="shared" si="32"/>
        <v>1.7</v>
      </c>
    </row>
    <row r="14" spans="1:42" s="108" customFormat="1" ht="15.9" customHeight="1">
      <c r="A14" s="246" t="s">
        <v>139</v>
      </c>
      <c r="B14" s="247"/>
      <c r="C14" s="248"/>
      <c r="D14" s="191">
        <f>D6/(1+D12/100)</f>
        <v>499.53347022587269</v>
      </c>
      <c r="E14" s="192">
        <f t="shared" ref="E14:U14" si="33">E6/(1+E12/100)</f>
        <v>505.01547861507129</v>
      </c>
      <c r="F14" s="192">
        <f t="shared" si="33"/>
        <v>510.9067882472138</v>
      </c>
      <c r="G14" s="192">
        <f t="shared" si="33"/>
        <v>515.13760000000002</v>
      </c>
      <c r="H14" s="193">
        <f t="shared" si="33"/>
        <v>518.16047666335658</v>
      </c>
      <c r="I14" s="193">
        <f t="shared" si="33"/>
        <v>518.96653543307082</v>
      </c>
      <c r="J14" s="193">
        <f t="shared" si="33"/>
        <v>517.57830957230146</v>
      </c>
      <c r="K14" s="193">
        <f t="shared" si="33"/>
        <v>517.61743215031322</v>
      </c>
      <c r="L14" s="193">
        <f t="shared" si="33"/>
        <v>518.80820668693013</v>
      </c>
      <c r="M14" s="193">
        <f t="shared" si="33"/>
        <v>521.98772819472617</v>
      </c>
      <c r="N14" s="193">
        <f t="shared" si="33"/>
        <v>525.2766734279918</v>
      </c>
      <c r="O14" s="193">
        <f t="shared" si="33"/>
        <v>529.96055776892433</v>
      </c>
      <c r="P14" s="193">
        <f t="shared" si="33"/>
        <v>535.00665993945506</v>
      </c>
      <c r="Q14" s="193">
        <f t="shared" si="33"/>
        <v>539.94924924924931</v>
      </c>
      <c r="R14" s="193">
        <f t="shared" si="33"/>
        <v>544.55160320641278</v>
      </c>
      <c r="S14" s="193">
        <f t="shared" si="33"/>
        <v>548.82420634920641</v>
      </c>
      <c r="T14" s="193">
        <f t="shared" si="33"/>
        <v>552.60149551345978</v>
      </c>
      <c r="U14" s="193">
        <f t="shared" si="33"/>
        <v>555.62885973763878</v>
      </c>
      <c r="V14" s="193">
        <f>V6/(1+V12/100)</f>
        <v>558.02367303609356</v>
      </c>
      <c r="W14" s="193">
        <f t="shared" ref="W14:AP14" si="34">V14*(1+W13/100)</f>
        <v>561.37181507431012</v>
      </c>
      <c r="X14" s="193">
        <f t="shared" si="34"/>
        <v>566.98553322505325</v>
      </c>
      <c r="Y14" s="193">
        <f t="shared" si="34"/>
        <v>573.78935962375385</v>
      </c>
      <c r="Z14" s="193">
        <f t="shared" si="34"/>
        <v>582.39620001811011</v>
      </c>
      <c r="AA14" s="193">
        <f t="shared" si="34"/>
        <v>593.46172781845416</v>
      </c>
      <c r="AB14" s="193">
        <f t="shared" si="34"/>
        <v>605.33096237482323</v>
      </c>
      <c r="AC14" s="193">
        <f t="shared" si="34"/>
        <v>616.83225065994486</v>
      </c>
      <c r="AD14" s="193">
        <f t="shared" si="34"/>
        <v>628.5520634224838</v>
      </c>
      <c r="AE14" s="193">
        <f t="shared" si="34"/>
        <v>639.86600056408849</v>
      </c>
      <c r="AF14" s="193">
        <f t="shared" si="34"/>
        <v>651.38358857424214</v>
      </c>
      <c r="AG14" s="227">
        <f t="shared" si="34"/>
        <v>662.45710958000416</v>
      </c>
      <c r="AH14" s="220">
        <f t="shared" si="34"/>
        <v>673.71888044286413</v>
      </c>
      <c r="AI14" s="193">
        <f t="shared" si="34"/>
        <v>685.17210141039277</v>
      </c>
      <c r="AJ14" s="193">
        <f t="shared" si="34"/>
        <v>696.82002713436941</v>
      </c>
      <c r="AK14" s="193">
        <f t="shared" si="34"/>
        <v>708.66596759565357</v>
      </c>
      <c r="AL14" s="193">
        <f t="shared" si="34"/>
        <v>720.71328904477957</v>
      </c>
      <c r="AM14" s="193">
        <f t="shared" si="34"/>
        <v>732.9654149585408</v>
      </c>
      <c r="AN14" s="193">
        <f t="shared" si="34"/>
        <v>745.42582701283595</v>
      </c>
      <c r="AO14" s="193">
        <f t="shared" si="34"/>
        <v>758.09806607205405</v>
      </c>
      <c r="AP14" s="193">
        <f t="shared" si="34"/>
        <v>770.98573319527895</v>
      </c>
    </row>
    <row r="15" spans="1:42" s="108" customFormat="1" ht="15.9" customHeight="1">
      <c r="A15" s="246" t="s">
        <v>140</v>
      </c>
      <c r="B15" s="247"/>
      <c r="C15" s="248"/>
      <c r="D15" s="199">
        <f>D9/(1+D12/100)</f>
        <v>537.43942505133475</v>
      </c>
      <c r="E15" s="192">
        <f t="shared" ref="E15:AP15" si="35">E9/(1+E12/100)</f>
        <v>535.86822810590627</v>
      </c>
      <c r="F15" s="192">
        <f t="shared" si="35"/>
        <v>536.60952380952381</v>
      </c>
      <c r="G15" s="192">
        <f t="shared" si="35"/>
        <v>534.10969999999998</v>
      </c>
      <c r="H15" s="193">
        <f t="shared" si="35"/>
        <v>533.52631578947376</v>
      </c>
      <c r="I15" s="193">
        <f t="shared" si="35"/>
        <v>530.00393700787401</v>
      </c>
      <c r="J15" s="193">
        <f t="shared" si="35"/>
        <v>525.63543788187371</v>
      </c>
      <c r="K15" s="193">
        <f t="shared" si="35"/>
        <v>519.17202505219211</v>
      </c>
      <c r="L15" s="193">
        <f t="shared" si="35"/>
        <v>511.52188449848023</v>
      </c>
      <c r="M15" s="193">
        <f t="shared" si="35"/>
        <v>507.14046653144015</v>
      </c>
      <c r="N15" s="193">
        <f t="shared" si="35"/>
        <v>506.51511156186615</v>
      </c>
      <c r="O15" s="193">
        <f t="shared" si="35"/>
        <v>510.64302788844623</v>
      </c>
      <c r="P15" s="193">
        <f t="shared" si="35"/>
        <v>528.17184661957629</v>
      </c>
      <c r="Q15" s="193">
        <f t="shared" si="35"/>
        <v>541.28068068068069</v>
      </c>
      <c r="R15" s="193">
        <f t="shared" si="35"/>
        <v>545.91903807615222</v>
      </c>
      <c r="S15" s="193">
        <f t="shared" si="35"/>
        <v>551.31140873015875</v>
      </c>
      <c r="T15" s="193">
        <f t="shared" si="35"/>
        <v>554.63978065802587</v>
      </c>
      <c r="U15" s="193">
        <f t="shared" si="35"/>
        <v>562.36781029263375</v>
      </c>
      <c r="V15" s="193">
        <f>V9/(1+V12/100)</f>
        <v>568.48184713375804</v>
      </c>
      <c r="W15" s="193">
        <f t="shared" si="35"/>
        <v>567.17427562773412</v>
      </c>
      <c r="X15" s="193">
        <f t="shared" si="35"/>
        <v>575.15151414528259</v>
      </c>
      <c r="Y15" s="193">
        <f t="shared" si="35"/>
        <v>586.23695997600521</v>
      </c>
      <c r="Z15" s="193">
        <f t="shared" si="35"/>
        <v>601.12809890028268</v>
      </c>
      <c r="AA15" s="193">
        <f t="shared" si="35"/>
        <v>620.50643907752692</v>
      </c>
      <c r="AB15" s="193">
        <f t="shared" si="35"/>
        <v>641.78265793192372</v>
      </c>
      <c r="AC15" s="193">
        <f t="shared" si="35"/>
        <v>663.6582068948951</v>
      </c>
      <c r="AD15" s="193">
        <f t="shared" si="35"/>
        <v>685.73353256072483</v>
      </c>
      <c r="AE15" s="193">
        <f t="shared" si="35"/>
        <v>708.20841163227078</v>
      </c>
      <c r="AF15" s="193">
        <f t="shared" si="35"/>
        <v>730.98295575810403</v>
      </c>
      <c r="AG15" s="227">
        <f t="shared" si="35"/>
        <v>754.05716493822456</v>
      </c>
      <c r="AH15" s="220">
        <f t="shared" si="35"/>
        <v>778.18699421624774</v>
      </c>
      <c r="AI15" s="193">
        <f t="shared" si="35"/>
        <v>803.08897803116758</v>
      </c>
      <c r="AJ15" s="193">
        <f t="shared" si="35"/>
        <v>828.78782532816513</v>
      </c>
      <c r="AK15" s="193">
        <f t="shared" si="35"/>
        <v>855.30903573866635</v>
      </c>
      <c r="AL15" s="193">
        <f t="shared" si="35"/>
        <v>882.6789248823037</v>
      </c>
      <c r="AM15" s="193">
        <f t="shared" si="35"/>
        <v>910.92465047853761</v>
      </c>
      <c r="AN15" s="193">
        <f t="shared" si="35"/>
        <v>940.07423929385084</v>
      </c>
      <c r="AO15" s="193">
        <f t="shared" si="35"/>
        <v>970.15661495125414</v>
      </c>
      <c r="AP15" s="193">
        <f t="shared" si="35"/>
        <v>1001.2016266296943</v>
      </c>
    </row>
    <row r="16" spans="1:42" ht="15.9" customHeight="1">
      <c r="A16" s="116" t="s">
        <v>141</v>
      </c>
      <c r="B16" s="114"/>
      <c r="C16" s="115"/>
      <c r="D16" s="111"/>
      <c r="E16" s="111"/>
      <c r="F16" s="111"/>
      <c r="G16" s="111"/>
      <c r="H16" s="111"/>
      <c r="I16" s="111"/>
      <c r="J16" s="111"/>
      <c r="K16" s="111"/>
      <c r="L16" s="111"/>
      <c r="M16" s="111"/>
      <c r="N16" s="111"/>
      <c r="O16" s="111"/>
      <c r="P16" s="111"/>
      <c r="Q16" s="111"/>
      <c r="R16" s="111"/>
      <c r="S16" s="111"/>
      <c r="T16" s="111"/>
      <c r="U16" s="111"/>
      <c r="V16" s="111"/>
      <c r="W16" s="111"/>
      <c r="X16" s="111"/>
      <c r="Y16" s="111"/>
      <c r="Z16" s="112"/>
      <c r="AA16" s="111"/>
      <c r="AB16" s="111"/>
      <c r="AC16" s="111"/>
      <c r="AD16" s="111"/>
      <c r="AE16" s="111"/>
      <c r="AF16" s="111"/>
      <c r="AG16" s="142"/>
    </row>
    <row r="17" spans="1:33" ht="15.9" customHeight="1">
      <c r="A17" s="119"/>
      <c r="B17" s="114" t="s">
        <v>142</v>
      </c>
      <c r="C17" s="115"/>
      <c r="D17" s="236">
        <v>-0.6</v>
      </c>
      <c r="E17" s="237">
        <v>-0.2</v>
      </c>
      <c r="F17" s="237">
        <v>-0.1</v>
      </c>
      <c r="G17" s="237">
        <v>-0.1</v>
      </c>
      <c r="H17" s="208">
        <v>0.2</v>
      </c>
      <c r="I17" s="208">
        <v>0.4</v>
      </c>
      <c r="J17" s="208">
        <v>1.1000000000000001</v>
      </c>
      <c r="K17" s="208">
        <v>-1.7</v>
      </c>
      <c r="L17" s="208">
        <v>-0.4</v>
      </c>
      <c r="M17" s="208">
        <v>-0.1</v>
      </c>
      <c r="N17" s="208">
        <v>-0.3</v>
      </c>
      <c r="O17" s="208">
        <v>0.9</v>
      </c>
      <c r="P17" s="208">
        <v>2.9</v>
      </c>
      <c r="Q17" s="208">
        <v>0.2</v>
      </c>
      <c r="R17" s="208">
        <v>-0.1</v>
      </c>
      <c r="S17" s="208">
        <v>0.7</v>
      </c>
      <c r="T17" s="208">
        <v>0.7</v>
      </c>
      <c r="U17" s="208">
        <v>0.5</v>
      </c>
      <c r="V17" s="208">
        <v>-0.2</v>
      </c>
      <c r="W17" s="208">
        <v>-0.1</v>
      </c>
      <c r="X17" s="208">
        <v>0.9</v>
      </c>
      <c r="Y17" s="208">
        <v>1.1000000000000001</v>
      </c>
      <c r="Z17" s="209">
        <v>1.6</v>
      </c>
      <c r="AA17" s="208">
        <v>1.9</v>
      </c>
      <c r="AB17" s="208">
        <v>2</v>
      </c>
      <c r="AC17" s="208">
        <v>2</v>
      </c>
      <c r="AD17" s="208">
        <v>2</v>
      </c>
      <c r="AE17" s="208">
        <v>2</v>
      </c>
      <c r="AF17" s="208">
        <v>2</v>
      </c>
      <c r="AG17" s="234">
        <v>2</v>
      </c>
    </row>
    <row r="18" spans="1:33" ht="15.9" customHeight="1">
      <c r="A18" s="119"/>
      <c r="B18" s="114" t="s">
        <v>143</v>
      </c>
      <c r="C18" s="115"/>
      <c r="D18" s="236">
        <v>-1.6</v>
      </c>
      <c r="E18" s="237">
        <v>-0.5</v>
      </c>
      <c r="F18" s="237">
        <v>1.5</v>
      </c>
      <c r="G18" s="237">
        <v>2.1</v>
      </c>
      <c r="H18" s="208">
        <v>2</v>
      </c>
      <c r="I18" s="208">
        <v>2.2999999999999998</v>
      </c>
      <c r="J18" s="208">
        <v>3.1</v>
      </c>
      <c r="K18" s="208">
        <v>-5.2</v>
      </c>
      <c r="L18" s="208">
        <v>0.7</v>
      </c>
      <c r="M18" s="208">
        <v>1.4</v>
      </c>
      <c r="N18" s="208">
        <v>-1.1000000000000001</v>
      </c>
      <c r="O18" s="208">
        <v>1.9</v>
      </c>
      <c r="P18" s="208">
        <v>2.7</v>
      </c>
      <c r="Q18" s="208">
        <v>-3.2</v>
      </c>
      <c r="R18" s="208">
        <v>-2.4</v>
      </c>
      <c r="S18" s="208">
        <v>2.7</v>
      </c>
      <c r="T18" s="208">
        <v>2.2000000000000002</v>
      </c>
      <c r="U18" s="208">
        <v>0.1</v>
      </c>
      <c r="V18" s="208">
        <v>-1.4</v>
      </c>
      <c r="W18" s="208">
        <v>6.5</v>
      </c>
      <c r="X18" s="208">
        <v>2</v>
      </c>
      <c r="Y18" s="208">
        <v>0.3</v>
      </c>
      <c r="Z18" s="209">
        <v>0.5</v>
      </c>
      <c r="AA18" s="208">
        <v>0.6</v>
      </c>
      <c r="AB18" s="208">
        <v>0.5</v>
      </c>
      <c r="AC18" s="208">
        <v>0.5</v>
      </c>
      <c r="AD18" s="208">
        <v>0.5</v>
      </c>
      <c r="AE18" s="208">
        <v>0.5</v>
      </c>
      <c r="AF18" s="208">
        <v>0.5</v>
      </c>
      <c r="AG18" s="228">
        <v>0.5</v>
      </c>
    </row>
    <row r="19" spans="1:33" ht="15.9" customHeight="1">
      <c r="A19" s="105"/>
      <c r="B19" s="114" t="s">
        <v>144</v>
      </c>
      <c r="C19" s="115"/>
      <c r="D19" s="236">
        <v>-1.7</v>
      </c>
      <c r="E19" s="237">
        <v>-1.4</v>
      </c>
      <c r="F19" s="237">
        <v>-1</v>
      </c>
      <c r="G19" s="237">
        <v>-1.3</v>
      </c>
      <c r="H19" s="208">
        <v>-0.7</v>
      </c>
      <c r="I19" s="208">
        <v>-0.8</v>
      </c>
      <c r="J19" s="208">
        <v>-0.6</v>
      </c>
      <c r="K19" s="208">
        <v>-1.2</v>
      </c>
      <c r="L19" s="208">
        <v>-1.7</v>
      </c>
      <c r="M19" s="208">
        <v>-1.5</v>
      </c>
      <c r="N19" s="208">
        <v>-0.7</v>
      </c>
      <c r="O19" s="208">
        <v>-0.1</v>
      </c>
      <c r="P19" s="208">
        <v>2.5</v>
      </c>
      <c r="Q19" s="208">
        <v>1.5</v>
      </c>
      <c r="R19" s="208">
        <v>0</v>
      </c>
      <c r="S19" s="208">
        <v>0.2</v>
      </c>
      <c r="T19" s="208">
        <v>-0.1</v>
      </c>
      <c r="U19" s="208">
        <v>0.9</v>
      </c>
      <c r="V19" s="208">
        <v>0.7</v>
      </c>
      <c r="W19" s="208">
        <v>-0.8</v>
      </c>
      <c r="X19" s="208">
        <v>0.4</v>
      </c>
      <c r="Y19" s="208">
        <v>0.7</v>
      </c>
      <c r="Z19" s="209">
        <v>1</v>
      </c>
      <c r="AA19" s="208">
        <v>1.3</v>
      </c>
      <c r="AB19" s="208">
        <v>1.4</v>
      </c>
      <c r="AC19" s="208">
        <v>1.4</v>
      </c>
      <c r="AD19" s="208">
        <v>1.4</v>
      </c>
      <c r="AE19" s="208">
        <v>1.4</v>
      </c>
      <c r="AF19" s="208">
        <v>1.4</v>
      </c>
      <c r="AG19" s="228">
        <v>1.4</v>
      </c>
    </row>
    <row r="20" spans="1:33" ht="15.9" customHeight="1">
      <c r="A20" s="113" t="s">
        <v>145</v>
      </c>
      <c r="B20" s="114"/>
      <c r="C20" s="115"/>
      <c r="D20" s="236">
        <v>5.4</v>
      </c>
      <c r="E20" s="237">
        <v>5.0999999999999996</v>
      </c>
      <c r="F20" s="237">
        <v>4.5999999999999996</v>
      </c>
      <c r="G20" s="237">
        <v>4.3</v>
      </c>
      <c r="H20" s="208">
        <v>4.0999999999999996</v>
      </c>
      <c r="I20" s="208">
        <v>3.8</v>
      </c>
      <c r="J20" s="208">
        <v>4.0999999999999996</v>
      </c>
      <c r="K20" s="208">
        <v>5.2</v>
      </c>
      <c r="L20" s="208">
        <v>5</v>
      </c>
      <c r="M20" s="208">
        <v>4.5</v>
      </c>
      <c r="N20" s="208">
        <v>4.3</v>
      </c>
      <c r="O20" s="208">
        <v>3.9</v>
      </c>
      <c r="P20" s="208">
        <v>3.6</v>
      </c>
      <c r="Q20" s="208">
        <v>3.3</v>
      </c>
      <c r="R20" s="208">
        <v>3</v>
      </c>
      <c r="S20" s="208">
        <v>2.7</v>
      </c>
      <c r="T20" s="208">
        <v>2.4</v>
      </c>
      <c r="U20" s="208">
        <v>2.2999999999999998</v>
      </c>
      <c r="V20" s="208">
        <v>2.9</v>
      </c>
      <c r="W20" s="208">
        <v>2.8</v>
      </c>
      <c r="X20" s="208">
        <v>2.4</v>
      </c>
      <c r="Y20" s="208">
        <v>2.4</v>
      </c>
      <c r="Z20" s="209">
        <v>2.4</v>
      </c>
      <c r="AA20" s="208">
        <v>2.4</v>
      </c>
      <c r="AB20" s="208">
        <v>2.5</v>
      </c>
      <c r="AC20" s="208">
        <v>2.5</v>
      </c>
      <c r="AD20" s="208">
        <v>2.5</v>
      </c>
      <c r="AE20" s="208">
        <v>2.6</v>
      </c>
      <c r="AF20" s="208">
        <v>2.6</v>
      </c>
      <c r="AG20" s="228">
        <v>2.6</v>
      </c>
    </row>
    <row r="21" spans="1:33" ht="15.9" customHeight="1">
      <c r="A21" s="113" t="s">
        <v>21</v>
      </c>
      <c r="B21" s="114"/>
      <c r="C21" s="115"/>
      <c r="D21" s="236">
        <v>1.1000000000000001</v>
      </c>
      <c r="E21" s="237">
        <v>1.1000000000000001</v>
      </c>
      <c r="F21" s="237">
        <v>1.5</v>
      </c>
      <c r="G21" s="237">
        <v>1.4</v>
      </c>
      <c r="H21" s="208">
        <v>1.7</v>
      </c>
      <c r="I21" s="208">
        <v>1.6</v>
      </c>
      <c r="J21" s="208">
        <v>1.4</v>
      </c>
      <c r="K21" s="208">
        <v>1.3</v>
      </c>
      <c r="L21" s="208">
        <v>1.1000000000000001</v>
      </c>
      <c r="M21" s="208">
        <v>1</v>
      </c>
      <c r="N21" s="208">
        <v>0.8</v>
      </c>
      <c r="O21" s="208">
        <v>0.7</v>
      </c>
      <c r="P21" s="208">
        <v>0.4</v>
      </c>
      <c r="Q21" s="208">
        <v>0.3</v>
      </c>
      <c r="R21" s="208">
        <v>-0.1</v>
      </c>
      <c r="S21" s="208">
        <v>0</v>
      </c>
      <c r="T21" s="208">
        <v>0</v>
      </c>
      <c r="U21" s="208">
        <v>-0.1</v>
      </c>
      <c r="V21" s="208">
        <v>0</v>
      </c>
      <c r="W21" s="208">
        <v>0</v>
      </c>
      <c r="X21" s="208">
        <v>0</v>
      </c>
      <c r="Y21" s="208">
        <v>0</v>
      </c>
      <c r="Z21" s="209">
        <v>0</v>
      </c>
      <c r="AA21" s="208">
        <v>0.1</v>
      </c>
      <c r="AB21" s="208">
        <v>0.4</v>
      </c>
      <c r="AC21" s="208">
        <v>1</v>
      </c>
      <c r="AD21" s="208">
        <v>1.7</v>
      </c>
      <c r="AE21" s="208">
        <v>2.2000000000000002</v>
      </c>
      <c r="AF21" s="208">
        <v>2.6</v>
      </c>
      <c r="AG21" s="228">
        <v>3</v>
      </c>
    </row>
    <row r="22" spans="1:33" ht="15.9" customHeight="1">
      <c r="A22" s="116" t="s">
        <v>146</v>
      </c>
      <c r="B22" s="114"/>
      <c r="C22" s="115"/>
      <c r="D22" s="109"/>
      <c r="E22" s="110"/>
      <c r="F22" s="110"/>
      <c r="G22" s="110"/>
      <c r="H22" s="111"/>
      <c r="I22" s="111"/>
      <c r="J22" s="111"/>
      <c r="K22" s="111"/>
      <c r="L22" s="111"/>
      <c r="M22" s="111"/>
      <c r="N22" s="111"/>
      <c r="O22" s="111"/>
      <c r="P22" s="111"/>
      <c r="Q22" s="111"/>
      <c r="R22" s="111"/>
      <c r="S22" s="111"/>
      <c r="T22" s="111"/>
      <c r="U22" s="111"/>
      <c r="V22" s="111"/>
      <c r="W22" s="111"/>
      <c r="X22" s="111"/>
      <c r="Y22" s="111"/>
      <c r="Z22" s="112"/>
      <c r="AA22" s="111"/>
      <c r="AB22" s="111"/>
      <c r="AC22" s="111"/>
      <c r="AD22" s="111"/>
      <c r="AE22" s="111"/>
      <c r="AF22" s="111"/>
      <c r="AG22" s="142"/>
    </row>
    <row r="23" spans="1:33" ht="15.9" customHeight="1">
      <c r="A23" s="119"/>
      <c r="B23" s="114" t="s">
        <v>147</v>
      </c>
      <c r="C23" s="115"/>
      <c r="D23" s="242">
        <v>-7.8</v>
      </c>
      <c r="E23" s="242">
        <v>-7</v>
      </c>
      <c r="F23" s="242">
        <v>-5.0999999999999996</v>
      </c>
      <c r="G23" s="242">
        <v>-4</v>
      </c>
      <c r="H23" s="214">
        <v>-3.1</v>
      </c>
      <c r="I23" s="214">
        <v>-2.9</v>
      </c>
      <c r="J23" s="214">
        <v>-4.8</v>
      </c>
      <c r="K23" s="214">
        <v>-10.1</v>
      </c>
      <c r="L23" s="214">
        <v>-8.8000000000000007</v>
      </c>
      <c r="M23" s="214">
        <v>-8.9</v>
      </c>
      <c r="N23" s="214">
        <v>-8.1</v>
      </c>
      <c r="O23" s="214">
        <v>-7.3</v>
      </c>
      <c r="P23" s="214">
        <v>-5.0999999999999996</v>
      </c>
      <c r="Q23" s="214">
        <v>-3.6</v>
      </c>
      <c r="R23" s="214">
        <v>-3.5</v>
      </c>
      <c r="S23" s="214">
        <v>-2.9</v>
      </c>
      <c r="T23" s="214">
        <v>-2.4</v>
      </c>
      <c r="U23" s="214">
        <v>-3.1</v>
      </c>
      <c r="V23" s="214">
        <v>-10</v>
      </c>
      <c r="W23" s="214">
        <v>-7.9</v>
      </c>
      <c r="X23" s="214">
        <v>-6.5</v>
      </c>
      <c r="Y23" s="214">
        <v>-1.1000000000000001</v>
      </c>
      <c r="Z23" s="215">
        <v>-0.3</v>
      </c>
      <c r="AA23" s="214">
        <v>0.4</v>
      </c>
      <c r="AB23" s="214">
        <v>0.8</v>
      </c>
      <c r="AC23" s="214">
        <v>1.1000000000000001</v>
      </c>
      <c r="AD23" s="214">
        <v>1.3</v>
      </c>
      <c r="AE23" s="214">
        <v>1.4</v>
      </c>
      <c r="AF23" s="214">
        <v>1.4</v>
      </c>
      <c r="AG23" s="232">
        <v>1.3</v>
      </c>
    </row>
    <row r="24" spans="1:33" ht="15.9" customHeight="1">
      <c r="A24" s="119"/>
      <c r="B24" s="114" t="s">
        <v>148</v>
      </c>
      <c r="C24" s="115"/>
      <c r="D24" s="242">
        <v>10.199999999999999</v>
      </c>
      <c r="E24" s="242">
        <v>10.3</v>
      </c>
      <c r="F24" s="242">
        <v>8.6</v>
      </c>
      <c r="G24" s="242">
        <v>7.5</v>
      </c>
      <c r="H24" s="214">
        <v>4.8</v>
      </c>
      <c r="I24" s="214">
        <v>7.4</v>
      </c>
      <c r="J24" s="214">
        <v>5.2</v>
      </c>
      <c r="K24" s="214">
        <v>11.9</v>
      </c>
      <c r="L24" s="214">
        <v>11.4</v>
      </c>
      <c r="M24" s="214">
        <v>10.1</v>
      </c>
      <c r="N24" s="214">
        <v>8.9</v>
      </c>
      <c r="O24" s="214">
        <v>7.6</v>
      </c>
      <c r="P24" s="214">
        <v>6.7</v>
      </c>
      <c r="Q24" s="214">
        <v>6.8</v>
      </c>
      <c r="R24" s="214">
        <v>7.4</v>
      </c>
      <c r="S24" s="214">
        <v>6.9</v>
      </c>
      <c r="T24" s="214">
        <v>5.9</v>
      </c>
      <c r="U24" s="214">
        <v>6.6</v>
      </c>
      <c r="V24" s="214">
        <v>13</v>
      </c>
      <c r="W24" s="214">
        <v>10.4</v>
      </c>
      <c r="X24" s="214">
        <v>9.3000000000000007</v>
      </c>
      <c r="Y24" s="214">
        <v>4.4000000000000004</v>
      </c>
      <c r="Z24" s="215">
        <v>3.8</v>
      </c>
      <c r="AA24" s="214">
        <v>3.1</v>
      </c>
      <c r="AB24" s="214">
        <v>2.7</v>
      </c>
      <c r="AC24" s="214">
        <v>2.2000000000000002</v>
      </c>
      <c r="AD24" s="214">
        <v>2</v>
      </c>
      <c r="AE24" s="214">
        <v>1.8</v>
      </c>
      <c r="AF24" s="214">
        <v>1.7</v>
      </c>
      <c r="AG24" s="232">
        <v>1.7</v>
      </c>
    </row>
    <row r="25" spans="1:33" ht="15.9" customHeight="1" thickBot="1">
      <c r="A25" s="120"/>
      <c r="B25" s="121" t="s">
        <v>149</v>
      </c>
      <c r="C25" s="122"/>
      <c r="D25" s="243">
        <v>-2.4</v>
      </c>
      <c r="E25" s="244">
        <v>-3.3</v>
      </c>
      <c r="F25" s="244">
        <v>-3.6</v>
      </c>
      <c r="G25" s="244">
        <v>-3.5</v>
      </c>
      <c r="H25" s="245">
        <v>-4</v>
      </c>
      <c r="I25" s="245">
        <v>-4.4000000000000004</v>
      </c>
      <c r="J25" s="245">
        <v>-2</v>
      </c>
      <c r="K25" s="245">
        <v>-3.3</v>
      </c>
      <c r="L25" s="245">
        <v>-3.5</v>
      </c>
      <c r="M25" s="245">
        <v>-1.7</v>
      </c>
      <c r="N25" s="245">
        <v>-0.8</v>
      </c>
      <c r="O25" s="245">
        <v>-0.4</v>
      </c>
      <c r="P25" s="245">
        <v>-1.6</v>
      </c>
      <c r="Q25" s="245">
        <v>-3.3</v>
      </c>
      <c r="R25" s="245">
        <v>-3.9</v>
      </c>
      <c r="S25" s="245">
        <v>-4</v>
      </c>
      <c r="T25" s="245">
        <v>-3.5</v>
      </c>
      <c r="U25" s="245">
        <v>-3.5</v>
      </c>
      <c r="V25" s="245">
        <v>-3</v>
      </c>
      <c r="W25" s="216">
        <v>-2.5</v>
      </c>
      <c r="X25" s="216">
        <v>-2.8</v>
      </c>
      <c r="Y25" s="216">
        <v>-3.3</v>
      </c>
      <c r="Z25" s="217">
        <v>-3.6</v>
      </c>
      <c r="AA25" s="216">
        <v>-3.5</v>
      </c>
      <c r="AB25" s="216">
        <v>-3.5</v>
      </c>
      <c r="AC25" s="216">
        <v>-3.3</v>
      </c>
      <c r="AD25" s="216">
        <v>-3.2</v>
      </c>
      <c r="AE25" s="216">
        <v>-3.2</v>
      </c>
      <c r="AF25" s="216">
        <v>-3.1</v>
      </c>
      <c r="AG25" s="233">
        <v>-3</v>
      </c>
    </row>
    <row r="26" spans="1:33" ht="15.9" customHeight="1"/>
    <row r="27" spans="1:33" ht="15.9" customHeight="1"/>
  </sheetData>
  <mergeCells count="1">
    <mergeCell ref="A4:C4"/>
  </mergeCells>
  <phoneticPr fontId="1"/>
  <pageMargins left="0.7" right="0.7" top="0.75" bottom="0.75" header="0.3" footer="0.3"/>
  <pageSetup paperSize="9" scale="3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D0DF7-8F4E-4639-9F0C-882A3C24DE17}">
  <dimension ref="A1:E61"/>
  <sheetViews>
    <sheetView topLeftCell="A19" zoomScale="85" zoomScaleNormal="85" workbookViewId="0">
      <selection activeCell="W5" sqref="W5"/>
    </sheetView>
  </sheetViews>
  <sheetFormatPr defaultRowHeight="13.3"/>
  <cols>
    <col min="1" max="1" width="8.23046875" bestFit="1" customWidth="1"/>
    <col min="2" max="3" width="21.3046875" style="29" bestFit="1" customWidth="1"/>
    <col min="4" max="5" width="28.4609375" bestFit="1" customWidth="1"/>
  </cols>
  <sheetData>
    <row r="1" spans="1:5">
      <c r="A1" t="s">
        <v>7</v>
      </c>
      <c r="B1" s="36" t="s">
        <v>384</v>
      </c>
      <c r="C1" s="36" t="s">
        <v>385</v>
      </c>
      <c r="D1" s="36" t="s">
        <v>386</v>
      </c>
      <c r="E1" s="36" t="s">
        <v>387</v>
      </c>
    </row>
    <row r="2" spans="1:5">
      <c r="A2">
        <v>1981</v>
      </c>
      <c r="B2" s="283">
        <f>★資本ストック!G5</f>
        <v>9.9397659666527652E-2</v>
      </c>
      <c r="C2" s="283">
        <f>★資本ストック!O5</f>
        <v>0.16529717456579623</v>
      </c>
      <c r="D2" s="283">
        <f>B2</f>
        <v>9.9397659666527652E-2</v>
      </c>
      <c r="E2" s="283">
        <f>C2</f>
        <v>0.16529717456579623</v>
      </c>
    </row>
    <row r="3" spans="1:5">
      <c r="A3">
        <v>1982</v>
      </c>
      <c r="B3" s="283">
        <f>★資本ストック!G6</f>
        <v>0.10155024626748303</v>
      </c>
      <c r="C3" s="283">
        <f>★資本ストック!O6</f>
        <v>0.1654751325509787</v>
      </c>
      <c r="D3" s="283">
        <f t="shared" ref="D3:D40" si="0">B3</f>
        <v>0.10155024626748303</v>
      </c>
      <c r="E3" s="283">
        <f t="shared" ref="E3:E40" si="1">C3</f>
        <v>0.1654751325509787</v>
      </c>
    </row>
    <row r="4" spans="1:5">
      <c r="A4">
        <v>1983</v>
      </c>
      <c r="B4" s="283">
        <f>★資本ストック!G7</f>
        <v>0.10577141616732799</v>
      </c>
      <c r="C4" s="283">
        <f>★資本ストック!O7</f>
        <v>0.16564104074701763</v>
      </c>
      <c r="D4" s="283">
        <f t="shared" si="0"/>
        <v>0.10577141616732799</v>
      </c>
      <c r="E4" s="283">
        <f t="shared" si="1"/>
        <v>0.16564104074701763</v>
      </c>
    </row>
    <row r="5" spans="1:5">
      <c r="A5">
        <v>1984</v>
      </c>
      <c r="B5" s="283">
        <f>★資本ストック!G8</f>
        <v>0.10811939449329493</v>
      </c>
      <c r="C5" s="283">
        <f>★資本ストック!O8</f>
        <v>0.16627164808496372</v>
      </c>
      <c r="D5" s="283">
        <f t="shared" si="0"/>
        <v>0.10811939449329493</v>
      </c>
      <c r="E5" s="283">
        <f t="shared" si="1"/>
        <v>0.16627164808496372</v>
      </c>
    </row>
    <row r="6" spans="1:5">
      <c r="A6">
        <v>1985</v>
      </c>
      <c r="B6" s="283">
        <f>★資本ストック!G9</f>
        <v>0.11717576103466582</v>
      </c>
      <c r="C6" s="283">
        <f>★資本ストック!O9</f>
        <v>0.16756109163692756</v>
      </c>
      <c r="D6" s="283">
        <f t="shared" si="0"/>
        <v>0.11717576103466582</v>
      </c>
      <c r="E6" s="283">
        <f t="shared" si="1"/>
        <v>0.16756109163692756</v>
      </c>
    </row>
    <row r="7" spans="1:5">
      <c r="A7">
        <v>1986</v>
      </c>
      <c r="B7" s="283">
        <f>★資本ストック!G10</f>
        <v>0.11315827810043916</v>
      </c>
      <c r="C7" s="283">
        <f>★資本ストック!O10</f>
        <v>0.16923977148471006</v>
      </c>
      <c r="D7" s="283">
        <f t="shared" si="0"/>
        <v>0.11315827810043916</v>
      </c>
      <c r="E7" s="283">
        <f t="shared" si="1"/>
        <v>0.16923977148471006</v>
      </c>
    </row>
    <row r="8" spans="1:5">
      <c r="A8">
        <v>1987</v>
      </c>
      <c r="B8" s="283">
        <f>★資本ストック!G11</f>
        <v>0.11060647451739845</v>
      </c>
      <c r="C8" s="283">
        <f>★資本ストック!O11</f>
        <v>0.17035721082788849</v>
      </c>
      <c r="D8" s="283">
        <f t="shared" si="0"/>
        <v>0.11060647451739845</v>
      </c>
      <c r="E8" s="283">
        <f t="shared" si="1"/>
        <v>0.17035721082788849</v>
      </c>
    </row>
    <row r="9" spans="1:5">
      <c r="A9">
        <v>1988</v>
      </c>
      <c r="B9" s="283">
        <f>★資本ストック!G12</f>
        <v>0.10622289444240673</v>
      </c>
      <c r="C9" s="283">
        <f>★資本ストック!O12</f>
        <v>0.17073589395908575</v>
      </c>
      <c r="D9" s="283">
        <f t="shared" si="0"/>
        <v>0.10622289444240673</v>
      </c>
      <c r="E9" s="283">
        <f t="shared" si="1"/>
        <v>0.17073589395908575</v>
      </c>
    </row>
    <row r="10" spans="1:5">
      <c r="A10">
        <v>1989</v>
      </c>
      <c r="B10" s="283">
        <f>★資本ストック!G13</f>
        <v>0.10562191321004707</v>
      </c>
      <c r="C10" s="283">
        <f>★資本ストック!O13</f>
        <v>0.17172099635020191</v>
      </c>
      <c r="D10" s="283">
        <f t="shared" si="0"/>
        <v>0.10562191321004707</v>
      </c>
      <c r="E10" s="283">
        <f t="shared" si="1"/>
        <v>0.17172099635020191</v>
      </c>
    </row>
    <row r="11" spans="1:5">
      <c r="A11">
        <v>1990</v>
      </c>
      <c r="B11" s="283">
        <f>★資本ストック!G14</f>
        <v>9.9648887769073644E-2</v>
      </c>
      <c r="C11" s="283">
        <f>★資本ストック!O14</f>
        <v>0.17345639184699987</v>
      </c>
      <c r="D11" s="283">
        <f t="shared" si="0"/>
        <v>9.9648887769073644E-2</v>
      </c>
      <c r="E11" s="283">
        <f t="shared" si="1"/>
        <v>0.17345639184699987</v>
      </c>
    </row>
    <row r="12" spans="1:5">
      <c r="A12">
        <v>1991</v>
      </c>
      <c r="B12" s="283">
        <f>★資本ストック!G15</f>
        <v>0.10219668755332688</v>
      </c>
      <c r="C12" s="283">
        <f>★資本ストック!O15</f>
        <v>0.17428068482567377</v>
      </c>
      <c r="D12" s="283">
        <f t="shared" si="0"/>
        <v>0.10219668755332688</v>
      </c>
      <c r="E12" s="283">
        <f t="shared" si="1"/>
        <v>0.17428068482567377</v>
      </c>
    </row>
    <row r="13" spans="1:5">
      <c r="A13">
        <v>1992</v>
      </c>
      <c r="B13" s="283">
        <f>★資本ストック!G16</f>
        <v>0.10635865326378074</v>
      </c>
      <c r="C13" s="283">
        <f>★資本ストック!O16</f>
        <v>0.17458013622100607</v>
      </c>
      <c r="D13" s="283">
        <f t="shared" si="0"/>
        <v>0.10635865326378074</v>
      </c>
      <c r="E13" s="283">
        <f t="shared" si="1"/>
        <v>0.17458013622100607</v>
      </c>
    </row>
    <row r="14" spans="1:5">
      <c r="A14">
        <v>1993</v>
      </c>
      <c r="B14" s="283">
        <f>★資本ストック!G17</f>
        <v>0.10896493823100792</v>
      </c>
      <c r="C14" s="283">
        <f>★資本ストック!O17</f>
        <v>0.17536907717138372</v>
      </c>
      <c r="D14" s="283">
        <f t="shared" si="0"/>
        <v>0.10896493823100792</v>
      </c>
      <c r="E14" s="283">
        <f t="shared" si="1"/>
        <v>0.17536907717138372</v>
      </c>
    </row>
    <row r="15" spans="1:5">
      <c r="A15">
        <v>1994</v>
      </c>
      <c r="B15" s="283">
        <f>★資本ストック!G18</f>
        <v>0.10970254496282229</v>
      </c>
      <c r="C15" s="283">
        <f>★資本ストック!O18</f>
        <v>0.17669407788252073</v>
      </c>
      <c r="D15" s="283">
        <f t="shared" si="0"/>
        <v>0.10970254496282229</v>
      </c>
      <c r="E15" s="283">
        <f t="shared" si="1"/>
        <v>0.17669407788252073</v>
      </c>
    </row>
    <row r="16" spans="1:5">
      <c r="A16">
        <v>1995</v>
      </c>
      <c r="B16" s="283">
        <f>★資本ストック!G19</f>
        <v>0.10615447638595017</v>
      </c>
      <c r="C16" s="283">
        <f>★資本ストック!O19</f>
        <v>0.17745197168857432</v>
      </c>
      <c r="D16" s="283">
        <f t="shared" si="0"/>
        <v>0.10615447638595017</v>
      </c>
      <c r="E16" s="283">
        <f t="shared" si="1"/>
        <v>0.17745197168857432</v>
      </c>
    </row>
    <row r="17" spans="1:5">
      <c r="A17">
        <v>1996</v>
      </c>
      <c r="B17" s="283">
        <f>★資本ストック!G20</f>
        <v>0.10796927823546791</v>
      </c>
      <c r="C17" s="283">
        <f>★資本ストック!O20</f>
        <v>0.1782115425269537</v>
      </c>
      <c r="D17" s="283">
        <f t="shared" si="0"/>
        <v>0.10796927823546791</v>
      </c>
      <c r="E17" s="283">
        <f t="shared" si="1"/>
        <v>0.1782115425269537</v>
      </c>
    </row>
    <row r="18" spans="1:5">
      <c r="A18">
        <v>1997</v>
      </c>
      <c r="B18" s="283">
        <f>★資本ストック!G21</f>
        <v>0.11098527746319375</v>
      </c>
      <c r="C18" s="283">
        <f>★資本ストック!O21</f>
        <v>0.17903543976600228</v>
      </c>
      <c r="D18" s="283">
        <f t="shared" si="0"/>
        <v>0.11098527746319375</v>
      </c>
      <c r="E18" s="283">
        <f t="shared" si="1"/>
        <v>0.17903543976600228</v>
      </c>
    </row>
    <row r="19" spans="1:5">
      <c r="A19">
        <v>1998</v>
      </c>
      <c r="B19" s="283">
        <f>★資本ストック!G22</f>
        <v>0.1121881383882056</v>
      </c>
      <c r="C19" s="283">
        <f>★資本ストック!O22</f>
        <v>0.18066425517921744</v>
      </c>
      <c r="D19" s="283">
        <f t="shared" si="0"/>
        <v>0.1121881383882056</v>
      </c>
      <c r="E19" s="283">
        <f t="shared" si="1"/>
        <v>0.18066425517921744</v>
      </c>
    </row>
    <row r="20" spans="1:5">
      <c r="A20">
        <v>1999</v>
      </c>
      <c r="B20" s="283">
        <f>★資本ストック!G23</f>
        <v>0.11052012414897885</v>
      </c>
      <c r="C20" s="283">
        <f>★資本ストック!O23</f>
        <v>0.18293079877612128</v>
      </c>
      <c r="D20" s="283">
        <f t="shared" si="0"/>
        <v>0.11052012414897885</v>
      </c>
      <c r="E20" s="283">
        <f t="shared" si="1"/>
        <v>0.18293079877612128</v>
      </c>
    </row>
    <row r="21" spans="1:5">
      <c r="A21">
        <v>2000</v>
      </c>
      <c r="B21" s="283">
        <f>★資本ストック!G24</f>
        <v>0.10780754191009188</v>
      </c>
      <c r="C21" s="283">
        <f>★資本ストック!O24</f>
        <v>0.18595813204508851</v>
      </c>
      <c r="D21" s="283">
        <f t="shared" si="0"/>
        <v>0.10780754191009188</v>
      </c>
      <c r="E21" s="283">
        <f t="shared" si="1"/>
        <v>0.18595813204508851</v>
      </c>
    </row>
    <row r="22" spans="1:5">
      <c r="A22">
        <v>2001</v>
      </c>
      <c r="B22" s="283">
        <f>★資本ストック!G25</f>
        <v>0.10978428351309698</v>
      </c>
      <c r="C22" s="283">
        <f>★資本ストック!O25</f>
        <v>0.18948983505945541</v>
      </c>
      <c r="D22" s="283">
        <f t="shared" si="0"/>
        <v>0.10978428351309698</v>
      </c>
      <c r="E22" s="283">
        <f t="shared" si="1"/>
        <v>0.18948983505945541</v>
      </c>
    </row>
    <row r="23" spans="1:5">
      <c r="A23">
        <v>2002</v>
      </c>
      <c r="B23" s="283">
        <f>★資本ストック!G26</f>
        <v>0.11052220821433778</v>
      </c>
      <c r="C23" s="283">
        <f>★資本ストック!O26</f>
        <v>0.19315324608342463</v>
      </c>
      <c r="D23" s="283">
        <f t="shared" si="0"/>
        <v>0.11052220821433778</v>
      </c>
      <c r="E23" s="283">
        <f t="shared" si="1"/>
        <v>0.19315324608342463</v>
      </c>
    </row>
    <row r="24" spans="1:5">
      <c r="A24">
        <v>2003</v>
      </c>
      <c r="B24" s="283">
        <f>★資本ストック!G27</f>
        <v>0.11190920153023266</v>
      </c>
      <c r="C24" s="283">
        <f>★資本ストック!O27</f>
        <v>0.19765395894428156</v>
      </c>
      <c r="D24" s="283">
        <f t="shared" si="0"/>
        <v>0.11190920153023266</v>
      </c>
      <c r="E24" s="283">
        <f t="shared" si="1"/>
        <v>0.19765395894428156</v>
      </c>
    </row>
    <row r="25" spans="1:5">
      <c r="A25">
        <v>2004</v>
      </c>
      <c r="B25" s="283">
        <f>★資本ストック!G28</f>
        <v>0.10971531157161858</v>
      </c>
      <c r="C25" s="283">
        <f>★資本ストック!O28</f>
        <v>0.2023856337658933</v>
      </c>
      <c r="D25" s="283">
        <f t="shared" si="0"/>
        <v>0.10971531157161858</v>
      </c>
      <c r="E25" s="283">
        <f t="shared" si="1"/>
        <v>0.2023856337658933</v>
      </c>
    </row>
    <row r="26" spans="1:5">
      <c r="A26">
        <v>2005</v>
      </c>
      <c r="B26" s="283">
        <f>★資本ストック!G29</f>
        <v>0.10874314881434458</v>
      </c>
      <c r="C26" s="283">
        <f>★資本ストック!O29</f>
        <v>0.20620062404567485</v>
      </c>
      <c r="D26" s="283">
        <f t="shared" si="0"/>
        <v>0.10874314881434458</v>
      </c>
      <c r="E26" s="283">
        <f t="shared" si="1"/>
        <v>0.20620062404567485</v>
      </c>
    </row>
    <row r="27" spans="1:5">
      <c r="A27">
        <v>2006</v>
      </c>
      <c r="B27" s="283">
        <f>★資本ストック!G30</f>
        <v>0.10686823296984259</v>
      </c>
      <c r="C27" s="283">
        <f>★資本ストック!O30</f>
        <v>0.21034690194505712</v>
      </c>
      <c r="D27" s="283">
        <f t="shared" si="0"/>
        <v>0.10686823296984259</v>
      </c>
      <c r="E27" s="283">
        <f t="shared" si="1"/>
        <v>0.21034690194505712</v>
      </c>
    </row>
    <row r="28" spans="1:5">
      <c r="A28">
        <v>2007</v>
      </c>
      <c r="B28" s="283">
        <f>★資本ストック!G31</f>
        <v>0.10404032370309986</v>
      </c>
      <c r="C28" s="283">
        <f>★資本ストック!O31</f>
        <v>0.21345958741968213</v>
      </c>
      <c r="D28" s="283">
        <f t="shared" si="0"/>
        <v>0.10404032370309986</v>
      </c>
      <c r="E28" s="283">
        <f t="shared" si="1"/>
        <v>0.21345958741968213</v>
      </c>
    </row>
    <row r="29" spans="1:5">
      <c r="A29">
        <v>2008</v>
      </c>
      <c r="B29" s="283">
        <f>★資本ストック!G32</f>
        <v>0.10844349056143607</v>
      </c>
      <c r="C29" s="283">
        <f>★資本ストック!O32</f>
        <v>0.21570910086968423</v>
      </c>
      <c r="D29" s="283">
        <f t="shared" si="0"/>
        <v>0.10844349056143607</v>
      </c>
      <c r="E29" s="283">
        <f t="shared" si="1"/>
        <v>0.21570910086968423</v>
      </c>
    </row>
    <row r="30" spans="1:5">
      <c r="A30">
        <v>2009</v>
      </c>
      <c r="B30" s="283">
        <f>★資本ストック!G33</f>
        <v>0.11123371007664097</v>
      </c>
      <c r="C30" s="283">
        <f>★資本ストック!O33</f>
        <v>0.21809616184009975</v>
      </c>
      <c r="D30" s="283">
        <f t="shared" si="0"/>
        <v>0.11123371007664097</v>
      </c>
      <c r="E30" s="283">
        <f t="shared" si="1"/>
        <v>0.21809616184009975</v>
      </c>
    </row>
    <row r="31" spans="1:5">
      <c r="A31">
        <v>2010</v>
      </c>
      <c r="B31" s="283">
        <f>★資本ストック!G34</f>
        <v>0.11020477394683277</v>
      </c>
      <c r="C31" s="283">
        <f>★資本ストック!O34</f>
        <v>0.21871444823663255</v>
      </c>
      <c r="D31" s="283">
        <f t="shared" si="0"/>
        <v>0.11020477394683277</v>
      </c>
      <c r="E31" s="283">
        <f t="shared" si="1"/>
        <v>0.21871444823663255</v>
      </c>
    </row>
    <row r="32" spans="1:5">
      <c r="A32">
        <v>2011</v>
      </c>
      <c r="B32" s="283">
        <f>★資本ストック!G35</f>
        <v>0.1172261456615748</v>
      </c>
      <c r="C32" s="283">
        <f>★資本ストック!O35</f>
        <v>0.22040786704405257</v>
      </c>
      <c r="D32" s="283">
        <f t="shared" si="0"/>
        <v>0.1172261456615748</v>
      </c>
      <c r="E32" s="283">
        <f t="shared" si="1"/>
        <v>0.22040786704405257</v>
      </c>
    </row>
    <row r="33" spans="1:5">
      <c r="A33">
        <v>2012</v>
      </c>
      <c r="B33" s="283">
        <f>★資本ストック!G36</f>
        <v>0.11249505420590317</v>
      </c>
      <c r="C33" s="283">
        <f>★資本ストック!O36</f>
        <v>0.22155688622754502</v>
      </c>
      <c r="D33" s="283">
        <f t="shared" si="0"/>
        <v>0.11249505420590317</v>
      </c>
      <c r="E33" s="283">
        <f t="shared" si="1"/>
        <v>0.22155688622754502</v>
      </c>
    </row>
    <row r="34" spans="1:5">
      <c r="A34">
        <v>2013</v>
      </c>
      <c r="B34" s="283">
        <f>★資本ストック!G37</f>
        <v>0.11375755610256649</v>
      </c>
      <c r="C34" s="283">
        <f>★資本ストック!O37</f>
        <v>0.22326692037907611</v>
      </c>
      <c r="D34" s="283">
        <f t="shared" si="0"/>
        <v>0.11375755610256649</v>
      </c>
      <c r="E34" s="283">
        <f t="shared" si="1"/>
        <v>0.22326692037907611</v>
      </c>
    </row>
    <row r="35" spans="1:5">
      <c r="A35">
        <v>2014</v>
      </c>
      <c r="B35" s="283">
        <f>★資本ストック!G38</f>
        <v>0.11732207881639745</v>
      </c>
      <c r="C35" s="283">
        <f>★資本ストック!O38</f>
        <v>0.22508836579679636</v>
      </c>
      <c r="D35" s="283">
        <f t="shared" si="0"/>
        <v>0.11732207881639745</v>
      </c>
      <c r="E35" s="283">
        <f t="shared" si="1"/>
        <v>0.22508836579679636</v>
      </c>
    </row>
    <row r="36" spans="1:5">
      <c r="A36">
        <v>2015</v>
      </c>
      <c r="B36" s="283">
        <f>★資本ストック!G39</f>
        <v>0.12007202474696448</v>
      </c>
      <c r="C36" s="283">
        <f>★資本ストック!O39</f>
        <v>0.22670545900007652</v>
      </c>
      <c r="D36" s="283">
        <f t="shared" si="0"/>
        <v>0.12007202474696448</v>
      </c>
      <c r="E36" s="283">
        <f t="shared" si="1"/>
        <v>0.22670545900007652</v>
      </c>
    </row>
    <row r="37" spans="1:5">
      <c r="A37">
        <v>2016</v>
      </c>
      <c r="B37" s="283">
        <f>★資本ストック!G40</f>
        <v>0.12267486158378625</v>
      </c>
      <c r="C37" s="283">
        <f>★資本ストック!O40</f>
        <v>0.22937168811506434</v>
      </c>
      <c r="D37" s="283">
        <f t="shared" si="0"/>
        <v>0.12267486158378625</v>
      </c>
      <c r="E37" s="283">
        <f t="shared" si="1"/>
        <v>0.22937168811506434</v>
      </c>
    </row>
    <row r="38" spans="1:5">
      <c r="A38">
        <v>2017</v>
      </c>
      <c r="B38" s="283">
        <f>★資本ストック!G41</f>
        <v>0.12411467971304722</v>
      </c>
      <c r="C38" s="283">
        <f>★資本ストック!O41</f>
        <v>0.23004834510970626</v>
      </c>
      <c r="D38" s="283">
        <f t="shared" si="0"/>
        <v>0.12411467971304722</v>
      </c>
      <c r="E38" s="283">
        <f t="shared" si="1"/>
        <v>0.23004834510970626</v>
      </c>
    </row>
    <row r="39" spans="1:5">
      <c r="A39">
        <v>2018</v>
      </c>
      <c r="B39" s="283">
        <f>★資本ストック!G42</f>
        <v>0.12743463246176612</v>
      </c>
      <c r="C39" s="283">
        <f>★資本ストック!O42</f>
        <v>0.23003382850419171</v>
      </c>
      <c r="D39" s="283">
        <f t="shared" si="0"/>
        <v>0.12743463246176612</v>
      </c>
      <c r="E39" s="283">
        <f t="shared" si="1"/>
        <v>0.23003382850419171</v>
      </c>
    </row>
    <row r="40" spans="1:5">
      <c r="A40">
        <v>2019</v>
      </c>
      <c r="B40" s="283">
        <f>★資本ストック!G43</f>
        <v>0.13006732839559218</v>
      </c>
      <c r="C40" s="283">
        <f>★資本ストック!O43</f>
        <v>0.22905635743816638</v>
      </c>
      <c r="D40" s="283">
        <f t="shared" si="0"/>
        <v>0.13006732839559218</v>
      </c>
      <c r="E40" s="283">
        <f t="shared" si="1"/>
        <v>0.22905635743816638</v>
      </c>
    </row>
    <row r="41" spans="1:5">
      <c r="A41">
        <v>2020</v>
      </c>
      <c r="B41" s="283">
        <f>★資本ストック!G44</f>
        <v>0.13281677522458163</v>
      </c>
      <c r="C41" s="283">
        <f>★資本ストック!O44</f>
        <v>0.22846787947697558</v>
      </c>
      <c r="D41" s="283">
        <f t="shared" ref="D41" si="2">B41</f>
        <v>0.13281677522458163</v>
      </c>
      <c r="E41" s="283">
        <f t="shared" ref="E41" si="3">C41</f>
        <v>0.22846787947697558</v>
      </c>
    </row>
    <row r="42" spans="1:5">
      <c r="A42">
        <v>2021</v>
      </c>
      <c r="B42" s="284">
        <v>0.133807525989386</v>
      </c>
      <c r="C42" s="284">
        <v>0.22812146890277299</v>
      </c>
    </row>
    <row r="43" spans="1:5">
      <c r="A43">
        <v>2022</v>
      </c>
      <c r="B43" s="284">
        <v>0.13480566728915799</v>
      </c>
      <c r="C43" s="284">
        <v>0.22798389653957599</v>
      </c>
    </row>
    <row r="44" spans="1:5">
      <c r="A44">
        <v>2023</v>
      </c>
      <c r="B44" s="284">
        <v>0.13581125425423901</v>
      </c>
      <c r="C44" s="284">
        <v>0.228026494661</v>
      </c>
    </row>
    <row r="45" spans="1:5">
      <c r="A45">
        <v>2024</v>
      </c>
      <c r="B45" s="284">
        <v>0.136824342425795</v>
      </c>
      <c r="C45" s="284">
        <v>0.22822453082878699</v>
      </c>
    </row>
    <row r="46" spans="1:5">
      <c r="A46">
        <v>2025</v>
      </c>
      <c r="B46" s="284">
        <v>0.13784498775930401</v>
      </c>
      <c r="C46" s="284">
        <v>0.228556667686308</v>
      </c>
    </row>
    <row r="47" spans="1:5">
      <c r="A47">
        <v>2026</v>
      </c>
      <c r="B47" s="284">
        <v>0.138873246627643</v>
      </c>
      <c r="C47" s="284">
        <v>0.229004496907493</v>
      </c>
    </row>
    <row r="48" spans="1:5">
      <c r="A48">
        <v>2027</v>
      </c>
      <c r="B48" s="284">
        <v>0.139909175824208</v>
      </c>
      <c r="C48" s="284">
        <v>0.22955213712172201</v>
      </c>
    </row>
    <row r="49" spans="1:3">
      <c r="A49">
        <v>2028</v>
      </c>
      <c r="B49" s="284">
        <v>0.14095283256604399</v>
      </c>
      <c r="C49" s="284">
        <v>0.23018588703253501</v>
      </c>
    </row>
    <row r="50" spans="1:3">
      <c r="A50">
        <v>2029</v>
      </c>
      <c r="B50" s="284">
        <v>0.14200427449701</v>
      </c>
      <c r="C50" s="284">
        <v>0.23089392615358401</v>
      </c>
    </row>
    <row r="51" spans="1:3">
      <c r="A51">
        <v>2030</v>
      </c>
      <c r="B51" s="284">
        <v>0.14306355969095999</v>
      </c>
      <c r="C51" s="284">
        <v>0.23166605662527301</v>
      </c>
    </row>
    <row r="52" spans="1:3">
      <c r="A52">
        <v>2031</v>
      </c>
      <c r="B52" s="284">
        <v>0.14413074665495301</v>
      </c>
      <c r="C52" s="284">
        <v>0.232493480472862</v>
      </c>
    </row>
    <row r="53" spans="1:3">
      <c r="A53">
        <v>2032</v>
      </c>
      <c r="B53" s="284">
        <v>0.14520589433248099</v>
      </c>
      <c r="C53" s="284">
        <v>0.233368607440887</v>
      </c>
    </row>
    <row r="54" spans="1:3">
      <c r="A54">
        <v>2033</v>
      </c>
      <c r="B54" s="284">
        <v>0.14628906210673001</v>
      </c>
      <c r="C54" s="284">
        <v>0.234284889206612</v>
      </c>
    </row>
    <row r="55" spans="1:3">
      <c r="A55">
        <v>2034</v>
      </c>
      <c r="B55" s="284">
        <v>0.147380309803853</v>
      </c>
      <c r="C55" s="284">
        <v>0.235236676351402</v>
      </c>
    </row>
    <row r="56" spans="1:3">
      <c r="A56">
        <v>2035</v>
      </c>
      <c r="B56" s="284">
        <v>0.148479697696281</v>
      </c>
      <c r="C56" s="284">
        <v>0.236219094965986</v>
      </c>
    </row>
    <row r="57" spans="1:3">
      <c r="A57">
        <v>2036</v>
      </c>
      <c r="B57" s="284">
        <v>0.149587286506047</v>
      </c>
      <c r="C57" s="284">
        <v>0.23722794019440699</v>
      </c>
    </row>
    <row r="58" spans="1:3">
      <c r="A58">
        <v>2037</v>
      </c>
      <c r="B58" s="284">
        <v>0.15070313740814401</v>
      </c>
      <c r="C58" s="284">
        <v>0.238259584391458</v>
      </c>
    </row>
    <row r="59" spans="1:3">
      <c r="A59">
        <v>2038</v>
      </c>
      <c r="B59" s="284">
        <v>0.15182731203389899</v>
      </c>
      <c r="C59" s="284">
        <v>0.23931089788756399</v>
      </c>
    </row>
    <row r="60" spans="1:3">
      <c r="A60">
        <v>2039</v>
      </c>
      <c r="B60" s="284">
        <v>0.152959872474381</v>
      </c>
      <c r="C60" s="284">
        <v>0.24037918063046401</v>
      </c>
    </row>
    <row r="61" spans="1:3">
      <c r="A61">
        <v>2040</v>
      </c>
      <c r="B61" s="284">
        <v>0.15410088128383101</v>
      </c>
      <c r="C61" s="284">
        <v>0.24146210321060199</v>
      </c>
    </row>
  </sheetData>
  <phoneticPr fontId="1"/>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DBD65-004A-44D1-B555-2DA0C08CC7E4}">
  <dimension ref="A1:F25"/>
  <sheetViews>
    <sheetView tabSelected="1" workbookViewId="0"/>
  </sheetViews>
  <sheetFormatPr defaultColWidth="8.84375" defaultRowHeight="18.45"/>
  <cols>
    <col min="1" max="1" width="10.84375" style="402" bestFit="1" customWidth="1"/>
    <col min="2" max="16384" width="8.84375" style="402"/>
  </cols>
  <sheetData>
    <row r="1" spans="1:1">
      <c r="A1" s="404" t="s">
        <v>694</v>
      </c>
    </row>
    <row r="2" spans="1:1">
      <c r="A2" s="402" t="s">
        <v>693</v>
      </c>
    </row>
    <row r="3" spans="1:1">
      <c r="A3" s="402" t="s">
        <v>692</v>
      </c>
    </row>
    <row r="5" spans="1:1">
      <c r="A5" s="404" t="s">
        <v>695</v>
      </c>
    </row>
    <row r="6" spans="1:1">
      <c r="A6" s="402" t="s">
        <v>711</v>
      </c>
    </row>
    <row r="7" spans="1:1">
      <c r="A7" s="403" t="s">
        <v>683</v>
      </c>
    </row>
    <row r="8" spans="1:1">
      <c r="A8" s="403" t="s">
        <v>684</v>
      </c>
    </row>
    <row r="9" spans="1:1">
      <c r="A9" s="403" t="s">
        <v>685</v>
      </c>
    </row>
    <row r="10" spans="1:1">
      <c r="A10" s="403" t="s">
        <v>686</v>
      </c>
    </row>
    <row r="11" spans="1:1">
      <c r="A11" s="403" t="s">
        <v>687</v>
      </c>
    </row>
    <row r="12" spans="1:1">
      <c r="A12" s="403" t="s">
        <v>688</v>
      </c>
    </row>
    <row r="14" spans="1:1">
      <c r="A14" s="402" t="s">
        <v>689</v>
      </c>
    </row>
    <row r="15" spans="1:1">
      <c r="A15" s="403" t="s">
        <v>690</v>
      </c>
    </row>
    <row r="16" spans="1:1">
      <c r="A16" s="403" t="s">
        <v>697</v>
      </c>
    </row>
    <row r="17" spans="1:6">
      <c r="A17" s="403" t="s">
        <v>696</v>
      </c>
    </row>
    <row r="18" spans="1:6">
      <c r="A18" s="402" t="s">
        <v>691</v>
      </c>
    </row>
    <row r="20" spans="1:6">
      <c r="A20" s="404" t="s">
        <v>712</v>
      </c>
    </row>
    <row r="21" spans="1:6">
      <c r="A21" s="402" t="s">
        <v>713</v>
      </c>
    </row>
    <row r="22" spans="1:6">
      <c r="A22" s="402" t="s">
        <v>714</v>
      </c>
    </row>
    <row r="24" spans="1:6">
      <c r="A24" s="405" t="s">
        <v>715</v>
      </c>
      <c r="B24" s="406"/>
      <c r="C24" s="406"/>
      <c r="D24" s="406"/>
      <c r="E24" s="406"/>
      <c r="F24" s="406"/>
    </row>
    <row r="25" spans="1:6">
      <c r="A25" s="406" t="s">
        <v>716</v>
      </c>
      <c r="B25" s="406"/>
      <c r="C25" s="406"/>
      <c r="D25" s="406"/>
      <c r="E25" s="406"/>
      <c r="F25" s="406"/>
    </row>
  </sheetData>
  <phoneticPr fontId="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CD8FA-1468-4DC9-AAAE-3A8C7525CFA3}">
  <dimension ref="A1:AA65"/>
  <sheetViews>
    <sheetView zoomScaleNormal="100" workbookViewId="0">
      <selection activeCell="E66" sqref="E66"/>
    </sheetView>
  </sheetViews>
  <sheetFormatPr defaultColWidth="8.84375" defaultRowHeight="18.45" outlineLevelRow="1" outlineLevelCol="1"/>
  <cols>
    <col min="1" max="1" width="7.07421875" style="57" bestFit="1" customWidth="1"/>
    <col min="2" max="5" width="14.4609375" style="43" bestFit="1" customWidth="1"/>
    <col min="6" max="6" width="12.23046875" style="43" bestFit="1" customWidth="1"/>
    <col min="7" max="7" width="12.3046875" style="43" bestFit="1" customWidth="1"/>
    <col min="8" max="8" width="5.765625" style="24" customWidth="1"/>
    <col min="9" max="9" width="14.07421875" style="24" bestFit="1" customWidth="1"/>
    <col min="10" max="10" width="16.07421875" style="24" bestFit="1" customWidth="1"/>
    <col min="11" max="11" width="16.07421875" style="43" customWidth="1"/>
    <col min="12" max="12" width="11.84375" style="43" bestFit="1" customWidth="1"/>
    <col min="13" max="13" width="5.765625" style="24" customWidth="1"/>
    <col min="14" max="14" width="11.84375" style="44" bestFit="1" customWidth="1"/>
    <col min="15" max="15" width="5.765625" style="24" customWidth="1"/>
    <col min="16" max="16" width="6.53515625" style="45" bestFit="1" customWidth="1"/>
    <col min="17" max="17" width="11.4609375" style="44" bestFit="1" customWidth="1"/>
    <col min="18" max="18" width="5.765625" style="24" customWidth="1"/>
    <col min="19" max="19" width="12.07421875" style="43" bestFit="1" customWidth="1"/>
    <col min="20" max="20" width="12.4609375" style="24" hidden="1" customWidth="1" outlineLevel="1"/>
    <col min="21" max="21" width="8.84375" style="24" collapsed="1"/>
    <col min="22" max="22" width="14.84375" style="24" hidden="1" customWidth="1" outlineLevel="1"/>
    <col min="23" max="24" width="24.3046875" style="37" hidden="1" customWidth="1" outlineLevel="1"/>
    <col min="25" max="25" width="22.4609375" style="24" customWidth="1" collapsed="1"/>
    <col min="26" max="27" width="22.4609375" style="24" customWidth="1"/>
    <col min="28" max="16384" width="8.84375" style="24"/>
  </cols>
  <sheetData>
    <row r="1" spans="1:27" s="59" customFormat="1">
      <c r="A1" s="58"/>
      <c r="B1" s="407" t="s">
        <v>388</v>
      </c>
      <c r="C1" s="407"/>
      <c r="D1" s="407"/>
      <c r="E1" s="407"/>
      <c r="F1" s="407"/>
      <c r="G1" s="407"/>
      <c r="I1" s="407" t="s">
        <v>3</v>
      </c>
      <c r="J1" s="407"/>
      <c r="K1" s="407"/>
      <c r="L1" s="407"/>
      <c r="N1" s="187" t="s">
        <v>389</v>
      </c>
      <c r="P1" s="407" t="s">
        <v>40</v>
      </c>
      <c r="Q1" s="407"/>
      <c r="S1" s="407" t="s">
        <v>390</v>
      </c>
      <c r="T1" s="407"/>
      <c r="W1" s="94"/>
      <c r="X1" s="94"/>
    </row>
    <row r="2" spans="1:27" s="57" customFormat="1" ht="55.3">
      <c r="A2" s="57" t="s">
        <v>7</v>
      </c>
      <c r="B2" s="73" t="s">
        <v>667</v>
      </c>
      <c r="C2" s="74" t="s">
        <v>665</v>
      </c>
      <c r="D2" s="73" t="s">
        <v>668</v>
      </c>
      <c r="E2" s="74" t="s">
        <v>666</v>
      </c>
      <c r="F2" s="73" t="s">
        <v>404</v>
      </c>
      <c r="G2" s="73" t="s">
        <v>669</v>
      </c>
      <c r="I2" s="396" t="s">
        <v>407</v>
      </c>
      <c r="J2" s="396" t="s">
        <v>670</v>
      </c>
      <c r="K2" s="397" t="s">
        <v>682</v>
      </c>
      <c r="L2" s="397" t="s">
        <v>410</v>
      </c>
      <c r="N2" s="398" t="s">
        <v>412</v>
      </c>
      <c r="P2" s="399" t="s">
        <v>40</v>
      </c>
      <c r="Q2" s="74" t="s">
        <v>671</v>
      </c>
      <c r="S2" s="73" t="s">
        <v>664</v>
      </c>
      <c r="T2" s="376" t="s">
        <v>45</v>
      </c>
      <c r="V2" s="377" t="s">
        <v>46</v>
      </c>
      <c r="W2" s="375" t="s">
        <v>47</v>
      </c>
      <c r="X2" s="375" t="s">
        <v>48</v>
      </c>
      <c r="Y2" s="376"/>
      <c r="Z2" s="376"/>
      <c r="AA2" s="376"/>
    </row>
    <row r="3" spans="1:27" hidden="1" outlineLevel="1">
      <c r="A3" s="57">
        <v>1980</v>
      </c>
      <c r="B3" s="49"/>
      <c r="C3" s="49"/>
      <c r="D3" s="49"/>
      <c r="E3" s="49"/>
      <c r="F3" s="88">
        <f>★資本稼働率!Y8</f>
        <v>0.83442799999999995</v>
      </c>
      <c r="I3" s="69">
        <f>★平均労働時間!K27</f>
        <v>2278.0755795411901</v>
      </c>
      <c r="J3" s="69">
        <f>★就業者数!W9</f>
        <v>5472.5628883906056</v>
      </c>
      <c r="K3" s="290">
        <f>★就業者数!Y9</f>
        <v>518.48900349658425</v>
      </c>
      <c r="L3" s="46">
        <f>I3*K3</f>
        <v>1181157.1371262153</v>
      </c>
      <c r="N3" s="47">
        <f>★TFP上昇率推計・図5!W3</f>
        <v>0.30803857401284501</v>
      </c>
      <c r="P3" s="54"/>
      <c r="Q3" s="53"/>
      <c r="T3" s="44"/>
      <c r="V3" s="32"/>
      <c r="W3" s="67"/>
      <c r="X3" s="67"/>
      <c r="Y3" s="32"/>
      <c r="Z3" s="32"/>
      <c r="AA3" s="32"/>
    </row>
    <row r="4" spans="1:27" hidden="1" outlineLevel="1">
      <c r="A4" s="57">
        <v>1981</v>
      </c>
      <c r="B4" s="69">
        <f>★資本ストック!H4</f>
        <v>11241.079173226801</v>
      </c>
      <c r="C4" s="293">
        <f>★資本ストック!G5</f>
        <v>9.9397659666527652E-2</v>
      </c>
      <c r="D4" s="69">
        <f>★資本ストック!P4</f>
        <v>472.80664226314798</v>
      </c>
      <c r="E4" s="293">
        <f>★資本ストック!O5</f>
        <v>0.16529717456579623</v>
      </c>
      <c r="F4" s="88">
        <f>★資本稼働率!Y9</f>
        <v>0.83442799999999995</v>
      </c>
      <c r="G4" s="46">
        <f>B4*F4+D4</f>
        <v>9852.6778546204405</v>
      </c>
      <c r="I4" s="69">
        <f>★平均労働時間!K28</f>
        <v>2274.9449153820601</v>
      </c>
      <c r="J4" s="69">
        <f>★就業者数!W10</f>
        <v>5537.6422192328882</v>
      </c>
      <c r="K4" s="290">
        <f>★就業者数!Y10</f>
        <v>524.43359889640055</v>
      </c>
      <c r="L4" s="46">
        <f t="shared" ref="L4:L42" si="0">I4*K4</f>
        <v>1193057.5492648813</v>
      </c>
      <c r="N4" s="47">
        <f>★TFP上昇率推計・図5!W4</f>
        <v>0.31120100082886798</v>
      </c>
      <c r="P4" s="70">
        <f>★TFP上昇率推計・図5!AA4</f>
        <v>2.25433689943352</v>
      </c>
      <c r="Q4" s="53"/>
      <c r="R4" s="166"/>
      <c r="S4" s="46">
        <f t="shared" ref="S4:S35" si="1">P4*(G4^N4)*(L4^(1-N4))</f>
        <v>604526.29410937079</v>
      </c>
      <c r="T4" s="44"/>
      <c r="U4" s="40"/>
      <c r="V4" s="64">
        <v>0.51549999999999996</v>
      </c>
      <c r="W4" s="69">
        <f>((0.99^(-1)+C4-1)/((1-V4)*N4*P4))^(1/(1-N4))*L4</f>
        <v>230385.35221621807</v>
      </c>
      <c r="X4" s="69">
        <f>((0.99^(-1)+E4-1)/((1-V4)*N4*P4))^(1/(1-N4))*L4</f>
        <v>456580.34899694921</v>
      </c>
      <c r="Y4" s="32"/>
      <c r="Z4" s="32"/>
      <c r="AA4" s="32"/>
    </row>
    <row r="5" spans="1:27" hidden="1" outlineLevel="1">
      <c r="A5" s="57">
        <v>1982</v>
      </c>
      <c r="B5" s="69">
        <f>★資本ストック!H5</f>
        <v>11892.6024042101</v>
      </c>
      <c r="C5" s="293">
        <f>★資本ストック!G6</f>
        <v>0.10155024626748303</v>
      </c>
      <c r="D5" s="69">
        <f>★資本ストック!P5</f>
        <v>523.383709313802</v>
      </c>
      <c r="E5" s="293">
        <f>★資本ストック!O6</f>
        <v>0.1654751325509787</v>
      </c>
      <c r="F5" s="88">
        <f>★資本稼働率!Y10</f>
        <v>0.83442799999999995</v>
      </c>
      <c r="G5" s="46">
        <f t="shared" ref="G5:G16" si="2">B5*F5+D5</f>
        <v>10446.904148254027</v>
      </c>
      <c r="I5" s="69">
        <f>★平均労働時間!K29</f>
        <v>2271.8301885385499</v>
      </c>
      <c r="J5" s="69">
        <f>★就業者数!W11</f>
        <v>5603.6463529252569</v>
      </c>
      <c r="K5" s="290">
        <f>★就業者数!Y11</f>
        <v>529.57257648961308</v>
      </c>
      <c r="L5" s="46">
        <f t="shared" si="0"/>
        <v>1203098.9662912434</v>
      </c>
      <c r="N5" s="47">
        <f>★TFP上昇率推計・図5!W5</f>
        <v>0.31439957251386302</v>
      </c>
      <c r="P5" s="70">
        <f>★TFP上昇率推計・図5!AA5</f>
        <v>2.3486656533669801</v>
      </c>
      <c r="Q5" s="293">
        <f>P5/P4-1</f>
        <v>4.1843237342725326E-2</v>
      </c>
      <c r="R5" s="166"/>
      <c r="S5" s="46">
        <f t="shared" si="1"/>
        <v>635398.80042906862</v>
      </c>
      <c r="T5" s="88">
        <f>S5/S4-1</f>
        <v>5.1068922262812899E-2</v>
      </c>
      <c r="U5" s="40"/>
      <c r="V5" s="64">
        <v>0.51549999999999996</v>
      </c>
      <c r="W5" s="69">
        <f t="shared" ref="W5:W63" si="3">((0.99^(-1)+C5-1)/((1-V5)*N5*P5))^(1/(1-N5))*L5</f>
        <v>220115.75420596474</v>
      </c>
      <c r="X5" s="69">
        <f t="shared" ref="X5:X63" si="4">((0.99^(-1)+E5-1)/((1-V5)*N5*P5))^(1/(1-N5))*L5</f>
        <v>426000.22627296008</v>
      </c>
      <c r="Y5" s="32"/>
      <c r="Z5" s="32"/>
      <c r="AA5" s="32"/>
    </row>
    <row r="6" spans="1:27" hidden="1" outlineLevel="1">
      <c r="A6" s="57">
        <v>1983</v>
      </c>
      <c r="B6" s="69">
        <f>★資本ストック!H6</f>
        <v>12547.7989639796</v>
      </c>
      <c r="C6" s="293">
        <f>★資本ストック!G7</f>
        <v>0.10577141616732799</v>
      </c>
      <c r="D6" s="69">
        <f>★資本ストック!P6</f>
        <v>574.55373042920905</v>
      </c>
      <c r="E6" s="293">
        <f>★資本ストック!O7</f>
        <v>0.16564104074701763</v>
      </c>
      <c r="F6" s="88">
        <f>★資本稼働率!Y11</f>
        <v>0.83442799999999995</v>
      </c>
      <c r="G6" s="46">
        <f t="shared" si="2"/>
        <v>11044.788524344776</v>
      </c>
      <c r="I6" s="69">
        <f>★平均労働時間!K30</f>
        <v>2268.2678566087998</v>
      </c>
      <c r="J6" s="69">
        <f>★就業者数!W12</f>
        <v>5670.5751158974381</v>
      </c>
      <c r="K6" s="290">
        <f>★就業者数!Y12</f>
        <v>534.30866182975149</v>
      </c>
      <c r="L6" s="46">
        <f t="shared" si="0"/>
        <v>1211955.1631360864</v>
      </c>
      <c r="N6" s="47">
        <f>★TFP上昇率推計・図5!W6</f>
        <v>0.31787320648795298</v>
      </c>
      <c r="P6" s="70">
        <f>★TFP上昇率推計・図5!AA6</f>
        <v>2.4465509839321098</v>
      </c>
      <c r="Q6" s="293">
        <f>P6/P5-1</f>
        <v>4.1676996649056441E-2</v>
      </c>
      <c r="R6" s="166"/>
      <c r="S6" s="46">
        <f t="shared" si="1"/>
        <v>666000.95973067847</v>
      </c>
      <c r="T6" s="88">
        <f t="shared" ref="T6:T42" si="5">S6/S5-1</f>
        <v>4.8162129486150951E-2</v>
      </c>
      <c r="U6" s="40"/>
      <c r="V6" s="64">
        <v>0.51549999999999996</v>
      </c>
      <c r="W6" s="69">
        <f t="shared" si="3"/>
        <v>215136.59659491674</v>
      </c>
      <c r="X6" s="69">
        <f t="shared" si="4"/>
        <v>396193.90516592527</v>
      </c>
      <c r="Y6" s="32"/>
      <c r="Z6" s="32"/>
      <c r="AA6" s="32"/>
    </row>
    <row r="7" spans="1:27" hidden="1" outlineLevel="1">
      <c r="A7" s="57">
        <v>1984</v>
      </c>
      <c r="B7" s="69">
        <f>★資本ストック!H7</f>
        <v>13215.5116313334</v>
      </c>
      <c r="C7" s="293">
        <f>★資本ストック!G8</f>
        <v>0.10811939449329493</v>
      </c>
      <c r="D7" s="69">
        <f>★資本ストック!P7</f>
        <v>627.14315620186096</v>
      </c>
      <c r="E7" s="293">
        <f>★資本ストック!O8</f>
        <v>0.16627164808496372</v>
      </c>
      <c r="F7" s="88">
        <f>★資本稼働率!Y12</f>
        <v>0.83442799999999995</v>
      </c>
      <c r="G7" s="46">
        <f t="shared" si="2"/>
        <v>11654.536095712127</v>
      </c>
      <c r="I7" s="69">
        <f>★平均労働時間!K31</f>
        <v>2263.8346519721999</v>
      </c>
      <c r="J7" s="69">
        <f>★就業者数!W13</f>
        <v>5738.3166068814317</v>
      </c>
      <c r="K7" s="290">
        <f>★就業者数!Y13</f>
        <v>539.14042296064883</v>
      </c>
      <c r="L7" s="46">
        <f t="shared" si="0"/>
        <v>1220524.7717772652</v>
      </c>
      <c r="N7" s="47">
        <f>★TFP上昇率推計・図5!W7</f>
        <v>0.321876499714152</v>
      </c>
      <c r="P7" s="70">
        <f>★TFP上昇率推計・図5!AA7</f>
        <v>2.5522500084739099</v>
      </c>
      <c r="Q7" s="293">
        <f t="shared" ref="Q7:Q41" si="6">P7/P6-1</f>
        <v>4.3203278916313481E-2</v>
      </c>
      <c r="R7" s="166"/>
      <c r="S7" s="46">
        <f t="shared" si="1"/>
        <v>697047.97796218004</v>
      </c>
      <c r="T7" s="88">
        <f t="shared" si="5"/>
        <v>4.6617077314808242E-2</v>
      </c>
      <c r="U7" s="40"/>
      <c r="V7" s="64">
        <v>0.5292</v>
      </c>
      <c r="W7" s="69">
        <f t="shared" si="3"/>
        <v>212547.98796283535</v>
      </c>
      <c r="X7" s="69">
        <f t="shared" si="4"/>
        <v>383408.97509517131</v>
      </c>
      <c r="Y7" s="32"/>
      <c r="Z7" s="32"/>
      <c r="AA7" s="32"/>
    </row>
    <row r="8" spans="1:27" hidden="1" outlineLevel="1">
      <c r="A8" s="57">
        <v>1985</v>
      </c>
      <c r="B8" s="69">
        <f>★資本ストック!H8</f>
        <v>13909.806268894001</v>
      </c>
      <c r="C8" s="293">
        <f>★資本ストック!G9</f>
        <v>0.11717576103466582</v>
      </c>
      <c r="D8" s="69">
        <f>★資本ストック!P8</f>
        <v>681.92716819685995</v>
      </c>
      <c r="E8" s="293">
        <f>★資本ストック!O9</f>
        <v>0.16756109163692756</v>
      </c>
      <c r="F8" s="88">
        <f>★資本稼働率!Y13</f>
        <v>0.83442799999999995</v>
      </c>
      <c r="G8" s="46">
        <f t="shared" si="2"/>
        <v>12288.658993537543</v>
      </c>
      <c r="I8" s="69">
        <f>★平均労働時間!K32</f>
        <v>2257.95276044208</v>
      </c>
      <c r="J8" s="69">
        <f>★就業者数!W14</f>
        <v>5807.1126768771046</v>
      </c>
      <c r="K8" s="290">
        <f>★就業者数!Y14</f>
        <v>544.62983686959819</v>
      </c>
      <c r="L8" s="46">
        <f t="shared" si="0"/>
        <v>1229748.4435788291</v>
      </c>
      <c r="N8" s="47">
        <f>★TFP上昇率推計・図5!W8</f>
        <v>0.32597363578069399</v>
      </c>
      <c r="P8" s="70">
        <f>★TFP上昇率推計・図5!AA8</f>
        <v>2.66227231635404</v>
      </c>
      <c r="Q8" s="293">
        <f t="shared" si="6"/>
        <v>4.310796650596016E-2</v>
      </c>
      <c r="R8" s="166"/>
      <c r="S8" s="46">
        <f t="shared" si="1"/>
        <v>729490.85398211784</v>
      </c>
      <c r="T8" s="88">
        <f t="shared" si="5"/>
        <v>4.654324672856025E-2</v>
      </c>
      <c r="U8" s="40"/>
      <c r="V8" s="64">
        <v>0.5292</v>
      </c>
      <c r="W8" s="69">
        <f t="shared" si="3"/>
        <v>217935.99928494199</v>
      </c>
      <c r="X8" s="69">
        <f t="shared" si="4"/>
        <v>357458.05500325793</v>
      </c>
      <c r="Y8" s="32"/>
      <c r="Z8" s="32"/>
      <c r="AA8" s="32"/>
    </row>
    <row r="9" spans="1:27" hidden="1" outlineLevel="1">
      <c r="A9" s="57">
        <v>1986</v>
      </c>
      <c r="B9" s="69">
        <f>★資本ストック!H9</f>
        <v>14647.628588923801</v>
      </c>
      <c r="C9" s="293">
        <f>★資本ストック!G10</f>
        <v>0.11315827810043916</v>
      </c>
      <c r="D9" s="69">
        <f>★資本ストック!P9</f>
        <v>739.55168204161396</v>
      </c>
      <c r="E9" s="293">
        <f>★資本ストック!O10</f>
        <v>0.16923977148471006</v>
      </c>
      <c r="F9" s="88">
        <f>★資本稼働率!Y14</f>
        <v>0.83442799999999995</v>
      </c>
      <c r="G9" s="46">
        <f t="shared" si="2"/>
        <v>12961.943110240123</v>
      </c>
      <c r="I9" s="69">
        <f>★平均労働時間!K33</f>
        <v>2250.11781597867</v>
      </c>
      <c r="J9" s="69">
        <f>★就業者数!W15</f>
        <v>5877.278866858991</v>
      </c>
      <c r="K9" s="290">
        <f>★就業者数!Y15</f>
        <v>551.2211585228124</v>
      </c>
      <c r="L9" s="46">
        <f t="shared" si="0"/>
        <v>1240312.5493365829</v>
      </c>
      <c r="N9" s="47">
        <f>★TFP上昇率推計・図5!W9</f>
        <v>0.329105536734703</v>
      </c>
      <c r="P9" s="70">
        <f>★TFP上昇率推計・図5!AA9</f>
        <v>2.7652038339074498</v>
      </c>
      <c r="Q9" s="293">
        <f t="shared" si="6"/>
        <v>3.8663031171196405E-2</v>
      </c>
      <c r="R9" s="166"/>
      <c r="S9" s="46">
        <f t="shared" si="1"/>
        <v>764444.49369423662</v>
      </c>
      <c r="T9" s="88">
        <f t="shared" si="5"/>
        <v>4.7915117127672158E-2</v>
      </c>
      <c r="U9" s="40"/>
      <c r="V9" s="64">
        <v>0.5292</v>
      </c>
      <c r="W9" s="69">
        <f t="shared" si="3"/>
        <v>193654.25065749238</v>
      </c>
      <c r="X9" s="69">
        <f t="shared" si="4"/>
        <v>338669.97354187001</v>
      </c>
      <c r="Y9" s="32"/>
      <c r="Z9" s="32"/>
      <c r="AA9" s="32"/>
    </row>
    <row r="10" spans="1:27" hidden="1" outlineLevel="1">
      <c r="A10" s="57">
        <v>1987</v>
      </c>
      <c r="B10" s="69">
        <f>★資本ストック!H10</f>
        <v>15446.4108135427</v>
      </c>
      <c r="C10" s="293">
        <f>★資本ストック!G11</f>
        <v>0.11060647451739845</v>
      </c>
      <c r="D10" s="69">
        <f>★資本ストック!P10</f>
        <v>800.51999814048304</v>
      </c>
      <c r="E10" s="293">
        <f>★資本ストック!O11</f>
        <v>0.17035721082788849</v>
      </c>
      <c r="F10" s="88">
        <f>★資本稼働率!Y15</f>
        <v>0.83442799999999995</v>
      </c>
      <c r="G10" s="46">
        <f t="shared" si="2"/>
        <v>13689.437680463288</v>
      </c>
      <c r="I10" s="69">
        <f>★平均労働時間!K34</f>
        <v>2239.7688589378299</v>
      </c>
      <c r="J10" s="69">
        <f>★就業者数!W16</f>
        <v>5948.8595771571181</v>
      </c>
      <c r="K10" s="290">
        <f>★就業者数!Y16</f>
        <v>559.20334981775738</v>
      </c>
      <c r="L10" s="46">
        <f t="shared" si="0"/>
        <v>1252486.2487355305</v>
      </c>
      <c r="N10" s="47">
        <f>★TFP上昇率推計・図5!W10</f>
        <v>0.32997454186960601</v>
      </c>
      <c r="P10" s="70">
        <f>★TFP上昇率推計・図5!AA10</f>
        <v>2.8444781133145201</v>
      </c>
      <c r="Q10" s="293">
        <f>P10/P9-1</f>
        <v>2.8668512040593175E-2</v>
      </c>
      <c r="R10" s="166"/>
      <c r="S10" s="46">
        <f t="shared" si="1"/>
        <v>802726.62533638719</v>
      </c>
      <c r="T10" s="88">
        <f t="shared" si="5"/>
        <v>5.007836665439136E-2</v>
      </c>
      <c r="U10" s="40"/>
      <c r="V10" s="64">
        <v>0.51549999999999996</v>
      </c>
      <c r="W10" s="69">
        <f t="shared" si="3"/>
        <v>172997.78415740919</v>
      </c>
      <c r="X10" s="69">
        <f t="shared" si="4"/>
        <v>315276.09438281337</v>
      </c>
      <c r="Y10" s="32"/>
      <c r="Z10" s="32"/>
      <c r="AA10" s="32"/>
    </row>
    <row r="11" spans="1:27" hidden="1" outlineLevel="1">
      <c r="A11" s="57">
        <v>1988</v>
      </c>
      <c r="B11" s="69">
        <f>★資本ストック!H11</f>
        <v>16316.8606557638</v>
      </c>
      <c r="C11" s="293">
        <f>★資本ストック!G12</f>
        <v>0.10622289444240673</v>
      </c>
      <c r="D11" s="69">
        <f>★資本ストック!P11</f>
        <v>865.02961742339198</v>
      </c>
      <c r="E11" s="293">
        <f>★資本ストック!O12</f>
        <v>0.17073589395908575</v>
      </c>
      <c r="F11" s="88">
        <f>★資本稼働率!Y16</f>
        <v>0.83442799999999995</v>
      </c>
      <c r="G11" s="46">
        <f t="shared" si="2"/>
        <v>14480.275020691066</v>
      </c>
      <c r="I11" s="69">
        <f>★平均労働時間!K35</f>
        <v>2226.4533188489399</v>
      </c>
      <c r="J11" s="69">
        <f>★就業者数!W17</f>
        <v>6021.4077343993094</v>
      </c>
      <c r="K11" s="290">
        <f>★就業者数!Y17</f>
        <v>568.67935713198176</v>
      </c>
      <c r="L11" s="46">
        <f t="shared" si="0"/>
        <v>1266138.0420473823</v>
      </c>
      <c r="N11" s="47">
        <f>★TFP上昇率推計・図5!W11</f>
        <v>0.32717029382131202</v>
      </c>
      <c r="P11" s="70">
        <f>★TFP上昇率推計・図5!AA11</f>
        <v>2.8803759945866001</v>
      </c>
      <c r="Q11" s="293">
        <f t="shared" si="6"/>
        <v>1.2620199503047047E-2</v>
      </c>
      <c r="R11" s="166"/>
      <c r="S11" s="46">
        <f t="shared" si="1"/>
        <v>844621.80943013867</v>
      </c>
      <c r="T11" s="88">
        <f t="shared" si="5"/>
        <v>5.2191098153988591E-2</v>
      </c>
      <c r="U11" s="40"/>
      <c r="V11" s="64">
        <v>0.51549999999999996</v>
      </c>
      <c r="W11" s="69">
        <f t="shared" si="3"/>
        <v>165908.49939028677</v>
      </c>
      <c r="X11" s="69">
        <f t="shared" si="4"/>
        <v>319641.36379383458</v>
      </c>
      <c r="Y11" s="32"/>
      <c r="Z11" s="32"/>
      <c r="AA11" s="32"/>
    </row>
    <row r="12" spans="1:27" hidden="1" outlineLevel="1">
      <c r="A12" s="57">
        <v>1989</v>
      </c>
      <c r="B12" s="69">
        <f>★資本ストック!H12</f>
        <v>17257.996591101899</v>
      </c>
      <c r="C12" s="293">
        <f>★資本ストック!G13</f>
        <v>0.10562191321004707</v>
      </c>
      <c r="D12" s="69">
        <f>★資本ストック!P12</f>
        <v>932.88410976273894</v>
      </c>
      <c r="E12" s="293">
        <f>★資本ストック!O13</f>
        <v>0.17172099635020191</v>
      </c>
      <c r="F12" s="88">
        <f>★資本稼働率!Y17</f>
        <v>0.83442799999999995</v>
      </c>
      <c r="G12" s="46">
        <f t="shared" si="2"/>
        <v>15333.439689282714</v>
      </c>
      <c r="I12" s="69">
        <f>★平均労働時間!K36</f>
        <v>2210.02406798533</v>
      </c>
      <c r="J12" s="69">
        <f>★就業者数!W18</f>
        <v>6093.9165474004367</v>
      </c>
      <c r="K12" s="290">
        <f>★就業者数!Y18</f>
        <v>579.46861695629184</v>
      </c>
      <c r="L12" s="46">
        <f t="shared" si="0"/>
        <v>1280639.590115577</v>
      </c>
      <c r="N12" s="47">
        <f>★TFP上昇率推計・図5!W12</f>
        <v>0.319564927303785</v>
      </c>
      <c r="P12" s="70">
        <f>★TFP上昇率推計・図5!AA12</f>
        <v>2.8569459579568499</v>
      </c>
      <c r="Q12" s="293">
        <f t="shared" si="6"/>
        <v>-8.134367413762944E-3</v>
      </c>
      <c r="R12" s="166"/>
      <c r="S12" s="46">
        <f t="shared" si="1"/>
        <v>889596.60982204729</v>
      </c>
      <c r="T12" s="88">
        <f t="shared" si="5"/>
        <v>5.3248447873081695E-2</v>
      </c>
      <c r="U12" s="40"/>
      <c r="V12" s="64">
        <v>0.51039999999999996</v>
      </c>
      <c r="W12" s="69">
        <f t="shared" si="3"/>
        <v>175758.08725517549</v>
      </c>
      <c r="X12" s="69">
        <f t="shared" si="4"/>
        <v>341428.67810598825</v>
      </c>
      <c r="Y12" s="32"/>
      <c r="Z12" s="32"/>
      <c r="AA12" s="32"/>
    </row>
    <row r="13" spans="1:27" hidden="1" outlineLevel="1">
      <c r="A13" s="57">
        <v>1990</v>
      </c>
      <c r="B13" s="69">
        <f>★資本ストック!H13</f>
        <v>18253.596758816599</v>
      </c>
      <c r="C13" s="293">
        <f>★資本ストック!G14</f>
        <v>9.9648887769073644E-2</v>
      </c>
      <c r="D13" s="69">
        <f>★資本ストック!P13</f>
        <v>1003.35961608405</v>
      </c>
      <c r="E13" s="293">
        <f>★資本ストック!O14</f>
        <v>0.17345639184699987</v>
      </c>
      <c r="F13" s="88">
        <f>★資本稼働率!Y18</f>
        <v>0.83442799999999995</v>
      </c>
      <c r="G13" s="46">
        <f t="shared" si="2"/>
        <v>16234.671852349866</v>
      </c>
      <c r="I13" s="69">
        <f>★平均労働時間!K37</f>
        <v>2190.95623943186</v>
      </c>
      <c r="J13" s="69">
        <f>★就業者数!W19</f>
        <v>6164.7904782715214</v>
      </c>
      <c r="K13" s="290">
        <f>★就業者数!Y19</f>
        <v>591.2477591083308</v>
      </c>
      <c r="L13" s="46">
        <f t="shared" si="0"/>
        <v>1295397.9668685028</v>
      </c>
      <c r="N13" s="47">
        <f>★TFP上昇率推計・図5!W13</f>
        <v>0.30656312645621497</v>
      </c>
      <c r="P13" s="70">
        <f>★TFP上昇率推計・図5!AA13</f>
        <v>2.7664159790195901</v>
      </c>
      <c r="Q13" s="293">
        <f t="shared" si="6"/>
        <v>-3.1687676375230622E-2</v>
      </c>
      <c r="R13" s="166"/>
      <c r="S13" s="46">
        <f t="shared" si="1"/>
        <v>935944.2588545474</v>
      </c>
      <c r="T13" s="88">
        <f t="shared" si="5"/>
        <v>5.2099624167600389E-2</v>
      </c>
      <c r="V13" s="64">
        <v>0.49980000000000002</v>
      </c>
      <c r="W13" s="69">
        <f t="shared" si="3"/>
        <v>184348.58680551909</v>
      </c>
      <c r="X13" s="69">
        <f t="shared" si="4"/>
        <v>387040.82098647015</v>
      </c>
      <c r="Y13" s="32"/>
      <c r="Z13" s="32"/>
      <c r="AA13" s="32"/>
    </row>
    <row r="14" spans="1:27" hidden="1" outlineLevel="1">
      <c r="A14" s="57">
        <v>1991</v>
      </c>
      <c r="B14" s="69">
        <f>★資本ストック!H14</f>
        <v>19272.188196220701</v>
      </c>
      <c r="C14" s="293">
        <f>★資本ストック!G15</f>
        <v>0.10219668755332688</v>
      </c>
      <c r="D14" s="69">
        <f>★資本ストック!P14</f>
        <v>1075.1981494637701</v>
      </c>
      <c r="E14" s="293">
        <f>★資本ストック!O15</f>
        <v>0.17428068482567377</v>
      </c>
      <c r="F14" s="88">
        <f>★資本稼働率!Y19</f>
        <v>0.83442799999999995</v>
      </c>
      <c r="G14" s="46">
        <f t="shared" si="2"/>
        <v>17156.451601659817</v>
      </c>
      <c r="I14" s="69">
        <f>★平均労働時間!K38</f>
        <v>2170.0852835935302</v>
      </c>
      <c r="J14" s="69">
        <f>★就業者数!W20</f>
        <v>6232.0347395730078</v>
      </c>
      <c r="K14" s="290">
        <f>★就業者数!Y20</f>
        <v>603.59230671948228</v>
      </c>
      <c r="L14" s="46">
        <f t="shared" si="0"/>
        <v>1309846.7821022207</v>
      </c>
      <c r="N14" s="47">
        <f>★TFP上昇率推計・図5!W14</f>
        <v>0.288197029209325</v>
      </c>
      <c r="P14" s="70">
        <f>★TFP上昇率推計・図5!AA14</f>
        <v>2.60999917150657</v>
      </c>
      <c r="Q14" s="293">
        <f t="shared" si="6"/>
        <v>-5.6541318695120357E-2</v>
      </c>
      <c r="R14" s="166"/>
      <c r="S14" s="46">
        <f t="shared" si="1"/>
        <v>980043.85443416191</v>
      </c>
      <c r="T14" s="88">
        <f t="shared" si="5"/>
        <v>4.7117758522912112E-2</v>
      </c>
      <c r="V14" s="64">
        <v>0.49980000000000002</v>
      </c>
      <c r="W14" s="69">
        <f t="shared" si="3"/>
        <v>239614.20252391716</v>
      </c>
      <c r="X14" s="69">
        <f t="shared" si="4"/>
        <v>480894.55357520265</v>
      </c>
      <c r="Y14" s="32"/>
      <c r="Z14" s="32"/>
      <c r="AA14" s="32"/>
    </row>
    <row r="15" spans="1:27" hidden="1" outlineLevel="1">
      <c r="A15" s="57">
        <v>1992</v>
      </c>
      <c r="B15" s="69">
        <f>★資本ストック!H15</f>
        <v>20269.2368829187</v>
      </c>
      <c r="C15" s="293">
        <f>★資本ストック!G16</f>
        <v>0.10635865326378074</v>
      </c>
      <c r="D15" s="69">
        <f>★資本ストック!P15</f>
        <v>1146.81555532726</v>
      </c>
      <c r="E15" s="293">
        <f>★資本ストック!O16</f>
        <v>0.17458013622100607</v>
      </c>
      <c r="F15" s="88">
        <f>★資本稼働率!Y20</f>
        <v>0.83442799999999995</v>
      </c>
      <c r="G15" s="46">
        <f t="shared" si="2"/>
        <v>18060.034349067344</v>
      </c>
      <c r="I15" s="69">
        <f>★平均労働時間!K39</f>
        <v>2148.43725181434</v>
      </c>
      <c r="J15" s="69">
        <f>★就業者数!W21</f>
        <v>6293.6432487663496</v>
      </c>
      <c r="K15" s="290">
        <f>★就業者数!Y21</f>
        <v>615.94584557991163</v>
      </c>
      <c r="L15" s="46">
        <f t="shared" si="0"/>
        <v>1323320.9997441652</v>
      </c>
      <c r="N15" s="47">
        <f>★TFP上昇率推計・図5!W15</f>
        <v>0.26534991974281402</v>
      </c>
      <c r="P15" s="70">
        <f>★TFP上昇率推計・図5!AA15</f>
        <v>2.4021435190773301</v>
      </c>
      <c r="Q15" s="293">
        <f t="shared" si="6"/>
        <v>-7.9638206286961943E-2</v>
      </c>
      <c r="R15" s="166"/>
      <c r="S15" s="46">
        <f t="shared" si="1"/>
        <v>1017186.8017068505</v>
      </c>
      <c r="T15" s="88">
        <f t="shared" si="5"/>
        <v>3.7899270634305982E-2</v>
      </c>
      <c r="V15" s="64">
        <v>0.49980000000000002</v>
      </c>
      <c r="W15" s="69">
        <f t="shared" si="3"/>
        <v>335968.58833310171</v>
      </c>
      <c r="X15" s="69">
        <f t="shared" si="4"/>
        <v>629322.67878704122</v>
      </c>
      <c r="Y15" s="32"/>
      <c r="Z15" s="32"/>
      <c r="AA15" s="32"/>
    </row>
    <row r="16" spans="1:27" hidden="1" outlineLevel="1">
      <c r="A16" s="57">
        <v>1993</v>
      </c>
      <c r="B16" s="69">
        <f>★資本ストック!H16</f>
        <v>21196.9262185273</v>
      </c>
      <c r="C16" s="293">
        <f>★資本ストック!G17</f>
        <v>0.10896493823100792</v>
      </c>
      <c r="D16" s="69">
        <f>★資本ストック!P16</f>
        <v>1216.4729488452999</v>
      </c>
      <c r="E16" s="293">
        <f>★資本ストック!O17</f>
        <v>0.17536907717138372</v>
      </c>
      <c r="F16" s="88">
        <f>★資本稼働率!Y21</f>
        <v>0.83442799999999995</v>
      </c>
      <c r="G16" s="46">
        <f t="shared" si="2"/>
        <v>18903.781699518597</v>
      </c>
      <c r="I16" s="69">
        <f>★平均労働時間!K40</f>
        <v>2127.1221606023701</v>
      </c>
      <c r="J16" s="69">
        <f>★就業者数!W22</f>
        <v>6348.0868933450984</v>
      </c>
      <c r="K16" s="290">
        <f>★就業者数!Y22</f>
        <v>627.64920041157234</v>
      </c>
      <c r="L16" s="46">
        <f t="shared" si="0"/>
        <v>1335086.5232798138</v>
      </c>
      <c r="N16" s="47">
        <f>★TFP上昇率推計・図5!W16</f>
        <v>0.23945711189735</v>
      </c>
      <c r="P16" s="70">
        <f>★TFP上昇率推計・図5!AA16</f>
        <v>2.16267523375936</v>
      </c>
      <c r="Q16" s="293">
        <f t="shared" si="6"/>
        <v>-9.9689416313455959E-2</v>
      </c>
      <c r="R16" s="166"/>
      <c r="S16" s="46">
        <f t="shared" si="1"/>
        <v>1041727.0111727039</v>
      </c>
      <c r="T16" s="88">
        <f t="shared" si="5"/>
        <v>2.4125568110670237E-2</v>
      </c>
      <c r="V16" s="64">
        <v>0.49980000000000002</v>
      </c>
      <c r="W16" s="69">
        <f t="shared" si="3"/>
        <v>480450.48118337843</v>
      </c>
      <c r="X16" s="69">
        <f t="shared" si="4"/>
        <v>860477.05060428777</v>
      </c>
      <c r="Y16" s="32"/>
      <c r="Z16" s="32"/>
      <c r="AA16" s="32"/>
    </row>
    <row r="17" spans="1:27" hidden="1" outlineLevel="1">
      <c r="A17" s="57">
        <v>1994</v>
      </c>
      <c r="B17" s="69">
        <f>★資本ストック!H17</f>
        <v>22013.577066452999</v>
      </c>
      <c r="C17" s="293">
        <f>★資本ストック!G18</f>
        <v>0.10970254496282229</v>
      </c>
      <c r="D17" s="69">
        <f>★資本ストック!P17</f>
        <v>1282.2284055868099</v>
      </c>
      <c r="E17" s="293">
        <f>★資本ストック!O18</f>
        <v>0.17669407788252073</v>
      </c>
      <c r="F17" s="88">
        <f>★資本稼働率!Y22</f>
        <v>0.83442799999999995</v>
      </c>
      <c r="G17" s="46">
        <f>B17*F17+D17</f>
        <v>19650.973489993052</v>
      </c>
      <c r="I17" s="69">
        <f>★平均労働時間!K41</f>
        <v>2107.1640872808898</v>
      </c>
      <c r="J17" s="69">
        <f>★就業者数!W23</f>
        <v>6394.4769636199144</v>
      </c>
      <c r="K17" s="290">
        <f>★就業者数!Y23</f>
        <v>637.97414735726375</v>
      </c>
      <c r="L17" s="46">
        <f t="shared" si="0"/>
        <v>1344316.2119248726</v>
      </c>
      <c r="N17" s="47">
        <f>★TFP上昇率推計・図5!W17</f>
        <v>0.212235003131542</v>
      </c>
      <c r="P17" s="70">
        <f>★TFP上昇率推計・図5!AA17</f>
        <v>1.91217523359937</v>
      </c>
      <c r="Q17" s="293">
        <f t="shared" si="6"/>
        <v>-0.11582876441625867</v>
      </c>
      <c r="R17" s="166"/>
      <c r="S17" s="46">
        <f t="shared" si="1"/>
        <v>1048462.7008928907</v>
      </c>
      <c r="T17" s="88">
        <f t="shared" si="5"/>
        <v>6.4658875578200714E-3</v>
      </c>
      <c r="V17" s="64">
        <v>0.49980000000000002</v>
      </c>
      <c r="W17" s="69">
        <f t="shared" si="3"/>
        <v>688306.52935489977</v>
      </c>
      <c r="X17" s="69">
        <f t="shared" si="4"/>
        <v>1209613.0697713059</v>
      </c>
      <c r="Y17" s="37"/>
      <c r="Z17" s="37"/>
      <c r="AA17" s="38"/>
    </row>
    <row r="18" spans="1:27" hidden="1" outlineLevel="1">
      <c r="A18" s="57">
        <v>1995</v>
      </c>
      <c r="B18" s="69">
        <f>★資本ストック!H18</f>
        <v>22688.488265027099</v>
      </c>
      <c r="C18" s="293">
        <f>★資本ストック!G19</f>
        <v>0.10615447638595017</v>
      </c>
      <c r="D18" s="69">
        <f>★資本ストック!P18</f>
        <v>1342.29842065101</v>
      </c>
      <c r="E18" s="293">
        <f>★資本ストック!O19</f>
        <v>0.17745197168857432</v>
      </c>
      <c r="F18" s="88">
        <f>★資本稼働率!Y23</f>
        <v>0.83442799999999995</v>
      </c>
      <c r="G18" s="46">
        <f t="shared" ref="G18:G42" si="7">B18*F18+D18</f>
        <v>20274.208306661043</v>
      </c>
      <c r="I18" s="69">
        <f>★平均労働時間!K42</f>
        <v>2089.2343722338201</v>
      </c>
      <c r="J18" s="69">
        <f>★就業者数!W24</f>
        <v>6432.3169056002116</v>
      </c>
      <c r="K18" s="290">
        <f>★就業者数!Y24</f>
        <v>646.24321235019727</v>
      </c>
      <c r="L18" s="46">
        <f t="shared" si="0"/>
        <v>1350153.5320648316</v>
      </c>
      <c r="N18" s="47">
        <f>★TFP上昇率推計・図5!W18</f>
        <v>0.18556141532026599</v>
      </c>
      <c r="P18" s="70">
        <f>★TFP上昇率推計・図5!AA18</f>
        <v>1.66967065810948</v>
      </c>
      <c r="Q18" s="293">
        <f t="shared" si="6"/>
        <v>-0.12682131387791962</v>
      </c>
      <c r="R18" s="167"/>
      <c r="S18" s="46">
        <f t="shared" si="1"/>
        <v>1034317.8116990618</v>
      </c>
      <c r="T18" s="88">
        <f t="shared" si="5"/>
        <v>-1.3491075249298712E-2</v>
      </c>
      <c r="V18" s="64">
        <v>0.49980000000000002</v>
      </c>
      <c r="W18" s="69">
        <f t="shared" si="3"/>
        <v>948612.72238407598</v>
      </c>
      <c r="X18" s="69">
        <f t="shared" si="4"/>
        <v>1706570.1878822139</v>
      </c>
      <c r="Y18" s="37"/>
      <c r="Z18" s="37"/>
      <c r="AA18" s="38"/>
    </row>
    <row r="19" spans="1:27" hidden="1" outlineLevel="1">
      <c r="A19" s="57">
        <v>1996</v>
      </c>
      <c r="B19" s="69">
        <f>★資本ストック!H19</f>
        <v>23202.161294527101</v>
      </c>
      <c r="C19" s="293">
        <f>★資本ストック!G20</f>
        <v>0.10796927823546791</v>
      </c>
      <c r="D19" s="69">
        <f>★資本ストック!P19</f>
        <v>1395.3966768661601</v>
      </c>
      <c r="E19" s="293">
        <f>★資本ストック!O20</f>
        <v>0.1782115425269537</v>
      </c>
      <c r="F19" s="88">
        <f>★資本稼働率!Y24</f>
        <v>0.83442799999999995</v>
      </c>
      <c r="G19" s="46">
        <f t="shared" si="7"/>
        <v>20755.929721535816</v>
      </c>
      <c r="I19" s="69">
        <f>★平均労働時間!K43</f>
        <v>2073.5635769722398</v>
      </c>
      <c r="J19" s="69">
        <f>★就業者数!W25</f>
        <v>6461.335850776004</v>
      </c>
      <c r="K19" s="290">
        <f>★就業者数!Y25</f>
        <v>651.90525824423162</v>
      </c>
      <c r="L19" s="46">
        <f t="shared" si="0"/>
        <v>1351766.9991319207</v>
      </c>
      <c r="N19" s="47">
        <f>★TFP上昇率推計・図5!W19</f>
        <v>0.16070940103142101</v>
      </c>
      <c r="P19" s="70">
        <f>★TFP上昇率推計・図5!AA19</f>
        <v>1.4473968795958001</v>
      </c>
      <c r="Q19" s="293">
        <f t="shared" si="6"/>
        <v>-0.13312432450921441</v>
      </c>
      <c r="R19" s="166"/>
      <c r="S19" s="46">
        <f t="shared" si="1"/>
        <v>1000002.866894169</v>
      </c>
      <c r="T19" s="88">
        <f t="shared" si="5"/>
        <v>-3.3176403245462782E-2</v>
      </c>
      <c r="V19" s="64">
        <v>0.49980000000000002</v>
      </c>
      <c r="W19" s="69">
        <f t="shared" si="3"/>
        <v>1375590.6841243389</v>
      </c>
      <c r="X19" s="69">
        <f t="shared" si="4"/>
        <v>2399102.264717517</v>
      </c>
      <c r="Y19" s="37"/>
      <c r="Z19" s="37"/>
      <c r="AA19" s="38"/>
    </row>
    <row r="20" spans="1:27" hidden="1" outlineLevel="1">
      <c r="A20" s="57">
        <v>1997</v>
      </c>
      <c r="B20" s="69">
        <f>★資本ストック!H20</f>
        <v>23544.999752580399</v>
      </c>
      <c r="C20" s="293">
        <f>★資本ストック!G21</f>
        <v>0.11098527746319375</v>
      </c>
      <c r="D20" s="69">
        <f>★資本ストック!P20</f>
        <v>1440.65987285402</v>
      </c>
      <c r="E20" s="293">
        <f>★資本ストック!O21</f>
        <v>0.17903543976600228</v>
      </c>
      <c r="F20" s="88">
        <f>★資本稼働率!Y25</f>
        <v>0.83442799999999995</v>
      </c>
      <c r="G20" s="46">
        <f t="shared" si="7"/>
        <v>21087.266926400174</v>
      </c>
      <c r="I20" s="69">
        <f>★平均労働時間!K44</f>
        <v>2060.1467712849299</v>
      </c>
      <c r="J20" s="69">
        <f>★就業者数!W26</f>
        <v>6481.342384251544</v>
      </c>
      <c r="K20" s="290">
        <f>★就業者数!Y26</f>
        <v>654.56481487111751</v>
      </c>
      <c r="L20" s="46">
        <f t="shared" si="0"/>
        <v>1348499.5899534505</v>
      </c>
      <c r="N20" s="47">
        <f>★TFP上昇率推計・図5!W20</f>
        <v>0.13836059187858599</v>
      </c>
      <c r="P20" s="70">
        <f>★TFP上昇率推計・図5!AA20</f>
        <v>1.2514865160283799</v>
      </c>
      <c r="Q20" s="293">
        <f t="shared" si="6"/>
        <v>-0.13535358983372281</v>
      </c>
      <c r="R20" s="166"/>
      <c r="S20" s="46">
        <f t="shared" si="1"/>
        <v>949338.76137044176</v>
      </c>
      <c r="T20" s="88">
        <f t="shared" si="5"/>
        <v>-5.0663960275515008E-2</v>
      </c>
      <c r="V20" s="64">
        <v>0.49980000000000002</v>
      </c>
      <c r="W20" s="69">
        <f t="shared" si="3"/>
        <v>1989434.7070746771</v>
      </c>
      <c r="X20" s="69">
        <f t="shared" si="4"/>
        <v>3338188.1217243932</v>
      </c>
      <c r="Y20" s="37"/>
      <c r="Z20" s="37"/>
      <c r="AA20" s="38"/>
    </row>
    <row r="21" spans="1:27" hidden="1" outlineLevel="1">
      <c r="A21" s="57">
        <v>1998</v>
      </c>
      <c r="B21" s="69">
        <f>★資本ストック!H21</f>
        <v>23719.121623869101</v>
      </c>
      <c r="C21" s="293">
        <f>★資本ストック!G22</f>
        <v>0.1121881383882056</v>
      </c>
      <c r="D21" s="69">
        <f>★資本ストック!P21</f>
        <v>1477.4617404676801</v>
      </c>
      <c r="E21" s="293">
        <f>★資本ストック!O22</f>
        <v>0.18066425517921744</v>
      </c>
      <c r="F21" s="88">
        <f>★資本稼働率!Y26</f>
        <v>0.83442799999999995</v>
      </c>
      <c r="G21" s="46">
        <f t="shared" si="7"/>
        <v>21269.360958829526</v>
      </c>
      <c r="I21" s="69">
        <f>★平均労働時間!K45</f>
        <v>2049.1306858575799</v>
      </c>
      <c r="J21" s="69">
        <f>★就業者数!W27</f>
        <v>6492.3712038138865</v>
      </c>
      <c r="K21" s="290">
        <f>★就業者数!Y27</f>
        <v>654.01277929777166</v>
      </c>
      <c r="L21" s="46">
        <f t="shared" si="0"/>
        <v>1340157.6550020648</v>
      </c>
      <c r="N21" s="47">
        <f>★TFP上昇率推計・図5!W21</f>
        <v>0.119102332280483</v>
      </c>
      <c r="P21" s="70">
        <f>★TFP上昇率推計・図5!AA21</f>
        <v>1.08589138841928</v>
      </c>
      <c r="Q21" s="293">
        <f t="shared" si="6"/>
        <v>-0.13231874693673862</v>
      </c>
      <c r="R21" s="166"/>
      <c r="S21" s="46">
        <f t="shared" si="1"/>
        <v>888442.59311783139</v>
      </c>
      <c r="T21" s="88">
        <f t="shared" si="5"/>
        <v>-6.4145877878937774E-2</v>
      </c>
      <c r="V21" s="62">
        <v>0.46360000000000001</v>
      </c>
      <c r="W21" s="69">
        <f t="shared" si="3"/>
        <v>2550556.8150190101</v>
      </c>
      <c r="X21" s="69">
        <f t="shared" si="4"/>
        <v>4225286.1832121965</v>
      </c>
      <c r="Y21" s="37"/>
      <c r="Z21" s="37"/>
      <c r="AA21" s="38"/>
    </row>
    <row r="22" spans="1:27" hidden="1" outlineLevel="1">
      <c r="A22" s="57">
        <v>1999</v>
      </c>
      <c r="B22" s="69">
        <f>★資本ストック!H22</f>
        <v>23736.668895549501</v>
      </c>
      <c r="C22" s="293">
        <f>★資本ストック!G23</f>
        <v>0.11052012414897885</v>
      </c>
      <c r="D22" s="69">
        <f>★資本ストック!P22</f>
        <v>1505.4704128317001</v>
      </c>
      <c r="E22" s="293">
        <f>★資本ストック!O23</f>
        <v>0.18293079877612128</v>
      </c>
      <c r="F22" s="88">
        <f>★資本稼働率!Y27</f>
        <v>0.83442799999999995</v>
      </c>
      <c r="G22" s="46">
        <f t="shared" si="7"/>
        <v>21312.011566007277</v>
      </c>
      <c r="I22" s="69">
        <f>★平均労働時間!K46</f>
        <v>2040.7763463297299</v>
      </c>
      <c r="J22" s="69">
        <f>★就業者数!W28</f>
        <v>6495.0968351598221</v>
      </c>
      <c r="K22" s="290">
        <f>★就業者数!Y28</f>
        <v>650.34415618213518</v>
      </c>
      <c r="L22" s="46">
        <f t="shared" si="0"/>
        <v>1327206.9709102691</v>
      </c>
      <c r="N22" s="47">
        <f>★TFP上昇率推計・図5!W22</f>
        <v>0.10282320165551</v>
      </c>
      <c r="P22" s="70">
        <f>★TFP上昇率推計・図5!AA22</f>
        <v>0.94995564705629798</v>
      </c>
      <c r="Q22" s="293">
        <f t="shared" si="6"/>
        <v>-0.12518355225273692</v>
      </c>
      <c r="R22" s="166"/>
      <c r="S22" s="46">
        <f t="shared" si="1"/>
        <v>824413.03691563709</v>
      </c>
      <c r="T22" s="88">
        <f t="shared" si="5"/>
        <v>-7.2069435547314264E-2</v>
      </c>
      <c r="V22" s="62">
        <v>0.40870000000000001</v>
      </c>
      <c r="W22" s="69">
        <f t="shared" si="3"/>
        <v>3015877.0336285452</v>
      </c>
      <c r="X22" s="69">
        <f t="shared" si="4"/>
        <v>5093573.5755761722</v>
      </c>
      <c r="Y22" s="37"/>
      <c r="Z22" s="37"/>
      <c r="AA22" s="38"/>
    </row>
    <row r="23" spans="1:27" hidden="1" outlineLevel="1">
      <c r="A23" s="57">
        <v>2000</v>
      </c>
      <c r="B23" s="69">
        <f>★資本ストック!H23</f>
        <v>23616.370338539102</v>
      </c>
      <c r="C23" s="293">
        <f>★資本ストック!G24</f>
        <v>0.10780754191009188</v>
      </c>
      <c r="D23" s="69">
        <f>★資本ストック!P23</f>
        <v>1524.7844056659601</v>
      </c>
      <c r="E23" s="293">
        <f>★資本ストック!O24</f>
        <v>0.18595813204508851</v>
      </c>
      <c r="F23" s="88">
        <f>★資本稼働率!Y28</f>
        <v>0.83442799999999995</v>
      </c>
      <c r="G23" s="46">
        <f t="shared" si="7"/>
        <v>21230.945074512463</v>
      </c>
      <c r="I23" s="69">
        <f>★平均労働時間!K47</f>
        <v>2035.36131414897</v>
      </c>
      <c r="J23" s="69">
        <f>★就業者数!W29</f>
        <v>6490.846986696899</v>
      </c>
      <c r="K23" s="290">
        <f>★就業者数!Y29</f>
        <v>643.79121932408771</v>
      </c>
      <c r="L23" s="46">
        <f t="shared" si="0"/>
        <v>1310347.7422010428</v>
      </c>
      <c r="N23" s="47">
        <f>★TFP上昇率推計・図5!W23</f>
        <v>8.9026647084318997E-2</v>
      </c>
      <c r="P23" s="70">
        <f>★TFP上昇率推計・図5!AA23</f>
        <v>0.84032694150100995</v>
      </c>
      <c r="Q23" s="293">
        <f t="shared" si="6"/>
        <v>-0.11540402533002792</v>
      </c>
      <c r="R23" s="166"/>
      <c r="S23" s="46">
        <f t="shared" si="1"/>
        <v>762851.50736063148</v>
      </c>
      <c r="T23" s="88">
        <f t="shared" si="5"/>
        <v>-7.4673163570198708E-2</v>
      </c>
      <c r="V23" s="62">
        <v>0.40870000000000001</v>
      </c>
      <c r="W23" s="69">
        <f t="shared" si="3"/>
        <v>3843835.5975982314</v>
      </c>
      <c r="X23" s="69">
        <f t="shared" si="4"/>
        <v>6717207.9176271977</v>
      </c>
      <c r="Y23" s="37"/>
      <c r="Z23" s="37"/>
      <c r="AA23" s="38"/>
    </row>
    <row r="24" spans="1:27" hidden="1" outlineLevel="1">
      <c r="A24" s="57">
        <v>2001</v>
      </c>
      <c r="B24" s="69">
        <f>★資本ストック!H24</f>
        <v>23379.300034799999</v>
      </c>
      <c r="C24" s="293">
        <f>★資本ストック!G25</f>
        <v>0.10978428351309698</v>
      </c>
      <c r="D24" s="69">
        <f>★資本ストック!P24</f>
        <v>1535.80853056201</v>
      </c>
      <c r="E24" s="293">
        <f>★資本ストック!O25</f>
        <v>0.18948983505945541</v>
      </c>
      <c r="F24" s="88">
        <f>★資本稼働率!Y29</f>
        <v>0.83442799999999995</v>
      </c>
      <c r="G24" s="46">
        <f t="shared" si="7"/>
        <v>21044.151100000105</v>
      </c>
      <c r="I24" s="69">
        <f>★平均労働時間!K48</f>
        <v>2033.02065663297</v>
      </c>
      <c r="J24" s="69">
        <f>★就業者数!W30</f>
        <v>6481.2098578265804</v>
      </c>
      <c r="K24" s="290">
        <f>★就業者数!Y30</f>
        <v>634.71887226506226</v>
      </c>
      <c r="L24" s="46">
        <f t="shared" si="0"/>
        <v>1290396.578469655</v>
      </c>
      <c r="N24" s="47">
        <f>★TFP上昇率推計・図5!W24</f>
        <v>7.6934273511157697E-2</v>
      </c>
      <c r="P24" s="70">
        <f>★TFP上昇率推計・図5!AA24</f>
        <v>0.75215304279045503</v>
      </c>
      <c r="Q24" s="293">
        <f t="shared" si="6"/>
        <v>-0.10492808733831238</v>
      </c>
      <c r="R24" s="166"/>
      <c r="S24" s="46">
        <f t="shared" si="1"/>
        <v>707135.01691622857</v>
      </c>
      <c r="T24" s="88">
        <f t="shared" si="5"/>
        <v>-7.3037137512089068E-2</v>
      </c>
      <c r="V24" s="62">
        <v>0.40870000000000001</v>
      </c>
      <c r="W24" s="69">
        <f t="shared" si="3"/>
        <v>5019263.3167477325</v>
      </c>
      <c r="X24" s="69">
        <f t="shared" si="4"/>
        <v>8718976.0955637749</v>
      </c>
      <c r="Y24" s="37"/>
      <c r="Z24" s="37"/>
      <c r="AA24" s="38"/>
    </row>
    <row r="25" spans="1:27" hidden="1" outlineLevel="1">
      <c r="A25" s="57">
        <v>2002</v>
      </c>
      <c r="B25" s="69">
        <f>★資本ストック!H25</f>
        <v>23046.4093629091</v>
      </c>
      <c r="C25" s="293">
        <f>★資本ストック!G26</f>
        <v>0.11052220821433778</v>
      </c>
      <c r="D25" s="69">
        <f>★資本ストック!P25</f>
        <v>1539.22475505476</v>
      </c>
      <c r="E25" s="293">
        <f>★資本ストック!O26</f>
        <v>0.19315324608342463</v>
      </c>
      <c r="F25" s="88">
        <f>★資本稼働率!Y30</f>
        <v>0.83442799999999995</v>
      </c>
      <c r="G25" s="46">
        <f t="shared" si="7"/>
        <v>20769.79402692827</v>
      </c>
      <c r="I25" s="69">
        <f>★平均労働時間!K49</f>
        <v>2033.7075332912</v>
      </c>
      <c r="J25" s="69">
        <f>★就業者数!W31</f>
        <v>6468.0171183867615</v>
      </c>
      <c r="K25" s="290">
        <f>★就業者数!Y31</f>
        <v>623.65781604113863</v>
      </c>
      <c r="L25" s="46">
        <f t="shared" si="0"/>
        <v>1268337.598678801</v>
      </c>
      <c r="N25" s="47">
        <f>★TFP上昇率推計・図5!W25</f>
        <v>6.5848155370820199E-2</v>
      </c>
      <c r="P25" s="70">
        <f>★TFP上昇率推計・図5!AA25</f>
        <v>0.68054878631165605</v>
      </c>
      <c r="Q25" s="293">
        <f>P25/P24-1</f>
        <v>-9.5199051795563205E-2</v>
      </c>
      <c r="R25" s="166"/>
      <c r="S25" s="46">
        <f t="shared" si="1"/>
        <v>658418.94500569231</v>
      </c>
      <c r="T25" s="88">
        <f t="shared" si="5"/>
        <v>-6.8892178643597646E-2</v>
      </c>
      <c r="V25" s="62">
        <v>0.40870000000000001</v>
      </c>
      <c r="W25" s="69">
        <f t="shared" si="3"/>
        <v>6424699.4253631271</v>
      </c>
      <c r="X25" s="69">
        <f t="shared" si="4"/>
        <v>11231432.482718412</v>
      </c>
      <c r="Y25" s="37"/>
      <c r="Z25" s="37"/>
      <c r="AA25" s="38"/>
    </row>
    <row r="26" spans="1:27" hidden="1" outlineLevel="1">
      <c r="A26" s="57">
        <v>2003</v>
      </c>
      <c r="B26" s="69">
        <f>★資本ストック!H26</f>
        <v>22641.0927010948</v>
      </c>
      <c r="C26" s="293">
        <f>★資本ストック!G27</f>
        <v>0.11190920153023266</v>
      </c>
      <c r="D26" s="69">
        <f>★資本ストック!P26</f>
        <v>1535.9989613734799</v>
      </c>
      <c r="E26" s="293">
        <f>★資本ストック!O27</f>
        <v>0.19765395894428156</v>
      </c>
      <c r="F26" s="88">
        <f>★資本稼働率!Y31</f>
        <v>0.83442799999999995</v>
      </c>
      <c r="G26" s="46">
        <f t="shared" si="7"/>
        <v>20428.36066176261</v>
      </c>
      <c r="I26" s="69">
        <f>★平均労働時間!K50</f>
        <v>2037.03813773351</v>
      </c>
      <c r="J26" s="69">
        <f>★就業者数!W32</f>
        <v>6453.2177104081038</v>
      </c>
      <c r="K26" s="290">
        <f>★就業者数!Y32</f>
        <v>611.17886817197041</v>
      </c>
      <c r="L26" s="46">
        <f t="shared" si="0"/>
        <v>1244994.6634431051</v>
      </c>
      <c r="N26" s="47">
        <f>★TFP上昇率推計・図5!W26</f>
        <v>5.5378547201979302E-2</v>
      </c>
      <c r="P26" s="70">
        <f>★TFP上昇率推計・図5!AA26</f>
        <v>0.62191833088072701</v>
      </c>
      <c r="Q26" s="293">
        <f t="shared" si="6"/>
        <v>-8.6151730206861843E-2</v>
      </c>
      <c r="R26" s="166"/>
      <c r="S26" s="46">
        <f t="shared" si="1"/>
        <v>616671.38598630717</v>
      </c>
      <c r="T26" s="88">
        <f t="shared" si="5"/>
        <v>-6.3405768221059033E-2</v>
      </c>
      <c r="V26" s="62">
        <v>0.40870000000000001</v>
      </c>
      <c r="W26" s="69">
        <f t="shared" si="3"/>
        <v>8284431.1270388775</v>
      </c>
      <c r="X26" s="69">
        <f t="shared" si="4"/>
        <v>14553566.519605609</v>
      </c>
      <c r="Y26" s="37"/>
      <c r="Z26" s="37"/>
      <c r="AA26" s="38"/>
    </row>
    <row r="27" spans="1:27" hidden="1" outlineLevel="1">
      <c r="A27" s="57">
        <v>2004</v>
      </c>
      <c r="B27" s="69">
        <f>★資本ストック!H27</f>
        <v>22189.482333956999</v>
      </c>
      <c r="C27" s="293">
        <f>★資本ストック!G28</f>
        <v>0.10971531157161858</v>
      </c>
      <c r="D27" s="69">
        <f>★資本ストック!P27</f>
        <v>1527.2157841969199</v>
      </c>
      <c r="E27" s="293">
        <f>★資本ストック!O28</f>
        <v>0.2023856337658933</v>
      </c>
      <c r="F27" s="88">
        <f>★資本稼働率!Y32</f>
        <v>0.83442799999999995</v>
      </c>
      <c r="G27" s="46">
        <f t="shared" si="7"/>
        <v>20042.741149155991</v>
      </c>
      <c r="I27" s="69">
        <f>★平均労働時間!K51</f>
        <v>2042.3853235701399</v>
      </c>
      <c r="J27" s="69">
        <f>★就業者数!W33</f>
        <v>6438.2711146789079</v>
      </c>
      <c r="K27" s="290">
        <f>★就業者数!Y33</f>
        <v>597.8688160951657</v>
      </c>
      <c r="L27" s="46">
        <f t="shared" si="0"/>
        <v>1221078.4954130214</v>
      </c>
      <c r="N27" s="47">
        <f>★TFP上昇率推計・図5!W27</f>
        <v>4.5474691879809202E-2</v>
      </c>
      <c r="P27" s="70">
        <f>★TFP上昇率推計・図5!AA27</f>
        <v>0.57398262038966996</v>
      </c>
      <c r="Q27" s="293">
        <f t="shared" si="6"/>
        <v>-7.7077178965239801E-2</v>
      </c>
      <c r="R27" s="166"/>
      <c r="S27" s="46">
        <f t="shared" si="1"/>
        <v>581406.26991002215</v>
      </c>
      <c r="T27" s="88">
        <f t="shared" si="5"/>
        <v>-5.7186237074843049E-2</v>
      </c>
      <c r="V27" s="62">
        <v>0.39539999999999997</v>
      </c>
      <c r="W27" s="69">
        <f t="shared" si="3"/>
        <v>10210927.831772219</v>
      </c>
      <c r="X27" s="69">
        <f t="shared" si="4"/>
        <v>18609500.96511906</v>
      </c>
      <c r="Y27" s="37"/>
      <c r="Z27" s="37"/>
      <c r="AA27" s="38"/>
    </row>
    <row r="28" spans="1:27" hidden="1" outlineLevel="1">
      <c r="A28" s="57">
        <v>2005</v>
      </c>
      <c r="B28" s="69">
        <f>★資本ストック!H28</f>
        <v>21719.7616190841</v>
      </c>
      <c r="C28" s="293">
        <f>★資本ストック!G29</f>
        <v>0.10874314881434458</v>
      </c>
      <c r="D28" s="69">
        <f>★資本ストック!P28</f>
        <v>1513.94486859006</v>
      </c>
      <c r="E28" s="293">
        <f>★資本ストック!O29</f>
        <v>0.20620062404567485</v>
      </c>
      <c r="F28" s="88">
        <f>★資本稼働率!Y33</f>
        <v>0.83442799999999995</v>
      </c>
      <c r="G28" s="46">
        <f t="shared" si="7"/>
        <v>19637.522116879169</v>
      </c>
      <c r="I28" s="69">
        <f>★平均労働時間!K52</f>
        <v>2048.945793034</v>
      </c>
      <c r="J28" s="69">
        <f>★就業者数!W34</f>
        <v>6424.1556410219519</v>
      </c>
      <c r="K28" s="290">
        <f>★就業者数!Y34</f>
        <v>584.31221168739535</v>
      </c>
      <c r="L28" s="46">
        <f t="shared" si="0"/>
        <v>1197224.0479552806</v>
      </c>
      <c r="N28" s="47">
        <f>★TFP上昇率推計・図5!W28</f>
        <v>3.64637302329947E-2</v>
      </c>
      <c r="P28" s="70">
        <f>★TFP上昇率推計・図5!AA28</f>
        <v>0.535789095344677</v>
      </c>
      <c r="Q28" s="293">
        <f t="shared" si="6"/>
        <v>-6.6541256979285923E-2</v>
      </c>
      <c r="R28" s="166"/>
      <c r="S28" s="46">
        <f t="shared" si="1"/>
        <v>552176.99333708163</v>
      </c>
      <c r="T28" s="88">
        <f t="shared" si="5"/>
        <v>-5.0273411357369846E-2</v>
      </c>
      <c r="V28" s="62">
        <v>0.39539999999999997</v>
      </c>
      <c r="W28" s="69">
        <f t="shared" si="3"/>
        <v>13145414.377277458</v>
      </c>
      <c r="X28" s="69">
        <f t="shared" si="4"/>
        <v>24473646.949554179</v>
      </c>
      <c r="Y28" s="37"/>
      <c r="Z28" s="37"/>
      <c r="AA28" s="38"/>
    </row>
    <row r="29" spans="1:27" hidden="1" outlineLevel="1">
      <c r="A29" s="57">
        <v>2006</v>
      </c>
      <c r="B29" s="69">
        <f>★資本ストック!H29</f>
        <v>21257.687090725201</v>
      </c>
      <c r="C29" s="293">
        <f>★資本ストック!G30</f>
        <v>0.10686823296984259</v>
      </c>
      <c r="D29" s="69">
        <f>★資本ストック!P29</f>
        <v>1497.2417017759301</v>
      </c>
      <c r="E29" s="293">
        <f>★資本ストック!O30</f>
        <v>0.21034690194505712</v>
      </c>
      <c r="F29" s="88">
        <f>★資本稼働率!Y34</f>
        <v>0.83442799999999995</v>
      </c>
      <c r="G29" s="46">
        <f t="shared" si="7"/>
        <v>19235.251025515576</v>
      </c>
      <c r="I29" s="69">
        <f>★平均労働時間!K53</f>
        <v>2055.9188024556502</v>
      </c>
      <c r="J29" s="69">
        <f>★就業者数!W35</f>
        <v>6411.3662467420436</v>
      </c>
      <c r="K29" s="290">
        <f>★就業者数!Y35</f>
        <v>571.00471020401801</v>
      </c>
      <c r="L29" s="46">
        <f t="shared" si="0"/>
        <v>1173939.3199991803</v>
      </c>
      <c r="N29" s="47">
        <f>★TFP上昇率推計・図5!W29</f>
        <v>2.89504356764522E-2</v>
      </c>
      <c r="P29" s="70">
        <f>★TFP上昇率推計・図5!AA29</f>
        <v>0.50743853333704303</v>
      </c>
      <c r="Q29" s="293">
        <f t="shared" si="6"/>
        <v>-5.2913659971739135E-2</v>
      </c>
      <c r="R29" s="166"/>
      <c r="S29" s="46">
        <f t="shared" si="1"/>
        <v>528855.11096948909</v>
      </c>
      <c r="T29" s="88">
        <f t="shared" si="5"/>
        <v>-4.2236244264084122E-2</v>
      </c>
      <c r="V29" s="62">
        <v>0.39539999999999997</v>
      </c>
      <c r="W29" s="69">
        <f t="shared" si="3"/>
        <v>16695093.157817371</v>
      </c>
      <c r="X29" s="69">
        <f t="shared" si="4"/>
        <v>32064824.641375758</v>
      </c>
      <c r="Y29" s="37"/>
      <c r="Z29" s="37"/>
      <c r="AA29" s="38"/>
    </row>
    <row r="30" spans="1:27" hidden="1" outlineLevel="1">
      <c r="A30" s="57">
        <v>2007</v>
      </c>
      <c r="B30" s="69">
        <f>★資本ストック!H30</f>
        <v>20824.189666938699</v>
      </c>
      <c r="C30" s="293">
        <f>★資本ストック!G31</f>
        <v>0.10404032370309986</v>
      </c>
      <c r="D30" s="69">
        <f>★資本ストック!P30</f>
        <v>1478.0853222916701</v>
      </c>
      <c r="E30" s="293">
        <f>★資本ストック!O31</f>
        <v>0.21345958741968213</v>
      </c>
      <c r="F30" s="88">
        <f>★資本稼働率!Y35</f>
        <v>0.83442799999999995</v>
      </c>
      <c r="G30" s="46">
        <f t="shared" si="7"/>
        <v>18854.372257695995</v>
      </c>
      <c r="I30" s="69">
        <f>★平均労働時間!K54</f>
        <v>2062.49080490195</v>
      </c>
      <c r="J30" s="69">
        <f>★就業者数!W36</f>
        <v>6400.078359836637</v>
      </c>
      <c r="K30" s="290">
        <f>★就業者数!Y36</f>
        <v>558.30637855754571</v>
      </c>
      <c r="L30" s="46">
        <f t="shared" si="0"/>
        <v>1151501.7720930453</v>
      </c>
      <c r="N30" s="47">
        <f>★TFP上昇率推計・図5!W30</f>
        <v>2.3735210926498201E-2</v>
      </c>
      <c r="P30" s="70">
        <f>★TFP上昇率推計・図5!AA30</f>
        <v>0.48996008584461598</v>
      </c>
      <c r="Q30" s="293">
        <f t="shared" si="6"/>
        <v>-3.4444462420865851E-2</v>
      </c>
      <c r="R30" s="166"/>
      <c r="S30" s="46">
        <f t="shared" si="1"/>
        <v>511726.28608920251</v>
      </c>
      <c r="T30" s="88">
        <f t="shared" si="5"/>
        <v>-3.2388502115232032E-2</v>
      </c>
      <c r="V30" s="62">
        <v>0.39539999999999997</v>
      </c>
      <c r="W30" s="69">
        <f t="shared" si="3"/>
        <v>20003854.774043463</v>
      </c>
      <c r="X30" s="69">
        <f t="shared" si="4"/>
        <v>39825756.527079977</v>
      </c>
      <c r="Y30" s="37"/>
      <c r="Z30" s="37"/>
      <c r="AA30" s="38"/>
    </row>
    <row r="31" spans="1:27" hidden="1" outlineLevel="1">
      <c r="A31" s="57">
        <v>2008</v>
      </c>
      <c r="B31" s="69">
        <f>★資本ストック!H31</f>
        <v>20434.139394875401</v>
      </c>
      <c r="C31" s="293">
        <f>★資本ストック!G32</f>
        <v>0.10844349056143607</v>
      </c>
      <c r="D31" s="69">
        <f>★資本ストック!P31</f>
        <v>1457.4433516566301</v>
      </c>
      <c r="E31" s="293">
        <f>★資本ストック!O32</f>
        <v>0.21570910086968423</v>
      </c>
      <c r="F31" s="88">
        <f>★資本稼働率!Y36</f>
        <v>0.83442799999999995</v>
      </c>
      <c r="G31" s="46">
        <f t="shared" si="7"/>
        <v>18508.26141864372</v>
      </c>
      <c r="I31" s="69">
        <f>★平均労働時間!K55</f>
        <v>2068.1451740819102</v>
      </c>
      <c r="J31" s="69">
        <f>★就業者数!W37</f>
        <v>6390.4513010759065</v>
      </c>
      <c r="K31" s="290">
        <f>★就業者数!Y37</f>
        <v>546.48514249556763</v>
      </c>
      <c r="L31" s="46">
        <f t="shared" si="0"/>
        <v>1130210.6101596733</v>
      </c>
      <c r="N31" s="47">
        <f>★TFP上昇率推計・図5!W31</f>
        <v>2.1880080971994901E-2</v>
      </c>
      <c r="P31" s="70">
        <f>★TFP上昇率推計・図5!AA31</f>
        <v>0.48539781634387702</v>
      </c>
      <c r="Q31" s="293">
        <f t="shared" si="6"/>
        <v>-9.3115125753036043E-3</v>
      </c>
      <c r="R31" s="166"/>
      <c r="S31" s="46">
        <f t="shared" si="1"/>
        <v>501399.48820335115</v>
      </c>
      <c r="T31" s="88">
        <f t="shared" si="5"/>
        <v>-2.0180315466638343E-2</v>
      </c>
      <c r="V31" s="62">
        <v>0.39539999999999997</v>
      </c>
      <c r="W31" s="69">
        <f t="shared" si="3"/>
        <v>22271613.963107426</v>
      </c>
      <c r="X31" s="69">
        <f t="shared" si="4"/>
        <v>43040176.447053693</v>
      </c>
      <c r="Y31" s="37"/>
      <c r="Z31" s="37"/>
      <c r="AA31" s="38"/>
    </row>
    <row r="32" spans="1:27" hidden="1" outlineLevel="1">
      <c r="A32" s="57">
        <v>2009</v>
      </c>
      <c r="B32" s="69">
        <f>★資本ストック!H32</f>
        <v>20095.3364250169</v>
      </c>
      <c r="C32" s="293">
        <f>★資本ストック!G33</f>
        <v>0.11123371007664097</v>
      </c>
      <c r="D32" s="69">
        <f>★資本ストック!P32</f>
        <v>1436.2875581672799</v>
      </c>
      <c r="E32" s="293">
        <f>★資本ストック!O33</f>
        <v>0.21809616184009975</v>
      </c>
      <c r="F32" s="88">
        <f>★資本稼働率!Y37</f>
        <v>0.83442799999999995</v>
      </c>
      <c r="G32" s="46">
        <f t="shared" si="7"/>
        <v>18204.398940621282</v>
      </c>
      <c r="I32" s="69">
        <f>★平均労働時間!K56</f>
        <v>2072.65019698881</v>
      </c>
      <c r="J32" s="69">
        <f>★就業者数!W38</f>
        <v>6383.0016553140777</v>
      </c>
      <c r="K32" s="290">
        <f>★就業者数!Y38</f>
        <v>535.7747682044502</v>
      </c>
      <c r="L32" s="46">
        <f t="shared" si="0"/>
        <v>1110473.6788605878</v>
      </c>
      <c r="N32" s="47">
        <f>★TFP上昇率推計・図5!W32</f>
        <v>2.4057587073339201E-2</v>
      </c>
      <c r="P32" s="70">
        <f>★TFP上昇率推計・図5!AA32</f>
        <v>0.49513596052485498</v>
      </c>
      <c r="Q32" s="293">
        <f t="shared" si="6"/>
        <v>2.006219198579795E-2</v>
      </c>
      <c r="R32" s="166"/>
      <c r="S32" s="46">
        <f t="shared" si="1"/>
        <v>498060.33927784854</v>
      </c>
      <c r="T32" s="88">
        <f t="shared" si="5"/>
        <v>-6.6596576264321694E-3</v>
      </c>
      <c r="V32" s="62">
        <v>0.39539999999999997</v>
      </c>
      <c r="W32" s="69">
        <f t="shared" si="3"/>
        <v>20057817.114999872</v>
      </c>
      <c r="X32" s="69">
        <f t="shared" si="4"/>
        <v>38315201.860822506</v>
      </c>
      <c r="Y32" s="37"/>
      <c r="Z32" s="37"/>
      <c r="AA32" s="38"/>
    </row>
    <row r="33" spans="1:27" hidden="1" outlineLevel="1">
      <c r="A33" s="57">
        <v>2010</v>
      </c>
      <c r="B33" s="69">
        <f>★資本ストック!H33</f>
        <v>19816.2495138962</v>
      </c>
      <c r="C33" s="293">
        <f>★資本ストック!G34</f>
        <v>0.11020477394683277</v>
      </c>
      <c r="D33" s="69">
        <f>★資本ストック!P33</f>
        <v>1415.6182766034899</v>
      </c>
      <c r="E33" s="293">
        <f>★資本ストック!O34</f>
        <v>0.21871444823663255</v>
      </c>
      <c r="F33" s="88">
        <f>★資本稼働率!Y38</f>
        <v>0.83442799999999995</v>
      </c>
      <c r="G33" s="46">
        <f t="shared" si="7"/>
        <v>17950.851725984867</v>
      </c>
      <c r="I33" s="69">
        <f>★平均労働時間!K57</f>
        <v>2076.0302528751399</v>
      </c>
      <c r="J33" s="69">
        <f>★就業者数!W39</f>
        <v>6378.6257645883516</v>
      </c>
      <c r="K33" s="290">
        <f>★就業者数!Y39</f>
        <v>526.36473515503474</v>
      </c>
      <c r="L33" s="46">
        <f t="shared" si="0"/>
        <v>1092749.1142284628</v>
      </c>
      <c r="N33" s="47">
        <f>★TFP上昇率推計・図5!W33</f>
        <v>3.0345887542588299E-2</v>
      </c>
      <c r="P33" s="70">
        <f>★TFP上昇率推計・図5!AA33</f>
        <v>0.51948183578414497</v>
      </c>
      <c r="Q33" s="293">
        <f t="shared" si="6"/>
        <v>4.9170080948034656E-2</v>
      </c>
      <c r="R33" s="166"/>
      <c r="S33" s="46">
        <f t="shared" si="1"/>
        <v>501118.63567671884</v>
      </c>
      <c r="T33" s="88">
        <f t="shared" si="5"/>
        <v>6.1404134352569528E-3</v>
      </c>
      <c r="V33" s="62">
        <v>0.39539999999999997</v>
      </c>
      <c r="W33" s="69">
        <f t="shared" si="3"/>
        <v>14932402.482660078</v>
      </c>
      <c r="X33" s="69">
        <f t="shared" si="4"/>
        <v>28977854.710074265</v>
      </c>
      <c r="Y33" s="37"/>
      <c r="Z33" s="37"/>
      <c r="AA33" s="38"/>
    </row>
    <row r="34" spans="1:27" hidden="1" outlineLevel="1">
      <c r="A34" s="57">
        <v>2011</v>
      </c>
      <c r="B34" s="69">
        <f>★資本ストック!H34</f>
        <v>19605.592053795801</v>
      </c>
      <c r="C34" s="293">
        <f>★資本ストック!G35</f>
        <v>0.1172261456615748</v>
      </c>
      <c r="D34" s="69">
        <f>★資本ストック!P34</f>
        <v>1396.50696616347</v>
      </c>
      <c r="E34" s="293">
        <f>★資本ストック!O35</f>
        <v>0.22040786704405257</v>
      </c>
      <c r="F34" s="88">
        <f>★資本稼働率!Y39</f>
        <v>0.83442799999999995</v>
      </c>
      <c r="G34" s="46">
        <f t="shared" si="7"/>
        <v>17755.961932428192</v>
      </c>
      <c r="I34" s="69">
        <f>★平均労働時間!K58</f>
        <v>2078.1395763568298</v>
      </c>
      <c r="J34" s="69">
        <f>★就業者数!W40</f>
        <v>6378.2436596672987</v>
      </c>
      <c r="K34" s="290">
        <f>★就業者数!Y40</f>
        <v>518.35832779131965</v>
      </c>
      <c r="L34" s="46">
        <f t="shared" si="0"/>
        <v>1077220.9557172877</v>
      </c>
      <c r="N34" s="47">
        <f>★TFP上昇率推計・図5!W34</f>
        <v>4.0305337004275701E-2</v>
      </c>
      <c r="P34" s="70">
        <f>★TFP上昇率推計・図5!AA34</f>
        <v>0.55764506119209301</v>
      </c>
      <c r="Q34" s="293">
        <f t="shared" si="6"/>
        <v>7.3464022760952874E-2</v>
      </c>
      <c r="R34" s="166"/>
      <c r="S34" s="46">
        <f t="shared" si="1"/>
        <v>509096.16579443298</v>
      </c>
      <c r="T34" s="88">
        <f t="shared" si="5"/>
        <v>1.5919444119137927E-2</v>
      </c>
      <c r="V34" s="62">
        <v>0.39539999999999997</v>
      </c>
      <c r="W34" s="69">
        <f t="shared" si="3"/>
        <v>11087871.231487909</v>
      </c>
      <c r="X34" s="69">
        <f t="shared" si="4"/>
        <v>20579768.966395907</v>
      </c>
      <c r="Y34" s="37"/>
      <c r="Z34" s="37"/>
      <c r="AA34" s="38"/>
    </row>
    <row r="35" spans="1:27" hidden="1" outlineLevel="1">
      <c r="A35" s="57">
        <v>2012</v>
      </c>
      <c r="B35" s="69">
        <f>★資本ストック!H35</f>
        <v>19468.470941859501</v>
      </c>
      <c r="C35" s="293">
        <f>★資本ストック!G36</f>
        <v>0.11249505420590317</v>
      </c>
      <c r="D35" s="69">
        <f>★資本ストック!P35</f>
        <v>1379.9329032794101</v>
      </c>
      <c r="E35" s="293">
        <f>★資本ストック!O36</f>
        <v>0.22155688622754502</v>
      </c>
      <c r="F35" s="88">
        <f>★資本稼働率!Y40</f>
        <v>0.83442799999999995</v>
      </c>
      <c r="G35" s="46">
        <f t="shared" si="7"/>
        <v>17624.970174353348</v>
      </c>
      <c r="I35" s="69">
        <f>★平均労働時間!K59</f>
        <v>2078.9576635210501</v>
      </c>
      <c r="J35" s="69">
        <f>★就業者数!W41</f>
        <v>6382.8800346228754</v>
      </c>
      <c r="K35" s="290">
        <f>★就業者数!Y41</f>
        <v>511.71028248573515</v>
      </c>
      <c r="L35" s="46">
        <f t="shared" si="0"/>
        <v>1063824.0132762406</v>
      </c>
      <c r="N35" s="47">
        <f>★TFP上昇率推計・図5!W35</f>
        <v>5.30347254468191E-2</v>
      </c>
      <c r="P35" s="70">
        <f>★TFP上昇率推計・図5!AA35</f>
        <v>0.60761785544820102</v>
      </c>
      <c r="Q35" s="293">
        <f t="shared" si="6"/>
        <v>8.9613981605574988E-2</v>
      </c>
      <c r="R35" s="166"/>
      <c r="S35" s="46">
        <f t="shared" si="1"/>
        <v>520066.86640050448</v>
      </c>
      <c r="T35" s="88">
        <f t="shared" si="5"/>
        <v>2.1549367964600608E-2</v>
      </c>
      <c r="V35" s="62">
        <v>0.37</v>
      </c>
      <c r="W35" s="69">
        <f t="shared" si="3"/>
        <v>7104797.3328175303</v>
      </c>
      <c r="X35" s="69">
        <f t="shared" si="4"/>
        <v>13912346.620181138</v>
      </c>
      <c r="Y35" s="37"/>
      <c r="Z35" s="37"/>
      <c r="AA35" s="38"/>
    </row>
    <row r="36" spans="1:27" hidden="1" outlineLevel="1">
      <c r="A36" s="57">
        <v>2013</v>
      </c>
      <c r="B36" s="69">
        <f>★資本ストック!H36</f>
        <v>19406.795154693002</v>
      </c>
      <c r="C36" s="293">
        <f>★資本ストック!G37</f>
        <v>0.11375755610256649</v>
      </c>
      <c r="D36" s="69">
        <f>★資本ストック!P36</f>
        <v>1366.68929472184</v>
      </c>
      <c r="E36" s="293">
        <f>★資本ストック!O37</f>
        <v>0.22326692037907611</v>
      </c>
      <c r="F36" s="88">
        <f>★資本稼働率!Y41</f>
        <v>0.83442799999999995</v>
      </c>
      <c r="G36" s="46">
        <f t="shared" si="7"/>
        <v>17560.262562062009</v>
      </c>
      <c r="I36" s="69">
        <f>★平均労働時間!K60</f>
        <v>2078.5872380247301</v>
      </c>
      <c r="J36" s="69">
        <f>★就業者数!W42</f>
        <v>6393.3618654439806</v>
      </c>
      <c r="K36" s="290">
        <f>★就業者数!Y42</f>
        <v>506.26093026087557</v>
      </c>
      <c r="L36" s="46">
        <f t="shared" si="0"/>
        <v>1052307.508750784</v>
      </c>
      <c r="N36" s="47">
        <f>★TFP上昇率推計・図5!W36</f>
        <v>6.7366787454913701E-2</v>
      </c>
      <c r="P36" s="70">
        <f>★TFP上昇率推計・図5!AA36</f>
        <v>0.66631568935405305</v>
      </c>
      <c r="Q36" s="293">
        <f t="shared" si="6"/>
        <v>9.66032077226473E-2</v>
      </c>
      <c r="R36" s="166"/>
      <c r="S36" s="46">
        <f t="shared" ref="S36:S58" si="8">P36*(G36^N36)*(L36^(1-N36))</f>
        <v>532194.91621259577</v>
      </c>
      <c r="T36" s="88">
        <f t="shared" si="5"/>
        <v>2.3320173992302351E-2</v>
      </c>
      <c r="V36" s="62">
        <v>0.37</v>
      </c>
      <c r="W36" s="69">
        <f t="shared" si="3"/>
        <v>5127867.2090850538</v>
      </c>
      <c r="X36" s="69">
        <f t="shared" si="4"/>
        <v>10114030.432379542</v>
      </c>
      <c r="Y36" s="37"/>
      <c r="Z36" s="37"/>
      <c r="AA36" s="38"/>
    </row>
    <row r="37" spans="1:27" hidden="1" outlineLevel="1">
      <c r="A37" s="57">
        <v>2014</v>
      </c>
      <c r="B37" s="69">
        <f>★資本ストック!H37</f>
        <v>19417.343959483602</v>
      </c>
      <c r="C37" s="293">
        <f>★資本ストック!G38</f>
        <v>0.11732207881639745</v>
      </c>
      <c r="D37" s="69">
        <f>★資本ストック!P37</f>
        <v>1357.2970182285101</v>
      </c>
      <c r="E37" s="293">
        <f>★資本ストック!O38</f>
        <v>0.22508836579679636</v>
      </c>
      <c r="F37" s="88">
        <f>★資本稼働率!Y42</f>
        <v>0.83442799999999995</v>
      </c>
      <c r="G37" s="46">
        <f t="shared" si="7"/>
        <v>17559.672503652491</v>
      </c>
      <c r="I37" s="69">
        <f>★平均労働時間!K61</f>
        <v>2077.2685948896201</v>
      </c>
      <c r="J37" s="69">
        <f>★就業者数!W43</f>
        <v>6409.8972449123648</v>
      </c>
      <c r="K37" s="290">
        <f>★就業者数!Y43</f>
        <v>501.80495815177284</v>
      </c>
      <c r="L37" s="46">
        <f t="shared" si="0"/>
        <v>1042383.6803285778</v>
      </c>
      <c r="N37" s="47">
        <f>★TFP上昇率推計・図5!W37</f>
        <v>8.1766854039796194E-2</v>
      </c>
      <c r="P37" s="70">
        <f>★TFP上昇率推計・図5!AA37</f>
        <v>0.72913974503974799</v>
      </c>
      <c r="Q37" s="293">
        <f t="shared" si="6"/>
        <v>9.4285721752400242E-2</v>
      </c>
      <c r="R37" s="166"/>
      <c r="S37" s="46">
        <f t="shared" si="8"/>
        <v>544281.96584972274</v>
      </c>
      <c r="T37" s="88">
        <f t="shared" si="5"/>
        <v>2.2711696915756585E-2</v>
      </c>
      <c r="V37" s="62">
        <v>0.34620000000000001</v>
      </c>
      <c r="W37" s="69">
        <f t="shared" si="3"/>
        <v>3786608.5553976004</v>
      </c>
      <c r="X37" s="69">
        <f t="shared" si="4"/>
        <v>7381113.0822057622</v>
      </c>
      <c r="Y37" s="37"/>
      <c r="Z37" s="37"/>
      <c r="AA37" s="38"/>
    </row>
    <row r="38" spans="1:27" hidden="1" outlineLevel="1">
      <c r="A38" s="57">
        <v>2015</v>
      </c>
      <c r="B38" s="69">
        <f>★資本ストック!H38</f>
        <v>19490.921671871401</v>
      </c>
      <c r="C38" s="293">
        <f>★資本ストック!G39</f>
        <v>0.12007202474696448</v>
      </c>
      <c r="D38" s="69">
        <f>★資本ストック!P38</f>
        <v>1352.0110585899499</v>
      </c>
      <c r="E38" s="293">
        <f>★資本ストック!O39</f>
        <v>0.22670545900007652</v>
      </c>
      <c r="F38" s="88">
        <f>★資本稼働率!Y43</f>
        <v>0.83442799999999995</v>
      </c>
      <c r="G38" s="46">
        <f t="shared" si="7"/>
        <v>17615.781847406259</v>
      </c>
      <c r="I38" s="69">
        <f>★平均労働時間!K62</f>
        <v>2075.14073142385</v>
      </c>
      <c r="J38" s="69">
        <f>★就業者数!W44</f>
        <v>6432.2414783099166</v>
      </c>
      <c r="K38" s="290">
        <f>★就業者数!Y44</f>
        <v>498.09599846279394</v>
      </c>
      <c r="L38" s="46">
        <f t="shared" si="0"/>
        <v>1033619.2945693751</v>
      </c>
      <c r="N38" s="47">
        <f>★TFP上昇率推計・図5!W38</f>
        <v>9.5124336310594401E-2</v>
      </c>
      <c r="P38" s="70">
        <f>★TFP上昇率推計・図5!AA38</f>
        <v>0.79223895110584697</v>
      </c>
      <c r="Q38" s="293">
        <f t="shared" si="6"/>
        <v>8.6539249156770692E-2</v>
      </c>
      <c r="R38" s="166"/>
      <c r="S38" s="46">
        <f t="shared" si="8"/>
        <v>555895.73257200292</v>
      </c>
      <c r="T38" s="88">
        <f t="shared" si="5"/>
        <v>2.1337776099468853E-2</v>
      </c>
      <c r="V38" s="62">
        <v>0.3211</v>
      </c>
      <c r="W38" s="69">
        <f t="shared" si="3"/>
        <v>2901101.6668801676</v>
      </c>
      <c r="X38" s="69">
        <f t="shared" si="4"/>
        <v>5620233.698281561</v>
      </c>
      <c r="Y38" s="37"/>
      <c r="Z38" s="37"/>
      <c r="AA38" s="38"/>
    </row>
    <row r="39" spans="1:27" hidden="1" outlineLevel="1">
      <c r="A39" s="57">
        <v>2016</v>
      </c>
      <c r="B39" s="69">
        <f>★資本ストック!H39</f>
        <v>19615.8451679018</v>
      </c>
      <c r="C39" s="293">
        <f>★資本ストック!G40</f>
        <v>0.12267486158378625</v>
      </c>
      <c r="D39" s="69">
        <f>★資本ストック!P39</f>
        <v>1350.8104304143999</v>
      </c>
      <c r="E39" s="293">
        <f>★資本ストック!O40</f>
        <v>0.22937168811506434</v>
      </c>
      <c r="F39" s="88">
        <f>★資本稼働率!Y44</f>
        <v>0.83442799999999995</v>
      </c>
      <c r="G39" s="46">
        <f t="shared" si="7"/>
        <v>17718.820882176362</v>
      </c>
      <c r="I39" s="69">
        <f>★平均労働時間!K63</f>
        <v>2072.0379503200202</v>
      </c>
      <c r="J39" s="69">
        <f>★就業者数!W45</f>
        <v>6459.7806082142752</v>
      </c>
      <c r="K39" s="290">
        <f>★就業者数!Y45</f>
        <v>494.94285363183678</v>
      </c>
      <c r="L39" s="46">
        <f t="shared" si="0"/>
        <v>1025540.3759648529</v>
      </c>
      <c r="N39" s="47">
        <f>★TFP上昇率推計・図5!W39</f>
        <v>0.10652618902741801</v>
      </c>
      <c r="P39" s="70">
        <f>★TFP上昇率推計・図5!AA39</f>
        <v>0.85156272544051304</v>
      </c>
      <c r="Q39" s="293">
        <f t="shared" si="6"/>
        <v>7.4881163381147697E-2</v>
      </c>
      <c r="R39" s="166"/>
      <c r="S39" s="46">
        <f t="shared" si="8"/>
        <v>566780.74384962209</v>
      </c>
      <c r="T39" s="88">
        <f t="shared" si="5"/>
        <v>1.9581030469970839E-2</v>
      </c>
      <c r="V39" s="62">
        <v>0.29970000000000002</v>
      </c>
      <c r="W39" s="69">
        <f t="shared" si="3"/>
        <v>2340381.8147679083</v>
      </c>
      <c r="X39" s="69">
        <f t="shared" si="4"/>
        <v>4528579.3848207509</v>
      </c>
      <c r="Y39" s="37"/>
      <c r="Z39" s="37"/>
      <c r="AA39" s="38"/>
    </row>
    <row r="40" spans="1:27" hidden="1" outlineLevel="1">
      <c r="A40" s="57">
        <v>2017</v>
      </c>
      <c r="B40" s="69">
        <f>★資本ストック!H40</f>
        <v>19780.455106901602</v>
      </c>
      <c r="C40" s="293">
        <f>★資本ストック!G41</f>
        <v>0.12411467971304722</v>
      </c>
      <c r="D40" s="69">
        <f>★資本ストック!P40</f>
        <v>1353.2150377242201</v>
      </c>
      <c r="E40" s="293">
        <f>★資本ストック!O41</f>
        <v>0.23004834510970626</v>
      </c>
      <c r="F40" s="88">
        <f>★資本稼働率!Y45</f>
        <v>0.83442799999999995</v>
      </c>
      <c r="G40" s="46">
        <f t="shared" si="7"/>
        <v>17858.580631665911</v>
      </c>
      <c r="I40" s="69">
        <f>★平均労働時間!K64</f>
        <v>2067.83168162313</v>
      </c>
      <c r="J40" s="69">
        <f>★就業者数!W46</f>
        <v>6491.4190659967135</v>
      </c>
      <c r="K40" s="290">
        <f>★就業者数!Y46</f>
        <v>492.18757977883359</v>
      </c>
      <c r="L40" s="46">
        <f t="shared" si="0"/>
        <v>1017761.0707680839</v>
      </c>
      <c r="N40" s="47">
        <f>★TFP上昇率推計・図5!W40</f>
        <v>0.115558737011451</v>
      </c>
      <c r="P40" s="70">
        <f>★TFP上昇率推計・図5!AA40</f>
        <v>0.90443274556985098</v>
      </c>
      <c r="Q40" s="293">
        <f t="shared" si="6"/>
        <v>6.2085878761295454E-2</v>
      </c>
      <c r="R40" s="166"/>
      <c r="S40" s="46">
        <f t="shared" si="8"/>
        <v>576931.44472254696</v>
      </c>
      <c r="T40" s="88">
        <f t="shared" si="5"/>
        <v>1.7909396151994272E-2</v>
      </c>
      <c r="V40" s="62">
        <v>0.29970000000000002</v>
      </c>
      <c r="W40" s="69">
        <f t="shared" si="3"/>
        <v>2020194.7911829001</v>
      </c>
      <c r="X40" s="69">
        <f t="shared" si="4"/>
        <v>3900188.8438165397</v>
      </c>
      <c r="Y40" s="37"/>
      <c r="Z40" s="37"/>
      <c r="AA40" s="38"/>
    </row>
    <row r="41" spans="1:27" hidden="1" outlineLevel="1">
      <c r="A41" s="57">
        <v>2018</v>
      </c>
      <c r="B41" s="69">
        <f>★資本ストック!H41</f>
        <v>19973.803696518498</v>
      </c>
      <c r="C41" s="293">
        <f>★資本ストック!G42</f>
        <v>0.12743463246176612</v>
      </c>
      <c r="D41" s="69">
        <f>★資本ストック!P41</f>
        <v>1358.4466802376101</v>
      </c>
      <c r="E41" s="293">
        <f>★資本ストック!O42</f>
        <v>0.23003382850419171</v>
      </c>
      <c r="F41" s="88">
        <f>★資本稼働率!Y46</f>
        <v>0.83442799999999995</v>
      </c>
      <c r="G41" s="46">
        <f t="shared" si="7"/>
        <v>18025.147751116143</v>
      </c>
      <c r="I41" s="69">
        <f>★平均労働時間!K65</f>
        <v>2062.6850245416799</v>
      </c>
      <c r="J41" s="69">
        <f>★就業者数!W47</f>
        <v>6525.7838782316721</v>
      </c>
      <c r="K41" s="290">
        <f>★就業者数!Y47</f>
        <v>489.64754390580612</v>
      </c>
      <c r="L41" s="46">
        <f t="shared" si="0"/>
        <v>1009988.656118121</v>
      </c>
      <c r="N41" s="47">
        <f>★TFP上昇率推計・図5!W41</f>
        <v>0.122559991039443</v>
      </c>
      <c r="P41" s="70">
        <f>★TFP上昇率推計・図5!AA41</f>
        <v>0.95128109763756097</v>
      </c>
      <c r="Q41" s="293">
        <f t="shared" si="6"/>
        <v>5.1798602269970351E-2</v>
      </c>
      <c r="R41" s="166"/>
      <c r="S41" s="46">
        <f t="shared" si="8"/>
        <v>586592.97675945447</v>
      </c>
      <c r="T41" s="88">
        <f t="shared" si="5"/>
        <v>1.6746412637560271E-2</v>
      </c>
      <c r="V41" s="62">
        <v>0.2974</v>
      </c>
      <c r="W41" s="69">
        <f t="shared" si="3"/>
        <v>1823059.0201039873</v>
      </c>
      <c r="X41" s="69">
        <f t="shared" si="4"/>
        <v>3440713.7719311598</v>
      </c>
      <c r="Y41" s="37"/>
      <c r="Z41" s="37"/>
      <c r="AA41" s="38"/>
    </row>
    <row r="42" spans="1:27" hidden="1" outlineLevel="1">
      <c r="A42" s="57">
        <v>2019</v>
      </c>
      <c r="B42" s="69">
        <f>★資本ストック!H42</f>
        <v>20184.383593331</v>
      </c>
      <c r="C42" s="293">
        <f>★資本ストック!G43</f>
        <v>0.13006732839559218</v>
      </c>
      <c r="D42" s="69">
        <f>★資本ストック!P42</f>
        <v>1365.64000729551</v>
      </c>
      <c r="E42" s="293">
        <f>★資本ストック!O43</f>
        <v>0.22905635743816638</v>
      </c>
      <c r="F42" s="88">
        <f>★資本稼働率!Y47</f>
        <v>0.83442799999999995</v>
      </c>
      <c r="G42" s="46">
        <f t="shared" si="7"/>
        <v>18208.05484031151</v>
      </c>
      <c r="I42" s="69">
        <f>★平均労働時間!K66</f>
        <v>2056.8695634679102</v>
      </c>
      <c r="J42" s="69">
        <f>★就業者数!W48</f>
        <v>6561.3472549483095</v>
      </c>
      <c r="K42" s="290">
        <f>★就業者数!Y48</f>
        <v>487.16278297712057</v>
      </c>
      <c r="L42" s="46">
        <f t="shared" si="0"/>
        <v>1002030.3007599623</v>
      </c>
      <c r="N42" s="47">
        <f>★TFP上昇率推計・図5!W42</f>
        <v>0.12855513173456901</v>
      </c>
      <c r="P42" s="70">
        <f>★TFP上昇率推計・図5!AA42</f>
        <v>0.99566035316264501</v>
      </c>
      <c r="Q42" s="293">
        <f>P42/P41-1</f>
        <v>4.6652094354966867E-2</v>
      </c>
      <c r="R42" s="166"/>
      <c r="S42" s="46">
        <f t="shared" si="8"/>
        <v>595973.27052250435</v>
      </c>
      <c r="T42" s="88">
        <f t="shared" si="5"/>
        <v>1.5991145708681875E-2</v>
      </c>
      <c r="V42" s="62">
        <v>0.2974</v>
      </c>
      <c r="W42" s="69">
        <f t="shared" si="3"/>
        <v>1667458.69632367</v>
      </c>
      <c r="X42" s="69">
        <f t="shared" si="4"/>
        <v>3078353.1826729258</v>
      </c>
      <c r="Y42" s="37"/>
      <c r="Z42" s="37"/>
      <c r="AA42" s="38"/>
    </row>
    <row r="43" spans="1:27" collapsed="1">
      <c r="A43" s="57">
        <v>2020</v>
      </c>
      <c r="B43" s="394">
        <f>★資本ストック!H43</f>
        <v>20403.6494169527</v>
      </c>
      <c r="C43" s="64">
        <f>★資本ストック!G44</f>
        <v>0.13281677522458163</v>
      </c>
      <c r="D43" s="394">
        <f>★資本ストック!P43</f>
        <v>1373.94320143653</v>
      </c>
      <c r="E43" s="64">
        <f>★資本ストック!O44</f>
        <v>0.22846787947697558</v>
      </c>
      <c r="F43" s="62">
        <f>★資本稼働率!Y48</f>
        <v>0.83442799999999995</v>
      </c>
      <c r="G43" s="46">
        <f>B43*F43+D43</f>
        <v>18399.319577125538</v>
      </c>
      <c r="I43" s="394">
        <f>★平均労働時間!K67</f>
        <v>2056.8695634679102</v>
      </c>
      <c r="J43" s="394">
        <f>★就業者数!W49</f>
        <v>6597.1561784487658</v>
      </c>
      <c r="K43" s="310">
        <f>★就業者数!Y49</f>
        <v>487.16278297712057</v>
      </c>
      <c r="L43" s="46">
        <f>I43*K43</f>
        <v>1002030.3007599623</v>
      </c>
      <c r="N43" s="63">
        <f>★TFP上昇率推計・図5!W43</f>
        <v>0.13434835907450099</v>
      </c>
      <c r="P43" s="395">
        <f>★TFP上昇率推計・図5!AA43</f>
        <v>1.04234978108688</v>
      </c>
      <c r="Q43" s="293">
        <f>P43/P42-1</f>
        <v>4.6892926665131673E-2</v>
      </c>
      <c r="R43" s="166"/>
      <c r="S43" s="46">
        <f>P43*(G43^N43)*(L43^(1-N43))</f>
        <v>610456.82958399598</v>
      </c>
      <c r="T43" s="88">
        <f>S43/S42-1</f>
        <v>2.4302363508339031E-2</v>
      </c>
      <c r="V43" s="62">
        <v>0.2974</v>
      </c>
      <c r="W43" s="69">
        <f>((0.99^(-1)+C43-1)/((1-V43)*N43*P43))^(1/(1-N43))*L43</f>
        <v>1542325.1001930113</v>
      </c>
      <c r="X43" s="69">
        <f t="shared" si="4"/>
        <v>2787658.2537783436</v>
      </c>
    </row>
    <row r="44" spans="1:27">
      <c r="A44" s="57">
        <v>2021</v>
      </c>
      <c r="B44" s="394">
        <f>★資本ストック!H44</f>
        <v>20626.028951063799</v>
      </c>
      <c r="C44" s="302">
        <v>0.133807525989386</v>
      </c>
      <c r="D44" s="394">
        <f>★資本ストック!P44</f>
        <v>1382.6350451262799</v>
      </c>
      <c r="E44" s="302">
        <v>0.22812146890277299</v>
      </c>
      <c r="F44" s="302">
        <f>F43</f>
        <v>0.83442799999999995</v>
      </c>
      <c r="G44" s="46">
        <f t="shared" ref="G44:G63" si="9">B44*F44+D44</f>
        <v>18593.571130704542</v>
      </c>
      <c r="I44" s="304">
        <v>1938.48183530548</v>
      </c>
      <c r="J44" s="46">
        <f>(J$48-J$43)/5+J43</f>
        <v>6575.7249427590123</v>
      </c>
      <c r="K44" s="300">
        <f>J44*0.0734640007869559+4</f>
        <v>487.07906236965363</v>
      </c>
      <c r="L44" s="46">
        <f t="shared" ref="L44:L63" si="10">I44*K44</f>
        <v>944193.91476119857</v>
      </c>
      <c r="N44" s="281">
        <f>AVERAGE(N3:N43)</f>
        <v>0.16260435651919575</v>
      </c>
      <c r="P44" s="48">
        <f>P43*(1+Q44)</f>
        <v>1.0830680881732393</v>
      </c>
      <c r="Q44" s="303">
        <f>AVERAGE(Q6:Q10)</f>
        <v>3.9063957056623931E-2</v>
      </c>
      <c r="R44" s="166"/>
      <c r="S44" s="46">
        <f>P44*(G44^N44)*(L44^(1-N44))</f>
        <v>539961.71522256511</v>
      </c>
      <c r="T44" s="88">
        <f t="shared" ref="T44:T58" si="11">S44/S43-1</f>
        <v>-0.11547927870586805</v>
      </c>
      <c r="V44" s="302">
        <f>V43</f>
        <v>0.2974</v>
      </c>
      <c r="W44" s="69">
        <f>((0.99^(-1)+C44-1)/((1-V44)*N44*P44))^(1/(1-N44))*L44</f>
        <v>1130805.5715902238</v>
      </c>
      <c r="X44" s="69">
        <f t="shared" si="4"/>
        <v>2064377.3709052342</v>
      </c>
    </row>
    <row r="45" spans="1:27">
      <c r="A45" s="57">
        <v>2022</v>
      </c>
      <c r="B45" s="313">
        <f>EXP( 0.0495170402151*LOG(S44,EXP(1))- 0.00735656612765*LOG(W44,EXP(1)) +0.944741406384*LOG(B44,EXP(1)) )</f>
        <v>20669.243534585356</v>
      </c>
      <c r="C45" s="302">
        <v>0.13480566728915799</v>
      </c>
      <c r="D45" s="313">
        <f>EXP(0.048470451741*LOG(S44,EXP(1))-0.005070568273*LOG(X44,EXP(1)) +0.922366678461*LOG(D44,EXP(1)) )</f>
        <v>1389.039686043375</v>
      </c>
      <c r="E45" s="302">
        <v>0.22798389653957599</v>
      </c>
      <c r="F45" s="302">
        <f t="shared" ref="F45:F63" si="12">F44</f>
        <v>0.83442799999999995</v>
      </c>
      <c r="G45" s="46">
        <f t="shared" si="9"/>
        <v>18636.035230120364</v>
      </c>
      <c r="I45" s="304">
        <v>1938.48183530548</v>
      </c>
      <c r="J45" s="46">
        <f>(J$48-J$43)/5+J44</f>
        <v>6554.2937070692587</v>
      </c>
      <c r="K45" s="300">
        <f t="shared" ref="K45:K63" si="13">J45*0.0734640007869559+4</f>
        <v>485.50463805407617</v>
      </c>
      <c r="L45" s="46">
        <f t="shared" si="10"/>
        <v>941141.92182438832</v>
      </c>
      <c r="N45" s="302">
        <f>N44</f>
        <v>0.16260435651919575</v>
      </c>
      <c r="P45" s="48">
        <f t="shared" ref="P45:P63" si="14">P44*(1+Q45)</f>
        <v>1.1253770134590386</v>
      </c>
      <c r="Q45" s="303">
        <f>Q44</f>
        <v>3.9063957056623931E-2</v>
      </c>
      <c r="R45" s="166"/>
      <c r="S45" s="46">
        <f>P45*(G45^N45)*(L45^(1-N45))</f>
        <v>559743.29378356866</v>
      </c>
      <c r="T45" s="88">
        <f t="shared" si="11"/>
        <v>3.6635150239957115E-2</v>
      </c>
      <c r="V45" s="302">
        <f t="shared" ref="V45:V63" si="15">V44</f>
        <v>0.2974</v>
      </c>
      <c r="W45" s="69">
        <f>((0.99^(-1)+C45-1)/((1-V45)*N45*P45))^(1/(1-N45))*L45</f>
        <v>1085657.264010434</v>
      </c>
      <c r="X45" s="69">
        <f t="shared" si="4"/>
        <v>1964307.9103753779</v>
      </c>
    </row>
    <row r="46" spans="1:27">
      <c r="A46" s="57">
        <v>2023</v>
      </c>
      <c r="B46" s="313">
        <f>EXP( 0.0495170402151*LOG(S45,EXP(1))- 0.00735656612765*LOG(W45,EXP(1)) +0.944741406384*LOG(B45,EXP(1)) )</f>
        <v>20753.303609654027</v>
      </c>
      <c r="C46" s="302">
        <v>0.13581125425423901</v>
      </c>
      <c r="D46" s="313">
        <f>EXP(0.048470451741*LOG(S45,EXP(1))-0.005070568273*LOG(X45,EXP(1)) +0.922366678461*LOG(D45,EXP(1)) )</f>
        <v>1397.7604460657094</v>
      </c>
      <c r="E46" s="302">
        <v>0.228026494661</v>
      </c>
      <c r="F46" s="302">
        <f t="shared" si="12"/>
        <v>0.83442799999999995</v>
      </c>
      <c r="G46" s="46">
        <f t="shared" si="9"/>
        <v>18714.898070462099</v>
      </c>
      <c r="I46" s="304">
        <v>1938.48183530548</v>
      </c>
      <c r="J46" s="46">
        <f>(J$48-J$43)/5+J45</f>
        <v>6532.8624713795052</v>
      </c>
      <c r="K46" s="300">
        <f t="shared" si="13"/>
        <v>483.93021373849865</v>
      </c>
      <c r="L46" s="46">
        <f t="shared" si="10"/>
        <v>938089.92888757808</v>
      </c>
      <c r="N46" s="302">
        <f t="shared" ref="N46:N63" si="16">N45</f>
        <v>0.16260435651919575</v>
      </c>
      <c r="P46" s="48">
        <f t="shared" si="14"/>
        <v>1.1693386927853142</v>
      </c>
      <c r="Q46" s="303">
        <f t="shared" ref="Q46:Q63" si="17">Q45</f>
        <v>3.9063957056623931E-2</v>
      </c>
      <c r="R46" s="166"/>
      <c r="S46" s="46">
        <f t="shared" si="8"/>
        <v>580427.68393034057</v>
      </c>
      <c r="T46" s="88">
        <f t="shared" si="11"/>
        <v>3.6953350538523333E-2</v>
      </c>
      <c r="V46" s="302">
        <f t="shared" si="15"/>
        <v>0.2974</v>
      </c>
      <c r="W46" s="69">
        <f t="shared" si="3"/>
        <v>1042305.0353867988</v>
      </c>
      <c r="X46" s="69">
        <f t="shared" si="4"/>
        <v>1870759.02220321</v>
      </c>
    </row>
    <row r="47" spans="1:27">
      <c r="A47" s="57">
        <v>2024</v>
      </c>
      <c r="B47" s="313">
        <f t="shared" ref="B47:B63" si="18">EXP( 0.0495170402151*LOG(S46,EXP(1))- 0.00735656612765*LOG(W46,EXP(1)) +0.944741406384*LOG(B46,EXP(1)) )</f>
        <v>20876.757214458528</v>
      </c>
      <c r="C47" s="302">
        <v>0.136824342425795</v>
      </c>
      <c r="D47" s="313">
        <f>EXP(0.048470451741*LOG(S46,EXP(1))-0.005070568273*LOG(X46,EXP(1)) +0.922366678461*LOG(D46,EXP(1)) )</f>
        <v>1408.6760637313262</v>
      </c>
      <c r="E47" s="302">
        <v>0.22822453082878699</v>
      </c>
      <c r="F47" s="302">
        <f t="shared" si="12"/>
        <v>0.83442799999999995</v>
      </c>
      <c r="G47" s="46">
        <f t="shared" si="9"/>
        <v>18828.826832677529</v>
      </c>
      <c r="I47" s="304">
        <v>1938.48183530548</v>
      </c>
      <c r="J47" s="46">
        <f>(J$48-J$43)/5+J46</f>
        <v>6511.4312356897517</v>
      </c>
      <c r="K47" s="300">
        <f t="shared" si="13"/>
        <v>482.35578942292119</v>
      </c>
      <c r="L47" s="46">
        <f t="shared" si="10"/>
        <v>935037.93595076795</v>
      </c>
      <c r="N47" s="302">
        <f t="shared" si="16"/>
        <v>0.16260435651919575</v>
      </c>
      <c r="P47" s="48">
        <f>P46*(1+Q47)</f>
        <v>1.2150176892649287</v>
      </c>
      <c r="Q47" s="303">
        <f t="shared" si="17"/>
        <v>3.9063957056623931E-2</v>
      </c>
      <c r="R47" s="166"/>
      <c r="S47" s="46">
        <f t="shared" si="8"/>
        <v>602051.81867849955</v>
      </c>
      <c r="T47" s="88">
        <f t="shared" si="11"/>
        <v>3.7255519243555302E-2</v>
      </c>
      <c r="V47" s="302">
        <f t="shared" si="15"/>
        <v>0.2974</v>
      </c>
      <c r="W47" s="69">
        <f t="shared" si="3"/>
        <v>1000677.5993465147</v>
      </c>
      <c r="X47" s="69">
        <f t="shared" si="4"/>
        <v>1783035.0485946124</v>
      </c>
    </row>
    <row r="48" spans="1:27">
      <c r="A48" s="57">
        <v>2025</v>
      </c>
      <c r="B48" s="313">
        <f t="shared" si="18"/>
        <v>21038.430522605853</v>
      </c>
      <c r="C48" s="302">
        <v>0.13784498775930401</v>
      </c>
      <c r="D48" s="313">
        <f>EXP(0.048470451741*LOG(S47,EXP(1))-0.005070568273*LOG(X47,EXP(1)) +0.922366678461*LOG(D47,EXP(1)) )</f>
        <v>1421.6837504390226</v>
      </c>
      <c r="E48" s="302">
        <v>0.228556667686308</v>
      </c>
      <c r="F48" s="302">
        <f>F47</f>
        <v>0.83442799999999995</v>
      </c>
      <c r="G48" s="46">
        <f t="shared" si="9"/>
        <v>18976.739254555981</v>
      </c>
      <c r="I48" s="304">
        <v>1938.48183530548</v>
      </c>
      <c r="J48" s="61">
        <v>6490</v>
      </c>
      <c r="K48" s="300">
        <f t="shared" si="13"/>
        <v>480.78136510734385</v>
      </c>
      <c r="L48" s="46">
        <f t="shared" si="10"/>
        <v>931985.94301395793</v>
      </c>
      <c r="N48" s="302">
        <f t="shared" si="16"/>
        <v>0.16260435651919575</v>
      </c>
      <c r="P48" s="48">
        <f t="shared" si="14"/>
        <v>1.2624810881014124</v>
      </c>
      <c r="Q48" s="303">
        <f t="shared" si="17"/>
        <v>3.9063957056623931E-2</v>
      </c>
      <c r="R48" s="166"/>
      <c r="S48" s="46">
        <f t="shared" si="8"/>
        <v>624654.31417205476</v>
      </c>
      <c r="T48" s="88">
        <f t="shared" si="11"/>
        <v>3.754244201631618E-2</v>
      </c>
      <c r="V48" s="302">
        <f t="shared" si="15"/>
        <v>0.2974</v>
      </c>
      <c r="W48" s="69">
        <f t="shared" si="3"/>
        <v>960706.49566593301</v>
      </c>
      <c r="X48" s="69">
        <f t="shared" si="4"/>
        <v>1700546.1472954468</v>
      </c>
    </row>
    <row r="49" spans="1:24">
      <c r="A49" s="57">
        <v>2026</v>
      </c>
      <c r="B49" s="313">
        <f t="shared" si="18"/>
        <v>21237.397843170129</v>
      </c>
      <c r="C49" s="302">
        <v>0.138873246627643</v>
      </c>
      <c r="D49" s="313">
        <f t="shared" ref="D49:D63" si="19">EXP(0.048470451741*LOG(S48,EXP(1))-0.005070568273*LOG(X48,EXP(1)) +0.922366678461*LOG(D48,EXP(1)) )</f>
        <v>1436.6966631267085</v>
      </c>
      <c r="E49" s="302">
        <v>0.229004496907493</v>
      </c>
      <c r="F49" s="302">
        <f t="shared" si="12"/>
        <v>0.83442799999999995</v>
      </c>
      <c r="G49" s="46">
        <f t="shared" si="9"/>
        <v>19157.776070607473</v>
      </c>
      <c r="I49" s="304">
        <v>1938.48183530548</v>
      </c>
      <c r="J49" s="46">
        <f>(J$53-J$48)/5+J48</f>
        <v>6465.2</v>
      </c>
      <c r="K49" s="300">
        <f t="shared" si="13"/>
        <v>478.95945788782728</v>
      </c>
      <c r="L49" s="46">
        <f t="shared" si="10"/>
        <v>928454.20896331314</v>
      </c>
      <c r="N49" s="302">
        <f t="shared" si="16"/>
        <v>0.16260435651919575</v>
      </c>
      <c r="P49" s="48">
        <f t="shared" si="14"/>
        <v>1.3117985951118059</v>
      </c>
      <c r="Q49" s="303">
        <f t="shared" si="17"/>
        <v>3.9063957056623931E-2</v>
      </c>
      <c r="R49" s="166"/>
      <c r="S49" s="46">
        <f t="shared" si="8"/>
        <v>647995.16402449727</v>
      </c>
      <c r="T49" s="88">
        <f t="shared" si="11"/>
        <v>3.7366026813373532E-2</v>
      </c>
      <c r="V49" s="302">
        <f t="shared" si="15"/>
        <v>0.2974</v>
      </c>
      <c r="W49" s="69">
        <f t="shared" si="3"/>
        <v>921849.64975773485</v>
      </c>
      <c r="X49" s="69">
        <f t="shared" si="4"/>
        <v>1621951.8433685093</v>
      </c>
    </row>
    <row r="50" spans="1:24">
      <c r="A50" s="57">
        <v>2027</v>
      </c>
      <c r="B50" s="313">
        <f t="shared" si="18"/>
        <v>21472.577889168817</v>
      </c>
      <c r="C50" s="302">
        <v>0.139909175824208</v>
      </c>
      <c r="D50" s="313">
        <f t="shared" si="19"/>
        <v>1453.615119957866</v>
      </c>
      <c r="E50" s="302">
        <v>0.22955213712172201</v>
      </c>
      <c r="F50" s="302">
        <f t="shared" si="12"/>
        <v>0.83442799999999995</v>
      </c>
      <c r="G50" s="46">
        <f t="shared" si="9"/>
        <v>19370.935342861223</v>
      </c>
      <c r="I50" s="304">
        <v>1938.48183530548</v>
      </c>
      <c r="J50" s="46">
        <f>(J$53-J$48)/5+J49</f>
        <v>6440.4</v>
      </c>
      <c r="K50" s="300">
        <f t="shared" si="13"/>
        <v>477.13755066831078</v>
      </c>
      <c r="L50" s="46">
        <f t="shared" si="10"/>
        <v>924922.47491266858</v>
      </c>
      <c r="N50" s="302">
        <f t="shared" si="16"/>
        <v>0.16260435651919575</v>
      </c>
      <c r="P50" s="48">
        <f t="shared" si="14"/>
        <v>1.3630426390981931</v>
      </c>
      <c r="Q50" s="303">
        <f t="shared" si="17"/>
        <v>3.9063957056623931E-2</v>
      </c>
      <c r="R50" s="166"/>
      <c r="S50" s="46">
        <f t="shared" si="8"/>
        <v>672371.68962413899</v>
      </c>
      <c r="T50" s="88">
        <f t="shared" si="11"/>
        <v>3.761837580429872E-2</v>
      </c>
      <c r="V50" s="302">
        <f t="shared" si="15"/>
        <v>0.2974</v>
      </c>
      <c r="W50" s="69">
        <f t="shared" si="3"/>
        <v>884555.30072307761</v>
      </c>
      <c r="X50" s="69">
        <f t="shared" si="4"/>
        <v>1547730.8124211528</v>
      </c>
    </row>
    <row r="51" spans="1:24">
      <c r="A51" s="57">
        <v>2028</v>
      </c>
      <c r="B51" s="313">
        <f t="shared" si="18"/>
        <v>21743.469985104352</v>
      </c>
      <c r="C51" s="302">
        <v>0.14095283256604399</v>
      </c>
      <c r="D51" s="313">
        <f t="shared" si="19"/>
        <v>1472.3788349824486</v>
      </c>
      <c r="E51" s="302">
        <v>0.23018588703253501</v>
      </c>
      <c r="F51" s="302">
        <f t="shared" si="12"/>
        <v>0.83442799999999995</v>
      </c>
      <c r="G51" s="46">
        <f t="shared" si="9"/>
        <v>19615.739007713102</v>
      </c>
      <c r="I51" s="304">
        <v>1938.48183530548</v>
      </c>
      <c r="J51" s="46">
        <f>(J$53-J$48)/5+J50</f>
        <v>6415.5999999999995</v>
      </c>
      <c r="K51" s="300">
        <f t="shared" si="13"/>
        <v>475.31564344879428</v>
      </c>
      <c r="L51" s="46">
        <f t="shared" si="10"/>
        <v>921390.7408620239</v>
      </c>
      <c r="N51" s="302">
        <f t="shared" si="16"/>
        <v>0.16260435651919575</v>
      </c>
      <c r="P51" s="48">
        <f t="shared" si="14"/>
        <v>1.4162884782182723</v>
      </c>
      <c r="Q51" s="303">
        <f t="shared" si="17"/>
        <v>3.9063957056623931E-2</v>
      </c>
      <c r="R51" s="166"/>
      <c r="S51" s="46">
        <f t="shared" si="8"/>
        <v>697826.13955719071</v>
      </c>
      <c r="T51" s="88">
        <f t="shared" si="11"/>
        <v>3.7857706274458058E-2</v>
      </c>
      <c r="V51" s="302">
        <f t="shared" si="15"/>
        <v>0.2974</v>
      </c>
      <c r="W51" s="69">
        <f t="shared" si="3"/>
        <v>848760.87232114095</v>
      </c>
      <c r="X51" s="69">
        <f t="shared" si="4"/>
        <v>1477507.690989797</v>
      </c>
    </row>
    <row r="52" spans="1:24">
      <c r="A52" s="57">
        <v>2029</v>
      </c>
      <c r="B52" s="313">
        <f t="shared" si="18"/>
        <v>22049.752854890223</v>
      </c>
      <c r="C52" s="302">
        <v>0.14200427449701</v>
      </c>
      <c r="D52" s="313">
        <f t="shared" si="19"/>
        <v>1492.9378572115702</v>
      </c>
      <c r="E52" s="302">
        <v>0.23089392615358401</v>
      </c>
      <c r="F52" s="302">
        <f t="shared" si="12"/>
        <v>0.83442799999999995</v>
      </c>
      <c r="G52" s="46">
        <f t="shared" si="9"/>
        <v>19891.869032411909</v>
      </c>
      <c r="I52" s="304">
        <v>1938.48183530548</v>
      </c>
      <c r="J52" s="46">
        <f>(J$53-J$48)/5+J51</f>
        <v>6390.7999999999993</v>
      </c>
      <c r="K52" s="300">
        <f t="shared" si="13"/>
        <v>473.49373622927772</v>
      </c>
      <c r="L52" s="46">
        <f t="shared" si="10"/>
        <v>917859.00681137911</v>
      </c>
      <c r="N52" s="302">
        <f t="shared" si="16"/>
        <v>0.16260435651919575</v>
      </c>
      <c r="P52" s="48">
        <f t="shared" si="14"/>
        <v>1.4716143105111823</v>
      </c>
      <c r="Q52" s="303">
        <f t="shared" si="17"/>
        <v>3.9063957056623931E-2</v>
      </c>
      <c r="R52" s="166"/>
      <c r="S52" s="46">
        <f t="shared" si="8"/>
        <v>724402.60673150455</v>
      </c>
      <c r="T52" s="88">
        <f t="shared" si="11"/>
        <v>3.8084654139178609E-2</v>
      </c>
      <c r="V52" s="302">
        <f t="shared" si="15"/>
        <v>0.2974</v>
      </c>
      <c r="W52" s="69">
        <f t="shared" si="3"/>
        <v>814406.28803084337</v>
      </c>
      <c r="X52" s="69">
        <f t="shared" si="4"/>
        <v>1410957.6532286718</v>
      </c>
    </row>
    <row r="53" spans="1:24">
      <c r="A53" s="57">
        <v>2030</v>
      </c>
      <c r="B53" s="313">
        <f t="shared" si="18"/>
        <v>22391.269473331929</v>
      </c>
      <c r="C53" s="302">
        <v>0.14306355969095999</v>
      </c>
      <c r="D53" s="313">
        <f>EXP(0.048470451741*LOG(S52,EXP(1))-0.005070568273*LOG(X52,EXP(1)) +0.922366678461*LOG(D52,EXP(1)) )</f>
        <v>1515.2513376531733</v>
      </c>
      <c r="E53" s="302">
        <v>0.23166605662527301</v>
      </c>
      <c r="F53" s="302">
        <f t="shared" si="12"/>
        <v>0.83442799999999995</v>
      </c>
      <c r="G53" s="46">
        <f t="shared" si="9"/>
        <v>20199.153541746586</v>
      </c>
      <c r="I53" s="304">
        <v>1938.48183530548</v>
      </c>
      <c r="J53" s="61">
        <v>6366</v>
      </c>
      <c r="K53" s="300">
        <f t="shared" si="13"/>
        <v>471.67182900976127</v>
      </c>
      <c r="L53" s="46">
        <f t="shared" si="10"/>
        <v>914327.27276073454</v>
      </c>
      <c r="N53" s="302">
        <f t="shared" si="16"/>
        <v>0.16260435651919575</v>
      </c>
      <c r="P53" s="48">
        <f t="shared" si="14"/>
        <v>1.5291013887409044</v>
      </c>
      <c r="Q53" s="303">
        <f t="shared" si="17"/>
        <v>3.9063957056623931E-2</v>
      </c>
      <c r="R53" s="166"/>
      <c r="S53" s="46">
        <f t="shared" si="8"/>
        <v>752147.09908079414</v>
      </c>
      <c r="T53" s="88">
        <f t="shared" si="11"/>
        <v>3.8299824008740657E-2</v>
      </c>
      <c r="V53" s="302">
        <f t="shared" si="15"/>
        <v>0.2974</v>
      </c>
      <c r="W53" s="69">
        <f t="shared" si="3"/>
        <v>781433.87131703401</v>
      </c>
      <c r="X53" s="69">
        <f t="shared" si="4"/>
        <v>1347797.9939543023</v>
      </c>
    </row>
    <row r="54" spans="1:24">
      <c r="A54" s="57">
        <v>2031</v>
      </c>
      <c r="B54" s="313">
        <f t="shared" si="18"/>
        <v>22768.014248982556</v>
      </c>
      <c r="C54" s="302">
        <v>0.14413074665495301</v>
      </c>
      <c r="D54" s="313">
        <f t="shared" si="19"/>
        <v>1539.2864842266836</v>
      </c>
      <c r="E54" s="302">
        <v>0.232493480472862</v>
      </c>
      <c r="F54" s="302">
        <f t="shared" si="12"/>
        <v>0.83442799999999995</v>
      </c>
      <c r="G54" s="46">
        <f t="shared" si="9"/>
        <v>20537.555077976696</v>
      </c>
      <c r="I54" s="304">
        <v>1938.48183530548</v>
      </c>
      <c r="J54" s="46">
        <f>(J$58-J$53)/5+J53</f>
        <v>6334.6</v>
      </c>
      <c r="K54" s="300">
        <f t="shared" si="13"/>
        <v>469.36505938505093</v>
      </c>
      <c r="L54" s="46">
        <f t="shared" si="10"/>
        <v>909855.6417449991</v>
      </c>
      <c r="N54" s="302">
        <f t="shared" si="16"/>
        <v>0.16260435651919575</v>
      </c>
      <c r="P54" s="48">
        <f t="shared" si="14"/>
        <v>1.5888341397259031</v>
      </c>
      <c r="Q54" s="303">
        <f t="shared" si="17"/>
        <v>3.9063957056623931E-2</v>
      </c>
      <c r="R54" s="166"/>
      <c r="S54" s="46">
        <f t="shared" si="8"/>
        <v>780432.56131113984</v>
      </c>
      <c r="T54" s="88">
        <f t="shared" si="11"/>
        <v>3.7606290398398912E-2</v>
      </c>
      <c r="V54" s="302">
        <f t="shared" si="15"/>
        <v>0.2974</v>
      </c>
      <c r="W54" s="69">
        <f t="shared" si="3"/>
        <v>749014.50464919617</v>
      </c>
      <c r="X54" s="69">
        <f t="shared" si="4"/>
        <v>1286452.2798289456</v>
      </c>
    </row>
    <row r="55" spans="1:24">
      <c r="A55" s="57">
        <v>2032</v>
      </c>
      <c r="B55" s="313">
        <f t="shared" si="18"/>
        <v>23179.305889218584</v>
      </c>
      <c r="C55" s="302">
        <v>0.14520589433248099</v>
      </c>
      <c r="D55" s="313">
        <f t="shared" si="19"/>
        <v>1564.9602820034615</v>
      </c>
      <c r="E55" s="302">
        <v>0.233368607440887</v>
      </c>
      <c r="F55" s="302">
        <f t="shared" si="12"/>
        <v>0.83442799999999995</v>
      </c>
      <c r="G55" s="46">
        <f t="shared" si="9"/>
        <v>20906.422136532346</v>
      </c>
      <c r="I55" s="304">
        <v>1938.48183530548</v>
      </c>
      <c r="J55" s="46">
        <f>(J$58-J$53)/5+J54</f>
        <v>6303.2000000000007</v>
      </c>
      <c r="K55" s="300">
        <f t="shared" si="13"/>
        <v>467.05828976034053</v>
      </c>
      <c r="L55" s="46">
        <f t="shared" si="10"/>
        <v>905384.01072926354</v>
      </c>
      <c r="N55" s="302">
        <f t="shared" si="16"/>
        <v>0.16260435651919575</v>
      </c>
      <c r="P55" s="48">
        <f t="shared" si="14"/>
        <v>1.6509002883302539</v>
      </c>
      <c r="Q55" s="303">
        <f t="shared" si="17"/>
        <v>3.9063957056623931E-2</v>
      </c>
      <c r="R55" s="166"/>
      <c r="S55" s="46">
        <f t="shared" si="8"/>
        <v>809921.63332322508</v>
      </c>
      <c r="T55" s="88">
        <f t="shared" si="11"/>
        <v>3.7785548007560177E-2</v>
      </c>
      <c r="V55" s="302">
        <f t="shared" si="15"/>
        <v>0.2974</v>
      </c>
      <c r="W55" s="69">
        <f t="shared" si="3"/>
        <v>717925.67814074864</v>
      </c>
      <c r="X55" s="69">
        <f t="shared" si="4"/>
        <v>1228139.3808841766</v>
      </c>
    </row>
    <row r="56" spans="1:24">
      <c r="A56" s="57">
        <v>2033</v>
      </c>
      <c r="B56" s="313">
        <f t="shared" si="18"/>
        <v>23625.395622695225</v>
      </c>
      <c r="C56" s="302">
        <v>0.14628906210673001</v>
      </c>
      <c r="D56" s="313">
        <f t="shared" si="19"/>
        <v>1592.2540848478393</v>
      </c>
      <c r="E56" s="302">
        <v>0.234284889206612</v>
      </c>
      <c r="F56" s="302">
        <f t="shared" si="12"/>
        <v>0.83442799999999995</v>
      </c>
      <c r="G56" s="46">
        <f t="shared" si="9"/>
        <v>21305.94570350217</v>
      </c>
      <c r="I56" s="304">
        <v>1938.48183530548</v>
      </c>
      <c r="J56" s="46">
        <f>(J$58-J$53)/5+J55</f>
        <v>6271.8000000000011</v>
      </c>
      <c r="K56" s="300">
        <f t="shared" si="13"/>
        <v>464.75152013563013</v>
      </c>
      <c r="L56" s="46">
        <f t="shared" si="10"/>
        <v>900912.37971352809</v>
      </c>
      <c r="N56" s="302">
        <f t="shared" si="16"/>
        <v>0.16260435651919575</v>
      </c>
      <c r="P56" s="48">
        <f t="shared" si="14"/>
        <v>1.7153909862983552</v>
      </c>
      <c r="Q56" s="303">
        <f t="shared" si="17"/>
        <v>3.9063957056623931E-2</v>
      </c>
      <c r="R56" s="166"/>
      <c r="S56" s="46">
        <f t="shared" si="8"/>
        <v>840662.051364735</v>
      </c>
      <c r="T56" s="88">
        <f t="shared" si="11"/>
        <v>3.7954805473435105E-2</v>
      </c>
      <c r="V56" s="302">
        <f t="shared" si="15"/>
        <v>0.2974</v>
      </c>
      <c r="W56" s="69">
        <f t="shared" si="3"/>
        <v>688113.20838477009</v>
      </c>
      <c r="X56" s="69">
        <f t="shared" si="4"/>
        <v>1172658.8454181768</v>
      </c>
    </row>
    <row r="57" spans="1:24">
      <c r="A57" s="57">
        <v>2034</v>
      </c>
      <c r="B57" s="313">
        <f t="shared" si="18"/>
        <v>24106.652035319887</v>
      </c>
      <c r="C57" s="302">
        <v>0.147380309803853</v>
      </c>
      <c r="D57" s="313">
        <f t="shared" si="19"/>
        <v>1621.1546415033483</v>
      </c>
      <c r="E57" s="302">
        <v>0.235236676351402</v>
      </c>
      <c r="F57" s="302">
        <f t="shared" si="12"/>
        <v>0.83442799999999995</v>
      </c>
      <c r="G57" s="46">
        <f t="shared" si="9"/>
        <v>21736.420086031249</v>
      </c>
      <c r="I57" s="304">
        <v>1938.48183530548</v>
      </c>
      <c r="J57" s="46">
        <f>(J$58-J$53)/5+J56</f>
        <v>6240.4000000000015</v>
      </c>
      <c r="K57" s="300">
        <f t="shared" si="13"/>
        <v>462.44475051091973</v>
      </c>
      <c r="L57" s="46">
        <f t="shared" si="10"/>
        <v>896440.74869779253</v>
      </c>
      <c r="N57" s="302">
        <f t="shared" si="16"/>
        <v>0.16260435651919575</v>
      </c>
      <c r="P57" s="48">
        <f t="shared" si="14"/>
        <v>1.7824009461224342</v>
      </c>
      <c r="Q57" s="303">
        <f t="shared" si="17"/>
        <v>3.9063957056623931E-2</v>
      </c>
      <c r="R57" s="166"/>
      <c r="S57" s="46">
        <f t="shared" si="8"/>
        <v>872703.50020231667</v>
      </c>
      <c r="T57" s="88">
        <f t="shared" si="11"/>
        <v>3.8114541730015494E-2</v>
      </c>
      <c r="V57" s="302">
        <f t="shared" si="15"/>
        <v>0.2974</v>
      </c>
      <c r="W57" s="69">
        <f>((0.99^(-1)+C57-1)/((1-V57)*N57*P57))^(1/(1-N57))*L57</f>
        <v>659525.10649492987</v>
      </c>
      <c r="X57" s="69">
        <f t="shared" si="4"/>
        <v>1119831.7621180716</v>
      </c>
    </row>
    <row r="58" spans="1:24">
      <c r="A58" s="57">
        <v>2035</v>
      </c>
      <c r="B58" s="313">
        <f t="shared" si="18"/>
        <v>24623.554955208216</v>
      </c>
      <c r="C58" s="302">
        <v>0.148479697696281</v>
      </c>
      <c r="D58" s="313">
        <f t="shared" si="19"/>
        <v>1651.653577126413</v>
      </c>
      <c r="E58" s="302">
        <v>0.236219094965986</v>
      </c>
      <c r="F58" s="302">
        <f t="shared" si="12"/>
        <v>0.83442799999999995</v>
      </c>
      <c r="G58" s="46">
        <f t="shared" si="9"/>
        <v>22198.237291290894</v>
      </c>
      <c r="I58" s="304">
        <v>1938.48183530548</v>
      </c>
      <c r="J58" s="61">
        <v>6209</v>
      </c>
      <c r="K58" s="300">
        <f t="shared" si="13"/>
        <v>460.13798088620922</v>
      </c>
      <c r="L58" s="46">
        <f t="shared" si="10"/>
        <v>891969.11768205673</v>
      </c>
      <c r="N58" s="302">
        <f t="shared" si="16"/>
        <v>0.16260435651919575</v>
      </c>
      <c r="P58" s="48">
        <f t="shared" si="14"/>
        <v>1.8520285801394469</v>
      </c>
      <c r="Q58" s="303">
        <f t="shared" si="17"/>
        <v>3.9063957056623931E-2</v>
      </c>
      <c r="R58" s="166"/>
      <c r="S58" s="46">
        <f t="shared" si="8"/>
        <v>906097.68438297778</v>
      </c>
      <c r="T58" s="88">
        <f t="shared" si="11"/>
        <v>3.8265211693226275E-2</v>
      </c>
      <c r="V58" s="302">
        <f t="shared" si="15"/>
        <v>0.2974</v>
      </c>
      <c r="W58" s="69">
        <f t="shared" si="3"/>
        <v>632111.48953601008</v>
      </c>
      <c r="X58" s="69">
        <f t="shared" si="4"/>
        <v>1069497.4792109779</v>
      </c>
    </row>
    <row r="59" spans="1:24" hidden="1" outlineLevel="1">
      <c r="A59" s="57">
        <v>2036</v>
      </c>
      <c r="B59" s="346">
        <f t="shared" si="18"/>
        <v>25176.690388635183</v>
      </c>
      <c r="C59" s="88">
        <f>★図6!B57</f>
        <v>0.149587286506047</v>
      </c>
      <c r="D59" s="346">
        <f t="shared" si="19"/>
        <v>1683.7469479736726</v>
      </c>
      <c r="E59" s="88">
        <f>★図6!C57</f>
        <v>0.23722794019440699</v>
      </c>
      <c r="F59" s="88">
        <f t="shared" si="12"/>
        <v>0.83442799999999995</v>
      </c>
      <c r="G59" s="46">
        <f t="shared" si="9"/>
        <v>22691.882355581751</v>
      </c>
      <c r="I59" s="304">
        <f t="shared" ref="I59:I63" si="20">I58</f>
        <v>1938.48183530548</v>
      </c>
      <c r="J59" s="46">
        <f>(J$63-J$58)/5+J58</f>
        <v>6172</v>
      </c>
      <c r="K59" s="300">
        <f t="shared" si="13"/>
        <v>457.41981285709187</v>
      </c>
      <c r="L59" s="46">
        <f t="shared" si="10"/>
        <v>886699.99833230465</v>
      </c>
      <c r="N59" s="302">
        <f t="shared" si="16"/>
        <v>0.16260435651919575</v>
      </c>
      <c r="P59" s="48">
        <f t="shared" si="14"/>
        <v>1.9243761450616546</v>
      </c>
      <c r="Q59" s="303">
        <f t="shared" si="17"/>
        <v>3.9063957056623931E-2</v>
      </c>
      <c r="R59" s="166"/>
      <c r="S59" s="46">
        <f t="shared" ref="S59:S63" si="21">P59*(G59^N59)*(L59^(1-N59))</f>
        <v>940190.35485915758</v>
      </c>
      <c r="T59" s="88">
        <f t="shared" ref="T59:T63" si="22">S59/S58-1</f>
        <v>3.7625822318921198E-2</v>
      </c>
      <c r="V59" s="302">
        <f t="shared" si="15"/>
        <v>0.2974</v>
      </c>
      <c r="W59" s="69">
        <f t="shared" si="3"/>
        <v>605280.11317200155</v>
      </c>
      <c r="X59" s="69">
        <f t="shared" si="4"/>
        <v>1020592.9809459121</v>
      </c>
    </row>
    <row r="60" spans="1:24" hidden="1" outlineLevel="1">
      <c r="A60" s="57">
        <v>2037</v>
      </c>
      <c r="B60" s="346">
        <f t="shared" si="18"/>
        <v>25765.956295086035</v>
      </c>
      <c r="C60" s="88">
        <f>★図6!B58</f>
        <v>0.15070313740814401</v>
      </c>
      <c r="D60" s="346">
        <f t="shared" si="19"/>
        <v>1717.3800206853123</v>
      </c>
      <c r="E60" s="88">
        <f>★図6!C58</f>
        <v>0.238259584391458</v>
      </c>
      <c r="F60" s="88">
        <f t="shared" si="12"/>
        <v>0.83442799999999995</v>
      </c>
      <c r="G60" s="46">
        <f t="shared" si="9"/>
        <v>23217.215400081361</v>
      </c>
      <c r="I60" s="304">
        <f t="shared" si="20"/>
        <v>1938.48183530548</v>
      </c>
      <c r="J60" s="46">
        <f>(J$63-J$58)/5+J59</f>
        <v>6135</v>
      </c>
      <c r="K60" s="300">
        <f t="shared" si="13"/>
        <v>454.70164482797446</v>
      </c>
      <c r="L60" s="46">
        <f t="shared" si="10"/>
        <v>881430.87898255244</v>
      </c>
      <c r="N60" s="302">
        <f t="shared" si="16"/>
        <v>0.16260435651919575</v>
      </c>
      <c r="P60" s="48">
        <f t="shared" si="14"/>
        <v>1.9995498921531347</v>
      </c>
      <c r="Q60" s="303">
        <f t="shared" si="17"/>
        <v>3.9063957056623931E-2</v>
      </c>
      <c r="R60" s="166"/>
      <c r="S60" s="46">
        <f t="shared" si="21"/>
        <v>975678.51433051354</v>
      </c>
      <c r="T60" s="88">
        <f t="shared" si="22"/>
        <v>3.7745717436839854E-2</v>
      </c>
      <c r="V60" s="302">
        <f t="shared" si="15"/>
        <v>0.2974</v>
      </c>
      <c r="W60" s="69">
        <f t="shared" si="3"/>
        <v>579569.45283790457</v>
      </c>
      <c r="X60" s="69">
        <f t="shared" si="4"/>
        <v>973977.74811549729</v>
      </c>
    </row>
    <row r="61" spans="1:24" hidden="1" outlineLevel="1">
      <c r="A61" s="57">
        <v>2038</v>
      </c>
      <c r="B61" s="346">
        <f t="shared" si="18"/>
        <v>26392.110989691395</v>
      </c>
      <c r="C61" s="88">
        <f>★図6!B59</f>
        <v>0.15182731203389899</v>
      </c>
      <c r="D61" s="346">
        <f t="shared" si="19"/>
        <v>1752.5565445926295</v>
      </c>
      <c r="E61" s="88">
        <f>★図6!C59</f>
        <v>0.23931089788756399</v>
      </c>
      <c r="F61" s="88">
        <f t="shared" si="12"/>
        <v>0.83442799999999995</v>
      </c>
      <c r="G61" s="46">
        <f t="shared" si="9"/>
        <v>23774.872933498838</v>
      </c>
      <c r="I61" s="304">
        <f t="shared" si="20"/>
        <v>1938.48183530548</v>
      </c>
      <c r="J61" s="46">
        <f>(J$63-J$58)/5+J60</f>
        <v>6098</v>
      </c>
      <c r="K61" s="300">
        <f t="shared" si="13"/>
        <v>451.98347679885711</v>
      </c>
      <c r="L61" s="46">
        <f t="shared" si="10"/>
        <v>876161.75963280036</v>
      </c>
      <c r="N61" s="302">
        <f t="shared" si="16"/>
        <v>0.16260435651919575</v>
      </c>
      <c r="P61" s="48">
        <f t="shared" si="14"/>
        <v>2.0776602232727819</v>
      </c>
      <c r="Q61" s="303">
        <f t="shared" si="17"/>
        <v>3.9063957056623931E-2</v>
      </c>
      <c r="R61" s="166"/>
      <c r="S61" s="46">
        <f t="shared" si="21"/>
        <v>1012615.5892792539</v>
      </c>
      <c r="T61" s="88">
        <f t="shared" si="22"/>
        <v>3.7857833708765831E-2</v>
      </c>
      <c r="V61" s="302">
        <f t="shared" si="15"/>
        <v>0.2974</v>
      </c>
      <c r="W61" s="69">
        <f t="shared" si="3"/>
        <v>554933.23505374405</v>
      </c>
      <c r="X61" s="69">
        <f t="shared" si="4"/>
        <v>929526.82169270213</v>
      </c>
    </row>
    <row r="62" spans="1:24" hidden="1" outlineLevel="1">
      <c r="A62" s="57">
        <v>2039</v>
      </c>
      <c r="B62" s="346">
        <f t="shared" si="18"/>
        <v>27056.003239165446</v>
      </c>
      <c r="C62" s="88">
        <f>★図6!B60</f>
        <v>0.152959872474381</v>
      </c>
      <c r="D62" s="346">
        <f t="shared" si="19"/>
        <v>1789.2834219988708</v>
      </c>
      <c r="E62" s="88">
        <f>★図6!C60</f>
        <v>0.24037918063046401</v>
      </c>
      <c r="F62" s="88">
        <f t="shared" si="12"/>
        <v>0.83442799999999995</v>
      </c>
      <c r="G62" s="46">
        <f t="shared" si="9"/>
        <v>24365.570092849215</v>
      </c>
      <c r="I62" s="304">
        <f t="shared" si="20"/>
        <v>1938.48183530548</v>
      </c>
      <c r="J62" s="46">
        <f>(J$63-J$58)/5+J61</f>
        <v>6061</v>
      </c>
      <c r="K62" s="300">
        <f t="shared" si="13"/>
        <v>449.26530876973976</v>
      </c>
      <c r="L62" s="46">
        <f t="shared" si="10"/>
        <v>870892.64028304827</v>
      </c>
      <c r="N62" s="302">
        <f t="shared" si="16"/>
        <v>0.16260435651919575</v>
      </c>
      <c r="P62" s="48">
        <f t="shared" si="14"/>
        <v>2.1588218530129657</v>
      </c>
      <c r="Q62" s="303">
        <f t="shared" si="17"/>
        <v>3.9063957056623931E-2</v>
      </c>
      <c r="R62" s="166"/>
      <c r="S62" s="46">
        <f t="shared" si="21"/>
        <v>1051057.035838333</v>
      </c>
      <c r="T62" s="88">
        <f t="shared" si="22"/>
        <v>3.7962526911560213E-2</v>
      </c>
      <c r="V62" s="302">
        <f t="shared" si="15"/>
        <v>0.2974</v>
      </c>
      <c r="W62" s="69">
        <f t="shared" si="3"/>
        <v>531327.08130436484</v>
      </c>
      <c r="X62" s="69">
        <f t="shared" si="4"/>
        <v>887125.43526334327</v>
      </c>
    </row>
    <row r="63" spans="1:24" hidden="1" outlineLevel="1">
      <c r="A63" s="57">
        <v>2040</v>
      </c>
      <c r="B63" s="346">
        <f t="shared" si="18"/>
        <v>27758.57028638104</v>
      </c>
      <c r="C63" s="88">
        <f>★図6!B61</f>
        <v>0.15410088128383101</v>
      </c>
      <c r="D63" s="346">
        <f t="shared" si="19"/>
        <v>1827.5704812181179</v>
      </c>
      <c r="E63" s="88">
        <f>★図6!C61</f>
        <v>0.24146210321060199</v>
      </c>
      <c r="F63" s="88">
        <f t="shared" si="12"/>
        <v>0.83442799999999995</v>
      </c>
      <c r="G63" s="46">
        <f t="shared" si="9"/>
        <v>24990.098768142474</v>
      </c>
      <c r="I63" s="304">
        <f t="shared" si="20"/>
        <v>1938.48183530548</v>
      </c>
      <c r="J63" s="61">
        <v>6024</v>
      </c>
      <c r="K63" s="300">
        <f t="shared" si="13"/>
        <v>446.54714074062235</v>
      </c>
      <c r="L63" s="46">
        <f t="shared" si="10"/>
        <v>865623.52093329607</v>
      </c>
      <c r="N63" s="302">
        <f t="shared" si="16"/>
        <v>0.16260435651919575</v>
      </c>
      <c r="P63" s="48">
        <f t="shared" si="14"/>
        <v>2.2431539771719655</v>
      </c>
      <c r="Q63" s="303">
        <f t="shared" si="17"/>
        <v>3.9063957056623931E-2</v>
      </c>
      <c r="R63" s="166"/>
      <c r="S63" s="46">
        <f t="shared" si="21"/>
        <v>1091060.4079699134</v>
      </c>
      <c r="T63" s="88">
        <f t="shared" si="22"/>
        <v>3.8060134481354257E-2</v>
      </c>
      <c r="V63" s="302">
        <f t="shared" si="15"/>
        <v>0.2974</v>
      </c>
      <c r="W63" s="69">
        <f t="shared" si="3"/>
        <v>508708.43087401433</v>
      </c>
      <c r="X63" s="69">
        <f t="shared" si="4"/>
        <v>846667.6915638264</v>
      </c>
    </row>
    <row r="64" spans="1:24" collapsed="1">
      <c r="F64" s="72"/>
      <c r="Q64" s="45"/>
      <c r="W64" s="43"/>
      <c r="X64" s="43"/>
    </row>
    <row r="65" spans="1:24" s="57" customFormat="1" ht="107.4" customHeight="1">
      <c r="A65" s="57" t="s">
        <v>391</v>
      </c>
      <c r="B65" s="73" t="s">
        <v>662</v>
      </c>
      <c r="C65" s="74" t="s">
        <v>672</v>
      </c>
      <c r="D65" s="73" t="s">
        <v>662</v>
      </c>
      <c r="E65" s="74" t="s">
        <v>672</v>
      </c>
      <c r="F65" s="73" t="s">
        <v>114</v>
      </c>
      <c r="G65" s="73"/>
      <c r="H65" s="376"/>
      <c r="I65" s="376" t="s">
        <v>673</v>
      </c>
      <c r="J65" s="376" t="s">
        <v>674</v>
      </c>
      <c r="K65" s="73" t="s">
        <v>675</v>
      </c>
      <c r="L65" s="73"/>
      <c r="M65" s="376"/>
      <c r="N65" s="74" t="s">
        <v>392</v>
      </c>
      <c r="O65" s="376"/>
      <c r="P65" s="399"/>
      <c r="Q65" s="74" t="s">
        <v>393</v>
      </c>
      <c r="R65" s="376"/>
      <c r="S65" s="73" t="s">
        <v>663</v>
      </c>
      <c r="T65" s="376"/>
      <c r="U65" s="376"/>
      <c r="V65" s="376" t="s">
        <v>114</v>
      </c>
      <c r="W65" s="375" t="s">
        <v>124</v>
      </c>
      <c r="X65" s="375" t="s">
        <v>124</v>
      </c>
    </row>
  </sheetData>
  <mergeCells count="4">
    <mergeCell ref="B1:G1"/>
    <mergeCell ref="I1:L1"/>
    <mergeCell ref="P1:Q1"/>
    <mergeCell ref="S1:T1"/>
  </mergeCells>
  <phoneticPr fontId="1"/>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9D7FD-B64C-45DE-AC44-F900FFBF4639}">
  <dimension ref="A1:AA65"/>
  <sheetViews>
    <sheetView zoomScaleNormal="100" workbookViewId="0">
      <selection activeCell="B74" sqref="B74"/>
    </sheetView>
  </sheetViews>
  <sheetFormatPr defaultColWidth="8.84375" defaultRowHeight="18.45" outlineLevelRow="1" outlineLevelCol="1"/>
  <cols>
    <col min="1" max="1" width="7.07421875" style="57" bestFit="1" customWidth="1"/>
    <col min="2" max="5" width="14.4609375" style="43" bestFit="1" customWidth="1"/>
    <col min="6" max="6" width="11.69140625" style="43" bestFit="1" customWidth="1"/>
    <col min="7" max="7" width="12.23046875" style="43" bestFit="1" customWidth="1"/>
    <col min="8" max="8" width="5.765625" style="24" customWidth="1"/>
    <col min="9" max="9" width="14.4609375" style="24" bestFit="1" customWidth="1"/>
    <col min="10" max="10" width="16.07421875" style="24" bestFit="1" customWidth="1"/>
    <col min="11" max="11" width="16.07421875" style="43" customWidth="1"/>
    <col min="12" max="12" width="12.23046875" style="43" bestFit="1" customWidth="1"/>
    <col min="13" max="13" width="5.765625" style="24" customWidth="1"/>
    <col min="14" max="14" width="12.23046875" style="44" bestFit="1" customWidth="1"/>
    <col min="15" max="15" width="5.765625" style="24" customWidth="1"/>
    <col min="16" max="16" width="6.4609375" style="45" bestFit="1" customWidth="1"/>
    <col min="17" max="17" width="11.765625" style="44" customWidth="1"/>
    <col min="18" max="18" width="5.765625" style="24" customWidth="1"/>
    <col min="19" max="19" width="12.07421875" style="43" bestFit="1" customWidth="1"/>
    <col min="20" max="20" width="17.84375" style="24" hidden="1" customWidth="1" outlineLevel="1"/>
    <col min="21" max="21" width="8.84375" style="24" collapsed="1"/>
    <col min="22" max="22" width="14.84375" style="24" hidden="1" customWidth="1" outlineLevel="1"/>
    <col min="23" max="24" width="24.3046875" style="37" hidden="1" customWidth="1" outlineLevel="1"/>
    <col min="25" max="25" width="22.4609375" style="24" customWidth="1" collapsed="1"/>
    <col min="26" max="27" width="22.4609375" style="24" customWidth="1"/>
    <col min="28" max="16384" width="8.84375" style="24"/>
  </cols>
  <sheetData>
    <row r="1" spans="1:27" s="59" customFormat="1">
      <c r="A1" s="58"/>
      <c r="B1" s="407" t="s">
        <v>388</v>
      </c>
      <c r="C1" s="407"/>
      <c r="D1" s="407"/>
      <c r="E1" s="407"/>
      <c r="F1" s="407"/>
      <c r="G1" s="407"/>
      <c r="I1" s="407" t="s">
        <v>3</v>
      </c>
      <c r="J1" s="407"/>
      <c r="K1" s="407"/>
      <c r="L1" s="407"/>
      <c r="N1" s="187" t="s">
        <v>389</v>
      </c>
      <c r="P1" s="407" t="s">
        <v>40</v>
      </c>
      <c r="Q1" s="407"/>
      <c r="S1" s="407" t="s">
        <v>390</v>
      </c>
      <c r="T1" s="407"/>
      <c r="W1" s="94"/>
      <c r="X1" s="94"/>
    </row>
    <row r="2" spans="1:27" ht="55.3">
      <c r="A2" s="57" t="s">
        <v>7</v>
      </c>
      <c r="B2" s="73" t="s">
        <v>667</v>
      </c>
      <c r="C2" s="74" t="s">
        <v>665</v>
      </c>
      <c r="D2" s="73" t="s">
        <v>668</v>
      </c>
      <c r="E2" s="74" t="s">
        <v>666</v>
      </c>
      <c r="F2" s="73" t="s">
        <v>404</v>
      </c>
      <c r="G2" s="73" t="s">
        <v>669</v>
      </c>
      <c r="H2" s="57"/>
      <c r="I2" s="396" t="s">
        <v>407</v>
      </c>
      <c r="J2" s="396" t="s">
        <v>670</v>
      </c>
      <c r="K2" s="397" t="s">
        <v>681</v>
      </c>
      <c r="L2" s="397" t="s">
        <v>410</v>
      </c>
      <c r="M2" s="57"/>
      <c r="N2" s="398" t="s">
        <v>412</v>
      </c>
      <c r="O2" s="57"/>
      <c r="P2" s="399" t="s">
        <v>40</v>
      </c>
      <c r="Q2" s="74" t="s">
        <v>671</v>
      </c>
      <c r="R2" s="57"/>
      <c r="S2" s="73" t="s">
        <v>664</v>
      </c>
      <c r="T2" s="32" t="s">
        <v>45</v>
      </c>
      <c r="V2" s="96" t="s">
        <v>46</v>
      </c>
      <c r="W2" s="67" t="s">
        <v>47</v>
      </c>
      <c r="X2" s="67" t="s">
        <v>48</v>
      </c>
      <c r="Y2" s="32"/>
      <c r="Z2" s="32"/>
      <c r="AA2" s="32"/>
    </row>
    <row r="3" spans="1:27" hidden="1" outlineLevel="1">
      <c r="A3" s="57">
        <v>1980</v>
      </c>
      <c r="B3" s="49"/>
      <c r="C3" s="49"/>
      <c r="D3" s="49"/>
      <c r="E3" s="49"/>
      <c r="F3" s="88">
        <f>★資本稼働率!Y8</f>
        <v>0.83442799999999995</v>
      </c>
      <c r="I3" s="69">
        <f>★平均労働時間!K27</f>
        <v>2278.0755795411901</v>
      </c>
      <c r="J3" s="69">
        <f>★就業者数!W9</f>
        <v>5472.5628883906056</v>
      </c>
      <c r="K3" s="290">
        <f>★就業者数!Y9</f>
        <v>518.48900349658425</v>
      </c>
      <c r="L3" s="46">
        <f>I3*K3</f>
        <v>1181157.1371262153</v>
      </c>
      <c r="N3" s="47">
        <f>★TFP上昇率推計・図5!W3</f>
        <v>0.30803857401284501</v>
      </c>
      <c r="P3" s="54"/>
      <c r="Q3" s="53"/>
      <c r="T3" s="44"/>
      <c r="V3" s="32"/>
      <c r="W3" s="67"/>
      <c r="X3" s="67"/>
      <c r="Y3" s="32"/>
      <c r="Z3" s="32"/>
      <c r="AA3" s="32"/>
    </row>
    <row r="4" spans="1:27" hidden="1" outlineLevel="1">
      <c r="A4" s="57">
        <v>1981</v>
      </c>
      <c r="B4" s="69">
        <f>★資本ストック!H4</f>
        <v>11241.079173226801</v>
      </c>
      <c r="C4" s="293">
        <f>★資本ストック!G5</f>
        <v>9.9397659666527652E-2</v>
      </c>
      <c r="D4" s="69">
        <f>★資本ストック!P4</f>
        <v>472.80664226314798</v>
      </c>
      <c r="E4" s="293">
        <f>★資本ストック!O5</f>
        <v>0.16529717456579623</v>
      </c>
      <c r="F4" s="88">
        <f>★資本稼働率!Y9</f>
        <v>0.83442799999999995</v>
      </c>
      <c r="G4" s="46">
        <f>B4*F4+D4</f>
        <v>9852.6778546204405</v>
      </c>
      <c r="I4" s="69">
        <f>★平均労働時間!K28</f>
        <v>2274.9449153820601</v>
      </c>
      <c r="J4" s="69">
        <f>★就業者数!W10</f>
        <v>5537.6422192328882</v>
      </c>
      <c r="K4" s="290">
        <f>★就業者数!Y10</f>
        <v>524.43359889640055</v>
      </c>
      <c r="L4" s="46">
        <f t="shared" ref="L4:L42" si="0">I4*K4</f>
        <v>1193057.5492648813</v>
      </c>
      <c r="N4" s="47">
        <f>★TFP上昇率推計・図5!W4</f>
        <v>0.31120100082886798</v>
      </c>
      <c r="P4" s="70">
        <f>★TFP上昇率推計・図5!AA4</f>
        <v>2.25433689943352</v>
      </c>
      <c r="Q4" s="53"/>
      <c r="R4" s="166"/>
      <c r="S4" s="46">
        <f t="shared" ref="S4:S35" si="1">P4*(G4^N4)*(L4^(1-N4))</f>
        <v>604526.29410937079</v>
      </c>
      <c r="T4" s="44"/>
      <c r="U4" s="40"/>
      <c r="V4" s="64">
        <v>0.51549999999999996</v>
      </c>
      <c r="W4" s="69">
        <f>((0.99^(-1)+C4-1)/((1-V4)*N4*P4))^(1/(1-N4))*L4</f>
        <v>230385.35221621807</v>
      </c>
      <c r="X4" s="69">
        <f>((0.99^(-1)+E4-1)/((1-V4)*N4*P4))^(1/(1-N4))*L4</f>
        <v>456580.34899694921</v>
      </c>
      <c r="Y4" s="32"/>
      <c r="Z4" s="32"/>
      <c r="AA4" s="32"/>
    </row>
    <row r="5" spans="1:27" hidden="1" outlineLevel="1">
      <c r="A5" s="57">
        <v>1982</v>
      </c>
      <c r="B5" s="69">
        <f>★資本ストック!H5</f>
        <v>11892.6024042101</v>
      </c>
      <c r="C5" s="293">
        <f>★資本ストック!G6</f>
        <v>0.10155024626748303</v>
      </c>
      <c r="D5" s="69">
        <f>★資本ストック!P5</f>
        <v>523.383709313802</v>
      </c>
      <c r="E5" s="293">
        <f>★資本ストック!O6</f>
        <v>0.1654751325509787</v>
      </c>
      <c r="F5" s="88">
        <f>★資本稼働率!Y10</f>
        <v>0.83442799999999995</v>
      </c>
      <c r="G5" s="46">
        <f t="shared" ref="G5:G16" si="2">B5*F5+D5</f>
        <v>10446.904148254027</v>
      </c>
      <c r="I5" s="69">
        <f>★平均労働時間!K29</f>
        <v>2271.8301885385499</v>
      </c>
      <c r="J5" s="69">
        <f>★就業者数!W11</f>
        <v>5603.6463529252569</v>
      </c>
      <c r="K5" s="290">
        <f>★就業者数!Y11</f>
        <v>529.57257648961308</v>
      </c>
      <c r="L5" s="46">
        <f t="shared" si="0"/>
        <v>1203098.9662912434</v>
      </c>
      <c r="N5" s="47">
        <f>★TFP上昇率推計・図5!W5</f>
        <v>0.31439957251386302</v>
      </c>
      <c r="P5" s="70">
        <f>★TFP上昇率推計・図5!AA5</f>
        <v>2.3486656533669801</v>
      </c>
      <c r="Q5" s="293">
        <f>P5/P4-1</f>
        <v>4.1843237342725326E-2</v>
      </c>
      <c r="R5" s="166"/>
      <c r="S5" s="46">
        <f t="shared" si="1"/>
        <v>635398.80042906862</v>
      </c>
      <c r="T5" s="88">
        <f>S5/S4-1</f>
        <v>5.1068922262812899E-2</v>
      </c>
      <c r="U5" s="40"/>
      <c r="V5" s="64">
        <v>0.51549999999999996</v>
      </c>
      <c r="W5" s="69">
        <f t="shared" ref="W5:W63" si="3">((0.99^(-1)+C5-1)/((1-V5)*N5*P5))^(1/(1-N5))*L5</f>
        <v>220115.75420596474</v>
      </c>
      <c r="X5" s="69">
        <f t="shared" ref="X5:X63" si="4">((0.99^(-1)+E5-1)/((1-V5)*N5*P5))^(1/(1-N5))*L5</f>
        <v>426000.22627296008</v>
      </c>
      <c r="Y5" s="32"/>
      <c r="Z5" s="32"/>
      <c r="AA5" s="32"/>
    </row>
    <row r="6" spans="1:27" hidden="1" outlineLevel="1">
      <c r="A6" s="57">
        <v>1983</v>
      </c>
      <c r="B6" s="69">
        <f>★資本ストック!H6</f>
        <v>12547.7989639796</v>
      </c>
      <c r="C6" s="293">
        <f>★資本ストック!G7</f>
        <v>0.10577141616732799</v>
      </c>
      <c r="D6" s="69">
        <f>★資本ストック!P6</f>
        <v>574.55373042920905</v>
      </c>
      <c r="E6" s="293">
        <f>★資本ストック!O7</f>
        <v>0.16564104074701763</v>
      </c>
      <c r="F6" s="88">
        <f>★資本稼働率!Y11</f>
        <v>0.83442799999999995</v>
      </c>
      <c r="G6" s="46">
        <f t="shared" si="2"/>
        <v>11044.788524344776</v>
      </c>
      <c r="I6" s="69">
        <f>★平均労働時間!K30</f>
        <v>2268.2678566087998</v>
      </c>
      <c r="J6" s="69">
        <f>★就業者数!W12</f>
        <v>5670.5751158974381</v>
      </c>
      <c r="K6" s="290">
        <f>★就業者数!Y12</f>
        <v>534.30866182975149</v>
      </c>
      <c r="L6" s="46">
        <f t="shared" si="0"/>
        <v>1211955.1631360864</v>
      </c>
      <c r="N6" s="47">
        <f>★TFP上昇率推計・図5!W6</f>
        <v>0.31787320648795298</v>
      </c>
      <c r="P6" s="70">
        <f>★TFP上昇率推計・図5!AA6</f>
        <v>2.4465509839321098</v>
      </c>
      <c r="Q6" s="293">
        <f>P6/P5-1</f>
        <v>4.1676996649056441E-2</v>
      </c>
      <c r="R6" s="166"/>
      <c r="S6" s="46">
        <f t="shared" si="1"/>
        <v>666000.95973067847</v>
      </c>
      <c r="T6" s="88">
        <f t="shared" ref="T6:T63" si="5">S6/S5-1</f>
        <v>4.8162129486150951E-2</v>
      </c>
      <c r="U6" s="40"/>
      <c r="V6" s="64">
        <v>0.51549999999999996</v>
      </c>
      <c r="W6" s="69">
        <f t="shared" si="3"/>
        <v>215136.59659491674</v>
      </c>
      <c r="X6" s="69">
        <f t="shared" si="4"/>
        <v>396193.90516592527</v>
      </c>
      <c r="Y6" s="32"/>
      <c r="Z6" s="32"/>
      <c r="AA6" s="32"/>
    </row>
    <row r="7" spans="1:27" hidden="1" outlineLevel="1">
      <c r="A7" s="57">
        <v>1984</v>
      </c>
      <c r="B7" s="69">
        <f>★資本ストック!H7</f>
        <v>13215.5116313334</v>
      </c>
      <c r="C7" s="293">
        <f>★資本ストック!G8</f>
        <v>0.10811939449329493</v>
      </c>
      <c r="D7" s="69">
        <f>★資本ストック!P7</f>
        <v>627.14315620186096</v>
      </c>
      <c r="E7" s="293">
        <f>★資本ストック!O8</f>
        <v>0.16627164808496372</v>
      </c>
      <c r="F7" s="88">
        <f>★資本稼働率!Y12</f>
        <v>0.83442799999999995</v>
      </c>
      <c r="G7" s="46">
        <f t="shared" si="2"/>
        <v>11654.536095712127</v>
      </c>
      <c r="I7" s="69">
        <f>★平均労働時間!K31</f>
        <v>2263.8346519721999</v>
      </c>
      <c r="J7" s="69">
        <f>★就業者数!W13</f>
        <v>5738.3166068814317</v>
      </c>
      <c r="K7" s="290">
        <f>★就業者数!Y13</f>
        <v>539.14042296064883</v>
      </c>
      <c r="L7" s="46">
        <f t="shared" si="0"/>
        <v>1220524.7717772652</v>
      </c>
      <c r="N7" s="47">
        <f>★TFP上昇率推計・図5!W7</f>
        <v>0.321876499714152</v>
      </c>
      <c r="P7" s="70">
        <f>★TFP上昇率推計・図5!AA7</f>
        <v>2.5522500084739099</v>
      </c>
      <c r="Q7" s="293">
        <f t="shared" ref="Q7:Q41" si="6">P7/P6-1</f>
        <v>4.3203278916313481E-2</v>
      </c>
      <c r="R7" s="166"/>
      <c r="S7" s="46">
        <f t="shared" si="1"/>
        <v>697047.97796218004</v>
      </c>
      <c r="T7" s="88">
        <f t="shared" si="5"/>
        <v>4.6617077314808242E-2</v>
      </c>
      <c r="U7" s="40"/>
      <c r="V7" s="64">
        <v>0.5292</v>
      </c>
      <c r="W7" s="69">
        <f t="shared" si="3"/>
        <v>212547.98796283535</v>
      </c>
      <c r="X7" s="69">
        <f t="shared" si="4"/>
        <v>383408.97509517131</v>
      </c>
      <c r="Y7" s="32"/>
      <c r="Z7" s="32"/>
      <c r="AA7" s="32"/>
    </row>
    <row r="8" spans="1:27" hidden="1" outlineLevel="1">
      <c r="A8" s="57">
        <v>1985</v>
      </c>
      <c r="B8" s="69">
        <f>★資本ストック!H8</f>
        <v>13909.806268894001</v>
      </c>
      <c r="C8" s="293">
        <f>★資本ストック!G9</f>
        <v>0.11717576103466582</v>
      </c>
      <c r="D8" s="69">
        <f>★資本ストック!P8</f>
        <v>681.92716819685995</v>
      </c>
      <c r="E8" s="293">
        <f>★資本ストック!O9</f>
        <v>0.16756109163692756</v>
      </c>
      <c r="F8" s="88">
        <f>★資本稼働率!Y13</f>
        <v>0.83442799999999995</v>
      </c>
      <c r="G8" s="46">
        <f t="shared" si="2"/>
        <v>12288.658993537543</v>
      </c>
      <c r="I8" s="69">
        <f>★平均労働時間!K32</f>
        <v>2257.95276044208</v>
      </c>
      <c r="J8" s="69">
        <f>★就業者数!W14</f>
        <v>5807.1126768771046</v>
      </c>
      <c r="K8" s="290">
        <f>★就業者数!Y14</f>
        <v>544.62983686959819</v>
      </c>
      <c r="L8" s="46">
        <f t="shared" si="0"/>
        <v>1229748.4435788291</v>
      </c>
      <c r="N8" s="47">
        <f>★TFP上昇率推計・図5!W8</f>
        <v>0.32597363578069399</v>
      </c>
      <c r="P8" s="70">
        <f>★TFP上昇率推計・図5!AA8</f>
        <v>2.66227231635404</v>
      </c>
      <c r="Q8" s="293">
        <f t="shared" si="6"/>
        <v>4.310796650596016E-2</v>
      </c>
      <c r="R8" s="166"/>
      <c r="S8" s="46">
        <f t="shared" si="1"/>
        <v>729490.85398211784</v>
      </c>
      <c r="T8" s="88">
        <f t="shared" si="5"/>
        <v>4.654324672856025E-2</v>
      </c>
      <c r="U8" s="40"/>
      <c r="V8" s="64">
        <v>0.5292</v>
      </c>
      <c r="W8" s="69">
        <f t="shared" si="3"/>
        <v>217935.99928494199</v>
      </c>
      <c r="X8" s="69">
        <f t="shared" si="4"/>
        <v>357458.05500325793</v>
      </c>
      <c r="Y8" s="32"/>
      <c r="Z8" s="32"/>
      <c r="AA8" s="32"/>
    </row>
    <row r="9" spans="1:27" hidden="1" outlineLevel="1">
      <c r="A9" s="57">
        <v>1986</v>
      </c>
      <c r="B9" s="69">
        <f>★資本ストック!H9</f>
        <v>14647.628588923801</v>
      </c>
      <c r="C9" s="293">
        <f>★資本ストック!G10</f>
        <v>0.11315827810043916</v>
      </c>
      <c r="D9" s="69">
        <f>★資本ストック!P9</f>
        <v>739.55168204161396</v>
      </c>
      <c r="E9" s="293">
        <f>★資本ストック!O10</f>
        <v>0.16923977148471006</v>
      </c>
      <c r="F9" s="88">
        <f>★資本稼働率!Y14</f>
        <v>0.83442799999999995</v>
      </c>
      <c r="G9" s="46">
        <f t="shared" si="2"/>
        <v>12961.943110240123</v>
      </c>
      <c r="I9" s="69">
        <f>★平均労働時間!K33</f>
        <v>2250.11781597867</v>
      </c>
      <c r="J9" s="69">
        <f>★就業者数!W15</f>
        <v>5877.278866858991</v>
      </c>
      <c r="K9" s="290">
        <f>★就業者数!Y15</f>
        <v>551.2211585228124</v>
      </c>
      <c r="L9" s="46">
        <f t="shared" si="0"/>
        <v>1240312.5493365829</v>
      </c>
      <c r="N9" s="47">
        <f>★TFP上昇率推計・図5!W9</f>
        <v>0.329105536734703</v>
      </c>
      <c r="P9" s="70">
        <f>★TFP上昇率推計・図5!AA9</f>
        <v>2.7652038339074498</v>
      </c>
      <c r="Q9" s="293">
        <f t="shared" si="6"/>
        <v>3.8663031171196405E-2</v>
      </c>
      <c r="R9" s="166"/>
      <c r="S9" s="46">
        <f t="shared" si="1"/>
        <v>764444.49369423662</v>
      </c>
      <c r="T9" s="88">
        <f t="shared" si="5"/>
        <v>4.7915117127672158E-2</v>
      </c>
      <c r="U9" s="40"/>
      <c r="V9" s="64">
        <v>0.5292</v>
      </c>
      <c r="W9" s="69">
        <f t="shared" si="3"/>
        <v>193654.25065749238</v>
      </c>
      <c r="X9" s="69">
        <f t="shared" si="4"/>
        <v>338669.97354187001</v>
      </c>
      <c r="Y9" s="32"/>
      <c r="Z9" s="32"/>
      <c r="AA9" s="32"/>
    </row>
    <row r="10" spans="1:27" hidden="1" outlineLevel="1">
      <c r="A10" s="57">
        <v>1987</v>
      </c>
      <c r="B10" s="69">
        <f>★資本ストック!H10</f>
        <v>15446.4108135427</v>
      </c>
      <c r="C10" s="293">
        <f>★資本ストック!G11</f>
        <v>0.11060647451739845</v>
      </c>
      <c r="D10" s="69">
        <f>★資本ストック!P10</f>
        <v>800.51999814048304</v>
      </c>
      <c r="E10" s="293">
        <f>★資本ストック!O11</f>
        <v>0.17035721082788849</v>
      </c>
      <c r="F10" s="88">
        <f>★資本稼働率!Y15</f>
        <v>0.83442799999999995</v>
      </c>
      <c r="G10" s="46">
        <f t="shared" si="2"/>
        <v>13689.437680463288</v>
      </c>
      <c r="I10" s="69">
        <f>★平均労働時間!K34</f>
        <v>2239.7688589378299</v>
      </c>
      <c r="J10" s="69">
        <f>★就業者数!W16</f>
        <v>5948.8595771571181</v>
      </c>
      <c r="K10" s="290">
        <f>★就業者数!Y16</f>
        <v>559.20334981775738</v>
      </c>
      <c r="L10" s="46">
        <f t="shared" si="0"/>
        <v>1252486.2487355305</v>
      </c>
      <c r="N10" s="47">
        <f>★TFP上昇率推計・図5!W10</f>
        <v>0.32997454186960601</v>
      </c>
      <c r="P10" s="70">
        <f>★TFP上昇率推計・図5!AA10</f>
        <v>2.8444781133145201</v>
      </c>
      <c r="Q10" s="293">
        <f>P10/P9-1</f>
        <v>2.8668512040593175E-2</v>
      </c>
      <c r="R10" s="166"/>
      <c r="S10" s="46">
        <f t="shared" si="1"/>
        <v>802726.62533638719</v>
      </c>
      <c r="T10" s="88">
        <f t="shared" si="5"/>
        <v>5.007836665439136E-2</v>
      </c>
      <c r="U10" s="40"/>
      <c r="V10" s="64">
        <v>0.51549999999999996</v>
      </c>
      <c r="W10" s="69">
        <f t="shared" si="3"/>
        <v>172997.78415740919</v>
      </c>
      <c r="X10" s="69">
        <f t="shared" si="4"/>
        <v>315276.09438281337</v>
      </c>
      <c r="Y10" s="32"/>
      <c r="Z10" s="32"/>
      <c r="AA10" s="32"/>
    </row>
    <row r="11" spans="1:27" hidden="1" outlineLevel="1">
      <c r="A11" s="57">
        <v>1988</v>
      </c>
      <c r="B11" s="69">
        <f>★資本ストック!H11</f>
        <v>16316.8606557638</v>
      </c>
      <c r="C11" s="293">
        <f>★資本ストック!G12</f>
        <v>0.10622289444240673</v>
      </c>
      <c r="D11" s="69">
        <f>★資本ストック!P11</f>
        <v>865.02961742339198</v>
      </c>
      <c r="E11" s="293">
        <f>★資本ストック!O12</f>
        <v>0.17073589395908575</v>
      </c>
      <c r="F11" s="88">
        <f>★資本稼働率!Y16</f>
        <v>0.83442799999999995</v>
      </c>
      <c r="G11" s="46">
        <f t="shared" si="2"/>
        <v>14480.275020691066</v>
      </c>
      <c r="I11" s="69">
        <f>★平均労働時間!K35</f>
        <v>2226.4533188489399</v>
      </c>
      <c r="J11" s="69">
        <f>★就業者数!W17</f>
        <v>6021.4077343993094</v>
      </c>
      <c r="K11" s="290">
        <f>★就業者数!Y17</f>
        <v>568.67935713198176</v>
      </c>
      <c r="L11" s="46">
        <f t="shared" si="0"/>
        <v>1266138.0420473823</v>
      </c>
      <c r="N11" s="47">
        <f>★TFP上昇率推計・図5!W11</f>
        <v>0.32717029382131202</v>
      </c>
      <c r="P11" s="70">
        <f>★TFP上昇率推計・図5!AA11</f>
        <v>2.8803759945866001</v>
      </c>
      <c r="Q11" s="293">
        <f t="shared" si="6"/>
        <v>1.2620199503047047E-2</v>
      </c>
      <c r="R11" s="166"/>
      <c r="S11" s="46">
        <f t="shared" si="1"/>
        <v>844621.80943013867</v>
      </c>
      <c r="T11" s="88">
        <f t="shared" si="5"/>
        <v>5.2191098153988591E-2</v>
      </c>
      <c r="U11" s="40"/>
      <c r="V11" s="64">
        <v>0.51549999999999996</v>
      </c>
      <c r="W11" s="69">
        <f t="shared" si="3"/>
        <v>165908.49939028677</v>
      </c>
      <c r="X11" s="69">
        <f t="shared" si="4"/>
        <v>319641.36379383458</v>
      </c>
      <c r="Y11" s="32"/>
      <c r="Z11" s="32"/>
      <c r="AA11" s="32"/>
    </row>
    <row r="12" spans="1:27" hidden="1" outlineLevel="1">
      <c r="A12" s="57">
        <v>1989</v>
      </c>
      <c r="B12" s="69">
        <f>★資本ストック!H12</f>
        <v>17257.996591101899</v>
      </c>
      <c r="C12" s="293">
        <f>★資本ストック!G13</f>
        <v>0.10562191321004707</v>
      </c>
      <c r="D12" s="69">
        <f>★資本ストック!P12</f>
        <v>932.88410976273894</v>
      </c>
      <c r="E12" s="293">
        <f>★資本ストック!O13</f>
        <v>0.17172099635020191</v>
      </c>
      <c r="F12" s="88">
        <f>★資本稼働率!Y17</f>
        <v>0.83442799999999995</v>
      </c>
      <c r="G12" s="46">
        <f t="shared" si="2"/>
        <v>15333.439689282714</v>
      </c>
      <c r="I12" s="69">
        <f>★平均労働時間!K36</f>
        <v>2210.02406798533</v>
      </c>
      <c r="J12" s="69">
        <f>★就業者数!W18</f>
        <v>6093.9165474004367</v>
      </c>
      <c r="K12" s="290">
        <f>★就業者数!Y18</f>
        <v>579.46861695629184</v>
      </c>
      <c r="L12" s="46">
        <f t="shared" si="0"/>
        <v>1280639.590115577</v>
      </c>
      <c r="N12" s="47">
        <f>★TFP上昇率推計・図5!W12</f>
        <v>0.319564927303785</v>
      </c>
      <c r="P12" s="70">
        <f>★TFP上昇率推計・図5!AA12</f>
        <v>2.8569459579568499</v>
      </c>
      <c r="Q12" s="293">
        <f t="shared" si="6"/>
        <v>-8.134367413762944E-3</v>
      </c>
      <c r="R12" s="166"/>
      <c r="S12" s="46">
        <f t="shared" si="1"/>
        <v>889596.60982204729</v>
      </c>
      <c r="T12" s="88">
        <f t="shared" si="5"/>
        <v>5.3248447873081695E-2</v>
      </c>
      <c r="U12" s="40"/>
      <c r="V12" s="64">
        <v>0.51039999999999996</v>
      </c>
      <c r="W12" s="69">
        <f t="shared" si="3"/>
        <v>175758.08725517549</v>
      </c>
      <c r="X12" s="69">
        <f t="shared" si="4"/>
        <v>341428.67810598825</v>
      </c>
      <c r="Y12" s="32"/>
      <c r="Z12" s="32"/>
      <c r="AA12" s="32"/>
    </row>
    <row r="13" spans="1:27" hidden="1" outlineLevel="1">
      <c r="A13" s="57">
        <v>1990</v>
      </c>
      <c r="B13" s="69">
        <f>★資本ストック!H13</f>
        <v>18253.596758816599</v>
      </c>
      <c r="C13" s="293">
        <f>★資本ストック!G14</f>
        <v>9.9648887769073644E-2</v>
      </c>
      <c r="D13" s="69">
        <f>★資本ストック!P13</f>
        <v>1003.35961608405</v>
      </c>
      <c r="E13" s="293">
        <f>★資本ストック!O14</f>
        <v>0.17345639184699987</v>
      </c>
      <c r="F13" s="88">
        <f>★資本稼働率!Y18</f>
        <v>0.83442799999999995</v>
      </c>
      <c r="G13" s="46">
        <f t="shared" si="2"/>
        <v>16234.671852349866</v>
      </c>
      <c r="I13" s="69">
        <f>★平均労働時間!K37</f>
        <v>2190.95623943186</v>
      </c>
      <c r="J13" s="69">
        <f>★就業者数!W19</f>
        <v>6164.7904782715214</v>
      </c>
      <c r="K13" s="290">
        <f>★就業者数!Y19</f>
        <v>591.2477591083308</v>
      </c>
      <c r="L13" s="46">
        <f t="shared" si="0"/>
        <v>1295397.9668685028</v>
      </c>
      <c r="N13" s="47">
        <f>★TFP上昇率推計・図5!W13</f>
        <v>0.30656312645621497</v>
      </c>
      <c r="P13" s="70">
        <f>★TFP上昇率推計・図5!AA13</f>
        <v>2.7664159790195901</v>
      </c>
      <c r="Q13" s="293">
        <f t="shared" si="6"/>
        <v>-3.1687676375230622E-2</v>
      </c>
      <c r="R13" s="166"/>
      <c r="S13" s="46">
        <f t="shared" si="1"/>
        <v>935944.2588545474</v>
      </c>
      <c r="T13" s="88">
        <f t="shared" si="5"/>
        <v>5.2099624167600389E-2</v>
      </c>
      <c r="V13" s="64">
        <v>0.49980000000000002</v>
      </c>
      <c r="W13" s="69">
        <f t="shared" si="3"/>
        <v>184348.58680551909</v>
      </c>
      <c r="X13" s="69">
        <f t="shared" si="4"/>
        <v>387040.82098647015</v>
      </c>
      <c r="Y13" s="32"/>
      <c r="Z13" s="32"/>
      <c r="AA13" s="32"/>
    </row>
    <row r="14" spans="1:27" hidden="1" outlineLevel="1">
      <c r="A14" s="57">
        <v>1991</v>
      </c>
      <c r="B14" s="69">
        <f>★資本ストック!H14</f>
        <v>19272.188196220701</v>
      </c>
      <c r="C14" s="293">
        <f>★資本ストック!G15</f>
        <v>0.10219668755332688</v>
      </c>
      <c r="D14" s="69">
        <f>★資本ストック!P14</f>
        <v>1075.1981494637701</v>
      </c>
      <c r="E14" s="293">
        <f>★資本ストック!O15</f>
        <v>0.17428068482567377</v>
      </c>
      <c r="F14" s="88">
        <f>★資本稼働率!Y19</f>
        <v>0.83442799999999995</v>
      </c>
      <c r="G14" s="46">
        <f t="shared" si="2"/>
        <v>17156.451601659817</v>
      </c>
      <c r="I14" s="69">
        <f>★平均労働時間!K38</f>
        <v>2170.0852835935302</v>
      </c>
      <c r="J14" s="69">
        <f>★就業者数!W20</f>
        <v>6232.0347395730078</v>
      </c>
      <c r="K14" s="290">
        <f>★就業者数!Y20</f>
        <v>603.59230671948228</v>
      </c>
      <c r="L14" s="46">
        <f t="shared" si="0"/>
        <v>1309846.7821022207</v>
      </c>
      <c r="N14" s="47">
        <f>★TFP上昇率推計・図5!W14</f>
        <v>0.288197029209325</v>
      </c>
      <c r="P14" s="70">
        <f>★TFP上昇率推計・図5!AA14</f>
        <v>2.60999917150657</v>
      </c>
      <c r="Q14" s="293">
        <f t="shared" si="6"/>
        <v>-5.6541318695120357E-2</v>
      </c>
      <c r="R14" s="166"/>
      <c r="S14" s="46">
        <f t="shared" si="1"/>
        <v>980043.85443416191</v>
      </c>
      <c r="T14" s="88">
        <f t="shared" si="5"/>
        <v>4.7117758522912112E-2</v>
      </c>
      <c r="V14" s="64">
        <v>0.49980000000000002</v>
      </c>
      <c r="W14" s="69">
        <f t="shared" si="3"/>
        <v>239614.20252391716</v>
      </c>
      <c r="X14" s="69">
        <f t="shared" si="4"/>
        <v>480894.55357520265</v>
      </c>
      <c r="Y14" s="32"/>
      <c r="Z14" s="32"/>
      <c r="AA14" s="32"/>
    </row>
    <row r="15" spans="1:27" hidden="1" outlineLevel="1">
      <c r="A15" s="57">
        <v>1992</v>
      </c>
      <c r="B15" s="69">
        <f>★資本ストック!H15</f>
        <v>20269.2368829187</v>
      </c>
      <c r="C15" s="293">
        <f>★資本ストック!G16</f>
        <v>0.10635865326378074</v>
      </c>
      <c r="D15" s="69">
        <f>★資本ストック!P15</f>
        <v>1146.81555532726</v>
      </c>
      <c r="E15" s="293">
        <f>★資本ストック!O16</f>
        <v>0.17458013622100607</v>
      </c>
      <c r="F15" s="88">
        <f>★資本稼働率!Y20</f>
        <v>0.83442799999999995</v>
      </c>
      <c r="G15" s="46">
        <f t="shared" si="2"/>
        <v>18060.034349067344</v>
      </c>
      <c r="I15" s="69">
        <f>★平均労働時間!K39</f>
        <v>2148.43725181434</v>
      </c>
      <c r="J15" s="69">
        <f>★就業者数!W21</f>
        <v>6293.6432487663496</v>
      </c>
      <c r="K15" s="290">
        <f>★就業者数!Y21</f>
        <v>615.94584557991163</v>
      </c>
      <c r="L15" s="46">
        <f t="shared" si="0"/>
        <v>1323320.9997441652</v>
      </c>
      <c r="N15" s="47">
        <f>★TFP上昇率推計・図5!W15</f>
        <v>0.26534991974281402</v>
      </c>
      <c r="P15" s="70">
        <f>★TFP上昇率推計・図5!AA15</f>
        <v>2.4021435190773301</v>
      </c>
      <c r="Q15" s="293">
        <f t="shared" si="6"/>
        <v>-7.9638206286961943E-2</v>
      </c>
      <c r="R15" s="166"/>
      <c r="S15" s="46">
        <f t="shared" si="1"/>
        <v>1017186.8017068505</v>
      </c>
      <c r="T15" s="88">
        <f t="shared" si="5"/>
        <v>3.7899270634305982E-2</v>
      </c>
      <c r="V15" s="64">
        <v>0.49980000000000002</v>
      </c>
      <c r="W15" s="69">
        <f t="shared" si="3"/>
        <v>335968.58833310171</v>
      </c>
      <c r="X15" s="69">
        <f t="shared" si="4"/>
        <v>629322.67878704122</v>
      </c>
      <c r="Y15" s="32"/>
      <c r="Z15" s="32"/>
      <c r="AA15" s="32"/>
    </row>
    <row r="16" spans="1:27" hidden="1" outlineLevel="1">
      <c r="A16" s="57">
        <v>1993</v>
      </c>
      <c r="B16" s="69">
        <f>★資本ストック!H16</f>
        <v>21196.9262185273</v>
      </c>
      <c r="C16" s="293">
        <f>★資本ストック!G17</f>
        <v>0.10896493823100792</v>
      </c>
      <c r="D16" s="69">
        <f>★資本ストック!P16</f>
        <v>1216.4729488452999</v>
      </c>
      <c r="E16" s="293">
        <f>★資本ストック!O17</f>
        <v>0.17536907717138372</v>
      </c>
      <c r="F16" s="88">
        <f>★資本稼働率!Y21</f>
        <v>0.83442799999999995</v>
      </c>
      <c r="G16" s="46">
        <f t="shared" si="2"/>
        <v>18903.781699518597</v>
      </c>
      <c r="I16" s="69">
        <f>★平均労働時間!K40</f>
        <v>2127.1221606023701</v>
      </c>
      <c r="J16" s="69">
        <f>★就業者数!W22</f>
        <v>6348.0868933450984</v>
      </c>
      <c r="K16" s="290">
        <f>★就業者数!Y22</f>
        <v>627.64920041157234</v>
      </c>
      <c r="L16" s="46">
        <f t="shared" si="0"/>
        <v>1335086.5232798138</v>
      </c>
      <c r="N16" s="47">
        <f>★TFP上昇率推計・図5!W16</f>
        <v>0.23945711189735</v>
      </c>
      <c r="P16" s="70">
        <f>★TFP上昇率推計・図5!AA16</f>
        <v>2.16267523375936</v>
      </c>
      <c r="Q16" s="293">
        <f t="shared" si="6"/>
        <v>-9.9689416313455959E-2</v>
      </c>
      <c r="R16" s="166"/>
      <c r="S16" s="46">
        <f t="shared" si="1"/>
        <v>1041727.0111727039</v>
      </c>
      <c r="T16" s="88">
        <f t="shared" si="5"/>
        <v>2.4125568110670237E-2</v>
      </c>
      <c r="V16" s="64">
        <v>0.49980000000000002</v>
      </c>
      <c r="W16" s="69">
        <f t="shared" si="3"/>
        <v>480450.48118337843</v>
      </c>
      <c r="X16" s="69">
        <f t="shared" si="4"/>
        <v>860477.05060428777</v>
      </c>
      <c r="Y16" s="32"/>
      <c r="Z16" s="32"/>
      <c r="AA16" s="32"/>
    </row>
    <row r="17" spans="1:27" hidden="1" outlineLevel="1">
      <c r="A17" s="57">
        <v>1994</v>
      </c>
      <c r="B17" s="69">
        <f>★資本ストック!H17</f>
        <v>22013.577066452999</v>
      </c>
      <c r="C17" s="293">
        <f>★資本ストック!G18</f>
        <v>0.10970254496282229</v>
      </c>
      <c r="D17" s="69">
        <f>★資本ストック!P17</f>
        <v>1282.2284055868099</v>
      </c>
      <c r="E17" s="293">
        <f>★資本ストック!O18</f>
        <v>0.17669407788252073</v>
      </c>
      <c r="F17" s="88">
        <f>★資本稼働率!Y22</f>
        <v>0.83442799999999995</v>
      </c>
      <c r="G17" s="46">
        <f>B17*F17+D17</f>
        <v>19650.973489993052</v>
      </c>
      <c r="I17" s="69">
        <f>★平均労働時間!K41</f>
        <v>2107.1640872808898</v>
      </c>
      <c r="J17" s="69">
        <f>★就業者数!W23</f>
        <v>6394.4769636199144</v>
      </c>
      <c r="K17" s="290">
        <f>★就業者数!Y23</f>
        <v>637.97414735726375</v>
      </c>
      <c r="L17" s="46">
        <f t="shared" si="0"/>
        <v>1344316.2119248726</v>
      </c>
      <c r="N17" s="47">
        <f>★TFP上昇率推計・図5!W17</f>
        <v>0.212235003131542</v>
      </c>
      <c r="P17" s="70">
        <f>★TFP上昇率推計・図5!AA17</f>
        <v>1.91217523359937</v>
      </c>
      <c r="Q17" s="293">
        <f t="shared" si="6"/>
        <v>-0.11582876441625867</v>
      </c>
      <c r="R17" s="166"/>
      <c r="S17" s="46">
        <f t="shared" si="1"/>
        <v>1048462.7008928907</v>
      </c>
      <c r="T17" s="88">
        <f t="shared" si="5"/>
        <v>6.4658875578200714E-3</v>
      </c>
      <c r="V17" s="64">
        <v>0.49980000000000002</v>
      </c>
      <c r="W17" s="69">
        <f t="shared" si="3"/>
        <v>688306.52935489977</v>
      </c>
      <c r="X17" s="69">
        <f t="shared" si="4"/>
        <v>1209613.0697713059</v>
      </c>
      <c r="Y17" s="37"/>
      <c r="Z17" s="37"/>
      <c r="AA17" s="38"/>
    </row>
    <row r="18" spans="1:27" hidden="1" outlineLevel="1">
      <c r="A18" s="57">
        <v>1995</v>
      </c>
      <c r="B18" s="69">
        <f>★資本ストック!H18</f>
        <v>22688.488265027099</v>
      </c>
      <c r="C18" s="293">
        <f>★資本ストック!G19</f>
        <v>0.10615447638595017</v>
      </c>
      <c r="D18" s="69">
        <f>★資本ストック!P18</f>
        <v>1342.29842065101</v>
      </c>
      <c r="E18" s="293">
        <f>★資本ストック!O19</f>
        <v>0.17745197168857432</v>
      </c>
      <c r="F18" s="88">
        <f>★資本稼働率!Y23</f>
        <v>0.83442799999999995</v>
      </c>
      <c r="G18" s="46">
        <f t="shared" ref="G18:G42" si="7">B18*F18+D18</f>
        <v>20274.208306661043</v>
      </c>
      <c r="I18" s="69">
        <f>★平均労働時間!K42</f>
        <v>2089.2343722338201</v>
      </c>
      <c r="J18" s="69">
        <f>★就業者数!W24</f>
        <v>6432.3169056002116</v>
      </c>
      <c r="K18" s="290">
        <f>★就業者数!Y24</f>
        <v>646.24321235019727</v>
      </c>
      <c r="L18" s="46">
        <f t="shared" si="0"/>
        <v>1350153.5320648316</v>
      </c>
      <c r="N18" s="47">
        <f>★TFP上昇率推計・図5!W18</f>
        <v>0.18556141532026599</v>
      </c>
      <c r="P18" s="70">
        <f>★TFP上昇率推計・図5!AA18</f>
        <v>1.66967065810948</v>
      </c>
      <c r="Q18" s="293">
        <f t="shared" si="6"/>
        <v>-0.12682131387791962</v>
      </c>
      <c r="R18" s="167"/>
      <c r="S18" s="46">
        <f t="shared" si="1"/>
        <v>1034317.8116990618</v>
      </c>
      <c r="T18" s="88">
        <f t="shared" si="5"/>
        <v>-1.3491075249298712E-2</v>
      </c>
      <c r="V18" s="64">
        <v>0.49980000000000002</v>
      </c>
      <c r="W18" s="69">
        <f t="shared" si="3"/>
        <v>948612.72238407598</v>
      </c>
      <c r="X18" s="69">
        <f t="shared" si="4"/>
        <v>1706570.1878822139</v>
      </c>
      <c r="Y18" s="37"/>
      <c r="Z18" s="37"/>
      <c r="AA18" s="38"/>
    </row>
    <row r="19" spans="1:27" hidden="1" outlineLevel="1">
      <c r="A19" s="57">
        <v>1996</v>
      </c>
      <c r="B19" s="69">
        <f>★資本ストック!H19</f>
        <v>23202.161294527101</v>
      </c>
      <c r="C19" s="293">
        <f>★資本ストック!G20</f>
        <v>0.10796927823546791</v>
      </c>
      <c r="D19" s="69">
        <f>★資本ストック!P19</f>
        <v>1395.3966768661601</v>
      </c>
      <c r="E19" s="293">
        <f>★資本ストック!O20</f>
        <v>0.1782115425269537</v>
      </c>
      <c r="F19" s="88">
        <f>★資本稼働率!Y24</f>
        <v>0.83442799999999995</v>
      </c>
      <c r="G19" s="46">
        <f t="shared" si="7"/>
        <v>20755.929721535816</v>
      </c>
      <c r="I19" s="69">
        <f>★平均労働時間!K43</f>
        <v>2073.5635769722398</v>
      </c>
      <c r="J19" s="69">
        <f>★就業者数!W25</f>
        <v>6461.335850776004</v>
      </c>
      <c r="K19" s="290">
        <f>★就業者数!Y25</f>
        <v>651.90525824423162</v>
      </c>
      <c r="L19" s="46">
        <f t="shared" si="0"/>
        <v>1351766.9991319207</v>
      </c>
      <c r="N19" s="47">
        <f>★TFP上昇率推計・図5!W19</f>
        <v>0.16070940103142101</v>
      </c>
      <c r="P19" s="70">
        <f>★TFP上昇率推計・図5!AA19</f>
        <v>1.4473968795958001</v>
      </c>
      <c r="Q19" s="293">
        <f t="shared" si="6"/>
        <v>-0.13312432450921441</v>
      </c>
      <c r="R19" s="166"/>
      <c r="S19" s="46">
        <f t="shared" si="1"/>
        <v>1000002.866894169</v>
      </c>
      <c r="T19" s="88">
        <f t="shared" si="5"/>
        <v>-3.3176403245462782E-2</v>
      </c>
      <c r="V19" s="64">
        <v>0.49980000000000002</v>
      </c>
      <c r="W19" s="69">
        <f t="shared" si="3"/>
        <v>1375590.6841243389</v>
      </c>
      <c r="X19" s="69">
        <f t="shared" si="4"/>
        <v>2399102.264717517</v>
      </c>
      <c r="Y19" s="37"/>
      <c r="Z19" s="37"/>
      <c r="AA19" s="38"/>
    </row>
    <row r="20" spans="1:27" hidden="1" outlineLevel="1">
      <c r="A20" s="57">
        <v>1997</v>
      </c>
      <c r="B20" s="69">
        <f>★資本ストック!H20</f>
        <v>23544.999752580399</v>
      </c>
      <c r="C20" s="293">
        <f>★資本ストック!G21</f>
        <v>0.11098527746319375</v>
      </c>
      <c r="D20" s="69">
        <f>★資本ストック!P20</f>
        <v>1440.65987285402</v>
      </c>
      <c r="E20" s="293">
        <f>★資本ストック!O21</f>
        <v>0.17903543976600228</v>
      </c>
      <c r="F20" s="88">
        <f>★資本稼働率!Y25</f>
        <v>0.83442799999999995</v>
      </c>
      <c r="G20" s="46">
        <f t="shared" si="7"/>
        <v>21087.266926400174</v>
      </c>
      <c r="I20" s="69">
        <f>★平均労働時間!K44</f>
        <v>2060.1467712849299</v>
      </c>
      <c r="J20" s="69">
        <f>★就業者数!W26</f>
        <v>6481.342384251544</v>
      </c>
      <c r="K20" s="290">
        <f>★就業者数!Y26</f>
        <v>654.56481487111751</v>
      </c>
      <c r="L20" s="46">
        <f t="shared" si="0"/>
        <v>1348499.5899534505</v>
      </c>
      <c r="N20" s="47">
        <f>★TFP上昇率推計・図5!W20</f>
        <v>0.13836059187858599</v>
      </c>
      <c r="P20" s="70">
        <f>★TFP上昇率推計・図5!AA20</f>
        <v>1.2514865160283799</v>
      </c>
      <c r="Q20" s="293">
        <f t="shared" si="6"/>
        <v>-0.13535358983372281</v>
      </c>
      <c r="R20" s="166"/>
      <c r="S20" s="46">
        <f t="shared" si="1"/>
        <v>949338.76137044176</v>
      </c>
      <c r="T20" s="88">
        <f t="shared" si="5"/>
        <v>-5.0663960275515008E-2</v>
      </c>
      <c r="V20" s="64">
        <v>0.49980000000000002</v>
      </c>
      <c r="W20" s="69">
        <f t="shared" si="3"/>
        <v>1989434.7070746771</v>
      </c>
      <c r="X20" s="69">
        <f t="shared" si="4"/>
        <v>3338188.1217243932</v>
      </c>
      <c r="Y20" s="37"/>
      <c r="Z20" s="37"/>
      <c r="AA20" s="38"/>
    </row>
    <row r="21" spans="1:27" hidden="1" outlineLevel="1">
      <c r="A21" s="57">
        <v>1998</v>
      </c>
      <c r="B21" s="69">
        <f>★資本ストック!H21</f>
        <v>23719.121623869101</v>
      </c>
      <c r="C21" s="293">
        <f>★資本ストック!G22</f>
        <v>0.1121881383882056</v>
      </c>
      <c r="D21" s="69">
        <f>★資本ストック!P21</f>
        <v>1477.4617404676801</v>
      </c>
      <c r="E21" s="293">
        <f>★資本ストック!O22</f>
        <v>0.18066425517921744</v>
      </c>
      <c r="F21" s="88">
        <f>★資本稼働率!Y26</f>
        <v>0.83442799999999995</v>
      </c>
      <c r="G21" s="46">
        <f t="shared" si="7"/>
        <v>21269.360958829526</v>
      </c>
      <c r="I21" s="69">
        <f>★平均労働時間!K45</f>
        <v>2049.1306858575799</v>
      </c>
      <c r="J21" s="69">
        <f>★就業者数!W27</f>
        <v>6492.3712038138865</v>
      </c>
      <c r="K21" s="290">
        <f>★就業者数!Y27</f>
        <v>654.01277929777166</v>
      </c>
      <c r="L21" s="46">
        <f t="shared" si="0"/>
        <v>1340157.6550020648</v>
      </c>
      <c r="N21" s="47">
        <f>★TFP上昇率推計・図5!W21</f>
        <v>0.119102332280483</v>
      </c>
      <c r="P21" s="70">
        <f>★TFP上昇率推計・図5!AA21</f>
        <v>1.08589138841928</v>
      </c>
      <c r="Q21" s="293">
        <f t="shared" si="6"/>
        <v>-0.13231874693673862</v>
      </c>
      <c r="R21" s="166"/>
      <c r="S21" s="46">
        <f t="shared" si="1"/>
        <v>888442.59311783139</v>
      </c>
      <c r="T21" s="88">
        <f t="shared" si="5"/>
        <v>-6.4145877878937774E-2</v>
      </c>
      <c r="V21" s="62">
        <v>0.46360000000000001</v>
      </c>
      <c r="W21" s="69">
        <f t="shared" si="3"/>
        <v>2550556.8150190101</v>
      </c>
      <c r="X21" s="69">
        <f t="shared" si="4"/>
        <v>4225286.1832121965</v>
      </c>
      <c r="Y21" s="37"/>
      <c r="Z21" s="37"/>
      <c r="AA21" s="38"/>
    </row>
    <row r="22" spans="1:27" hidden="1" outlineLevel="1">
      <c r="A22" s="57">
        <v>1999</v>
      </c>
      <c r="B22" s="69">
        <f>★資本ストック!H22</f>
        <v>23736.668895549501</v>
      </c>
      <c r="C22" s="293">
        <f>★資本ストック!G23</f>
        <v>0.11052012414897885</v>
      </c>
      <c r="D22" s="69">
        <f>★資本ストック!P22</f>
        <v>1505.4704128317001</v>
      </c>
      <c r="E22" s="293">
        <f>★資本ストック!O23</f>
        <v>0.18293079877612128</v>
      </c>
      <c r="F22" s="88">
        <f>★資本稼働率!Y27</f>
        <v>0.83442799999999995</v>
      </c>
      <c r="G22" s="46">
        <f t="shared" si="7"/>
        <v>21312.011566007277</v>
      </c>
      <c r="I22" s="69">
        <f>★平均労働時間!K46</f>
        <v>2040.7763463297299</v>
      </c>
      <c r="J22" s="69">
        <f>★就業者数!W28</f>
        <v>6495.0968351598221</v>
      </c>
      <c r="K22" s="290">
        <f>★就業者数!Y28</f>
        <v>650.34415618213518</v>
      </c>
      <c r="L22" s="46">
        <f t="shared" si="0"/>
        <v>1327206.9709102691</v>
      </c>
      <c r="N22" s="47">
        <f>★TFP上昇率推計・図5!W22</f>
        <v>0.10282320165551</v>
      </c>
      <c r="P22" s="70">
        <f>★TFP上昇率推計・図5!AA22</f>
        <v>0.94995564705629798</v>
      </c>
      <c r="Q22" s="293">
        <f t="shared" si="6"/>
        <v>-0.12518355225273692</v>
      </c>
      <c r="R22" s="166"/>
      <c r="S22" s="46">
        <f t="shared" si="1"/>
        <v>824413.03691563709</v>
      </c>
      <c r="T22" s="88">
        <f t="shared" si="5"/>
        <v>-7.2069435547314264E-2</v>
      </c>
      <c r="V22" s="62">
        <v>0.40870000000000001</v>
      </c>
      <c r="W22" s="69">
        <f t="shared" si="3"/>
        <v>3015877.0336285452</v>
      </c>
      <c r="X22" s="69">
        <f t="shared" si="4"/>
        <v>5093573.5755761722</v>
      </c>
      <c r="Y22" s="37"/>
      <c r="Z22" s="37"/>
      <c r="AA22" s="38"/>
    </row>
    <row r="23" spans="1:27" hidden="1" outlineLevel="1">
      <c r="A23" s="57">
        <v>2000</v>
      </c>
      <c r="B23" s="69">
        <f>★資本ストック!H23</f>
        <v>23616.370338539102</v>
      </c>
      <c r="C23" s="293">
        <f>★資本ストック!G24</f>
        <v>0.10780754191009188</v>
      </c>
      <c r="D23" s="69">
        <f>★資本ストック!P23</f>
        <v>1524.7844056659601</v>
      </c>
      <c r="E23" s="293">
        <f>★資本ストック!O24</f>
        <v>0.18595813204508851</v>
      </c>
      <c r="F23" s="88">
        <f>★資本稼働率!Y28</f>
        <v>0.83442799999999995</v>
      </c>
      <c r="G23" s="46">
        <f t="shared" si="7"/>
        <v>21230.945074512463</v>
      </c>
      <c r="I23" s="69">
        <f>★平均労働時間!K47</f>
        <v>2035.36131414897</v>
      </c>
      <c r="J23" s="69">
        <f>★就業者数!W29</f>
        <v>6490.846986696899</v>
      </c>
      <c r="K23" s="290">
        <f>★就業者数!Y29</f>
        <v>643.79121932408771</v>
      </c>
      <c r="L23" s="46">
        <f t="shared" si="0"/>
        <v>1310347.7422010428</v>
      </c>
      <c r="N23" s="47">
        <f>★TFP上昇率推計・図5!W23</f>
        <v>8.9026647084318997E-2</v>
      </c>
      <c r="P23" s="70">
        <f>★TFP上昇率推計・図5!AA23</f>
        <v>0.84032694150100995</v>
      </c>
      <c r="Q23" s="293">
        <f t="shared" si="6"/>
        <v>-0.11540402533002792</v>
      </c>
      <c r="R23" s="166"/>
      <c r="S23" s="46">
        <f t="shared" si="1"/>
        <v>762851.50736063148</v>
      </c>
      <c r="T23" s="88">
        <f t="shared" si="5"/>
        <v>-7.4673163570198708E-2</v>
      </c>
      <c r="V23" s="62">
        <v>0.40870000000000001</v>
      </c>
      <c r="W23" s="69">
        <f t="shared" si="3"/>
        <v>3843835.5975982314</v>
      </c>
      <c r="X23" s="69">
        <f t="shared" si="4"/>
        <v>6717207.9176271977</v>
      </c>
      <c r="Y23" s="37"/>
      <c r="Z23" s="37"/>
      <c r="AA23" s="38"/>
    </row>
    <row r="24" spans="1:27" hidden="1" outlineLevel="1">
      <c r="A24" s="57">
        <v>2001</v>
      </c>
      <c r="B24" s="69">
        <f>★資本ストック!H24</f>
        <v>23379.300034799999</v>
      </c>
      <c r="C24" s="293">
        <f>★資本ストック!G25</f>
        <v>0.10978428351309698</v>
      </c>
      <c r="D24" s="69">
        <f>★資本ストック!P24</f>
        <v>1535.80853056201</v>
      </c>
      <c r="E24" s="293">
        <f>★資本ストック!O25</f>
        <v>0.18948983505945541</v>
      </c>
      <c r="F24" s="88">
        <f>★資本稼働率!Y29</f>
        <v>0.83442799999999995</v>
      </c>
      <c r="G24" s="46">
        <f t="shared" si="7"/>
        <v>21044.151100000105</v>
      </c>
      <c r="I24" s="69">
        <f>★平均労働時間!K48</f>
        <v>2033.02065663297</v>
      </c>
      <c r="J24" s="69">
        <f>★就業者数!W30</f>
        <v>6481.2098578265804</v>
      </c>
      <c r="K24" s="290">
        <f>★就業者数!Y30</f>
        <v>634.71887226506226</v>
      </c>
      <c r="L24" s="46">
        <f t="shared" si="0"/>
        <v>1290396.578469655</v>
      </c>
      <c r="N24" s="47">
        <f>★TFP上昇率推計・図5!W24</f>
        <v>7.6934273511157697E-2</v>
      </c>
      <c r="P24" s="70">
        <f>★TFP上昇率推計・図5!AA24</f>
        <v>0.75215304279045503</v>
      </c>
      <c r="Q24" s="293">
        <f t="shared" si="6"/>
        <v>-0.10492808733831238</v>
      </c>
      <c r="R24" s="166"/>
      <c r="S24" s="46">
        <f t="shared" si="1"/>
        <v>707135.01691622857</v>
      </c>
      <c r="T24" s="88">
        <f t="shared" si="5"/>
        <v>-7.3037137512089068E-2</v>
      </c>
      <c r="V24" s="62">
        <v>0.40870000000000001</v>
      </c>
      <c r="W24" s="69">
        <f t="shared" si="3"/>
        <v>5019263.3167477325</v>
      </c>
      <c r="X24" s="69">
        <f t="shared" si="4"/>
        <v>8718976.0955637749</v>
      </c>
      <c r="Y24" s="37"/>
      <c r="Z24" s="37"/>
      <c r="AA24" s="38"/>
    </row>
    <row r="25" spans="1:27" hidden="1" outlineLevel="1">
      <c r="A25" s="57">
        <v>2002</v>
      </c>
      <c r="B25" s="69">
        <f>★資本ストック!H25</f>
        <v>23046.4093629091</v>
      </c>
      <c r="C25" s="293">
        <f>★資本ストック!G26</f>
        <v>0.11052220821433778</v>
      </c>
      <c r="D25" s="69">
        <f>★資本ストック!P25</f>
        <v>1539.22475505476</v>
      </c>
      <c r="E25" s="293">
        <f>★資本ストック!O26</f>
        <v>0.19315324608342463</v>
      </c>
      <c r="F25" s="88">
        <f>★資本稼働率!Y30</f>
        <v>0.83442799999999995</v>
      </c>
      <c r="G25" s="46">
        <f t="shared" si="7"/>
        <v>20769.79402692827</v>
      </c>
      <c r="I25" s="69">
        <f>★平均労働時間!K49</f>
        <v>2033.7075332912</v>
      </c>
      <c r="J25" s="69">
        <f>★就業者数!W31</f>
        <v>6468.0171183867615</v>
      </c>
      <c r="K25" s="290">
        <f>★就業者数!Y31</f>
        <v>623.65781604113863</v>
      </c>
      <c r="L25" s="46">
        <f t="shared" si="0"/>
        <v>1268337.598678801</v>
      </c>
      <c r="N25" s="47">
        <f>★TFP上昇率推計・図5!W25</f>
        <v>6.5848155370820199E-2</v>
      </c>
      <c r="P25" s="70">
        <f>★TFP上昇率推計・図5!AA25</f>
        <v>0.68054878631165605</v>
      </c>
      <c r="Q25" s="293">
        <f>P25/P24-1</f>
        <v>-9.5199051795563205E-2</v>
      </c>
      <c r="R25" s="166"/>
      <c r="S25" s="46">
        <f t="shared" si="1"/>
        <v>658418.94500569231</v>
      </c>
      <c r="T25" s="88">
        <f t="shared" si="5"/>
        <v>-6.8892178643597646E-2</v>
      </c>
      <c r="V25" s="62">
        <v>0.40870000000000001</v>
      </c>
      <c r="W25" s="69">
        <f t="shared" si="3"/>
        <v>6424699.4253631271</v>
      </c>
      <c r="X25" s="69">
        <f t="shared" si="4"/>
        <v>11231432.482718412</v>
      </c>
      <c r="Y25" s="37"/>
      <c r="Z25" s="37"/>
      <c r="AA25" s="38"/>
    </row>
    <row r="26" spans="1:27" hidden="1" outlineLevel="1">
      <c r="A26" s="57">
        <v>2003</v>
      </c>
      <c r="B26" s="69">
        <f>★資本ストック!H26</f>
        <v>22641.0927010948</v>
      </c>
      <c r="C26" s="293">
        <f>★資本ストック!G27</f>
        <v>0.11190920153023266</v>
      </c>
      <c r="D26" s="69">
        <f>★資本ストック!P26</f>
        <v>1535.9989613734799</v>
      </c>
      <c r="E26" s="293">
        <f>★資本ストック!O27</f>
        <v>0.19765395894428156</v>
      </c>
      <c r="F26" s="88">
        <f>★資本稼働率!Y31</f>
        <v>0.83442799999999995</v>
      </c>
      <c r="G26" s="46">
        <f t="shared" si="7"/>
        <v>20428.36066176261</v>
      </c>
      <c r="I26" s="69">
        <f>★平均労働時間!K50</f>
        <v>2037.03813773351</v>
      </c>
      <c r="J26" s="69">
        <f>★就業者数!W32</f>
        <v>6453.2177104081038</v>
      </c>
      <c r="K26" s="290">
        <f>★就業者数!Y32</f>
        <v>611.17886817197041</v>
      </c>
      <c r="L26" s="46">
        <f t="shared" si="0"/>
        <v>1244994.6634431051</v>
      </c>
      <c r="N26" s="47">
        <f>★TFP上昇率推計・図5!W26</f>
        <v>5.5378547201979302E-2</v>
      </c>
      <c r="P26" s="70">
        <f>★TFP上昇率推計・図5!AA26</f>
        <v>0.62191833088072701</v>
      </c>
      <c r="Q26" s="293">
        <f t="shared" si="6"/>
        <v>-8.6151730206861843E-2</v>
      </c>
      <c r="R26" s="166"/>
      <c r="S26" s="46">
        <f t="shared" si="1"/>
        <v>616671.38598630717</v>
      </c>
      <c r="T26" s="88">
        <f t="shared" si="5"/>
        <v>-6.3405768221059033E-2</v>
      </c>
      <c r="V26" s="62">
        <v>0.40870000000000001</v>
      </c>
      <c r="W26" s="69">
        <f t="shared" si="3"/>
        <v>8284431.1270388775</v>
      </c>
      <c r="X26" s="69">
        <f t="shared" si="4"/>
        <v>14553566.519605609</v>
      </c>
      <c r="Y26" s="37"/>
      <c r="Z26" s="37"/>
      <c r="AA26" s="38"/>
    </row>
    <row r="27" spans="1:27" hidden="1" outlineLevel="1">
      <c r="A27" s="57">
        <v>2004</v>
      </c>
      <c r="B27" s="69">
        <f>★資本ストック!H27</f>
        <v>22189.482333956999</v>
      </c>
      <c r="C27" s="293">
        <f>★資本ストック!G28</f>
        <v>0.10971531157161858</v>
      </c>
      <c r="D27" s="69">
        <f>★資本ストック!P27</f>
        <v>1527.2157841969199</v>
      </c>
      <c r="E27" s="293">
        <f>★資本ストック!O28</f>
        <v>0.2023856337658933</v>
      </c>
      <c r="F27" s="88">
        <f>★資本稼働率!Y32</f>
        <v>0.83442799999999995</v>
      </c>
      <c r="G27" s="46">
        <f t="shared" si="7"/>
        <v>20042.741149155991</v>
      </c>
      <c r="I27" s="69">
        <f>★平均労働時間!K51</f>
        <v>2042.3853235701399</v>
      </c>
      <c r="J27" s="69">
        <f>★就業者数!W33</f>
        <v>6438.2711146789079</v>
      </c>
      <c r="K27" s="290">
        <f>★就業者数!Y33</f>
        <v>597.8688160951657</v>
      </c>
      <c r="L27" s="46">
        <f t="shared" si="0"/>
        <v>1221078.4954130214</v>
      </c>
      <c r="N27" s="47">
        <f>★TFP上昇率推計・図5!W27</f>
        <v>4.5474691879809202E-2</v>
      </c>
      <c r="P27" s="70">
        <f>★TFP上昇率推計・図5!AA27</f>
        <v>0.57398262038966996</v>
      </c>
      <c r="Q27" s="293">
        <f t="shared" si="6"/>
        <v>-7.7077178965239801E-2</v>
      </c>
      <c r="R27" s="166"/>
      <c r="S27" s="46">
        <f t="shared" si="1"/>
        <v>581406.26991002215</v>
      </c>
      <c r="T27" s="88">
        <f t="shared" si="5"/>
        <v>-5.7186237074843049E-2</v>
      </c>
      <c r="V27" s="62">
        <v>0.39539999999999997</v>
      </c>
      <c r="W27" s="69">
        <f t="shared" si="3"/>
        <v>10210927.831772219</v>
      </c>
      <c r="X27" s="69">
        <f t="shared" si="4"/>
        <v>18609500.96511906</v>
      </c>
      <c r="Y27" s="37"/>
      <c r="Z27" s="37"/>
      <c r="AA27" s="38"/>
    </row>
    <row r="28" spans="1:27" hidden="1" outlineLevel="1">
      <c r="A28" s="57">
        <v>2005</v>
      </c>
      <c r="B28" s="69">
        <f>★資本ストック!H28</f>
        <v>21719.7616190841</v>
      </c>
      <c r="C28" s="293">
        <f>★資本ストック!G29</f>
        <v>0.10874314881434458</v>
      </c>
      <c r="D28" s="69">
        <f>★資本ストック!P28</f>
        <v>1513.94486859006</v>
      </c>
      <c r="E28" s="293">
        <f>★資本ストック!O29</f>
        <v>0.20620062404567485</v>
      </c>
      <c r="F28" s="88">
        <f>★資本稼働率!Y33</f>
        <v>0.83442799999999995</v>
      </c>
      <c r="G28" s="46">
        <f t="shared" si="7"/>
        <v>19637.522116879169</v>
      </c>
      <c r="I28" s="69">
        <f>★平均労働時間!K52</f>
        <v>2048.945793034</v>
      </c>
      <c r="J28" s="69">
        <f>★就業者数!W34</f>
        <v>6424.1556410219519</v>
      </c>
      <c r="K28" s="290">
        <f>★就業者数!Y34</f>
        <v>584.31221168739535</v>
      </c>
      <c r="L28" s="46">
        <f t="shared" si="0"/>
        <v>1197224.0479552806</v>
      </c>
      <c r="N28" s="47">
        <f>★TFP上昇率推計・図5!W28</f>
        <v>3.64637302329947E-2</v>
      </c>
      <c r="P28" s="70">
        <f>★TFP上昇率推計・図5!AA28</f>
        <v>0.535789095344677</v>
      </c>
      <c r="Q28" s="293">
        <f t="shared" si="6"/>
        <v>-6.6541256979285923E-2</v>
      </c>
      <c r="R28" s="166"/>
      <c r="S28" s="46">
        <f t="shared" si="1"/>
        <v>552176.99333708163</v>
      </c>
      <c r="T28" s="88">
        <f t="shared" si="5"/>
        <v>-5.0273411357369846E-2</v>
      </c>
      <c r="V28" s="62">
        <v>0.39539999999999997</v>
      </c>
      <c r="W28" s="69">
        <f t="shared" si="3"/>
        <v>13145414.377277458</v>
      </c>
      <c r="X28" s="69">
        <f t="shared" si="4"/>
        <v>24473646.949554179</v>
      </c>
      <c r="Y28" s="37"/>
      <c r="Z28" s="37"/>
      <c r="AA28" s="38"/>
    </row>
    <row r="29" spans="1:27" hidden="1" outlineLevel="1">
      <c r="A29" s="57">
        <v>2006</v>
      </c>
      <c r="B29" s="69">
        <f>★資本ストック!H29</f>
        <v>21257.687090725201</v>
      </c>
      <c r="C29" s="293">
        <f>★資本ストック!G30</f>
        <v>0.10686823296984259</v>
      </c>
      <c r="D29" s="69">
        <f>★資本ストック!P29</f>
        <v>1497.2417017759301</v>
      </c>
      <c r="E29" s="293">
        <f>★資本ストック!O30</f>
        <v>0.21034690194505712</v>
      </c>
      <c r="F29" s="88">
        <f>★資本稼働率!Y34</f>
        <v>0.83442799999999995</v>
      </c>
      <c r="G29" s="46">
        <f t="shared" si="7"/>
        <v>19235.251025515576</v>
      </c>
      <c r="I29" s="69">
        <f>★平均労働時間!K53</f>
        <v>2055.9188024556502</v>
      </c>
      <c r="J29" s="69">
        <f>★就業者数!W35</f>
        <v>6411.3662467420436</v>
      </c>
      <c r="K29" s="290">
        <f>★就業者数!Y35</f>
        <v>571.00471020401801</v>
      </c>
      <c r="L29" s="46">
        <f t="shared" si="0"/>
        <v>1173939.3199991803</v>
      </c>
      <c r="N29" s="47">
        <f>★TFP上昇率推計・図5!W29</f>
        <v>2.89504356764522E-2</v>
      </c>
      <c r="P29" s="70">
        <f>★TFP上昇率推計・図5!AA29</f>
        <v>0.50743853333704303</v>
      </c>
      <c r="Q29" s="293">
        <f t="shared" si="6"/>
        <v>-5.2913659971739135E-2</v>
      </c>
      <c r="R29" s="166"/>
      <c r="S29" s="46">
        <f t="shared" si="1"/>
        <v>528855.11096948909</v>
      </c>
      <c r="T29" s="88">
        <f t="shared" si="5"/>
        <v>-4.2236244264084122E-2</v>
      </c>
      <c r="V29" s="62">
        <v>0.39539999999999997</v>
      </c>
      <c r="W29" s="69">
        <f t="shared" si="3"/>
        <v>16695093.157817371</v>
      </c>
      <c r="X29" s="69">
        <f t="shared" si="4"/>
        <v>32064824.641375758</v>
      </c>
      <c r="Y29" s="37"/>
      <c r="Z29" s="37"/>
      <c r="AA29" s="38"/>
    </row>
    <row r="30" spans="1:27" hidden="1" outlineLevel="1">
      <c r="A30" s="57">
        <v>2007</v>
      </c>
      <c r="B30" s="69">
        <f>★資本ストック!H30</f>
        <v>20824.189666938699</v>
      </c>
      <c r="C30" s="293">
        <f>★資本ストック!G31</f>
        <v>0.10404032370309986</v>
      </c>
      <c r="D30" s="69">
        <f>★資本ストック!P30</f>
        <v>1478.0853222916701</v>
      </c>
      <c r="E30" s="293">
        <f>★資本ストック!O31</f>
        <v>0.21345958741968213</v>
      </c>
      <c r="F30" s="88">
        <f>★資本稼働率!Y35</f>
        <v>0.83442799999999995</v>
      </c>
      <c r="G30" s="46">
        <f t="shared" si="7"/>
        <v>18854.372257695995</v>
      </c>
      <c r="I30" s="69">
        <f>★平均労働時間!K54</f>
        <v>2062.49080490195</v>
      </c>
      <c r="J30" s="69">
        <f>★就業者数!W36</f>
        <v>6400.078359836637</v>
      </c>
      <c r="K30" s="290">
        <f>★就業者数!Y36</f>
        <v>558.30637855754571</v>
      </c>
      <c r="L30" s="46">
        <f t="shared" si="0"/>
        <v>1151501.7720930453</v>
      </c>
      <c r="N30" s="47">
        <f>★TFP上昇率推計・図5!W30</f>
        <v>2.3735210926498201E-2</v>
      </c>
      <c r="P30" s="70">
        <f>★TFP上昇率推計・図5!AA30</f>
        <v>0.48996008584461598</v>
      </c>
      <c r="Q30" s="293">
        <f t="shared" si="6"/>
        <v>-3.4444462420865851E-2</v>
      </c>
      <c r="R30" s="166"/>
      <c r="S30" s="46">
        <f t="shared" si="1"/>
        <v>511726.28608920251</v>
      </c>
      <c r="T30" s="88">
        <f t="shared" si="5"/>
        <v>-3.2388502115232032E-2</v>
      </c>
      <c r="V30" s="62">
        <v>0.39539999999999997</v>
      </c>
      <c r="W30" s="69">
        <f t="shared" si="3"/>
        <v>20003854.774043463</v>
      </c>
      <c r="X30" s="69">
        <f t="shared" si="4"/>
        <v>39825756.527079977</v>
      </c>
      <c r="Y30" s="37"/>
      <c r="Z30" s="37"/>
      <c r="AA30" s="38"/>
    </row>
    <row r="31" spans="1:27" hidden="1" outlineLevel="1">
      <c r="A31" s="57">
        <v>2008</v>
      </c>
      <c r="B31" s="69">
        <f>★資本ストック!H31</f>
        <v>20434.139394875401</v>
      </c>
      <c r="C31" s="293">
        <f>★資本ストック!G32</f>
        <v>0.10844349056143607</v>
      </c>
      <c r="D31" s="69">
        <f>★資本ストック!P31</f>
        <v>1457.4433516566301</v>
      </c>
      <c r="E31" s="293">
        <f>★資本ストック!O32</f>
        <v>0.21570910086968423</v>
      </c>
      <c r="F31" s="88">
        <f>★資本稼働率!Y36</f>
        <v>0.83442799999999995</v>
      </c>
      <c r="G31" s="46">
        <f t="shared" si="7"/>
        <v>18508.26141864372</v>
      </c>
      <c r="I31" s="69">
        <f>★平均労働時間!K55</f>
        <v>2068.1451740819102</v>
      </c>
      <c r="J31" s="69">
        <f>★就業者数!W37</f>
        <v>6390.4513010759065</v>
      </c>
      <c r="K31" s="290">
        <f>★就業者数!Y37</f>
        <v>546.48514249556763</v>
      </c>
      <c r="L31" s="46">
        <f t="shared" si="0"/>
        <v>1130210.6101596733</v>
      </c>
      <c r="N31" s="47">
        <f>★TFP上昇率推計・図5!W31</f>
        <v>2.1880080971994901E-2</v>
      </c>
      <c r="P31" s="70">
        <f>★TFP上昇率推計・図5!AA31</f>
        <v>0.48539781634387702</v>
      </c>
      <c r="Q31" s="293">
        <f t="shared" si="6"/>
        <v>-9.3115125753036043E-3</v>
      </c>
      <c r="R31" s="166"/>
      <c r="S31" s="46">
        <f t="shared" si="1"/>
        <v>501399.48820335115</v>
      </c>
      <c r="T31" s="88">
        <f t="shared" si="5"/>
        <v>-2.0180315466638343E-2</v>
      </c>
      <c r="V31" s="62">
        <v>0.39539999999999997</v>
      </c>
      <c r="W31" s="69">
        <f t="shared" si="3"/>
        <v>22271613.963107426</v>
      </c>
      <c r="X31" s="69">
        <f t="shared" si="4"/>
        <v>43040176.447053693</v>
      </c>
      <c r="Y31" s="37"/>
      <c r="Z31" s="37"/>
      <c r="AA31" s="38"/>
    </row>
    <row r="32" spans="1:27" hidden="1" outlineLevel="1">
      <c r="A32" s="57">
        <v>2009</v>
      </c>
      <c r="B32" s="69">
        <f>★資本ストック!H32</f>
        <v>20095.3364250169</v>
      </c>
      <c r="C32" s="293">
        <f>★資本ストック!G33</f>
        <v>0.11123371007664097</v>
      </c>
      <c r="D32" s="69">
        <f>★資本ストック!P32</f>
        <v>1436.2875581672799</v>
      </c>
      <c r="E32" s="293">
        <f>★資本ストック!O33</f>
        <v>0.21809616184009975</v>
      </c>
      <c r="F32" s="88">
        <f>★資本稼働率!Y37</f>
        <v>0.83442799999999995</v>
      </c>
      <c r="G32" s="46">
        <f t="shared" si="7"/>
        <v>18204.398940621282</v>
      </c>
      <c r="I32" s="69">
        <f>★平均労働時間!K56</f>
        <v>2072.65019698881</v>
      </c>
      <c r="J32" s="69">
        <f>★就業者数!W38</f>
        <v>6383.0016553140777</v>
      </c>
      <c r="K32" s="290">
        <f>★就業者数!Y38</f>
        <v>535.7747682044502</v>
      </c>
      <c r="L32" s="46">
        <f t="shared" si="0"/>
        <v>1110473.6788605878</v>
      </c>
      <c r="N32" s="47">
        <f>★TFP上昇率推計・図5!W32</f>
        <v>2.4057587073339201E-2</v>
      </c>
      <c r="P32" s="70">
        <f>★TFP上昇率推計・図5!AA32</f>
        <v>0.49513596052485498</v>
      </c>
      <c r="Q32" s="293">
        <f t="shared" si="6"/>
        <v>2.006219198579795E-2</v>
      </c>
      <c r="R32" s="166"/>
      <c r="S32" s="46">
        <f t="shared" si="1"/>
        <v>498060.33927784854</v>
      </c>
      <c r="T32" s="88">
        <f t="shared" si="5"/>
        <v>-6.6596576264321694E-3</v>
      </c>
      <c r="V32" s="62">
        <v>0.39539999999999997</v>
      </c>
      <c r="W32" s="69">
        <f t="shared" si="3"/>
        <v>20057817.114999872</v>
      </c>
      <c r="X32" s="69">
        <f t="shared" si="4"/>
        <v>38315201.860822506</v>
      </c>
      <c r="Y32" s="37"/>
      <c r="Z32" s="37"/>
      <c r="AA32" s="38"/>
    </row>
    <row r="33" spans="1:27" hidden="1" outlineLevel="1">
      <c r="A33" s="57">
        <v>2010</v>
      </c>
      <c r="B33" s="69">
        <f>★資本ストック!H33</f>
        <v>19816.2495138962</v>
      </c>
      <c r="C33" s="293">
        <f>★資本ストック!G34</f>
        <v>0.11020477394683277</v>
      </c>
      <c r="D33" s="69">
        <f>★資本ストック!P33</f>
        <v>1415.6182766034899</v>
      </c>
      <c r="E33" s="293">
        <f>★資本ストック!O34</f>
        <v>0.21871444823663255</v>
      </c>
      <c r="F33" s="88">
        <f>★資本稼働率!Y38</f>
        <v>0.83442799999999995</v>
      </c>
      <c r="G33" s="46">
        <f t="shared" si="7"/>
        <v>17950.851725984867</v>
      </c>
      <c r="I33" s="69">
        <f>★平均労働時間!K57</f>
        <v>2076.0302528751399</v>
      </c>
      <c r="J33" s="69">
        <f>★就業者数!W39</f>
        <v>6378.6257645883516</v>
      </c>
      <c r="K33" s="290">
        <f>★就業者数!Y39</f>
        <v>526.36473515503474</v>
      </c>
      <c r="L33" s="46">
        <f t="shared" si="0"/>
        <v>1092749.1142284628</v>
      </c>
      <c r="N33" s="47">
        <f>★TFP上昇率推計・図5!W33</f>
        <v>3.0345887542588299E-2</v>
      </c>
      <c r="P33" s="70">
        <f>★TFP上昇率推計・図5!AA33</f>
        <v>0.51948183578414497</v>
      </c>
      <c r="Q33" s="293">
        <f t="shared" si="6"/>
        <v>4.9170080948034656E-2</v>
      </c>
      <c r="R33" s="166"/>
      <c r="S33" s="46">
        <f t="shared" si="1"/>
        <v>501118.63567671884</v>
      </c>
      <c r="T33" s="88">
        <f t="shared" si="5"/>
        <v>6.1404134352569528E-3</v>
      </c>
      <c r="V33" s="62">
        <v>0.39539999999999997</v>
      </c>
      <c r="W33" s="69">
        <f t="shared" si="3"/>
        <v>14932402.482660078</v>
      </c>
      <c r="X33" s="69">
        <f t="shared" si="4"/>
        <v>28977854.710074265</v>
      </c>
      <c r="Y33" s="37"/>
      <c r="Z33" s="37"/>
      <c r="AA33" s="38"/>
    </row>
    <row r="34" spans="1:27" hidden="1" outlineLevel="1">
      <c r="A34" s="57">
        <v>2011</v>
      </c>
      <c r="B34" s="69">
        <f>★資本ストック!H34</f>
        <v>19605.592053795801</v>
      </c>
      <c r="C34" s="293">
        <f>★資本ストック!G35</f>
        <v>0.1172261456615748</v>
      </c>
      <c r="D34" s="69">
        <f>★資本ストック!P34</f>
        <v>1396.50696616347</v>
      </c>
      <c r="E34" s="293">
        <f>★資本ストック!O35</f>
        <v>0.22040786704405257</v>
      </c>
      <c r="F34" s="88">
        <f>★資本稼働率!Y39</f>
        <v>0.83442799999999995</v>
      </c>
      <c r="G34" s="46">
        <f t="shared" si="7"/>
        <v>17755.961932428192</v>
      </c>
      <c r="I34" s="69">
        <f>★平均労働時間!K58</f>
        <v>2078.1395763568298</v>
      </c>
      <c r="J34" s="69">
        <f>★就業者数!W40</f>
        <v>6378.2436596672987</v>
      </c>
      <c r="K34" s="290">
        <f>★就業者数!Y40</f>
        <v>518.35832779131965</v>
      </c>
      <c r="L34" s="46">
        <f t="shared" si="0"/>
        <v>1077220.9557172877</v>
      </c>
      <c r="N34" s="47">
        <f>★TFP上昇率推計・図5!W34</f>
        <v>4.0305337004275701E-2</v>
      </c>
      <c r="P34" s="70">
        <f>★TFP上昇率推計・図5!AA34</f>
        <v>0.55764506119209301</v>
      </c>
      <c r="Q34" s="293">
        <f t="shared" si="6"/>
        <v>7.3464022760952874E-2</v>
      </c>
      <c r="R34" s="166"/>
      <c r="S34" s="46">
        <f t="shared" si="1"/>
        <v>509096.16579443298</v>
      </c>
      <c r="T34" s="88">
        <f t="shared" si="5"/>
        <v>1.5919444119137927E-2</v>
      </c>
      <c r="V34" s="62">
        <v>0.39539999999999997</v>
      </c>
      <c r="W34" s="69">
        <f t="shared" si="3"/>
        <v>11087871.231487909</v>
      </c>
      <c r="X34" s="69">
        <f t="shared" si="4"/>
        <v>20579768.966395907</v>
      </c>
      <c r="Y34" s="37"/>
      <c r="Z34" s="37"/>
      <c r="AA34" s="38"/>
    </row>
    <row r="35" spans="1:27" hidden="1" outlineLevel="1">
      <c r="A35" s="57">
        <v>2012</v>
      </c>
      <c r="B35" s="69">
        <f>★資本ストック!H35</f>
        <v>19468.470941859501</v>
      </c>
      <c r="C35" s="293">
        <f>★資本ストック!G36</f>
        <v>0.11249505420590317</v>
      </c>
      <c r="D35" s="69">
        <f>★資本ストック!P35</f>
        <v>1379.9329032794101</v>
      </c>
      <c r="E35" s="293">
        <f>★資本ストック!O36</f>
        <v>0.22155688622754502</v>
      </c>
      <c r="F35" s="88">
        <f>★資本稼働率!Y40</f>
        <v>0.83442799999999995</v>
      </c>
      <c r="G35" s="46">
        <f t="shared" si="7"/>
        <v>17624.970174353348</v>
      </c>
      <c r="I35" s="69">
        <f>★平均労働時間!K59</f>
        <v>2078.9576635210501</v>
      </c>
      <c r="J35" s="69">
        <f>★就業者数!W41</f>
        <v>6382.8800346228754</v>
      </c>
      <c r="K35" s="290">
        <f>★就業者数!Y41</f>
        <v>511.71028248573515</v>
      </c>
      <c r="L35" s="46">
        <f t="shared" si="0"/>
        <v>1063824.0132762406</v>
      </c>
      <c r="N35" s="47">
        <f>★TFP上昇率推計・図5!W35</f>
        <v>5.30347254468191E-2</v>
      </c>
      <c r="P35" s="70">
        <f>★TFP上昇率推計・図5!AA35</f>
        <v>0.60761785544820102</v>
      </c>
      <c r="Q35" s="293">
        <f t="shared" si="6"/>
        <v>8.9613981605574988E-2</v>
      </c>
      <c r="R35" s="166"/>
      <c r="S35" s="46">
        <f t="shared" si="1"/>
        <v>520066.86640050448</v>
      </c>
      <c r="T35" s="88">
        <f t="shared" si="5"/>
        <v>2.1549367964600608E-2</v>
      </c>
      <c r="V35" s="62">
        <v>0.37</v>
      </c>
      <c r="W35" s="69">
        <f t="shared" si="3"/>
        <v>7104797.3328175303</v>
      </c>
      <c r="X35" s="69">
        <f t="shared" si="4"/>
        <v>13912346.620181138</v>
      </c>
      <c r="Y35" s="37"/>
      <c r="Z35" s="37"/>
      <c r="AA35" s="38"/>
    </row>
    <row r="36" spans="1:27" hidden="1" outlineLevel="1">
      <c r="A36" s="57">
        <v>2013</v>
      </c>
      <c r="B36" s="69">
        <f>★資本ストック!H36</f>
        <v>19406.795154693002</v>
      </c>
      <c r="C36" s="293">
        <f>★資本ストック!G37</f>
        <v>0.11375755610256649</v>
      </c>
      <c r="D36" s="69">
        <f>★資本ストック!P36</f>
        <v>1366.68929472184</v>
      </c>
      <c r="E36" s="293">
        <f>★資本ストック!O37</f>
        <v>0.22326692037907611</v>
      </c>
      <c r="F36" s="88">
        <f>★資本稼働率!Y41</f>
        <v>0.83442799999999995</v>
      </c>
      <c r="G36" s="46">
        <f t="shared" si="7"/>
        <v>17560.262562062009</v>
      </c>
      <c r="I36" s="69">
        <f>★平均労働時間!K60</f>
        <v>2078.5872380247301</v>
      </c>
      <c r="J36" s="69">
        <f>★就業者数!W42</f>
        <v>6393.3618654439806</v>
      </c>
      <c r="K36" s="290">
        <f>★就業者数!Y42</f>
        <v>506.26093026087557</v>
      </c>
      <c r="L36" s="46">
        <f t="shared" si="0"/>
        <v>1052307.508750784</v>
      </c>
      <c r="N36" s="47">
        <f>★TFP上昇率推計・図5!W36</f>
        <v>6.7366787454913701E-2</v>
      </c>
      <c r="P36" s="70">
        <f>★TFP上昇率推計・図5!AA36</f>
        <v>0.66631568935405305</v>
      </c>
      <c r="Q36" s="293">
        <f t="shared" si="6"/>
        <v>9.66032077226473E-2</v>
      </c>
      <c r="R36" s="166"/>
      <c r="S36" s="46">
        <f t="shared" ref="S36:S58" si="8">P36*(G36^N36)*(L36^(1-N36))</f>
        <v>532194.91621259577</v>
      </c>
      <c r="T36" s="88">
        <f t="shared" si="5"/>
        <v>2.3320173992302351E-2</v>
      </c>
      <c r="V36" s="62">
        <v>0.37</v>
      </c>
      <c r="W36" s="69">
        <f t="shared" si="3"/>
        <v>5127867.2090850538</v>
      </c>
      <c r="X36" s="69">
        <f t="shared" si="4"/>
        <v>10114030.432379542</v>
      </c>
      <c r="Y36" s="37"/>
      <c r="Z36" s="37"/>
      <c r="AA36" s="38"/>
    </row>
    <row r="37" spans="1:27" hidden="1" outlineLevel="1">
      <c r="A37" s="57">
        <v>2014</v>
      </c>
      <c r="B37" s="69">
        <f>★資本ストック!H37</f>
        <v>19417.343959483602</v>
      </c>
      <c r="C37" s="293">
        <f>★資本ストック!G38</f>
        <v>0.11732207881639745</v>
      </c>
      <c r="D37" s="69">
        <f>★資本ストック!P37</f>
        <v>1357.2970182285101</v>
      </c>
      <c r="E37" s="293">
        <f>★資本ストック!O38</f>
        <v>0.22508836579679636</v>
      </c>
      <c r="F37" s="88">
        <f>★資本稼働率!Y42</f>
        <v>0.83442799999999995</v>
      </c>
      <c r="G37" s="46">
        <f t="shared" si="7"/>
        <v>17559.672503652491</v>
      </c>
      <c r="I37" s="69">
        <f>★平均労働時間!K61</f>
        <v>2077.2685948896201</v>
      </c>
      <c r="J37" s="69">
        <f>★就業者数!W43</f>
        <v>6409.8972449123648</v>
      </c>
      <c r="K37" s="290">
        <f>★就業者数!Y43</f>
        <v>501.80495815177284</v>
      </c>
      <c r="L37" s="46">
        <f t="shared" si="0"/>
        <v>1042383.6803285778</v>
      </c>
      <c r="N37" s="47">
        <f>★TFP上昇率推計・図5!W37</f>
        <v>8.1766854039796194E-2</v>
      </c>
      <c r="P37" s="70">
        <f>★TFP上昇率推計・図5!AA37</f>
        <v>0.72913974503974799</v>
      </c>
      <c r="Q37" s="293">
        <f t="shared" si="6"/>
        <v>9.4285721752400242E-2</v>
      </c>
      <c r="R37" s="166"/>
      <c r="S37" s="46">
        <f t="shared" si="8"/>
        <v>544281.96584972274</v>
      </c>
      <c r="T37" s="88">
        <f t="shared" si="5"/>
        <v>2.2711696915756585E-2</v>
      </c>
      <c r="V37" s="62">
        <v>0.34620000000000001</v>
      </c>
      <c r="W37" s="69">
        <f t="shared" si="3"/>
        <v>3786608.5553976004</v>
      </c>
      <c r="X37" s="69">
        <f t="shared" si="4"/>
        <v>7381113.0822057622</v>
      </c>
      <c r="Y37" s="37"/>
      <c r="Z37" s="37"/>
      <c r="AA37" s="38"/>
    </row>
    <row r="38" spans="1:27" hidden="1" outlineLevel="1">
      <c r="A38" s="57">
        <v>2015</v>
      </c>
      <c r="B38" s="69">
        <f>★資本ストック!H38</f>
        <v>19490.921671871401</v>
      </c>
      <c r="C38" s="293">
        <f>★資本ストック!G39</f>
        <v>0.12007202474696448</v>
      </c>
      <c r="D38" s="69">
        <f>★資本ストック!P38</f>
        <v>1352.0110585899499</v>
      </c>
      <c r="E38" s="293">
        <f>★資本ストック!O39</f>
        <v>0.22670545900007652</v>
      </c>
      <c r="F38" s="88">
        <f>★資本稼働率!Y43</f>
        <v>0.83442799999999995</v>
      </c>
      <c r="G38" s="46">
        <f t="shared" si="7"/>
        <v>17615.781847406259</v>
      </c>
      <c r="I38" s="69">
        <f>★平均労働時間!K62</f>
        <v>2075.14073142385</v>
      </c>
      <c r="J38" s="69">
        <f>★就業者数!W44</f>
        <v>6432.2414783099166</v>
      </c>
      <c r="K38" s="290">
        <f>★就業者数!Y44</f>
        <v>498.09599846279394</v>
      </c>
      <c r="L38" s="46">
        <f t="shared" si="0"/>
        <v>1033619.2945693751</v>
      </c>
      <c r="N38" s="47">
        <f>★TFP上昇率推計・図5!W38</f>
        <v>9.5124336310594401E-2</v>
      </c>
      <c r="P38" s="70">
        <f>★TFP上昇率推計・図5!AA38</f>
        <v>0.79223895110584697</v>
      </c>
      <c r="Q38" s="293">
        <f t="shared" si="6"/>
        <v>8.6539249156770692E-2</v>
      </c>
      <c r="R38" s="166"/>
      <c r="S38" s="46">
        <f t="shared" si="8"/>
        <v>555895.73257200292</v>
      </c>
      <c r="T38" s="88">
        <f t="shared" si="5"/>
        <v>2.1337776099468853E-2</v>
      </c>
      <c r="V38" s="62">
        <v>0.3211</v>
      </c>
      <c r="W38" s="69">
        <f t="shared" si="3"/>
        <v>2901101.6668801676</v>
      </c>
      <c r="X38" s="69">
        <f t="shared" si="4"/>
        <v>5620233.698281561</v>
      </c>
      <c r="Y38" s="37"/>
      <c r="Z38" s="37"/>
      <c r="AA38" s="38"/>
    </row>
    <row r="39" spans="1:27" hidden="1" outlineLevel="1">
      <c r="A39" s="57">
        <v>2016</v>
      </c>
      <c r="B39" s="69">
        <f>★資本ストック!H39</f>
        <v>19615.8451679018</v>
      </c>
      <c r="C39" s="293">
        <f>★資本ストック!G40</f>
        <v>0.12267486158378625</v>
      </c>
      <c r="D39" s="69">
        <f>★資本ストック!P39</f>
        <v>1350.8104304143999</v>
      </c>
      <c r="E39" s="293">
        <f>★資本ストック!O40</f>
        <v>0.22937168811506434</v>
      </c>
      <c r="F39" s="88">
        <f>★資本稼働率!Y44</f>
        <v>0.83442799999999995</v>
      </c>
      <c r="G39" s="46">
        <f t="shared" si="7"/>
        <v>17718.820882176362</v>
      </c>
      <c r="I39" s="69">
        <f>★平均労働時間!K63</f>
        <v>2072.0379503200202</v>
      </c>
      <c r="J39" s="69">
        <f>★就業者数!W45</f>
        <v>6459.7806082142752</v>
      </c>
      <c r="K39" s="290">
        <f>★就業者数!Y45</f>
        <v>494.94285363183678</v>
      </c>
      <c r="L39" s="46">
        <f t="shared" si="0"/>
        <v>1025540.3759648529</v>
      </c>
      <c r="N39" s="47">
        <f>★TFP上昇率推計・図5!W39</f>
        <v>0.10652618902741801</v>
      </c>
      <c r="P39" s="70">
        <f>★TFP上昇率推計・図5!AA39</f>
        <v>0.85156272544051304</v>
      </c>
      <c r="Q39" s="293">
        <f t="shared" si="6"/>
        <v>7.4881163381147697E-2</v>
      </c>
      <c r="R39" s="166"/>
      <c r="S39" s="46">
        <f t="shared" si="8"/>
        <v>566780.74384962209</v>
      </c>
      <c r="T39" s="88">
        <f t="shared" si="5"/>
        <v>1.9581030469970839E-2</v>
      </c>
      <c r="V39" s="62">
        <v>0.29970000000000002</v>
      </c>
      <c r="W39" s="69">
        <f t="shared" si="3"/>
        <v>2340381.8147679083</v>
      </c>
      <c r="X39" s="69">
        <f t="shared" si="4"/>
        <v>4528579.3848207509</v>
      </c>
      <c r="Y39" s="37"/>
      <c r="Z39" s="37"/>
      <c r="AA39" s="38"/>
    </row>
    <row r="40" spans="1:27" hidden="1" outlineLevel="1">
      <c r="A40" s="57">
        <v>2017</v>
      </c>
      <c r="B40" s="69">
        <f>★資本ストック!H40</f>
        <v>19780.455106901602</v>
      </c>
      <c r="C40" s="293">
        <f>★資本ストック!G41</f>
        <v>0.12411467971304722</v>
      </c>
      <c r="D40" s="69">
        <f>★資本ストック!P40</f>
        <v>1353.2150377242201</v>
      </c>
      <c r="E40" s="293">
        <f>★資本ストック!O41</f>
        <v>0.23004834510970626</v>
      </c>
      <c r="F40" s="88">
        <f>★資本稼働率!Y45</f>
        <v>0.83442799999999995</v>
      </c>
      <c r="G40" s="46">
        <f t="shared" si="7"/>
        <v>17858.580631665911</v>
      </c>
      <c r="I40" s="69">
        <f>★平均労働時間!K64</f>
        <v>2067.83168162313</v>
      </c>
      <c r="J40" s="69">
        <f>★就業者数!W46</f>
        <v>6491.4190659967135</v>
      </c>
      <c r="K40" s="290">
        <f>★就業者数!Y46</f>
        <v>492.18757977883359</v>
      </c>
      <c r="L40" s="46">
        <f t="shared" si="0"/>
        <v>1017761.0707680839</v>
      </c>
      <c r="N40" s="47">
        <f>★TFP上昇率推計・図5!W40</f>
        <v>0.115558737011451</v>
      </c>
      <c r="P40" s="70">
        <f>★TFP上昇率推計・図5!AA40</f>
        <v>0.90443274556985098</v>
      </c>
      <c r="Q40" s="293">
        <f t="shared" si="6"/>
        <v>6.2085878761295454E-2</v>
      </c>
      <c r="R40" s="166"/>
      <c r="S40" s="46">
        <f t="shared" si="8"/>
        <v>576931.44472254696</v>
      </c>
      <c r="T40" s="88">
        <f t="shared" si="5"/>
        <v>1.7909396151994272E-2</v>
      </c>
      <c r="V40" s="62">
        <v>0.29970000000000002</v>
      </c>
      <c r="W40" s="69">
        <f t="shared" si="3"/>
        <v>2020194.7911829001</v>
      </c>
      <c r="X40" s="69">
        <f t="shared" si="4"/>
        <v>3900188.8438165397</v>
      </c>
      <c r="Y40" s="37"/>
      <c r="Z40" s="37"/>
      <c r="AA40" s="38"/>
    </row>
    <row r="41" spans="1:27" hidden="1" outlineLevel="1">
      <c r="A41" s="57">
        <v>2018</v>
      </c>
      <c r="B41" s="69">
        <f>★資本ストック!H41</f>
        <v>19973.803696518498</v>
      </c>
      <c r="C41" s="293">
        <f>★資本ストック!G42</f>
        <v>0.12743463246176612</v>
      </c>
      <c r="D41" s="69">
        <f>★資本ストック!P41</f>
        <v>1358.4466802376101</v>
      </c>
      <c r="E41" s="293">
        <f>★資本ストック!O42</f>
        <v>0.23003382850419171</v>
      </c>
      <c r="F41" s="88">
        <f>★資本稼働率!Y46</f>
        <v>0.83442799999999995</v>
      </c>
      <c r="G41" s="46">
        <f t="shared" si="7"/>
        <v>18025.147751116143</v>
      </c>
      <c r="I41" s="69">
        <f>★平均労働時間!K65</f>
        <v>2062.6850245416799</v>
      </c>
      <c r="J41" s="69">
        <f>★就業者数!W47</f>
        <v>6525.7838782316721</v>
      </c>
      <c r="K41" s="290">
        <f>★就業者数!Y47</f>
        <v>489.64754390580612</v>
      </c>
      <c r="L41" s="46">
        <f t="shared" si="0"/>
        <v>1009988.656118121</v>
      </c>
      <c r="N41" s="47">
        <f>★TFP上昇率推計・図5!W41</f>
        <v>0.122559991039443</v>
      </c>
      <c r="P41" s="70">
        <f>★TFP上昇率推計・図5!AA41</f>
        <v>0.95128109763756097</v>
      </c>
      <c r="Q41" s="293">
        <f t="shared" si="6"/>
        <v>5.1798602269970351E-2</v>
      </c>
      <c r="R41" s="166"/>
      <c r="S41" s="46">
        <f t="shared" si="8"/>
        <v>586592.97675945447</v>
      </c>
      <c r="T41" s="88">
        <f t="shared" si="5"/>
        <v>1.6746412637560271E-2</v>
      </c>
      <c r="V41" s="62">
        <v>0.2974</v>
      </c>
      <c r="W41" s="69">
        <f t="shared" si="3"/>
        <v>1823059.0201039873</v>
      </c>
      <c r="X41" s="69">
        <f t="shared" si="4"/>
        <v>3440713.7719311598</v>
      </c>
      <c r="Y41" s="37"/>
      <c r="Z41" s="37"/>
      <c r="AA41" s="38"/>
    </row>
    <row r="42" spans="1:27" hidden="1" outlineLevel="1">
      <c r="A42" s="57">
        <v>2019</v>
      </c>
      <c r="B42" s="69">
        <f>★資本ストック!H42</f>
        <v>20184.383593331</v>
      </c>
      <c r="C42" s="293">
        <f>★資本ストック!G43</f>
        <v>0.13006732839559218</v>
      </c>
      <c r="D42" s="69">
        <f>★資本ストック!P42</f>
        <v>1365.64000729551</v>
      </c>
      <c r="E42" s="293">
        <f>★資本ストック!O43</f>
        <v>0.22905635743816638</v>
      </c>
      <c r="F42" s="88">
        <f>★資本稼働率!Y47</f>
        <v>0.83442799999999995</v>
      </c>
      <c r="G42" s="46">
        <f t="shared" si="7"/>
        <v>18208.05484031151</v>
      </c>
      <c r="I42" s="69">
        <f>★平均労働時間!K66</f>
        <v>2056.8695634679102</v>
      </c>
      <c r="J42" s="69">
        <f>★就業者数!W48</f>
        <v>6561.3472549483095</v>
      </c>
      <c r="K42" s="290">
        <f>★就業者数!Y48</f>
        <v>487.16278297712057</v>
      </c>
      <c r="L42" s="46">
        <f t="shared" si="0"/>
        <v>1002030.3007599623</v>
      </c>
      <c r="N42" s="47">
        <f>★TFP上昇率推計・図5!W42</f>
        <v>0.12855513173456901</v>
      </c>
      <c r="P42" s="70">
        <f>★TFP上昇率推計・図5!AA42</f>
        <v>0.99566035316264501</v>
      </c>
      <c r="Q42" s="293">
        <f>P42/P41-1</f>
        <v>4.6652094354966867E-2</v>
      </c>
      <c r="R42" s="166"/>
      <c r="S42" s="46">
        <f t="shared" si="8"/>
        <v>595973.27052250435</v>
      </c>
      <c r="T42" s="88">
        <f t="shared" si="5"/>
        <v>1.5991145708681875E-2</v>
      </c>
      <c r="V42" s="62">
        <v>0.2974</v>
      </c>
      <c r="W42" s="69">
        <f t="shared" si="3"/>
        <v>1667458.69632367</v>
      </c>
      <c r="X42" s="69">
        <f t="shared" si="4"/>
        <v>3078353.1826729258</v>
      </c>
      <c r="Y42" s="37"/>
      <c r="Z42" s="37"/>
      <c r="AA42" s="38"/>
    </row>
    <row r="43" spans="1:27" collapsed="1">
      <c r="A43" s="57">
        <v>2020</v>
      </c>
      <c r="B43" s="394">
        <f>★資本ストック!H43</f>
        <v>20403.6494169527</v>
      </c>
      <c r="C43" s="64">
        <f>★資本ストック!G44</f>
        <v>0.13281677522458163</v>
      </c>
      <c r="D43" s="394">
        <f>★資本ストック!P43</f>
        <v>1373.94320143653</v>
      </c>
      <c r="E43" s="64">
        <f>★資本ストック!O44</f>
        <v>0.22846787947697558</v>
      </c>
      <c r="F43" s="62">
        <f>★資本稼働率!Y48</f>
        <v>0.83442799999999995</v>
      </c>
      <c r="G43" s="46">
        <f>B43*F43+D43</f>
        <v>18399.319577125538</v>
      </c>
      <c r="I43" s="394">
        <f>★平均労働時間!K67</f>
        <v>2056.8695634679102</v>
      </c>
      <c r="J43" s="394">
        <f>★就業者数!W49</f>
        <v>6597.1561784487658</v>
      </c>
      <c r="K43" s="394">
        <f>★就業者数!Y49</f>
        <v>487.16278297712057</v>
      </c>
      <c r="L43" s="46">
        <f>I43*K43</f>
        <v>1002030.3007599623</v>
      </c>
      <c r="N43" s="47">
        <f>★TFP上昇率推計・図5!W43</f>
        <v>0.13434835907450099</v>
      </c>
      <c r="P43" s="70">
        <f>★TFP上昇率推計・図5!AA43</f>
        <v>1.04234978108688</v>
      </c>
      <c r="Q43" s="293">
        <f>P43/P42-1</f>
        <v>4.6892926665131673E-2</v>
      </c>
      <c r="R43" s="166"/>
      <c r="S43" s="46">
        <f t="shared" si="8"/>
        <v>610456.82958399598</v>
      </c>
      <c r="T43" s="88">
        <f t="shared" si="5"/>
        <v>2.4302363508339031E-2</v>
      </c>
      <c r="V43" s="62">
        <v>0.2974</v>
      </c>
      <c r="W43" s="69">
        <f t="shared" si="3"/>
        <v>1542325.1001930113</v>
      </c>
      <c r="X43" s="69">
        <f t="shared" si="4"/>
        <v>2787658.2537783436</v>
      </c>
    </row>
    <row r="44" spans="1:27">
      <c r="A44" s="57">
        <v>2021</v>
      </c>
      <c r="B44" s="394">
        <f>★資本ストック!H44</f>
        <v>20626.028951063799</v>
      </c>
      <c r="C44" s="302">
        <v>0.133807525989386</v>
      </c>
      <c r="D44" s="394">
        <f>★資本ストック!P44</f>
        <v>1382.6350451262799</v>
      </c>
      <c r="E44" s="302">
        <v>0.22812146890277299</v>
      </c>
      <c r="F44" s="302">
        <f>F43</f>
        <v>0.83442799999999995</v>
      </c>
      <c r="G44" s="46">
        <f t="shared" ref="G44:G63" si="9">B44*F44+D44</f>
        <v>18593.571130704542</v>
      </c>
      <c r="I44" s="304">
        <f>I43</f>
        <v>2056.8695634679102</v>
      </c>
      <c r="J44" s="46">
        <f t="shared" ref="J44:K47" si="10">(J$48-J$43)/5+J43</f>
        <v>6546.3249427590126</v>
      </c>
      <c r="K44" s="46">
        <f t="shared" si="10"/>
        <v>480.76342476226324</v>
      </c>
      <c r="L44" s="46">
        <f t="shared" ref="L44:L63" si="11">I44*K44</f>
        <v>988867.65562209394</v>
      </c>
      <c r="N44" s="281">
        <f>AVERAGE(N3:N43)</f>
        <v>0.16260435651919575</v>
      </c>
      <c r="P44" s="48">
        <f t="shared" ref="P44:P63" si="12">P43*(1+Q44)</f>
        <v>1.0626706790990388</v>
      </c>
      <c r="Q44" s="303">
        <f>AVERAGE(Q25:Q43)</f>
        <v>1.9495277286833229E-2</v>
      </c>
      <c r="R44" s="166"/>
      <c r="S44" s="46">
        <f t="shared" si="8"/>
        <v>550704.05902546213</v>
      </c>
      <c r="T44" s="88">
        <f t="shared" si="5"/>
        <v>-9.7882057604717354E-2</v>
      </c>
      <c r="V44" s="302">
        <f>V43</f>
        <v>0.2974</v>
      </c>
      <c r="W44" s="69">
        <f>((0.99^(-1)+C44-1)/((1-V44)*N44*P44))^(1/(1-N44))*L44</f>
        <v>1211505.3092613872</v>
      </c>
      <c r="X44" s="69">
        <f t="shared" si="4"/>
        <v>2211701.2933122138</v>
      </c>
    </row>
    <row r="45" spans="1:27">
      <c r="A45" s="57">
        <v>2022</v>
      </c>
      <c r="B45" s="313">
        <f>EXP( 0.0495170402151*LOG(S44,EXP(1))- 0.00735656612765*LOG(W44,EXP(1)) +0.944741406384*LOG(B44,EXP(1)) )</f>
        <v>20678.92602502479</v>
      </c>
      <c r="C45" s="302">
        <v>0.13480566728915799</v>
      </c>
      <c r="D45" s="313">
        <f>EXP(0.048470451741*LOG(S44,EXP(1))-0.005070568273*LOG(X44,EXP(1)) +0.922366678461*LOG(D44,EXP(1)) )</f>
        <v>1389.8807317709129</v>
      </c>
      <c r="E45" s="302">
        <v>0.22798389653957599</v>
      </c>
      <c r="F45" s="302">
        <f t="shared" ref="F45:F63" si="13">F44</f>
        <v>0.83442799999999995</v>
      </c>
      <c r="G45" s="46">
        <f t="shared" si="9"/>
        <v>18644.9556169803</v>
      </c>
      <c r="I45" s="304">
        <f>I44</f>
        <v>2056.8695634679102</v>
      </c>
      <c r="J45" s="46">
        <f t="shared" si="10"/>
        <v>6495.4937070692595</v>
      </c>
      <c r="K45" s="46">
        <f t="shared" si="10"/>
        <v>474.36406654740591</v>
      </c>
      <c r="L45" s="46">
        <f t="shared" si="11"/>
        <v>975705.01048422547</v>
      </c>
      <c r="N45" s="302">
        <f>N44</f>
        <v>0.16260435651919575</v>
      </c>
      <c r="P45" s="48">
        <f t="shared" si="12"/>
        <v>1.083387738652662</v>
      </c>
      <c r="Q45" s="303">
        <f>Q44</f>
        <v>1.9495277286833229E-2</v>
      </c>
      <c r="R45" s="166"/>
      <c r="S45" s="46">
        <f t="shared" si="8"/>
        <v>555424.51674087951</v>
      </c>
      <c r="T45" s="88">
        <f t="shared" si="5"/>
        <v>8.571677724276805E-3</v>
      </c>
      <c r="V45" s="302">
        <f t="shared" ref="V45:V63" si="14">V44</f>
        <v>0.2974</v>
      </c>
      <c r="W45" s="69">
        <f t="shared" si="3"/>
        <v>1177814.7078992748</v>
      </c>
      <c r="X45" s="69">
        <f t="shared" si="4"/>
        <v>2131050.7693160665</v>
      </c>
    </row>
    <row r="46" spans="1:27">
      <c r="A46" s="57">
        <v>2023</v>
      </c>
      <c r="B46" s="313">
        <f t="shared" ref="B46:B63" si="15">EXP( 0.0495170402151*LOG(S45,EXP(1))- 0.00735656612765*LOG(W45,EXP(1)) +0.944741406384*LOG(B45,EXP(1)) )</f>
        <v>20742.090411024008</v>
      </c>
      <c r="C46" s="302">
        <v>0.13581125425423901</v>
      </c>
      <c r="D46" s="313">
        <f t="shared" ref="D46:D63" si="16">EXP(0.048470451741*LOG(S45,EXP(1))-0.005070568273*LOG(X45,EXP(1)) +0.922366678461*LOG(D45,EXP(1)) )</f>
        <v>1397.4386570302265</v>
      </c>
      <c r="E46" s="302">
        <v>0.228026494661</v>
      </c>
      <c r="F46" s="302">
        <f t="shared" si="13"/>
        <v>0.83442799999999995</v>
      </c>
      <c r="G46" s="46">
        <f t="shared" si="9"/>
        <v>18705.219674520165</v>
      </c>
      <c r="I46" s="304">
        <f t="shared" ref="I46:I63" si="17">I45</f>
        <v>2056.8695634679102</v>
      </c>
      <c r="J46" s="46">
        <f t="shared" si="10"/>
        <v>6444.6624713795063</v>
      </c>
      <c r="K46" s="46">
        <f t="shared" si="10"/>
        <v>467.96470833254858</v>
      </c>
      <c r="L46" s="46">
        <f t="shared" si="11"/>
        <v>962542.36534635711</v>
      </c>
      <c r="N46" s="302">
        <f t="shared" ref="N46:N63" si="18">N45</f>
        <v>0.16260435651919575</v>
      </c>
      <c r="P46" s="48">
        <f t="shared" si="12"/>
        <v>1.1045086830268509</v>
      </c>
      <c r="Q46" s="303">
        <f t="shared" ref="Q46:Q63" si="19">Q45</f>
        <v>1.9495277286833229E-2</v>
      </c>
      <c r="R46" s="166"/>
      <c r="S46" s="46">
        <f t="shared" si="8"/>
        <v>560142.61845727742</v>
      </c>
      <c r="T46" s="88">
        <f t="shared" si="5"/>
        <v>8.494586706548013E-3</v>
      </c>
      <c r="V46" s="302">
        <f t="shared" si="14"/>
        <v>0.2974</v>
      </c>
      <c r="W46" s="69">
        <f t="shared" si="3"/>
        <v>1144857.5105925519</v>
      </c>
      <c r="X46" s="69">
        <f t="shared" si="4"/>
        <v>2054823.1509630191</v>
      </c>
    </row>
    <row r="47" spans="1:27">
      <c r="A47" s="57">
        <v>2024</v>
      </c>
      <c r="B47" s="313">
        <f t="shared" si="15"/>
        <v>20815.001756532842</v>
      </c>
      <c r="C47" s="302">
        <v>0.136824342425795</v>
      </c>
      <c r="D47" s="313">
        <f t="shared" si="16"/>
        <v>1405.2817324144389</v>
      </c>
      <c r="E47" s="302">
        <v>0.22822453082878699</v>
      </c>
      <c r="F47" s="302">
        <f t="shared" si="13"/>
        <v>0.83442799999999995</v>
      </c>
      <c r="G47" s="46">
        <f t="shared" si="9"/>
        <v>18773.902018114622</v>
      </c>
      <c r="I47" s="304">
        <f t="shared" si="17"/>
        <v>2056.8695634679102</v>
      </c>
      <c r="J47" s="46">
        <f t="shared" si="10"/>
        <v>6393.8312356897532</v>
      </c>
      <c r="K47" s="46">
        <f t="shared" si="10"/>
        <v>461.56535011769125</v>
      </c>
      <c r="L47" s="46">
        <f t="shared" si="11"/>
        <v>949379.72020848875</v>
      </c>
      <c r="N47" s="302">
        <f t="shared" si="18"/>
        <v>0.16260435651919575</v>
      </c>
      <c r="P47" s="48">
        <f t="shared" si="12"/>
        <v>1.1260413860681744</v>
      </c>
      <c r="Q47" s="303">
        <f t="shared" si="19"/>
        <v>1.9495277286833229E-2</v>
      </c>
      <c r="R47" s="166"/>
      <c r="S47" s="46">
        <f t="shared" si="8"/>
        <v>564852.57580918574</v>
      </c>
      <c r="T47" s="88">
        <f t="shared" si="5"/>
        <v>8.4084966876476486E-3</v>
      </c>
      <c r="V47" s="302">
        <f t="shared" si="14"/>
        <v>0.2974</v>
      </c>
      <c r="W47" s="69">
        <f t="shared" si="3"/>
        <v>1112619.1383135121</v>
      </c>
      <c r="X47" s="69">
        <f t="shared" si="4"/>
        <v>1982495.5816395415</v>
      </c>
    </row>
    <row r="48" spans="1:27">
      <c r="A48" s="57">
        <v>2025</v>
      </c>
      <c r="B48" s="313">
        <f t="shared" si="15"/>
        <v>20897.171009131755</v>
      </c>
      <c r="C48" s="302">
        <v>0.13784498775930401</v>
      </c>
      <c r="D48" s="313">
        <f t="shared" si="16"/>
        <v>1413.3851414715034</v>
      </c>
      <c r="E48" s="302">
        <v>0.228556667686308</v>
      </c>
      <c r="F48" s="302">
        <f t="shared" si="13"/>
        <v>0.83442799999999995</v>
      </c>
      <c r="G48" s="46">
        <f t="shared" si="9"/>
        <v>18850.569752279294</v>
      </c>
      <c r="I48" s="304">
        <f t="shared" si="17"/>
        <v>2056.8695634679102</v>
      </c>
      <c r="J48" s="61">
        <v>6343</v>
      </c>
      <c r="K48" s="61">
        <f>453/494*492+4</f>
        <v>455.16599190283404</v>
      </c>
      <c r="L48" s="46">
        <f t="shared" si="11"/>
        <v>936217.07507062063</v>
      </c>
      <c r="N48" s="302">
        <f t="shared" si="18"/>
        <v>0.16260435651919575</v>
      </c>
      <c r="P48" s="48">
        <f t="shared" si="12"/>
        <v>1.1479938751260235</v>
      </c>
      <c r="Q48" s="303">
        <f t="shared" si="19"/>
        <v>1.9495277286833229E-2</v>
      </c>
      <c r="R48" s="166"/>
      <c r="S48" s="46">
        <f t="shared" si="8"/>
        <v>569548.44718869787</v>
      </c>
      <c r="T48" s="88">
        <f t="shared" si="5"/>
        <v>8.3134459868312582E-3</v>
      </c>
      <c r="V48" s="302">
        <f t="shared" si="14"/>
        <v>0.2974</v>
      </c>
      <c r="W48" s="69">
        <f t="shared" si="3"/>
        <v>1081085.2917614824</v>
      </c>
      <c r="X48" s="69">
        <f t="shared" si="4"/>
        <v>1913628.6015516268</v>
      </c>
    </row>
    <row r="49" spans="1:24">
      <c r="A49" s="57">
        <v>2026</v>
      </c>
      <c r="B49" s="313">
        <f t="shared" si="15"/>
        <v>20988.137044517727</v>
      </c>
      <c r="C49" s="302">
        <v>0.138873246627643</v>
      </c>
      <c r="D49" s="313">
        <f t="shared" si="16"/>
        <v>1421.7260368689251</v>
      </c>
      <c r="E49" s="302">
        <v>0.229004496907493</v>
      </c>
      <c r="F49" s="302">
        <f t="shared" si="13"/>
        <v>0.83442799999999995</v>
      </c>
      <c r="G49" s="46">
        <f t="shared" si="9"/>
        <v>18934.815254651759</v>
      </c>
      <c r="I49" s="304">
        <f t="shared" si="17"/>
        <v>2056.8695634679102</v>
      </c>
      <c r="J49" s="46">
        <f>(J$53-J$48)/5+J48</f>
        <v>6299.2</v>
      </c>
      <c r="K49" s="46">
        <f>(K$53-K$48)/5+K48</f>
        <v>443.41376518218624</v>
      </c>
      <c r="L49" s="46">
        <f t="shared" si="11"/>
        <v>912044.27762594586</v>
      </c>
      <c r="N49" s="302">
        <f t="shared" si="18"/>
        <v>0.16260435651919575</v>
      </c>
      <c r="P49" s="48">
        <f t="shared" si="12"/>
        <v>1.1703743340451915</v>
      </c>
      <c r="Q49" s="303">
        <f t="shared" si="19"/>
        <v>1.9495277286833229E-2</v>
      </c>
      <c r="R49" s="166"/>
      <c r="S49" s="46">
        <f t="shared" si="8"/>
        <v>568482.94817577698</v>
      </c>
      <c r="T49" s="88">
        <f t="shared" si="5"/>
        <v>-1.8707785407549027E-3</v>
      </c>
      <c r="V49" s="302">
        <f t="shared" si="14"/>
        <v>0.2974</v>
      </c>
      <c r="W49" s="69">
        <f t="shared" si="3"/>
        <v>1037714.7066693365</v>
      </c>
      <c r="X49" s="69">
        <f t="shared" si="4"/>
        <v>1825811.0547802162</v>
      </c>
    </row>
    <row r="50" spans="1:24">
      <c r="A50" s="57">
        <v>2027</v>
      </c>
      <c r="B50" s="313">
        <f t="shared" si="15"/>
        <v>21078.834403997851</v>
      </c>
      <c r="C50" s="302">
        <v>0.139909175824208</v>
      </c>
      <c r="D50" s="313">
        <f t="shared" si="16"/>
        <v>1429.6738049239434</v>
      </c>
      <c r="E50" s="302">
        <v>0.22955213712172201</v>
      </c>
      <c r="F50" s="302">
        <f t="shared" si="13"/>
        <v>0.83442799999999995</v>
      </c>
      <c r="G50" s="46">
        <f t="shared" si="9"/>
        <v>19018.44343898306</v>
      </c>
      <c r="I50" s="304">
        <f t="shared" si="17"/>
        <v>2056.8695634679102</v>
      </c>
      <c r="J50" s="46">
        <f>(J$53-J$48)/5+J49</f>
        <v>6255.4</v>
      </c>
      <c r="K50" s="46">
        <f t="shared" ref="K50:K52" si="20">(K$53-K$48)/5+K49</f>
        <v>431.66153846153844</v>
      </c>
      <c r="L50" s="46">
        <f t="shared" si="11"/>
        <v>887871.48018127109</v>
      </c>
      <c r="N50" s="302">
        <f t="shared" si="18"/>
        <v>0.16260435651919575</v>
      </c>
      <c r="P50" s="48">
        <f t="shared" si="12"/>
        <v>1.1931911062167955</v>
      </c>
      <c r="Q50" s="303">
        <f t="shared" si="19"/>
        <v>1.9495277286833229E-2</v>
      </c>
      <c r="R50" s="166"/>
      <c r="S50" s="46">
        <f t="shared" si="8"/>
        <v>567080.82765638724</v>
      </c>
      <c r="T50" s="88">
        <f t="shared" si="5"/>
        <v>-2.4664249365597968E-3</v>
      </c>
      <c r="V50" s="302">
        <f t="shared" si="14"/>
        <v>0.2974</v>
      </c>
      <c r="W50" s="69">
        <f t="shared" si="3"/>
        <v>995388.48676329083</v>
      </c>
      <c r="X50" s="69">
        <f t="shared" si="4"/>
        <v>1741658.6956558353</v>
      </c>
    </row>
    <row r="51" spans="1:24">
      <c r="A51" s="57">
        <v>2028</v>
      </c>
      <c r="B51" s="313">
        <f t="shared" si="15"/>
        <v>21168.776133697866</v>
      </c>
      <c r="C51" s="302">
        <v>0.14095283256604399</v>
      </c>
      <c r="D51" s="313">
        <f t="shared" si="16"/>
        <v>1437.2157763727037</v>
      </c>
      <c r="E51" s="302">
        <v>0.23018588703253501</v>
      </c>
      <c r="F51" s="302">
        <f t="shared" si="13"/>
        <v>0.83442799999999995</v>
      </c>
      <c r="G51" s="46">
        <f t="shared" si="9"/>
        <v>19101.035308061946</v>
      </c>
      <c r="I51" s="304">
        <f t="shared" si="17"/>
        <v>2056.8695634679102</v>
      </c>
      <c r="J51" s="46">
        <f>(J$53-J$48)/5+J50</f>
        <v>6211.5999999999995</v>
      </c>
      <c r="K51" s="46">
        <f t="shared" si="20"/>
        <v>419.90931174089064</v>
      </c>
      <c r="L51" s="46">
        <f t="shared" si="11"/>
        <v>863698.68273659633</v>
      </c>
      <c r="N51" s="302">
        <f t="shared" si="18"/>
        <v>0.16260435651919575</v>
      </c>
      <c r="P51" s="48">
        <f t="shared" si="12"/>
        <v>1.2164526976886754</v>
      </c>
      <c r="Q51" s="303">
        <f t="shared" si="19"/>
        <v>1.9495277286833229E-2</v>
      </c>
      <c r="R51" s="166"/>
      <c r="S51" s="46">
        <f t="shared" si="8"/>
        <v>565324.25858752034</v>
      </c>
      <c r="T51" s="88">
        <f t="shared" si="5"/>
        <v>-3.0975638448691445E-3</v>
      </c>
      <c r="V51" s="302">
        <f t="shared" si="14"/>
        <v>0.2974</v>
      </c>
      <c r="W51" s="69">
        <f t="shared" si="3"/>
        <v>954084.89814591454</v>
      </c>
      <c r="X51" s="69">
        <f t="shared" si="4"/>
        <v>1660853.864543414</v>
      </c>
    </row>
    <row r="52" spans="1:24">
      <c r="A52" s="57">
        <v>2029</v>
      </c>
      <c r="B52" s="313">
        <f t="shared" si="15"/>
        <v>21257.462024832297</v>
      </c>
      <c r="C52" s="302">
        <v>0.14200427449701</v>
      </c>
      <c r="D52" s="313">
        <f t="shared" si="16"/>
        <v>1444.3382281805295</v>
      </c>
      <c r="E52" s="302">
        <v>0.23089392615358401</v>
      </c>
      <c r="F52" s="302">
        <f t="shared" si="13"/>
        <v>0.83442799999999995</v>
      </c>
      <c r="G52" s="46">
        <f t="shared" si="9"/>
        <v>19182.159750637289</v>
      </c>
      <c r="I52" s="304">
        <f t="shared" si="17"/>
        <v>2056.8695634679102</v>
      </c>
      <c r="J52" s="46">
        <f>(J$53-J$48)/5+J51</f>
        <v>6167.7999999999993</v>
      </c>
      <c r="K52" s="46">
        <f t="shared" si="20"/>
        <v>408.15708502024285</v>
      </c>
      <c r="L52" s="46">
        <f t="shared" si="11"/>
        <v>839525.88529192167</v>
      </c>
      <c r="N52" s="302">
        <f t="shared" si="18"/>
        <v>0.16260435651919575</v>
      </c>
      <c r="P52" s="48">
        <f t="shared" si="12"/>
        <v>1.2401677803364326</v>
      </c>
      <c r="Q52" s="303">
        <f t="shared" si="19"/>
        <v>1.9495277286833229E-2</v>
      </c>
      <c r="R52" s="166"/>
      <c r="S52" s="46">
        <f t="shared" si="8"/>
        <v>563194.72271824919</v>
      </c>
      <c r="T52" s="88">
        <f t="shared" si="5"/>
        <v>-3.7669281601179216E-3</v>
      </c>
      <c r="V52" s="302">
        <f t="shared" si="14"/>
        <v>0.2974</v>
      </c>
      <c r="W52" s="69">
        <f t="shared" si="3"/>
        <v>913782.63435029576</v>
      </c>
      <c r="X52" s="69">
        <f t="shared" si="4"/>
        <v>1583127.0218227706</v>
      </c>
    </row>
    <row r="53" spans="1:24">
      <c r="A53" s="57">
        <v>2030</v>
      </c>
      <c r="B53" s="313">
        <f t="shared" si="15"/>
        <v>21344.376573924445</v>
      </c>
      <c r="C53" s="302">
        <v>0.14306355969095999</v>
      </c>
      <c r="D53" s="313">
        <f t="shared" si="16"/>
        <v>1451.0262363188758</v>
      </c>
      <c r="E53" s="302">
        <v>0.23166605662527301</v>
      </c>
      <c r="F53" s="302">
        <f t="shared" si="13"/>
        <v>0.83442799999999995</v>
      </c>
      <c r="G53" s="46">
        <f t="shared" si="9"/>
        <v>19261.371692145498</v>
      </c>
      <c r="I53" s="304">
        <f t="shared" si="17"/>
        <v>2056.8695634679102</v>
      </c>
      <c r="J53" s="61">
        <v>6124</v>
      </c>
      <c r="K53" s="61">
        <f>394/494*492+4</f>
        <v>396.40485829959511</v>
      </c>
      <c r="L53" s="46">
        <f t="shared" si="11"/>
        <v>815353.08784724702</v>
      </c>
      <c r="N53" s="302">
        <f t="shared" si="18"/>
        <v>0.16260435651919575</v>
      </c>
      <c r="P53" s="48">
        <f t="shared" si="12"/>
        <v>1.2643451950962878</v>
      </c>
      <c r="Q53" s="303">
        <f t="shared" si="19"/>
        <v>1.9495277286833229E-2</v>
      </c>
      <c r="R53" s="166"/>
      <c r="S53" s="46">
        <f t="shared" si="8"/>
        <v>560672.97439117706</v>
      </c>
      <c r="T53" s="88">
        <f t="shared" si="5"/>
        <v>-4.4775780477859239E-3</v>
      </c>
      <c r="V53" s="302">
        <f t="shared" si="14"/>
        <v>0.2974</v>
      </c>
      <c r="W53" s="69">
        <f t="shared" si="3"/>
        <v>874460.80807201855</v>
      </c>
      <c r="X53" s="69">
        <f t="shared" si="4"/>
        <v>1508248.5750517957</v>
      </c>
    </row>
    <row r="54" spans="1:24">
      <c r="A54" s="57">
        <v>2031</v>
      </c>
      <c r="B54" s="313">
        <f t="shared" si="15"/>
        <v>21428.986836954449</v>
      </c>
      <c r="C54" s="302">
        <v>0.14413074665495301</v>
      </c>
      <c r="D54" s="313">
        <f t="shared" si="16"/>
        <v>1457.2635298478194</v>
      </c>
      <c r="E54" s="302">
        <v>0.232493480472862</v>
      </c>
      <c r="F54" s="302">
        <f t="shared" si="13"/>
        <v>0.83442799999999995</v>
      </c>
      <c r="G54" s="46">
        <f t="shared" si="9"/>
        <v>19338.210158234047</v>
      </c>
      <c r="I54" s="304">
        <f t="shared" si="17"/>
        <v>2056.8695634679102</v>
      </c>
      <c r="J54" s="46">
        <f>(J$58-J$53)/5+J53</f>
        <v>6077.8</v>
      </c>
      <c r="K54" s="46">
        <f>(K$58-K$53)/5+K53</f>
        <v>386.04696356275298</v>
      </c>
      <c r="L54" s="46">
        <f t="shared" si="11"/>
        <v>794048.24942143192</v>
      </c>
      <c r="N54" s="302">
        <f t="shared" si="18"/>
        <v>0.16260435651919575</v>
      </c>
      <c r="P54" s="48">
        <f t="shared" si="12"/>
        <v>1.2889939552609653</v>
      </c>
      <c r="Q54" s="303">
        <f t="shared" si="19"/>
        <v>1.9495277286833229E-2</v>
      </c>
      <c r="R54" s="166"/>
      <c r="S54" s="46">
        <f t="shared" si="8"/>
        <v>559431.51221501932</v>
      </c>
      <c r="T54" s="88">
        <f t="shared" si="5"/>
        <v>-2.214235807434517E-3</v>
      </c>
      <c r="V54" s="302">
        <f t="shared" si="14"/>
        <v>0.2974</v>
      </c>
      <c r="W54" s="69">
        <f t="shared" si="3"/>
        <v>839129.72824918199</v>
      </c>
      <c r="X54" s="69">
        <f t="shared" si="4"/>
        <v>1441227.5667264841</v>
      </c>
    </row>
    <row r="55" spans="1:24">
      <c r="A55" s="57">
        <v>2032</v>
      </c>
      <c r="B55" s="313">
        <f t="shared" si="15"/>
        <v>21513.395124240807</v>
      </c>
      <c r="C55" s="302">
        <v>0.14520589433248099</v>
      </c>
      <c r="D55" s="313">
        <f t="shared" si="16"/>
        <v>1463.2203820085608</v>
      </c>
      <c r="E55" s="302">
        <v>0.233368607440887</v>
      </c>
      <c r="F55" s="302">
        <f t="shared" si="13"/>
        <v>0.83442799999999995</v>
      </c>
      <c r="G55" s="46">
        <f t="shared" si="9"/>
        <v>19414.599648738567</v>
      </c>
      <c r="I55" s="304">
        <f t="shared" si="17"/>
        <v>2056.8695634679102</v>
      </c>
      <c r="J55" s="46">
        <f>(J$58-J$53)/5+J54</f>
        <v>6031.6</v>
      </c>
      <c r="K55" s="46">
        <f t="shared" ref="K55:K57" si="21">(K$58-K$53)/5+K54</f>
        <v>375.68906882591085</v>
      </c>
      <c r="L55" s="46">
        <f t="shared" si="11"/>
        <v>772743.41099561693</v>
      </c>
      <c r="N55" s="302">
        <f t="shared" si="18"/>
        <v>0.16260435651919575</v>
      </c>
      <c r="P55" s="48">
        <f t="shared" si="12"/>
        <v>1.3141232498398299</v>
      </c>
      <c r="Q55" s="303">
        <f t="shared" si="19"/>
        <v>1.9495277286833229E-2</v>
      </c>
      <c r="R55" s="166"/>
      <c r="S55" s="46">
        <f t="shared" si="8"/>
        <v>557852.7551697921</v>
      </c>
      <c r="T55" s="88">
        <f t="shared" si="5"/>
        <v>-2.822073856683982E-3</v>
      </c>
      <c r="V55" s="302">
        <f t="shared" si="14"/>
        <v>0.2974</v>
      </c>
      <c r="W55" s="69">
        <f t="shared" si="3"/>
        <v>804649.71828109131</v>
      </c>
      <c r="X55" s="69">
        <f t="shared" si="4"/>
        <v>1376496.2543164906</v>
      </c>
    </row>
    <row r="56" spans="1:24">
      <c r="A56" s="57">
        <v>2033</v>
      </c>
      <c r="B56" s="313">
        <f t="shared" si="15"/>
        <v>21597.088316732425</v>
      </c>
      <c r="C56" s="302">
        <v>0.14628906210673001</v>
      </c>
      <c r="D56" s="313">
        <f t="shared" si="16"/>
        <v>1468.8774215364861</v>
      </c>
      <c r="E56" s="302">
        <v>0.234284889206612</v>
      </c>
      <c r="F56" s="302">
        <f t="shared" si="13"/>
        <v>0.83442799999999995</v>
      </c>
      <c r="G56" s="46">
        <f t="shared" si="9"/>
        <v>19490.09263149089</v>
      </c>
      <c r="I56" s="304">
        <f t="shared" si="17"/>
        <v>2056.8695634679102</v>
      </c>
      <c r="J56" s="46">
        <f>(J$58-J$53)/5+J55</f>
        <v>5985.4000000000005</v>
      </c>
      <c r="K56" s="46">
        <f t="shared" si="21"/>
        <v>365.33117408906872</v>
      </c>
      <c r="L56" s="46">
        <f t="shared" si="11"/>
        <v>751438.57256980194</v>
      </c>
      <c r="N56" s="302">
        <f t="shared" si="18"/>
        <v>0.16260435651919575</v>
      </c>
      <c r="P56" s="48">
        <f t="shared" si="12"/>
        <v>1.3397424469845318</v>
      </c>
      <c r="Q56" s="303">
        <f t="shared" si="19"/>
        <v>1.9495277286833229E-2</v>
      </c>
      <c r="R56" s="166"/>
      <c r="S56" s="46">
        <f t="shared" si="8"/>
        <v>555918.78819111572</v>
      </c>
      <c r="T56" s="88">
        <f t="shared" si="5"/>
        <v>-3.4668054621110889E-3</v>
      </c>
      <c r="V56" s="302">
        <f t="shared" si="14"/>
        <v>0.2974</v>
      </c>
      <c r="W56" s="69">
        <f t="shared" si="3"/>
        <v>771003.0878826523</v>
      </c>
      <c r="X56" s="69">
        <f t="shared" si="4"/>
        <v>1313916.9250545243</v>
      </c>
    </row>
    <row r="57" spans="1:24">
      <c r="A57" s="57">
        <v>2034</v>
      </c>
      <c r="B57" s="313">
        <f t="shared" si="15"/>
        <v>21679.53992885094</v>
      </c>
      <c r="C57" s="302">
        <v>0.147380309803853</v>
      </c>
      <c r="D57" s="313">
        <f t="shared" si="16"/>
        <v>1474.2143235063861</v>
      </c>
      <c r="E57" s="302">
        <v>0.235236676351402</v>
      </c>
      <c r="F57" s="302">
        <f t="shared" si="13"/>
        <v>0.83442799999999995</v>
      </c>
      <c r="G57" s="46">
        <f t="shared" si="9"/>
        <v>19564.229467257617</v>
      </c>
      <c r="I57" s="304">
        <f t="shared" si="17"/>
        <v>2056.8695634679102</v>
      </c>
      <c r="J57" s="46">
        <f>(J$58-J$53)/5+J56</f>
        <v>5939.2000000000007</v>
      </c>
      <c r="K57" s="46">
        <f t="shared" si="21"/>
        <v>354.9732793522266</v>
      </c>
      <c r="L57" s="46">
        <f t="shared" si="11"/>
        <v>730133.73414398683</v>
      </c>
      <c r="N57" s="302">
        <f t="shared" si="18"/>
        <v>0.16260435651919575</v>
      </c>
      <c r="P57" s="48">
        <f t="shared" si="12"/>
        <v>1.3658610974814358</v>
      </c>
      <c r="Q57" s="303">
        <f t="shared" si="19"/>
        <v>1.9495277286833229E-2</v>
      </c>
      <c r="R57" s="166"/>
      <c r="S57" s="46">
        <f t="shared" si="8"/>
        <v>553611.00173429935</v>
      </c>
      <c r="T57" s="88">
        <f t="shared" si="5"/>
        <v>-4.1513014235866619E-3</v>
      </c>
      <c r="V57" s="302">
        <f t="shared" si="14"/>
        <v>0.2974</v>
      </c>
      <c r="W57" s="69">
        <f t="shared" si="3"/>
        <v>738172.49392411206</v>
      </c>
      <c r="X57" s="69">
        <f t="shared" si="4"/>
        <v>1253370.0331914271</v>
      </c>
    </row>
    <row r="58" spans="1:24">
      <c r="A58" s="57">
        <v>2035</v>
      </c>
      <c r="B58" s="313">
        <f t="shared" si="15"/>
        <v>21760.207918143322</v>
      </c>
      <c r="C58" s="302">
        <v>0.148479697696281</v>
      </c>
      <c r="D58" s="313">
        <f>EXP(0.048470451741*LOG(S57,EXP(1))-0.005070568273*LOG(X57,EXP(1)) +0.922366678461*LOG(D57,EXP(1)) )</f>
        <v>1479.2096791396866</v>
      </c>
      <c r="E58" s="302">
        <v>0.236219094965986</v>
      </c>
      <c r="F58" s="302">
        <f t="shared" si="13"/>
        <v>0.83442799999999995</v>
      </c>
      <c r="G58" s="46">
        <f t="shared" si="9"/>
        <v>19636.536451860182</v>
      </c>
      <c r="I58" s="304">
        <f t="shared" si="17"/>
        <v>2056.8695634679102</v>
      </c>
      <c r="J58" s="61">
        <v>5893</v>
      </c>
      <c r="K58" s="61">
        <f>342/494*492+4</f>
        <v>344.61538461538458</v>
      </c>
      <c r="L58" s="46">
        <f t="shared" si="11"/>
        <v>708828.89571817208</v>
      </c>
      <c r="N58" s="302">
        <f t="shared" si="18"/>
        <v>0.16260435651919575</v>
      </c>
      <c r="P58" s="48">
        <f t="shared" si="12"/>
        <v>1.3924889383121348</v>
      </c>
      <c r="Q58" s="303">
        <f t="shared" si="19"/>
        <v>1.9495277286833229E-2</v>
      </c>
      <c r="R58" s="166"/>
      <c r="S58" s="46">
        <f t="shared" si="8"/>
        <v>550910.05515889579</v>
      </c>
      <c r="T58" s="88">
        <f t="shared" si="5"/>
        <v>-4.8787805281006458E-3</v>
      </c>
      <c r="V58" s="302">
        <f t="shared" si="14"/>
        <v>0.2974</v>
      </c>
      <c r="W58" s="69">
        <f t="shared" si="3"/>
        <v>706140.93373587891</v>
      </c>
      <c r="X58" s="69">
        <f t="shared" si="4"/>
        <v>1194751.1809231015</v>
      </c>
    </row>
    <row r="59" spans="1:24" hidden="1" outlineLevel="1">
      <c r="A59" s="57">
        <v>2036</v>
      </c>
      <c r="B59" s="313">
        <f t="shared" si="15"/>
        <v>21838.532383988422</v>
      </c>
      <c r="C59" s="302">
        <f>★図6!B57</f>
        <v>0.149587286506047</v>
      </c>
      <c r="D59" s="313">
        <f t="shared" si="16"/>
        <v>1483.8408619997381</v>
      </c>
      <c r="E59" s="302">
        <f>★図6!C57</f>
        <v>0.23722794019440699</v>
      </c>
      <c r="F59" s="302">
        <f t="shared" si="13"/>
        <v>0.83442799999999995</v>
      </c>
      <c r="G59" s="46">
        <f t="shared" si="9"/>
        <v>19706.52376210643</v>
      </c>
      <c r="I59" s="75">
        <f t="shared" si="17"/>
        <v>2056.8695634679102</v>
      </c>
      <c r="J59" s="43"/>
      <c r="K59" s="46">
        <f>(K$63-K$58)/5+K58</f>
        <v>335.85101214574894</v>
      </c>
      <c r="L59" s="46">
        <f t="shared" si="11"/>
        <v>690801.72474248242</v>
      </c>
      <c r="N59" s="302">
        <f t="shared" si="18"/>
        <v>0.16260435651919575</v>
      </c>
      <c r="P59" s="48">
        <f t="shared" si="12"/>
        <v>1.4196358962833779</v>
      </c>
      <c r="Q59" s="303">
        <f t="shared" si="19"/>
        <v>1.9495277286833229E-2</v>
      </c>
      <c r="R59" s="166"/>
      <c r="S59" s="46">
        <f t="shared" ref="S59:S63" si="22">P59*(G59^N59)*(L59^(1-N59))</f>
        <v>549981.87867012154</v>
      </c>
      <c r="T59" s="88">
        <f t="shared" si="5"/>
        <v>-1.6848058591099058E-3</v>
      </c>
      <c r="V59" s="302">
        <f t="shared" si="14"/>
        <v>0.2974</v>
      </c>
      <c r="W59" s="69">
        <f t="shared" si="3"/>
        <v>678109.18331519281</v>
      </c>
      <c r="X59" s="69">
        <f t="shared" si="4"/>
        <v>1143393.7077159265</v>
      </c>
    </row>
    <row r="60" spans="1:24" hidden="1" outlineLevel="1">
      <c r="A60" s="57">
        <v>2037</v>
      </c>
      <c r="B60" s="313">
        <f t="shared" si="15"/>
        <v>21917.488340737676</v>
      </c>
      <c r="C60" s="302">
        <f>★図6!B58</f>
        <v>0.15070313740814401</v>
      </c>
      <c r="D60" s="313">
        <f t="shared" si="16"/>
        <v>1488.3352856817369</v>
      </c>
      <c r="E60" s="302">
        <f>★図6!C58</f>
        <v>0.238259584391458</v>
      </c>
      <c r="F60" s="302">
        <f t="shared" si="13"/>
        <v>0.83442799999999995</v>
      </c>
      <c r="G60" s="46">
        <f t="shared" si="9"/>
        <v>19776.901246866793</v>
      </c>
      <c r="I60" s="75">
        <f t="shared" si="17"/>
        <v>2056.8695634679102</v>
      </c>
      <c r="J60" s="43"/>
      <c r="K60" s="46">
        <f t="shared" ref="K60:K62" si="23">(K$63-K$58)/5+K59</f>
        <v>327.08663967611329</v>
      </c>
      <c r="L60" s="46">
        <f t="shared" si="11"/>
        <v>672774.55376679276</v>
      </c>
      <c r="N60" s="302">
        <f t="shared" si="18"/>
        <v>0.16260435651919575</v>
      </c>
      <c r="P60" s="48">
        <f t="shared" si="12"/>
        <v>1.4473120917277644</v>
      </c>
      <c r="Q60" s="303">
        <f t="shared" si="19"/>
        <v>1.9495277286833229E-2</v>
      </c>
      <c r="R60" s="166"/>
      <c r="S60" s="46">
        <f t="shared" si="22"/>
        <v>548742.77491015999</v>
      </c>
      <c r="T60" s="88">
        <f t="shared" si="5"/>
        <v>-2.2529901584352752E-3</v>
      </c>
      <c r="V60" s="302">
        <f t="shared" si="14"/>
        <v>0.2974</v>
      </c>
      <c r="W60" s="69">
        <f t="shared" si="3"/>
        <v>650749.29369847034</v>
      </c>
      <c r="X60" s="69">
        <f t="shared" si="4"/>
        <v>1093596.8563571852</v>
      </c>
    </row>
    <row r="61" spans="1:24" hidden="1" outlineLevel="1">
      <c r="A61" s="57">
        <v>2038</v>
      </c>
      <c r="B61" s="313">
        <f t="shared" si="15"/>
        <v>21996.550716526395</v>
      </c>
      <c r="C61" s="302">
        <f>★図6!B59</f>
        <v>0.15182731203389899</v>
      </c>
      <c r="D61" s="313">
        <f t="shared" si="16"/>
        <v>1492.6666845284442</v>
      </c>
      <c r="E61" s="302">
        <f>★図6!C59</f>
        <v>0.23931089788756399</v>
      </c>
      <c r="F61" s="302">
        <f t="shared" si="13"/>
        <v>0.83442799999999995</v>
      </c>
      <c r="G61" s="46">
        <f t="shared" si="9"/>
        <v>19847.204505818132</v>
      </c>
      <c r="I61" s="75">
        <f t="shared" si="17"/>
        <v>2056.8695634679102</v>
      </c>
      <c r="J61" s="43"/>
      <c r="K61" s="46">
        <f t="shared" si="23"/>
        <v>318.32226720647765</v>
      </c>
      <c r="L61" s="46">
        <f t="shared" si="11"/>
        <v>654747.3827911031</v>
      </c>
      <c r="N61" s="302">
        <f t="shared" si="18"/>
        <v>0.16260435651919575</v>
      </c>
      <c r="P61" s="48">
        <f t="shared" si="12"/>
        <v>1.4755278422765838</v>
      </c>
      <c r="Q61" s="303">
        <f t="shared" si="19"/>
        <v>1.9495277286833229E-2</v>
      </c>
      <c r="R61" s="166"/>
      <c r="S61" s="46">
        <f t="shared" si="22"/>
        <v>547175.80222606438</v>
      </c>
      <c r="T61" s="88">
        <f t="shared" si="5"/>
        <v>-2.8555686848945605E-3</v>
      </c>
      <c r="V61" s="302">
        <f t="shared" si="14"/>
        <v>0.2974</v>
      </c>
      <c r="W61" s="69">
        <f t="shared" si="3"/>
        <v>624047.34795452817</v>
      </c>
      <c r="X61" s="69">
        <f t="shared" si="4"/>
        <v>1045294.6612104683</v>
      </c>
    </row>
    <row r="62" spans="1:24" hidden="1" outlineLevel="1">
      <c r="A62" s="57">
        <v>2039</v>
      </c>
      <c r="B62" s="313">
        <f t="shared" si="15"/>
        <v>22075.184174779479</v>
      </c>
      <c r="C62" s="302">
        <f>★図6!B60</f>
        <v>0.152959872474381</v>
      </c>
      <c r="D62" s="313">
        <f t="shared" si="16"/>
        <v>1496.8083708281711</v>
      </c>
      <c r="E62" s="302">
        <f>★図6!C60</f>
        <v>0.24037918063046401</v>
      </c>
      <c r="F62" s="302">
        <f t="shared" si="13"/>
        <v>0.83442799999999995</v>
      </c>
      <c r="G62" s="46">
        <f t="shared" si="9"/>
        <v>19916.960151421059</v>
      </c>
      <c r="I62" s="75">
        <f t="shared" si="17"/>
        <v>2056.8695634679102</v>
      </c>
      <c r="J62" s="43"/>
      <c r="K62" s="46">
        <f t="shared" si="23"/>
        <v>309.557894736842</v>
      </c>
      <c r="L62" s="46">
        <f t="shared" si="11"/>
        <v>636720.21181541355</v>
      </c>
      <c r="N62" s="302">
        <f t="shared" si="18"/>
        <v>0.16260435651919575</v>
      </c>
      <c r="P62" s="48">
        <f t="shared" si="12"/>
        <v>1.5042936667062088</v>
      </c>
      <c r="Q62" s="303">
        <f t="shared" si="19"/>
        <v>1.9495277286833229E-2</v>
      </c>
      <c r="R62" s="166"/>
      <c r="S62" s="46">
        <f t="shared" si="22"/>
        <v>545263.37613813253</v>
      </c>
      <c r="T62" s="88">
        <f t="shared" si="5"/>
        <v>-3.4950852726884918E-3</v>
      </c>
      <c r="V62" s="302">
        <f t="shared" si="14"/>
        <v>0.2974</v>
      </c>
      <c r="W62" s="69">
        <f t="shared" si="3"/>
        <v>597989.70133947046</v>
      </c>
      <c r="X62" s="69">
        <f t="shared" si="4"/>
        <v>998428.07330930664</v>
      </c>
    </row>
    <row r="63" spans="1:24" hidden="1" outlineLevel="1">
      <c r="A63" s="57">
        <v>2040</v>
      </c>
      <c r="B63" s="313">
        <f t="shared" si="15"/>
        <v>22152.840889961382</v>
      </c>
      <c r="C63" s="302">
        <f>★図6!B61</f>
        <v>0.15410088128383101</v>
      </c>
      <c r="D63" s="313">
        <f t="shared" si="16"/>
        <v>1500.7330928314623</v>
      </c>
      <c r="E63" s="302">
        <f>★図6!C61</f>
        <v>0.24146210321060199</v>
      </c>
      <c r="F63" s="302">
        <f t="shared" si="13"/>
        <v>0.83442799999999995</v>
      </c>
      <c r="G63" s="46">
        <f t="shared" si="9"/>
        <v>19985.683810960156</v>
      </c>
      <c r="I63" s="75">
        <f t="shared" si="17"/>
        <v>2056.8695634679102</v>
      </c>
      <c r="J63" s="43"/>
      <c r="K63" s="75">
        <f>298/494*492+4</f>
        <v>300.79352226720647</v>
      </c>
      <c r="L63" s="46">
        <f t="shared" si="11"/>
        <v>618693.04083972413</v>
      </c>
      <c r="N63" s="302">
        <f t="shared" si="18"/>
        <v>0.16260435651919575</v>
      </c>
      <c r="P63" s="48">
        <f t="shared" si="12"/>
        <v>1.5336202888594734</v>
      </c>
      <c r="Q63" s="303">
        <f t="shared" si="19"/>
        <v>1.9495277286833229E-2</v>
      </c>
      <c r="R63" s="166"/>
      <c r="S63" s="46">
        <f t="shared" si="22"/>
        <v>542987.23595020967</v>
      </c>
      <c r="T63" s="88">
        <f t="shared" si="5"/>
        <v>-4.1743867047220329E-3</v>
      </c>
      <c r="V63" s="302">
        <f t="shared" si="14"/>
        <v>0.2974</v>
      </c>
      <c r="W63" s="69">
        <f t="shared" si="3"/>
        <v>572562.97606667434</v>
      </c>
      <c r="X63" s="69">
        <f t="shared" si="4"/>
        <v>952943.85506526602</v>
      </c>
    </row>
    <row r="64" spans="1:24" collapsed="1">
      <c r="F64" s="72"/>
      <c r="Q64" s="45"/>
      <c r="W64" s="43"/>
      <c r="X64" s="43"/>
    </row>
    <row r="65" spans="1:24" s="57" customFormat="1" ht="107.4" customHeight="1">
      <c r="A65" s="57" t="s">
        <v>391</v>
      </c>
      <c r="B65" s="73" t="s">
        <v>662</v>
      </c>
      <c r="C65" s="74" t="s">
        <v>672</v>
      </c>
      <c r="D65" s="73" t="s">
        <v>662</v>
      </c>
      <c r="E65" s="74" t="s">
        <v>672</v>
      </c>
      <c r="F65" s="73" t="s">
        <v>114</v>
      </c>
      <c r="G65" s="73"/>
      <c r="H65" s="376"/>
      <c r="I65" s="57" t="s">
        <v>114</v>
      </c>
      <c r="J65" s="376" t="s">
        <v>674</v>
      </c>
      <c r="K65" s="73" t="s">
        <v>676</v>
      </c>
      <c r="L65" s="73"/>
      <c r="M65" s="376"/>
      <c r="N65" s="74" t="s">
        <v>392</v>
      </c>
      <c r="O65" s="376"/>
      <c r="P65" s="399"/>
      <c r="Q65" s="74" t="s">
        <v>396</v>
      </c>
      <c r="R65" s="376"/>
      <c r="S65" s="73" t="s">
        <v>663</v>
      </c>
      <c r="T65" s="376"/>
      <c r="U65" s="376"/>
      <c r="V65" s="376" t="s">
        <v>114</v>
      </c>
      <c r="W65" s="375" t="s">
        <v>124</v>
      </c>
      <c r="X65" s="375" t="s">
        <v>124</v>
      </c>
    </row>
  </sheetData>
  <mergeCells count="4">
    <mergeCell ref="B1:G1"/>
    <mergeCell ref="I1:L1"/>
    <mergeCell ref="P1:Q1"/>
    <mergeCell ref="S1:T1"/>
  </mergeCells>
  <phoneticPr fontId="1"/>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C6FAC-DA92-46F3-B4CB-EFE932E8DB6D}">
  <dimension ref="A1:L29"/>
  <sheetViews>
    <sheetView showGridLines="0" topLeftCell="A13" zoomScale="85" zoomScaleNormal="85" workbookViewId="0">
      <selection activeCell="J29" sqref="A1:N29"/>
    </sheetView>
  </sheetViews>
  <sheetFormatPr defaultColWidth="8.84375" defaultRowHeight="25.2" customHeight="1"/>
  <cols>
    <col min="1" max="1" width="15.4609375" style="24" bestFit="1" customWidth="1"/>
    <col min="2" max="2" width="20.765625" style="38" customWidth="1"/>
    <col min="3" max="3" width="21.765625" style="128" bestFit="1" customWidth="1"/>
    <col min="4" max="4" width="11.07421875" style="38" bestFit="1" customWidth="1"/>
    <col min="5" max="5" width="11.07421875" style="38" customWidth="1"/>
    <col min="6" max="7" width="11.07421875" style="37" bestFit="1" customWidth="1"/>
    <col min="8" max="10" width="9.3046875" style="37" bestFit="1" customWidth="1"/>
    <col min="11" max="11" width="10.765625" style="24" customWidth="1"/>
    <col min="12" max="12" width="15.4609375" style="38" bestFit="1" customWidth="1"/>
    <col min="13" max="16384" width="8.84375" style="24"/>
  </cols>
  <sheetData>
    <row r="1" spans="1:10" ht="25.2" customHeight="1">
      <c r="D1" s="417" t="s">
        <v>397</v>
      </c>
      <c r="E1" s="417"/>
      <c r="F1" s="417"/>
      <c r="G1" s="418"/>
      <c r="H1" s="419" t="s">
        <v>398</v>
      </c>
      <c r="I1" s="420"/>
      <c r="J1" s="420"/>
    </row>
    <row r="2" spans="1:10" ht="25.2" customHeight="1">
      <c r="B2" s="24"/>
      <c r="C2" s="57"/>
      <c r="D2" s="132" t="s">
        <v>59</v>
      </c>
      <c r="E2" s="132" t="s">
        <v>69</v>
      </c>
      <c r="F2" s="132" t="s">
        <v>79</v>
      </c>
      <c r="G2" s="132" t="s">
        <v>89</v>
      </c>
      <c r="H2" s="171" t="s">
        <v>94</v>
      </c>
      <c r="I2" s="132" t="s">
        <v>99</v>
      </c>
      <c r="J2" s="132" t="s">
        <v>104</v>
      </c>
    </row>
    <row r="3" spans="1:10" ht="25.2" customHeight="1">
      <c r="A3" s="425" t="s">
        <v>399</v>
      </c>
      <c r="B3" s="133"/>
      <c r="C3" s="134" t="s">
        <v>400</v>
      </c>
      <c r="D3" s="133">
        <f>'供給側予測（成長実現ケース）'!Q13</f>
        <v>-3.1687676375230622E-2</v>
      </c>
      <c r="E3" s="133">
        <f>'供給側予測（成長実現ケース）'!Q23</f>
        <v>-0.11540402533002792</v>
      </c>
      <c r="F3" s="133">
        <f>'供給側予測（成長実現ケース）'!Q33</f>
        <v>4.9170080948034656E-2</v>
      </c>
      <c r="G3" s="133">
        <f>'供給側予測（成長実現ケース）'!Q43</f>
        <v>4.6892926665131673E-2</v>
      </c>
      <c r="H3" s="172">
        <f>'供給側予測（成長実現ケース）'!Q48</f>
        <v>3.9063957056623931E-2</v>
      </c>
      <c r="I3" s="133">
        <f>'供給側予測（成長実現ケース）'!Q53</f>
        <v>3.9063957056623931E-2</v>
      </c>
      <c r="J3" s="133">
        <f>'供給側予測（成長実現ケース）'!Q58</f>
        <v>3.9063957056623931E-2</v>
      </c>
    </row>
    <row r="4" spans="1:10" ht="25.2" customHeight="1">
      <c r="A4" s="425"/>
      <c r="B4" s="135"/>
      <c r="C4" s="136" t="s">
        <v>150</v>
      </c>
      <c r="D4" s="135">
        <f>D3</f>
        <v>-3.1687676375230622E-2</v>
      </c>
      <c r="E4" s="135">
        <f>E3</f>
        <v>-0.11540402533002792</v>
      </c>
      <c r="F4" s="135">
        <f>F3</f>
        <v>4.9170080948034656E-2</v>
      </c>
      <c r="G4" s="135">
        <f>G3</f>
        <v>4.6892926665131673E-2</v>
      </c>
      <c r="H4" s="173">
        <f>'供給側予測（ベースラインケース)'!Q48</f>
        <v>1.9495277286833229E-2</v>
      </c>
      <c r="I4" s="135">
        <f>H4</f>
        <v>1.9495277286833229E-2</v>
      </c>
      <c r="J4" s="135">
        <f>I4</f>
        <v>1.9495277286833229E-2</v>
      </c>
    </row>
    <row r="5" spans="1:10" ht="25.2" customHeight="1">
      <c r="F5" s="38"/>
      <c r="G5" s="38"/>
      <c r="H5" s="174"/>
      <c r="I5" s="38"/>
      <c r="J5" s="38"/>
    </row>
    <row r="6" spans="1:10" ht="25.2" customHeight="1">
      <c r="A6" s="426" t="s">
        <v>401</v>
      </c>
      <c r="B6" s="422" t="s">
        <v>402</v>
      </c>
      <c r="C6" s="134" t="s">
        <v>400</v>
      </c>
      <c r="D6" s="137">
        <f>'供給側予測（成長実現ケース）'!B13</f>
        <v>18253.596758816599</v>
      </c>
      <c r="E6" s="137">
        <f>'供給側予測（成長実現ケース）'!B23</f>
        <v>23616.370338539102</v>
      </c>
      <c r="F6" s="137">
        <f>'供給側予測（成長実現ケース）'!B33</f>
        <v>19816.2495138962</v>
      </c>
      <c r="G6" s="137">
        <f>'供給側予測（成長実現ケース）'!B43</f>
        <v>20403.6494169527</v>
      </c>
      <c r="H6" s="175">
        <f>'供給側予測（成長実現ケース）'!B48</f>
        <v>21038.430522605853</v>
      </c>
      <c r="I6" s="137">
        <f>'供給側予測（成長実現ケース）'!B53</f>
        <v>22391.269473331929</v>
      </c>
      <c r="J6" s="137">
        <f>'供給側予測（成長実現ケース）'!B58</f>
        <v>24623.554955208216</v>
      </c>
    </row>
    <row r="7" spans="1:10" ht="25.2" customHeight="1">
      <c r="A7" s="412"/>
      <c r="B7" s="423"/>
      <c r="C7" s="136" t="s">
        <v>150</v>
      </c>
      <c r="D7" s="138">
        <f>D6</f>
        <v>18253.596758816599</v>
      </c>
      <c r="E7" s="138">
        <f>E6</f>
        <v>23616.370338539102</v>
      </c>
      <c r="F7" s="138">
        <f>F6</f>
        <v>19816.2495138962</v>
      </c>
      <c r="G7" s="138">
        <f>G6</f>
        <v>20403.6494169527</v>
      </c>
      <c r="H7" s="176">
        <f>'供給側予測（ベースラインケース)'!B48</f>
        <v>20897.171009131755</v>
      </c>
      <c r="I7" s="138">
        <f>'供給側予測（ベースラインケース)'!B53</f>
        <v>21344.376573924445</v>
      </c>
      <c r="J7" s="138">
        <f>'供給側予測（ベースラインケース)'!B58</f>
        <v>21760.207918143322</v>
      </c>
    </row>
    <row r="8" spans="1:10" ht="25.2" customHeight="1">
      <c r="A8" s="412"/>
      <c r="B8" s="428" t="s">
        <v>384</v>
      </c>
      <c r="C8" s="134" t="s">
        <v>400</v>
      </c>
      <c r="D8" s="133">
        <f>'供給側予測（成長実現ケース）'!C13</f>
        <v>9.9648887769073644E-2</v>
      </c>
      <c r="E8" s="133">
        <f>'供給側予測（成長実現ケース）'!C23</f>
        <v>0.10780754191009188</v>
      </c>
      <c r="F8" s="133">
        <f>'供給側予測（成長実現ケース）'!C33</f>
        <v>0.11020477394683277</v>
      </c>
      <c r="G8" s="133">
        <f>'供給側予測（成長実現ケース）'!C43</f>
        <v>0.13281677522458163</v>
      </c>
      <c r="H8" s="172">
        <f>'供給側予測（成長実現ケース）'!C48</f>
        <v>0.13784498775930401</v>
      </c>
      <c r="I8" s="133">
        <f>'供給側予測（成長実現ケース）'!C53</f>
        <v>0.14306355969095999</v>
      </c>
      <c r="J8" s="133">
        <f>'供給側予測（成長実現ケース）'!C58</f>
        <v>0.148479697696281</v>
      </c>
    </row>
    <row r="9" spans="1:10" ht="25.2" customHeight="1">
      <c r="A9" s="412"/>
      <c r="B9" s="429"/>
      <c r="C9" s="136" t="s">
        <v>150</v>
      </c>
      <c r="D9" s="135">
        <f>D8</f>
        <v>9.9648887769073644E-2</v>
      </c>
      <c r="E9" s="135">
        <f>E8</f>
        <v>0.10780754191009188</v>
      </c>
      <c r="F9" s="135">
        <f>F8</f>
        <v>0.11020477394683277</v>
      </c>
      <c r="G9" s="135">
        <f>G8</f>
        <v>0.13281677522458163</v>
      </c>
      <c r="H9" s="173">
        <f>'供給側予測（ベースラインケース)'!C48</f>
        <v>0.13784498775930401</v>
      </c>
      <c r="I9" s="135">
        <f>'供給側予測（ベースラインケース)'!C53</f>
        <v>0.14306355969095999</v>
      </c>
      <c r="J9" s="135">
        <f>'供給側予測（ベースラインケース)'!C58</f>
        <v>0.148479697696281</v>
      </c>
    </row>
    <row r="10" spans="1:10" ht="25.2" customHeight="1">
      <c r="A10" s="412"/>
      <c r="B10" s="422" t="s">
        <v>403</v>
      </c>
      <c r="C10" s="134" t="s">
        <v>400</v>
      </c>
      <c r="D10" s="137">
        <f>'供給側予測（成長実現ケース）'!D13</f>
        <v>1003.35961608405</v>
      </c>
      <c r="E10" s="137">
        <f>'供給側予測（成長実現ケース）'!D23</f>
        <v>1524.7844056659601</v>
      </c>
      <c r="F10" s="137">
        <f>'供給側予測（成長実現ケース）'!D33</f>
        <v>1415.6182766034899</v>
      </c>
      <c r="G10" s="137">
        <f>'供給側予測（成長実現ケース）'!D43</f>
        <v>1373.94320143653</v>
      </c>
      <c r="H10" s="175">
        <f>'供給側予測（成長実現ケース）'!D48</f>
        <v>1421.6837504390226</v>
      </c>
      <c r="I10" s="137">
        <f>'供給側予測（成長実現ケース）'!D53</f>
        <v>1515.2513376531733</v>
      </c>
      <c r="J10" s="137">
        <f>'供給側予測（成長実現ケース）'!D58</f>
        <v>1651.653577126413</v>
      </c>
    </row>
    <row r="11" spans="1:10" ht="25.2" customHeight="1">
      <c r="A11" s="412"/>
      <c r="B11" s="423"/>
      <c r="C11" s="136" t="s">
        <v>150</v>
      </c>
      <c r="D11" s="138">
        <f>D10</f>
        <v>1003.35961608405</v>
      </c>
      <c r="E11" s="138">
        <f>E10</f>
        <v>1524.7844056659601</v>
      </c>
      <c r="F11" s="138">
        <f>F10</f>
        <v>1415.6182766034899</v>
      </c>
      <c r="G11" s="138">
        <f>G10</f>
        <v>1373.94320143653</v>
      </c>
      <c r="H11" s="176">
        <f>'供給側予測（ベースラインケース)'!D48</f>
        <v>1413.3851414715034</v>
      </c>
      <c r="I11" s="138">
        <f>'供給側予測（ベースラインケース)'!D53</f>
        <v>1451.0262363188758</v>
      </c>
      <c r="J11" s="138">
        <f>'供給側予測（ベースラインケース)'!D58</f>
        <v>1479.2096791396866</v>
      </c>
    </row>
    <row r="12" spans="1:10" ht="25.2" customHeight="1">
      <c r="A12" s="412"/>
      <c r="B12" s="428" t="s">
        <v>385</v>
      </c>
      <c r="C12" s="134" t="s">
        <v>400</v>
      </c>
      <c r="D12" s="133">
        <f>'供給側予測（成長実現ケース）'!E13</f>
        <v>0.17345639184699987</v>
      </c>
      <c r="E12" s="133">
        <f>'供給側予測（成長実現ケース）'!E23</f>
        <v>0.18595813204508851</v>
      </c>
      <c r="F12" s="133">
        <f>'供給側予測（成長実現ケース）'!E33</f>
        <v>0.21871444823663255</v>
      </c>
      <c r="G12" s="133">
        <f>'供給側予測（成長実現ケース）'!E43</f>
        <v>0.22846787947697558</v>
      </c>
      <c r="H12" s="172">
        <f>'供給側予測（成長実現ケース）'!E48</f>
        <v>0.228556667686308</v>
      </c>
      <c r="I12" s="133">
        <f>'供給側予測（成長実現ケース）'!E53</f>
        <v>0.23166605662527301</v>
      </c>
      <c r="J12" s="133">
        <f>'供給側予測（成長実現ケース）'!E58</f>
        <v>0.236219094965986</v>
      </c>
    </row>
    <row r="13" spans="1:10" ht="25.2" customHeight="1">
      <c r="A13" s="412"/>
      <c r="B13" s="429"/>
      <c r="C13" s="136" t="s">
        <v>150</v>
      </c>
      <c r="D13" s="135">
        <f>D12</f>
        <v>0.17345639184699987</v>
      </c>
      <c r="E13" s="135">
        <f>E12</f>
        <v>0.18595813204508851</v>
      </c>
      <c r="F13" s="135">
        <f>F12</f>
        <v>0.21871444823663255</v>
      </c>
      <c r="G13" s="135">
        <f>G12</f>
        <v>0.22846787947697558</v>
      </c>
      <c r="H13" s="173">
        <f>'供給側予測（ベースラインケース)'!E48</f>
        <v>0.228556667686308</v>
      </c>
      <c r="I13" s="135">
        <f>'供給側予測（ベースラインケース)'!E53</f>
        <v>0.23166605662527301</v>
      </c>
      <c r="J13" s="135">
        <f>'供給側予測（ベースラインケース)'!E58</f>
        <v>0.236219094965986</v>
      </c>
    </row>
    <row r="14" spans="1:10" ht="25.2" customHeight="1">
      <c r="A14" s="412"/>
      <c r="B14" s="428" t="s">
        <v>404</v>
      </c>
      <c r="C14" s="134" t="s">
        <v>400</v>
      </c>
      <c r="D14" s="133">
        <f>'供給側予測（成長実現ケース）'!F13</f>
        <v>0.83442799999999995</v>
      </c>
      <c r="E14" s="133">
        <f>'供給側予測（成長実現ケース）'!F23</f>
        <v>0.83442799999999995</v>
      </c>
      <c r="F14" s="133">
        <f>'供給側予測（成長実現ケース）'!F33</f>
        <v>0.83442799999999995</v>
      </c>
      <c r="G14" s="133">
        <f>'供給側予測（成長実現ケース）'!F43</f>
        <v>0.83442799999999995</v>
      </c>
      <c r="H14" s="172">
        <f>'供給側予測（成長実現ケース）'!F48</f>
        <v>0.83442799999999995</v>
      </c>
      <c r="I14" s="133">
        <f>'供給側予測（成長実現ケース）'!F53</f>
        <v>0.83442799999999995</v>
      </c>
      <c r="J14" s="133">
        <f>'供給側予測（成長実現ケース）'!F58</f>
        <v>0.83442799999999995</v>
      </c>
    </row>
    <row r="15" spans="1:10" ht="25.2" customHeight="1">
      <c r="A15" s="427"/>
      <c r="B15" s="429"/>
      <c r="C15" s="136" t="s">
        <v>150</v>
      </c>
      <c r="D15" s="135">
        <f>D14</f>
        <v>0.83442799999999995</v>
      </c>
      <c r="E15" s="135">
        <f>E14</f>
        <v>0.83442799999999995</v>
      </c>
      <c r="F15" s="135">
        <f>F14</f>
        <v>0.83442799999999995</v>
      </c>
      <c r="G15" s="135">
        <f>G14</f>
        <v>0.83442799999999995</v>
      </c>
      <c r="H15" s="173">
        <f>'供給側予測（ベースラインケース)'!F48</f>
        <v>0.83442799999999995</v>
      </c>
      <c r="I15" s="135">
        <f>'供給側予測（ベースラインケース)'!F53</f>
        <v>0.83442799999999995</v>
      </c>
      <c r="J15" s="135">
        <f>'供給側予測（ベースラインケース)'!F58</f>
        <v>0.83442799999999995</v>
      </c>
    </row>
    <row r="16" spans="1:10" ht="25.2" customHeight="1">
      <c r="A16" s="426"/>
      <c r="B16" s="424" t="s">
        <v>405</v>
      </c>
      <c r="C16" s="139" t="s">
        <v>400</v>
      </c>
      <c r="D16" s="25">
        <f>D6*D14+D10</f>
        <v>16234.671852349866</v>
      </c>
      <c r="E16" s="25">
        <f t="shared" ref="D16:J17" si="0">E6*E14+E10</f>
        <v>21230.945074512463</v>
      </c>
      <c r="F16" s="25">
        <f t="shared" si="0"/>
        <v>17950.851725984867</v>
      </c>
      <c r="G16" s="25">
        <f t="shared" si="0"/>
        <v>18399.319577125538</v>
      </c>
      <c r="H16" s="170">
        <f t="shared" si="0"/>
        <v>18976.739254555981</v>
      </c>
      <c r="I16" s="25">
        <f t="shared" si="0"/>
        <v>20199.153541746586</v>
      </c>
      <c r="J16" s="25">
        <f t="shared" si="0"/>
        <v>22198.237291290894</v>
      </c>
    </row>
    <row r="17" spans="1:11" ht="25.2" customHeight="1">
      <c r="A17" s="427"/>
      <c r="B17" s="423"/>
      <c r="C17" s="136" t="s">
        <v>150</v>
      </c>
      <c r="D17" s="138">
        <f t="shared" si="0"/>
        <v>16234.671852349866</v>
      </c>
      <c r="E17" s="138">
        <f t="shared" si="0"/>
        <v>21230.945074512463</v>
      </c>
      <c r="F17" s="138">
        <f t="shared" si="0"/>
        <v>17950.851725984867</v>
      </c>
      <c r="G17" s="138">
        <f t="shared" si="0"/>
        <v>18399.319577125538</v>
      </c>
      <c r="H17" s="176">
        <f t="shared" si="0"/>
        <v>18850.569752279294</v>
      </c>
      <c r="I17" s="138">
        <f t="shared" si="0"/>
        <v>19261.371692145498</v>
      </c>
      <c r="J17" s="138">
        <f t="shared" si="0"/>
        <v>19636.536451860182</v>
      </c>
    </row>
    <row r="18" spans="1:11" ht="25.2" customHeight="1">
      <c r="B18" s="24"/>
      <c r="C18" s="57"/>
      <c r="D18" s="24"/>
      <c r="E18" s="24"/>
      <c r="F18" s="24"/>
      <c r="G18" s="24"/>
      <c r="H18" s="177"/>
      <c r="I18" s="24"/>
      <c r="J18" s="24"/>
    </row>
    <row r="19" spans="1:11" ht="25.2" customHeight="1">
      <c r="A19" s="416" t="s">
        <v>406</v>
      </c>
      <c r="B19" s="422" t="s">
        <v>407</v>
      </c>
      <c r="C19" s="134" t="s">
        <v>400</v>
      </c>
      <c r="D19" s="137">
        <f>'供給側予測（成長実現ケース）'!I13</f>
        <v>2190.95623943186</v>
      </c>
      <c r="E19" s="137">
        <f>'供給側予測（成長実現ケース）'!I23</f>
        <v>2035.36131414897</v>
      </c>
      <c r="F19" s="137">
        <f>'供給側予測（成長実現ケース）'!I33</f>
        <v>2076.0302528751399</v>
      </c>
      <c r="G19" s="137">
        <f>'供給側予測（成長実現ケース）'!I43</f>
        <v>2056.8695634679102</v>
      </c>
      <c r="H19" s="175">
        <f>'供給側予測（成長実現ケース）'!I48</f>
        <v>1938.48183530548</v>
      </c>
      <c r="I19" s="137">
        <f>'供給側予測（成長実現ケース）'!I53</f>
        <v>1938.48183530548</v>
      </c>
      <c r="J19" s="137">
        <f>'供給側予測（成長実現ケース）'!I58</f>
        <v>1938.48183530548</v>
      </c>
    </row>
    <row r="20" spans="1:11" ht="25.2" customHeight="1">
      <c r="A20" s="416"/>
      <c r="B20" s="423"/>
      <c r="C20" s="136" t="s">
        <v>150</v>
      </c>
      <c r="D20" s="138">
        <f>D19</f>
        <v>2190.95623943186</v>
      </c>
      <c r="E20" s="138">
        <f>E19</f>
        <v>2035.36131414897</v>
      </c>
      <c r="F20" s="138">
        <f>F19</f>
        <v>2076.0302528751399</v>
      </c>
      <c r="G20" s="138">
        <f>G19</f>
        <v>2056.8695634679102</v>
      </c>
      <c r="H20" s="176">
        <f>G20</f>
        <v>2056.8695634679102</v>
      </c>
      <c r="I20" s="138">
        <f t="shared" ref="I20:J20" si="1">H20</f>
        <v>2056.8695634679102</v>
      </c>
      <c r="J20" s="138">
        <f t="shared" si="1"/>
        <v>2056.8695634679102</v>
      </c>
    </row>
    <row r="21" spans="1:11" ht="25.2" customHeight="1">
      <c r="A21" s="416"/>
      <c r="B21" s="422" t="s">
        <v>408</v>
      </c>
      <c r="C21" s="134" t="s">
        <v>400</v>
      </c>
      <c r="D21" s="137">
        <f>'供給側予測（成長実現ケース）'!K13</f>
        <v>591.2477591083308</v>
      </c>
      <c r="E21" s="137">
        <f>'供給側予測（成長実現ケース）'!K23</f>
        <v>643.79121932408771</v>
      </c>
      <c r="F21" s="137">
        <f>'供給側予測（成長実現ケース）'!K33</f>
        <v>526.36473515503474</v>
      </c>
      <c r="G21" s="137">
        <f>'供給側予測（成長実現ケース）'!K43</f>
        <v>487.16278297712057</v>
      </c>
      <c r="H21" s="175">
        <f>'供給側予測（成長実現ケース）'!K48</f>
        <v>480.78136510734385</v>
      </c>
      <c r="I21" s="137">
        <f>'供給側予測（成長実現ケース）'!K53</f>
        <v>471.67182900976127</v>
      </c>
      <c r="J21" s="137">
        <f>'供給側予測（成長実現ケース）'!K58</f>
        <v>460.13798088620922</v>
      </c>
    </row>
    <row r="22" spans="1:11" ht="25.2" customHeight="1">
      <c r="A22" s="416"/>
      <c r="B22" s="424"/>
      <c r="C22" s="139" t="s">
        <v>150</v>
      </c>
      <c r="D22" s="25">
        <f>D21</f>
        <v>591.2477591083308</v>
      </c>
      <c r="E22" s="25">
        <f t="shared" ref="E22:G23" si="2">E21</f>
        <v>643.79121932408771</v>
      </c>
      <c r="F22" s="25">
        <f t="shared" si="2"/>
        <v>526.36473515503474</v>
      </c>
      <c r="G22" s="25">
        <f t="shared" si="2"/>
        <v>487.16278297712057</v>
      </c>
      <c r="H22" s="170">
        <f>'供給側予測（ベースラインケース)'!K48</f>
        <v>455.16599190283404</v>
      </c>
      <c r="I22" s="25">
        <f>'供給側予測（ベースラインケース)'!K53</f>
        <v>396.40485829959511</v>
      </c>
      <c r="J22" s="25">
        <f>'供給側予測（ベースラインケース)'!K58</f>
        <v>344.61538461538458</v>
      </c>
    </row>
    <row r="23" spans="1:11" ht="36.9">
      <c r="A23" s="416"/>
      <c r="B23" s="423"/>
      <c r="C23" s="169" t="s">
        <v>409</v>
      </c>
      <c r="D23" s="138">
        <f>D22</f>
        <v>591.2477591083308</v>
      </c>
      <c r="E23" s="138">
        <f t="shared" si="2"/>
        <v>643.79121932408771</v>
      </c>
      <c r="F23" s="138">
        <f t="shared" si="2"/>
        <v>526.36473515503474</v>
      </c>
      <c r="G23" s="138">
        <f t="shared" si="2"/>
        <v>487.16278297712057</v>
      </c>
      <c r="H23" s="176">
        <f>'供給側予測（ベースラインケース　就業率維持）'!K48</f>
        <v>469.98215699166133</v>
      </c>
      <c r="I23" s="138">
        <f>'供給側予測（ベースラインケース　就業率維持）'!K53</f>
        <v>453.89354081931793</v>
      </c>
      <c r="J23" s="138">
        <f>'供給側予測（ベースラインケース　就業率維持）'!K58</f>
        <v>436.92335663753113</v>
      </c>
    </row>
    <row r="24" spans="1:11" ht="25.2" customHeight="1">
      <c r="A24" s="416"/>
      <c r="B24" s="422" t="s">
        <v>410</v>
      </c>
      <c r="C24" s="134" t="s">
        <v>400</v>
      </c>
      <c r="D24" s="137">
        <f>D19*D21</f>
        <v>1295397.9668685028</v>
      </c>
      <c r="E24" s="137">
        <f t="shared" ref="E24:J24" si="3">E19*E21</f>
        <v>1310347.7422010428</v>
      </c>
      <c r="F24" s="137">
        <f t="shared" si="3"/>
        <v>1092749.1142284628</v>
      </c>
      <c r="G24" s="137">
        <f t="shared" si="3"/>
        <v>1002030.3007599623</v>
      </c>
      <c r="H24" s="175">
        <f t="shared" si="3"/>
        <v>931985.94301395793</v>
      </c>
      <c r="I24" s="137">
        <f t="shared" si="3"/>
        <v>914327.27276073454</v>
      </c>
      <c r="J24" s="137">
        <f t="shared" si="3"/>
        <v>891969.11768205673</v>
      </c>
      <c r="K24" s="42"/>
    </row>
    <row r="25" spans="1:11" ht="25.2" customHeight="1">
      <c r="A25" s="416"/>
      <c r="B25" s="424"/>
      <c r="C25" s="139" t="s">
        <v>150</v>
      </c>
      <c r="D25" s="25">
        <f>D20*D22</f>
        <v>1295397.9668685028</v>
      </c>
      <c r="E25" s="25">
        <f t="shared" ref="E25:J25" si="4">E20*E22</f>
        <v>1310347.7422010428</v>
      </c>
      <c r="F25" s="25">
        <f t="shared" si="4"/>
        <v>1092749.1142284628</v>
      </c>
      <c r="G25" s="25">
        <f t="shared" si="4"/>
        <v>1002030.3007599623</v>
      </c>
      <c r="H25" s="170">
        <f t="shared" si="4"/>
        <v>936217.07507062063</v>
      </c>
      <c r="I25" s="25">
        <f t="shared" si="4"/>
        <v>815353.08784724702</v>
      </c>
      <c r="J25" s="25">
        <f t="shared" si="4"/>
        <v>708828.89571817208</v>
      </c>
      <c r="K25" s="42"/>
    </row>
    <row r="26" spans="1:11" ht="36.9">
      <c r="A26" s="416"/>
      <c r="B26" s="423"/>
      <c r="C26" s="169" t="s">
        <v>411</v>
      </c>
      <c r="D26" s="138">
        <f>D20*D23</f>
        <v>1295397.9668685028</v>
      </c>
      <c r="E26" s="138">
        <f t="shared" ref="E26:J26" si="5">E20*E23</f>
        <v>1310347.7422010428</v>
      </c>
      <c r="F26" s="138">
        <f t="shared" si="5"/>
        <v>1092749.1142284628</v>
      </c>
      <c r="G26" s="138">
        <f t="shared" si="5"/>
        <v>1002030.3007599623</v>
      </c>
      <c r="H26" s="176">
        <f t="shared" si="5"/>
        <v>966691.99408914533</v>
      </c>
      <c r="I26" s="138">
        <f t="shared" si="5"/>
        <v>933599.80916593457</v>
      </c>
      <c r="J26" s="138">
        <f t="shared" si="5"/>
        <v>898694.35383597272</v>
      </c>
    </row>
    <row r="27" spans="1:11" ht="25.2" customHeight="1">
      <c r="B27" s="24"/>
      <c r="D27" s="24"/>
      <c r="E27" s="24"/>
      <c r="F27" s="24"/>
      <c r="G27" s="24"/>
      <c r="H27" s="177"/>
      <c r="I27" s="24"/>
      <c r="J27" s="24"/>
    </row>
    <row r="28" spans="1:11" ht="25.2" customHeight="1">
      <c r="A28" s="421" t="s">
        <v>412</v>
      </c>
      <c r="B28" s="133"/>
      <c r="C28" s="134" t="s">
        <v>400</v>
      </c>
      <c r="D28" s="133">
        <f>'供給側予測（成長実現ケース）'!N13</f>
        <v>0.30656312645621497</v>
      </c>
      <c r="E28" s="133">
        <f>'供給側予測（成長実現ケース）'!N23</f>
        <v>8.9026647084318997E-2</v>
      </c>
      <c r="F28" s="133">
        <f>'供給側予測（成長実現ケース）'!N33</f>
        <v>3.0345887542588299E-2</v>
      </c>
      <c r="G28" s="133">
        <f>'供給側予測（成長実現ケース）'!N43</f>
        <v>0.13434835907450099</v>
      </c>
      <c r="H28" s="172">
        <f>'供給側予測（成長実現ケース）'!N48</f>
        <v>0.16260435651919575</v>
      </c>
      <c r="I28" s="133">
        <f>'供給側予測（成長実現ケース）'!N53</f>
        <v>0.16260435651919575</v>
      </c>
      <c r="J28" s="133">
        <f>'供給側予測（成長実現ケース）'!N58</f>
        <v>0.16260435651919575</v>
      </c>
    </row>
    <row r="29" spans="1:11" ht="25.2" customHeight="1">
      <c r="A29" s="421"/>
      <c r="B29" s="135"/>
      <c r="C29" s="136" t="s">
        <v>150</v>
      </c>
      <c r="D29" s="135">
        <f>D28</f>
        <v>0.30656312645621497</v>
      </c>
      <c r="E29" s="135">
        <f>E28</f>
        <v>8.9026647084318997E-2</v>
      </c>
      <c r="F29" s="135">
        <f>F28</f>
        <v>3.0345887542588299E-2</v>
      </c>
      <c r="G29" s="135">
        <f>G28</f>
        <v>0.13434835907450099</v>
      </c>
      <c r="H29" s="173">
        <f>H28</f>
        <v>0.16260435651919575</v>
      </c>
      <c r="I29" s="135">
        <f t="shared" ref="I29:J29" si="6">I28</f>
        <v>0.16260435651919575</v>
      </c>
      <c r="J29" s="135">
        <f t="shared" si="6"/>
        <v>0.16260435651919575</v>
      </c>
    </row>
  </sheetData>
  <mergeCells count="15">
    <mergeCell ref="D1:G1"/>
    <mergeCell ref="H1:J1"/>
    <mergeCell ref="A28:A29"/>
    <mergeCell ref="B19:B20"/>
    <mergeCell ref="B21:B23"/>
    <mergeCell ref="B24:B26"/>
    <mergeCell ref="A3:A4"/>
    <mergeCell ref="A6:A17"/>
    <mergeCell ref="A19:A26"/>
    <mergeCell ref="B6:B7"/>
    <mergeCell ref="B8:B9"/>
    <mergeCell ref="B10:B11"/>
    <mergeCell ref="B12:B13"/>
    <mergeCell ref="B14:B15"/>
    <mergeCell ref="B16:B17"/>
  </mergeCells>
  <phoneticPr fontId="1"/>
  <pageMargins left="0.7" right="0.7" top="0.75" bottom="0.75" header="0.3" footer="0.3"/>
  <ignoredErrors>
    <ignoredError sqref="D8:G8 E10:G10 D12:G12 D14:G14 D21:G21 D10"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8B091-88EA-4E03-85E5-D86EFA791AFA}">
  <dimension ref="A1:J71"/>
  <sheetViews>
    <sheetView topLeftCell="A28" zoomScale="85" zoomScaleNormal="85" workbookViewId="0">
      <selection activeCell="J29" sqref="A1:N29"/>
    </sheetView>
  </sheetViews>
  <sheetFormatPr defaultRowHeight="18.45"/>
  <cols>
    <col min="1" max="1" width="8.84375" style="87"/>
    <col min="2" max="3" width="19" style="21" bestFit="1" customWidth="1"/>
    <col min="4" max="4" width="8.84375" style="21"/>
    <col min="6" max="6" width="4.07421875" bestFit="1" customWidth="1"/>
  </cols>
  <sheetData>
    <row r="1" spans="1:4">
      <c r="A1" s="87" t="s">
        <v>7</v>
      </c>
      <c r="B1" s="372" t="s">
        <v>127</v>
      </c>
      <c r="C1" s="372" t="s">
        <v>150</v>
      </c>
      <c r="D1" s="372" t="s">
        <v>413</v>
      </c>
    </row>
    <row r="2" spans="1:4">
      <c r="A2" s="129">
        <v>1980</v>
      </c>
      <c r="B2" s="373"/>
      <c r="C2" s="269"/>
      <c r="D2" s="269"/>
    </row>
    <row r="3" spans="1:4">
      <c r="A3" s="129">
        <v>1981</v>
      </c>
      <c r="B3" s="269">
        <f>'供給側予測（成長実現ケース）'!B4/1000*'供給側予測（成長実現ケース）'!F4</f>
        <v>9.3798712123572923</v>
      </c>
      <c r="C3" s="269">
        <f>'供給側予測（ベースラインケース)'!B4/1000*'供給側予測（ベースラインケース)'!F4</f>
        <v>9.3798712123572923</v>
      </c>
      <c r="D3" s="269">
        <f t="shared" ref="D3:D42" si="0">C3</f>
        <v>9.3798712123572923</v>
      </c>
    </row>
    <row r="4" spans="1:4">
      <c r="A4" s="129">
        <v>1982</v>
      </c>
      <c r="B4" s="269">
        <f>'供給側予測（成長実現ケース）'!B5/1000*'供給側予測（成長実現ケース）'!F5</f>
        <v>9.9235204389402245</v>
      </c>
      <c r="C4" s="269">
        <f>'供給側予測（ベースラインケース)'!B5/1000*'供給側予測（ベースラインケース)'!F5</f>
        <v>9.9235204389402245</v>
      </c>
      <c r="D4" s="269">
        <f t="shared" si="0"/>
        <v>9.9235204389402245</v>
      </c>
    </row>
    <row r="5" spans="1:4">
      <c r="A5" s="129">
        <v>1983</v>
      </c>
      <c r="B5" s="269">
        <f>'供給側予測（成長実現ケース）'!B6/1000*'供給側予測（成長実現ケース）'!F6</f>
        <v>10.470234793915569</v>
      </c>
      <c r="C5" s="269">
        <f>'供給側予測（ベースラインケース)'!B6/1000*'供給側予測（ベースラインケース)'!F6</f>
        <v>10.470234793915569</v>
      </c>
      <c r="D5" s="269">
        <f t="shared" si="0"/>
        <v>10.470234793915569</v>
      </c>
    </row>
    <row r="6" spans="1:4">
      <c r="A6" s="129">
        <v>1984</v>
      </c>
      <c r="B6" s="269">
        <f>'供給側予測（成長実現ケース）'!B7/1000*'供給側予測（成長実現ケース）'!F7</f>
        <v>11.027392939510266</v>
      </c>
      <c r="C6" s="269">
        <f>'供給側予測（ベースラインケース)'!B7/1000*'供給側予測（ベースラインケース)'!F7</f>
        <v>11.027392939510266</v>
      </c>
      <c r="D6" s="269">
        <f t="shared" si="0"/>
        <v>11.027392939510266</v>
      </c>
    </row>
    <row r="7" spans="1:4">
      <c r="A7" s="129">
        <v>1985</v>
      </c>
      <c r="B7" s="269">
        <f>'供給側予測（成長実現ケース）'!B8/1000*'供給側予測（成長実現ケース）'!F8</f>
        <v>11.606731825340683</v>
      </c>
      <c r="C7" s="269">
        <f>'供給側予測（ベースラインケース)'!B8/1000*'供給側予測（ベースラインケース)'!F8</f>
        <v>11.606731825340683</v>
      </c>
      <c r="D7" s="269">
        <f t="shared" si="0"/>
        <v>11.606731825340683</v>
      </c>
    </row>
    <row r="8" spans="1:4">
      <c r="A8" s="129">
        <v>1986</v>
      </c>
      <c r="B8" s="269">
        <f>'供給側予測（成長実現ケース）'!B9/1000*'供給側予測（成長実現ケース）'!F9</f>
        <v>12.22239142819851</v>
      </c>
      <c r="C8" s="269">
        <f>'供給側予測（ベースラインケース)'!B9/1000*'供給側予測（ベースラインケース)'!F9</f>
        <v>12.22239142819851</v>
      </c>
      <c r="D8" s="269">
        <f t="shared" si="0"/>
        <v>12.22239142819851</v>
      </c>
    </row>
    <row r="9" spans="1:4">
      <c r="A9" s="129">
        <v>1987</v>
      </c>
      <c r="B9" s="269">
        <f>'供給側予測（成長実現ケース）'!B10/1000*'供給側予測（成長実現ケース）'!F10</f>
        <v>12.888917682322807</v>
      </c>
      <c r="C9" s="269">
        <f>'供給側予測（ベースラインケース)'!B10/1000*'供給側予測（ベースラインケース)'!F10</f>
        <v>12.888917682322807</v>
      </c>
      <c r="D9" s="269">
        <f t="shared" si="0"/>
        <v>12.888917682322807</v>
      </c>
    </row>
    <row r="10" spans="1:4">
      <c r="A10" s="129">
        <v>1988</v>
      </c>
      <c r="B10" s="269">
        <f>'供給側予測（成長実現ケース）'!B11/1000*'供給側予測（成長実現ケース）'!F11</f>
        <v>13.615245403267675</v>
      </c>
      <c r="C10" s="269">
        <f>'供給側予測（ベースラインケース)'!B11/1000*'供給側予測（ベースラインケース)'!F11</f>
        <v>13.615245403267675</v>
      </c>
      <c r="D10" s="269">
        <f t="shared" si="0"/>
        <v>13.615245403267675</v>
      </c>
    </row>
    <row r="11" spans="1:4">
      <c r="A11" s="129">
        <v>1989</v>
      </c>
      <c r="B11" s="269">
        <f>'供給側予測（成長実現ケース）'!B12/1000*'供給側予測（成長実現ケース）'!F12</f>
        <v>14.400555579519976</v>
      </c>
      <c r="C11" s="269">
        <f>'供給側予測（ベースラインケース)'!B12/1000*'供給側予測（ベースラインケース)'!F12</f>
        <v>14.400555579519976</v>
      </c>
      <c r="D11" s="269">
        <f t="shared" si="0"/>
        <v>14.400555579519976</v>
      </c>
    </row>
    <row r="12" spans="1:4">
      <c r="A12" s="129">
        <v>1990</v>
      </c>
      <c r="B12" s="269">
        <f>'供給側予測（成長実現ケース）'!B13/1000*'供給側予測（成長実現ケース）'!F13</f>
        <v>15.231312236265817</v>
      </c>
      <c r="C12" s="269">
        <f>'供給側予測（ベースラインケース)'!B13/1000*'供給側予測（ベースラインケース)'!F13</f>
        <v>15.231312236265817</v>
      </c>
      <c r="D12" s="269">
        <f t="shared" si="0"/>
        <v>15.231312236265817</v>
      </c>
    </row>
    <row r="13" spans="1:4">
      <c r="A13" s="129">
        <v>1991</v>
      </c>
      <c r="B13" s="269">
        <f>'供給側予測（成長実現ケース）'!B14/1000*'供給側予測（成長実現ケース）'!F14</f>
        <v>16.081253452196044</v>
      </c>
      <c r="C13" s="269">
        <f>'供給側予測（ベースラインケース)'!B14/1000*'供給側予測（ベースラインケース)'!F14</f>
        <v>16.081253452196044</v>
      </c>
      <c r="D13" s="269">
        <f t="shared" si="0"/>
        <v>16.081253452196044</v>
      </c>
    </row>
    <row r="14" spans="1:4">
      <c r="A14" s="129">
        <v>1992</v>
      </c>
      <c r="B14" s="269">
        <f>'供給側予測（成長実現ケース）'!B15/1000*'供給側予測（成長実現ケース）'!F15</f>
        <v>16.913218793740086</v>
      </c>
      <c r="C14" s="269">
        <f>'供給側予測（ベースラインケース)'!B15/1000*'供給側予測（ベースラインケース)'!F15</f>
        <v>16.913218793740086</v>
      </c>
      <c r="D14" s="269">
        <f t="shared" si="0"/>
        <v>16.913218793740086</v>
      </c>
    </row>
    <row r="15" spans="1:4">
      <c r="A15" s="129">
        <v>1993</v>
      </c>
      <c r="B15" s="269">
        <f>'供給側予測（成長実現ケース）'!B16/1000*'供給側予測（成長実現ケース）'!F16</f>
        <v>17.687308750673296</v>
      </c>
      <c r="C15" s="269">
        <f>'供給側予測（ベースラインケース)'!B16/1000*'供給側予測（ベースラインケース)'!F16</f>
        <v>17.687308750673296</v>
      </c>
      <c r="D15" s="269">
        <f t="shared" si="0"/>
        <v>17.687308750673296</v>
      </c>
    </row>
    <row r="16" spans="1:4">
      <c r="A16" s="129">
        <v>1994</v>
      </c>
      <c r="B16" s="269">
        <f>'供給側予測（成長実現ケース）'!B17/1000*'供給側予測（成長実現ケース）'!F17</f>
        <v>18.368745084406243</v>
      </c>
      <c r="C16" s="269">
        <f>'供給側予測（ベースラインケース)'!B17/1000*'供給側予測（ベースラインケース)'!F17</f>
        <v>18.368745084406243</v>
      </c>
      <c r="D16" s="269">
        <f t="shared" si="0"/>
        <v>18.368745084406243</v>
      </c>
    </row>
    <row r="17" spans="1:4">
      <c r="A17" s="129">
        <v>1995</v>
      </c>
      <c r="B17" s="269">
        <f>'供給側予測（成長実現ケース）'!B18/1000*'供給側予測（成長実現ケース）'!F18</f>
        <v>18.931909886010033</v>
      </c>
      <c r="C17" s="269">
        <f>'供給側予測（ベースラインケース)'!B18/1000*'供給側予測（ベースラインケース)'!F18</f>
        <v>18.931909886010033</v>
      </c>
      <c r="D17" s="269">
        <f t="shared" si="0"/>
        <v>18.931909886010033</v>
      </c>
    </row>
    <row r="18" spans="1:4">
      <c r="A18" s="129">
        <v>1996</v>
      </c>
      <c r="B18" s="269">
        <f>'供給側予測（成長実現ケース）'!B19/1000*'供給側予測（成長実現ケース）'!F19</f>
        <v>19.360533044669658</v>
      </c>
      <c r="C18" s="269">
        <f>'供給側予測（ベースラインケース)'!B19/1000*'供給側予測（ベースラインケース)'!F19</f>
        <v>19.360533044669658</v>
      </c>
      <c r="D18" s="269">
        <f t="shared" si="0"/>
        <v>19.360533044669658</v>
      </c>
    </row>
    <row r="19" spans="1:4">
      <c r="A19" s="129">
        <v>1997</v>
      </c>
      <c r="B19" s="269">
        <f>'供給側予測（成長実現ケース）'!B20/1000*'供給側予測（成長実現ケース）'!F20</f>
        <v>19.646607053546155</v>
      </c>
      <c r="C19" s="269">
        <f>'供給側予測（ベースラインケース)'!B20/1000*'供給側予測（ベースラインケース)'!F20</f>
        <v>19.646607053546155</v>
      </c>
      <c r="D19" s="269">
        <f t="shared" si="0"/>
        <v>19.646607053546155</v>
      </c>
    </row>
    <row r="20" spans="1:4">
      <c r="A20" s="129">
        <v>1998</v>
      </c>
      <c r="B20" s="269">
        <f>'供給側予測（成長実現ケース）'!B21/1000*'供給側予測（成長実現ケース）'!F21</f>
        <v>19.791899218361845</v>
      </c>
      <c r="C20" s="269">
        <f>'供給側予測（ベースラインケース)'!B21/1000*'供給側予測（ベースラインケース)'!F21</f>
        <v>19.791899218361845</v>
      </c>
      <c r="D20" s="269">
        <f t="shared" si="0"/>
        <v>19.791899218361845</v>
      </c>
    </row>
    <row r="21" spans="1:4">
      <c r="A21" s="129">
        <v>1999</v>
      </c>
      <c r="B21" s="269">
        <f>'供給側予測（成長実現ケース）'!B22/1000*'供給側予測（成長実現ケース）'!F22</f>
        <v>19.806541153175576</v>
      </c>
      <c r="C21" s="269">
        <f>'供給側予測（ベースラインケース)'!B22/1000*'供給側予測（ベースラインケース)'!F22</f>
        <v>19.806541153175576</v>
      </c>
      <c r="D21" s="269">
        <f t="shared" si="0"/>
        <v>19.806541153175576</v>
      </c>
    </row>
    <row r="22" spans="1:4">
      <c r="A22" s="129">
        <v>2000</v>
      </c>
      <c r="B22" s="269">
        <f>'供給側予測（成長実現ケース）'!B23/1000*'供給側予測（成長実現ケース）'!F23</f>
        <v>19.706160668846504</v>
      </c>
      <c r="C22" s="269">
        <f>'供給側予測（ベースラインケース)'!B23/1000*'供給側予測（ベースラインケース)'!F23</f>
        <v>19.706160668846504</v>
      </c>
      <c r="D22" s="269">
        <f t="shared" si="0"/>
        <v>19.706160668846504</v>
      </c>
    </row>
    <row r="23" spans="1:4">
      <c r="A23" s="129">
        <v>2001</v>
      </c>
      <c r="B23" s="269">
        <f>'供給側予測（成長実現ケース）'!B24/1000*'供給側予測（成長実現ケース）'!F24</f>
        <v>19.508342569438092</v>
      </c>
      <c r="C23" s="269">
        <f>'供給側予測（ベースラインケース)'!B24/1000*'供給側予測（ベースラインケース)'!F24</f>
        <v>19.508342569438092</v>
      </c>
      <c r="D23" s="269">
        <f t="shared" si="0"/>
        <v>19.508342569438092</v>
      </c>
    </row>
    <row r="24" spans="1:4">
      <c r="A24" s="129">
        <v>2002</v>
      </c>
      <c r="B24" s="269">
        <f>'供給側予測（成長実現ケース）'!B25/1000*'供給側予測（成長実現ケース）'!F25</f>
        <v>19.230569271873513</v>
      </c>
      <c r="C24" s="269">
        <f>'供給側予測（ベースラインケース)'!B25/1000*'供給側予測（ベースラインケース)'!F25</f>
        <v>19.230569271873513</v>
      </c>
      <c r="D24" s="269">
        <f t="shared" si="0"/>
        <v>19.230569271873513</v>
      </c>
    </row>
    <row r="25" spans="1:4">
      <c r="A25" s="129">
        <v>2003</v>
      </c>
      <c r="B25" s="269">
        <f>'供給側予測（成長実現ケース）'!B26/1000*'供給側予測（成長実現ケース）'!F26</f>
        <v>18.892361700389131</v>
      </c>
      <c r="C25" s="269">
        <f>'供給側予測（ベースラインケース)'!B26/1000*'供給側予測（ベースラインケース)'!F26</f>
        <v>18.892361700389131</v>
      </c>
      <c r="D25" s="269">
        <f t="shared" si="0"/>
        <v>18.892361700389131</v>
      </c>
    </row>
    <row r="26" spans="1:4">
      <c r="A26" s="129">
        <v>2004</v>
      </c>
      <c r="B26" s="269">
        <f>'供給側予測（成長実現ケース）'!B27/1000*'供給側予測（成長実現ケース）'!F27</f>
        <v>18.515525364959071</v>
      </c>
      <c r="C26" s="269">
        <f>'供給側予測（ベースラインケース)'!B27/1000*'供給側予測（ベースラインケース)'!F27</f>
        <v>18.515525364959071</v>
      </c>
      <c r="D26" s="269">
        <f t="shared" si="0"/>
        <v>18.515525364959071</v>
      </c>
    </row>
    <row r="27" spans="1:4">
      <c r="A27" s="129">
        <v>2005</v>
      </c>
      <c r="B27" s="269">
        <f>'供給側予測（成長実現ケース）'!B28/1000*'供給側予測（成長実現ケース）'!F28</f>
        <v>18.123577248289106</v>
      </c>
      <c r="C27" s="269">
        <f>'供給側予測（ベースラインケース)'!B28/1000*'供給側予測（ベースラインケース)'!F28</f>
        <v>18.123577248289106</v>
      </c>
      <c r="D27" s="269">
        <f t="shared" si="0"/>
        <v>18.123577248289106</v>
      </c>
    </row>
    <row r="28" spans="1:4">
      <c r="A28" s="129">
        <v>2006</v>
      </c>
      <c r="B28" s="269">
        <f>'供給側予測（成長実現ケース）'!B29/1000*'供給側予測（成長実現ケース）'!F29</f>
        <v>17.738009323739647</v>
      </c>
      <c r="C28" s="269">
        <f>'供給側予測（ベースラインケース)'!B29/1000*'供給側予測（ベースラインケース)'!F29</f>
        <v>17.738009323739647</v>
      </c>
      <c r="D28" s="269">
        <f t="shared" si="0"/>
        <v>17.738009323739647</v>
      </c>
    </row>
    <row r="29" spans="1:4">
      <c r="A29" s="129">
        <v>2007</v>
      </c>
      <c r="B29" s="269">
        <f>'供給側予測（成長実現ケース）'!B30/1000*'供給側予測（成長実現ケース）'!F30</f>
        <v>17.376286935404323</v>
      </c>
      <c r="C29" s="269">
        <f>'供給側予測（ベースラインケース)'!B30/1000*'供給側予測（ベースラインケース)'!F30</f>
        <v>17.376286935404323</v>
      </c>
      <c r="D29" s="269">
        <f t="shared" si="0"/>
        <v>17.376286935404323</v>
      </c>
    </row>
    <row r="30" spans="1:4">
      <c r="A30" s="129">
        <v>2008</v>
      </c>
      <c r="B30" s="269">
        <f>'供給側予測（成長実現ケース）'!B31/1000*'供給側予測（成長実現ケース）'!F31</f>
        <v>17.050818066987091</v>
      </c>
      <c r="C30" s="269">
        <f>'供給側予測（ベースラインケース)'!B31/1000*'供給側予測（ベースラインケース)'!F31</f>
        <v>17.050818066987091</v>
      </c>
      <c r="D30" s="269">
        <f t="shared" si="0"/>
        <v>17.050818066987091</v>
      </c>
    </row>
    <row r="31" spans="1:4">
      <c r="A31" s="129">
        <v>2009</v>
      </c>
      <c r="B31" s="269">
        <f>'供給側予測（成長実現ケース）'!B32/1000*'供給側予測（成長実現ケース）'!F32</f>
        <v>16.768111382454002</v>
      </c>
      <c r="C31" s="269">
        <f>'供給側予測（ベースラインケース)'!B32/1000*'供給側予測（ベースラインケース)'!F32</f>
        <v>16.768111382454002</v>
      </c>
      <c r="D31" s="269">
        <f t="shared" si="0"/>
        <v>16.768111382454002</v>
      </c>
    </row>
    <row r="32" spans="1:4">
      <c r="A32" s="129">
        <v>2010</v>
      </c>
      <c r="B32" s="269">
        <f>'供給側予測（成長実現ケース）'!B33/1000*'供給側予測（成長実現ケース）'!F33</f>
        <v>16.535233449381376</v>
      </c>
      <c r="C32" s="269">
        <f>'供給側予測（ベースラインケース)'!B33/1000*'供給側予測（ベースラインケース)'!F33</f>
        <v>16.535233449381376</v>
      </c>
      <c r="D32" s="269">
        <f t="shared" si="0"/>
        <v>16.535233449381376</v>
      </c>
    </row>
    <row r="33" spans="1:4">
      <c r="A33" s="129">
        <v>2011</v>
      </c>
      <c r="B33" s="269">
        <f>'供給側予測（成長実現ケース）'!B34/1000*'供給側予測（成長実現ケース）'!F34</f>
        <v>16.359454966264721</v>
      </c>
      <c r="C33" s="269">
        <f>'供給側予測（ベースラインケース)'!B34/1000*'供給側予測（ベースラインケース)'!F34</f>
        <v>16.359454966264721</v>
      </c>
      <c r="D33" s="269">
        <f t="shared" si="0"/>
        <v>16.359454966264721</v>
      </c>
    </row>
    <row r="34" spans="1:4">
      <c r="A34" s="129">
        <v>2012</v>
      </c>
      <c r="B34" s="269">
        <f>'供給側予測（成長実現ケース）'!B35/1000*'供給側予測（成長実現ケース）'!F35</f>
        <v>16.245037271073937</v>
      </c>
      <c r="C34" s="269">
        <f>'供給側予測（ベースラインケース)'!B35/1000*'供給側予測（ベースラインケース)'!F35</f>
        <v>16.245037271073937</v>
      </c>
      <c r="D34" s="269">
        <f t="shared" si="0"/>
        <v>16.245037271073937</v>
      </c>
    </row>
    <row r="35" spans="1:4">
      <c r="A35" s="129">
        <v>2013</v>
      </c>
      <c r="B35" s="269">
        <f>'供給側予測（成長実現ケース）'!B36/1000*'供給側予測（成長実現ケース）'!F36</f>
        <v>16.19357326734017</v>
      </c>
      <c r="C35" s="269">
        <f>'供給側予測（ベースラインケース)'!B36/1000*'供給側予測（ベースラインケース)'!F36</f>
        <v>16.19357326734017</v>
      </c>
      <c r="D35" s="269">
        <f t="shared" si="0"/>
        <v>16.19357326734017</v>
      </c>
    </row>
    <row r="36" spans="1:4">
      <c r="A36" s="129">
        <v>2014</v>
      </c>
      <c r="B36" s="269">
        <f>'供給側予測（成長実現ケース）'!B37/1000*'供給側予測（成長実現ケース）'!F37</f>
        <v>16.202375485423982</v>
      </c>
      <c r="C36" s="269">
        <f>'供給側予測（ベースラインケース)'!B37/1000*'供給側予測（ベースラインケース)'!F37</f>
        <v>16.202375485423982</v>
      </c>
      <c r="D36" s="269">
        <f t="shared" si="0"/>
        <v>16.202375485423982</v>
      </c>
    </row>
    <row r="37" spans="1:4">
      <c r="A37" s="129">
        <v>2015</v>
      </c>
      <c r="B37" s="269">
        <f>'供給側予測（成長実現ケース）'!B38/1000*'供給側予測（成長実現ケース）'!F38</f>
        <v>16.263770788816309</v>
      </c>
      <c r="C37" s="269">
        <f>'供給側予測（ベースラインケース)'!B38/1000*'供給側予測（ベースラインケース)'!F38</f>
        <v>16.263770788816309</v>
      </c>
      <c r="D37" s="269">
        <f t="shared" si="0"/>
        <v>16.263770788816309</v>
      </c>
    </row>
    <row r="38" spans="1:4">
      <c r="A38" s="129">
        <v>2016</v>
      </c>
      <c r="B38" s="269">
        <f>'供給側予測（成長実現ケース）'!B39/1000*'供給側予測（成長実現ケース）'!F39</f>
        <v>16.368010451761961</v>
      </c>
      <c r="C38" s="269">
        <f>'供給側予測（ベースラインケース)'!B39/1000*'供給側予測（ベースラインケース)'!F39</f>
        <v>16.368010451761961</v>
      </c>
      <c r="D38" s="269">
        <f t="shared" si="0"/>
        <v>16.368010451761961</v>
      </c>
    </row>
    <row r="39" spans="1:4">
      <c r="A39" s="129">
        <v>2017</v>
      </c>
      <c r="B39" s="269">
        <f>'供給側予測（成長実現ケース）'!B40/1000*'供給側予測（成長実現ケース）'!F40</f>
        <v>16.50536559394169</v>
      </c>
      <c r="C39" s="269">
        <f>'供給側予測（ベースラインケース)'!B40/1000*'供給側予測（ベースラインケース)'!F40</f>
        <v>16.50536559394169</v>
      </c>
      <c r="D39" s="269">
        <f t="shared" si="0"/>
        <v>16.50536559394169</v>
      </c>
    </row>
    <row r="40" spans="1:4">
      <c r="A40" s="129">
        <v>2018</v>
      </c>
      <c r="B40" s="269">
        <f>'供給側予測（成長実現ケース）'!B41/1000*'供給側予測（成長実現ケース）'!F41</f>
        <v>16.666701070878535</v>
      </c>
      <c r="C40" s="269">
        <f>'供給側予測（ベースラインケース)'!B41/1000*'供給側予測（ベースラインケース)'!F41</f>
        <v>16.666701070878535</v>
      </c>
      <c r="D40" s="269">
        <f t="shared" si="0"/>
        <v>16.666701070878535</v>
      </c>
    </row>
    <row r="41" spans="1:4">
      <c r="A41" s="129">
        <v>2019</v>
      </c>
      <c r="B41" s="269">
        <f>'供給側予測（成長実現ケース）'!B42/1000*'供給側予測（成長実現ケース）'!F42</f>
        <v>16.842414833015997</v>
      </c>
      <c r="C41" s="269">
        <f>'供給側予測（ベースラインケース)'!B42/1000*'供給側予測（ベースラインケース)'!F42</f>
        <v>16.842414833015997</v>
      </c>
      <c r="D41" s="269">
        <f t="shared" si="0"/>
        <v>16.842414833015997</v>
      </c>
    </row>
    <row r="42" spans="1:4">
      <c r="A42" s="129">
        <v>2020</v>
      </c>
      <c r="B42" s="269">
        <f>'供給側予測（成長実現ケース）'!B43/1000*'供給側予測（成長実現ケース）'!F43</f>
        <v>17.025376375689007</v>
      </c>
      <c r="C42" s="269">
        <f>'供給側予測（ベースラインケース)'!B43/1000*'供給側予測（ベースラインケース)'!F43</f>
        <v>17.025376375689007</v>
      </c>
      <c r="D42" s="269">
        <f t="shared" si="0"/>
        <v>17.025376375689007</v>
      </c>
    </row>
    <row r="43" spans="1:4">
      <c r="A43" s="129">
        <v>2021</v>
      </c>
      <c r="B43" s="269">
        <f>'供給側予測（成長実現ケース）'!B44/1000*'供給側予測（成長実現ケース）'!F44</f>
        <v>17.210936085578261</v>
      </c>
      <c r="C43" s="269">
        <f>'供給側予測（ベースラインケース)'!B44/1000*'供給側予測（ベースラインケース)'!F44</f>
        <v>17.210936085578261</v>
      </c>
    </row>
    <row r="44" spans="1:4">
      <c r="A44" s="129">
        <v>2022</v>
      </c>
      <c r="B44" s="269">
        <f>'供給側予測（成長実現ケース）'!B45/1000*'供給側予測（成長実現ケース）'!F45</f>
        <v>17.246995544076988</v>
      </c>
      <c r="C44" s="269">
        <f>'供給側予測（ベースラインケース)'!B45/1000*'供給側予測（ベースラインケース)'!F45</f>
        <v>17.255074885209385</v>
      </c>
    </row>
    <row r="45" spans="1:4">
      <c r="A45" s="129">
        <v>2023</v>
      </c>
      <c r="B45" s="269">
        <f>'供給側予測（成長実現ケース）'!B46/1000*'供給側予測（成長実現ケース）'!F46</f>
        <v>17.317137624396388</v>
      </c>
      <c r="C45" s="269">
        <f>'供給側予測（ベースラインケース)'!B46/1000*'供給側予測（ベースラインケース)'!F46</f>
        <v>17.30778101748994</v>
      </c>
    </row>
    <row r="46" spans="1:4">
      <c r="A46" s="129">
        <v>2024</v>
      </c>
      <c r="B46" s="269">
        <f>'供給側予測（成長実現ケース）'!B47/1000*'供給側予測（成長実現ケース）'!F47</f>
        <v>17.420150768946201</v>
      </c>
      <c r="C46" s="269">
        <f>'供給側予測（ベースラインケース)'!B47/1000*'供給側予測（ベースラインケース)'!F47</f>
        <v>17.368620285700185</v>
      </c>
    </row>
    <row r="47" spans="1:4">
      <c r="A47" s="129">
        <v>2025</v>
      </c>
      <c r="B47" s="269">
        <f>'供給側予測（成長実現ケース）'!B48/1000*'供給側予測（成長実現ケース）'!F48</f>
        <v>17.555055504116957</v>
      </c>
      <c r="C47" s="269">
        <f>'供給側予測（ベースラインケース)'!B48/1000*'供給側予測（ベースラインケース)'!F48</f>
        <v>17.43718461080779</v>
      </c>
    </row>
    <row r="48" spans="1:4">
      <c r="A48" s="129">
        <v>2026</v>
      </c>
      <c r="B48" s="269">
        <f>'供給側予測（成長実現ケース）'!B49/1000*'供給側予測（成長実現ケース）'!F49</f>
        <v>17.721079407480762</v>
      </c>
      <c r="C48" s="269">
        <f>'供給側予測（ベースラインケース)'!B49/1000*'供給側予測（ベースラインケース)'!F49</f>
        <v>17.513089217782838</v>
      </c>
    </row>
    <row r="49" spans="1:7">
      <c r="A49" s="129">
        <v>2027</v>
      </c>
      <c r="B49" s="269">
        <f>'供給側予測（成長実現ケース）'!B50/1000*'供給側予測（成長実現ケース）'!F50</f>
        <v>17.917320222903356</v>
      </c>
      <c r="C49" s="269">
        <f>'供給側予測（ベースラインケース)'!B50/1000*'供給側予測（ベースラインケース)'!F50</f>
        <v>17.588769634059119</v>
      </c>
    </row>
    <row r="50" spans="1:7">
      <c r="A50" s="129">
        <v>2028</v>
      </c>
      <c r="B50" s="269">
        <f>'供給側予測（成長実現ケース）'!B51/1000*'供給側予測（成長実現ケース）'!F51</f>
        <v>18.143360172730652</v>
      </c>
      <c r="C50" s="269">
        <f>'供給側予測（ベースラインケース)'!B51/1000*'供給側予測（ベースラインケース)'!F51</f>
        <v>17.663819531689242</v>
      </c>
    </row>
    <row r="51" spans="1:7">
      <c r="A51" s="129">
        <v>2029</v>
      </c>
      <c r="B51" s="269">
        <f>'供給側予測（成長実現ケース）'!B52/1000*'供給側予測（成長実現ケース）'!F52</f>
        <v>18.398931175200339</v>
      </c>
      <c r="C51" s="269">
        <f>'供給側予測（ベースラインケース)'!B52/1000*'供給側予測（ベースラインケース)'!F52</f>
        <v>17.737821522456763</v>
      </c>
    </row>
    <row r="52" spans="1:7">
      <c r="A52" s="129">
        <v>2030</v>
      </c>
      <c r="B52" s="269">
        <f>'供給側予測（成長実現ケース）'!B53/1000*'供給側予測（成長実現ケース）'!F53</f>
        <v>18.683902204093414</v>
      </c>
      <c r="C52" s="269">
        <f>'供給側予測（ベースラインケース)'!B53/1000*'供給側予測（ベースラインケース)'!F53</f>
        <v>17.810345455826628</v>
      </c>
    </row>
    <row r="53" spans="1:7">
      <c r="A53" s="129">
        <v>2031</v>
      </c>
      <c r="B53" s="269">
        <f>'供給側予測（成長実現ケース）'!B54/1000*'供給側予測（成長実現ケース）'!F54</f>
        <v>18.998268593750016</v>
      </c>
      <c r="C53" s="269">
        <f>'供給側予測（ベースラインケース)'!B54/1000*'供給側予測（ベースラインケース)'!F54</f>
        <v>17.880946628386226</v>
      </c>
    </row>
    <row r="54" spans="1:7">
      <c r="A54" s="129">
        <v>2032</v>
      </c>
      <c r="B54" s="269">
        <f>'供給側予測（成長実現ケース）'!B55/1000*'供給側予測（成長実現ケース）'!F55</f>
        <v>19.341461854528884</v>
      </c>
      <c r="C54" s="269">
        <f>'供給側予測（ベースラインケース)'!B55/1000*'供給側予測（ベースラインケース)'!F55</f>
        <v>17.951379266730008</v>
      </c>
    </row>
    <row r="55" spans="1:7">
      <c r="A55" s="129">
        <v>2033</v>
      </c>
      <c r="B55" s="269">
        <f>'供給側予測（成長実現ケース）'!B56/1000*'供給側予測（成長実現ケース）'!F56</f>
        <v>19.71369161865433</v>
      </c>
      <c r="C55" s="269">
        <f>'供給側予測（ベースラインケース)'!B56/1000*'供給側予測（ベースラインケース)'!F56</f>
        <v>18.021215209954402</v>
      </c>
    </row>
    <row r="56" spans="1:7">
      <c r="A56" s="129">
        <v>2034</v>
      </c>
      <c r="B56" s="269">
        <f>'供給側予測（成長実現ケース）'!B57/1000*'供給側予測（成長実現ケース）'!F57</f>
        <v>20.1152654445279</v>
      </c>
      <c r="C56" s="269">
        <f>'供給側予測（ベースラインケース)'!B57/1000*'供給側予測（ベースラインケース)'!F57</f>
        <v>18.090015143751231</v>
      </c>
    </row>
    <row r="57" spans="1:7">
      <c r="A57" s="129">
        <v>2035</v>
      </c>
      <c r="B57" s="269">
        <f>'供給側予測（成長実現ケース）'!B58/1000*'供給側予測（成長実現ケース）'!F58</f>
        <v>20.54658371416448</v>
      </c>
      <c r="C57" s="269">
        <f>'供給側予測（ベースラインケース)'!B58/1000*'供給側予測（ベースラインケース)'!F58</f>
        <v>18.157326772720495</v>
      </c>
      <c r="E57" s="370"/>
      <c r="F57" s="21">
        <f>B57-C57</f>
        <v>2.3892569414439855</v>
      </c>
    </row>
    <row r="58" spans="1:7">
      <c r="A58" s="129">
        <v>2036</v>
      </c>
      <c r="B58" s="269">
        <f>'供給側予測（成長実現ケース）'!B59/1000*'供給側予測（成長実現ケース）'!F59</f>
        <v>21.008135407608076</v>
      </c>
      <c r="C58" s="269">
        <f>'供給側予測（ベースラインケース)'!B59/1000*'供給側予測（ベースラインケース)'!F59</f>
        <v>18.22268290010669</v>
      </c>
    </row>
    <row r="59" spans="1:7">
      <c r="A59" s="129">
        <v>2037</v>
      </c>
      <c r="B59" s="269">
        <f>'供給側予測（成長実現ケース）'!B60/1000*'供給側予測（成長実現ケース）'!F60</f>
        <v>21.49983537939605</v>
      </c>
      <c r="C59" s="269">
        <f>'供給側予測（ベースラインケース)'!B60/1000*'供給側予測（ベースラインケース)'!F60</f>
        <v>18.288565961185057</v>
      </c>
    </row>
    <row r="60" spans="1:7">
      <c r="A60" s="129">
        <v>2038</v>
      </c>
      <c r="B60" s="269">
        <f>'供給側予測（成長実現ケース）'!B61/1000*'供給側予測（成長実現ケース）'!F61</f>
        <v>22.022316388906212</v>
      </c>
      <c r="C60" s="269">
        <f>'供給側予測（ベースラインケース)'!B61/1000*'供給側予測（ベースラインケース)'!F61</f>
        <v>18.354537821289686</v>
      </c>
    </row>
    <row r="61" spans="1:7">
      <c r="A61" s="129">
        <v>2039</v>
      </c>
      <c r="B61" s="269">
        <f>'供給側予測（成長実現ケース）'!B62/1000*'供給側予測（成長実現ケース）'!F62</f>
        <v>22.576286670850344</v>
      </c>
      <c r="C61" s="269">
        <f>'供給側予測（ベースラインケース)'!B62/1000*'供給側予測（ベースラインケース)'!F62</f>
        <v>18.420151780592892</v>
      </c>
    </row>
    <row r="62" spans="1:7">
      <c r="A62" s="129">
        <v>2040</v>
      </c>
      <c r="B62" s="269">
        <f>'供給側予測（成長実現ケース）'!B63/1000*'供給側予測（成長実現ケース）'!F63</f>
        <v>23.162528286924356</v>
      </c>
      <c r="C62" s="269">
        <f>'供給側予測（ベースラインケース)'!B63/1000*'供給側予測（ベースラインケース)'!F63</f>
        <v>18.484950718128694</v>
      </c>
    </row>
    <row r="63" spans="1:7">
      <c r="G63" s="14"/>
    </row>
    <row r="67" spans="10:10">
      <c r="J67" s="18"/>
    </row>
    <row r="71" spans="10:10">
      <c r="J71" s="18"/>
    </row>
  </sheetData>
  <phoneticPr fontId="1"/>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60734-3E09-44B6-A9FE-F9EF243E7C40}">
  <dimension ref="A1:J71"/>
  <sheetViews>
    <sheetView topLeftCell="A31" zoomScale="85" zoomScaleNormal="85" workbookViewId="0">
      <selection activeCell="J29" sqref="A1:N29"/>
    </sheetView>
  </sheetViews>
  <sheetFormatPr defaultRowHeight="18.45"/>
  <cols>
    <col min="1" max="1" width="8.84375" style="87"/>
    <col min="2" max="3" width="19" style="21" bestFit="1" customWidth="1"/>
    <col min="4" max="4" width="8.84375" style="21"/>
    <col min="6" max="6" width="4.07421875" bestFit="1" customWidth="1"/>
  </cols>
  <sheetData>
    <row r="1" spans="1:4">
      <c r="A1" s="87" t="s">
        <v>7</v>
      </c>
      <c r="B1" s="372" t="s">
        <v>127</v>
      </c>
      <c r="C1" s="372" t="s">
        <v>150</v>
      </c>
      <c r="D1" s="372" t="s">
        <v>413</v>
      </c>
    </row>
    <row r="2" spans="1:4">
      <c r="A2" s="129">
        <v>1980</v>
      </c>
      <c r="B2" s="373"/>
      <c r="C2" s="269"/>
      <c r="D2" s="269"/>
    </row>
    <row r="3" spans="1:4">
      <c r="A3" s="129">
        <v>1981</v>
      </c>
      <c r="B3" s="269">
        <f>'供給側予測（成長実現ケース）'!D4/1000</f>
        <v>0.472806642263148</v>
      </c>
      <c r="C3" s="269">
        <f>'供給側予測（ベースラインケース)'!D4/1000</f>
        <v>0.472806642263148</v>
      </c>
      <c r="D3" s="269">
        <f t="shared" ref="D3:D42" si="0">C3</f>
        <v>0.472806642263148</v>
      </c>
    </row>
    <row r="4" spans="1:4">
      <c r="A4" s="129">
        <v>1982</v>
      </c>
      <c r="B4" s="269">
        <f>'供給側予測（成長実現ケース）'!D5/1000</f>
        <v>0.52338370931380196</v>
      </c>
      <c r="C4" s="269">
        <f>'供給側予測（ベースラインケース)'!D5/1000</f>
        <v>0.52338370931380196</v>
      </c>
      <c r="D4" s="269">
        <f t="shared" si="0"/>
        <v>0.52338370931380196</v>
      </c>
    </row>
    <row r="5" spans="1:4">
      <c r="A5" s="129">
        <v>1983</v>
      </c>
      <c r="B5" s="269">
        <f>'供給側予測（成長実現ケース）'!D6/1000</f>
        <v>0.5745537304292091</v>
      </c>
      <c r="C5" s="269">
        <f>'供給側予測（ベースラインケース)'!D6/1000</f>
        <v>0.5745537304292091</v>
      </c>
      <c r="D5" s="269">
        <f t="shared" si="0"/>
        <v>0.5745537304292091</v>
      </c>
    </row>
    <row r="6" spans="1:4">
      <c r="A6" s="129">
        <v>1984</v>
      </c>
      <c r="B6" s="269">
        <f>'供給側予測（成長実現ケース）'!D7/1000</f>
        <v>0.62714315620186101</v>
      </c>
      <c r="C6" s="269">
        <f>'供給側予測（ベースラインケース)'!D7/1000</f>
        <v>0.62714315620186101</v>
      </c>
      <c r="D6" s="269">
        <f t="shared" si="0"/>
        <v>0.62714315620186101</v>
      </c>
    </row>
    <row r="7" spans="1:4">
      <c r="A7" s="129">
        <v>1985</v>
      </c>
      <c r="B7" s="269">
        <f>'供給側予測（成長実現ケース）'!D8/1000</f>
        <v>0.68192716819685995</v>
      </c>
      <c r="C7" s="269">
        <f>'供給側予測（ベースラインケース)'!D8/1000</f>
        <v>0.68192716819685995</v>
      </c>
      <c r="D7" s="269">
        <f t="shared" si="0"/>
        <v>0.68192716819685995</v>
      </c>
    </row>
    <row r="8" spans="1:4">
      <c r="A8" s="129">
        <v>1986</v>
      </c>
      <c r="B8" s="269">
        <f>'供給側予測（成長実現ケース）'!D9/1000</f>
        <v>0.73955168204161392</v>
      </c>
      <c r="C8" s="269">
        <f>'供給側予測（ベースラインケース)'!D9/1000</f>
        <v>0.73955168204161392</v>
      </c>
      <c r="D8" s="269">
        <f t="shared" si="0"/>
        <v>0.73955168204161392</v>
      </c>
    </row>
    <row r="9" spans="1:4">
      <c r="A9" s="129">
        <v>1987</v>
      </c>
      <c r="B9" s="269">
        <f>'供給側予測（成長実現ケース）'!D10/1000</f>
        <v>0.80051999814048302</v>
      </c>
      <c r="C9" s="269">
        <f>'供給側予測（ベースラインケース)'!D10/1000</f>
        <v>0.80051999814048302</v>
      </c>
      <c r="D9" s="269">
        <f t="shared" si="0"/>
        <v>0.80051999814048302</v>
      </c>
    </row>
    <row r="10" spans="1:4">
      <c r="A10" s="129">
        <v>1988</v>
      </c>
      <c r="B10" s="269">
        <f>'供給側予測（成長実現ケース）'!D11/1000</f>
        <v>0.86502961742339202</v>
      </c>
      <c r="C10" s="269">
        <f>'供給側予測（ベースラインケース)'!D11/1000</f>
        <v>0.86502961742339202</v>
      </c>
      <c r="D10" s="269">
        <f t="shared" si="0"/>
        <v>0.86502961742339202</v>
      </c>
    </row>
    <row r="11" spans="1:4">
      <c r="A11" s="129">
        <v>1989</v>
      </c>
      <c r="B11" s="269">
        <f>'供給側予測（成長実現ケース）'!D12/1000</f>
        <v>0.93288410976273894</v>
      </c>
      <c r="C11" s="269">
        <f>'供給側予測（ベースラインケース)'!D12/1000</f>
        <v>0.93288410976273894</v>
      </c>
      <c r="D11" s="269">
        <f t="shared" si="0"/>
        <v>0.93288410976273894</v>
      </c>
    </row>
    <row r="12" spans="1:4">
      <c r="A12" s="129">
        <v>1990</v>
      </c>
      <c r="B12" s="269">
        <f>'供給側予測（成長実現ケース）'!D13/1000</f>
        <v>1.0033596160840501</v>
      </c>
      <c r="C12" s="269">
        <f>'供給側予測（ベースラインケース)'!D13/1000</f>
        <v>1.0033596160840501</v>
      </c>
      <c r="D12" s="269">
        <f t="shared" si="0"/>
        <v>1.0033596160840501</v>
      </c>
    </row>
    <row r="13" spans="1:4">
      <c r="A13" s="129">
        <v>1991</v>
      </c>
      <c r="B13" s="269">
        <f>'供給側予測（成長実現ケース）'!D14/1000</f>
        <v>1.0751981494637701</v>
      </c>
      <c r="C13" s="269">
        <f>'供給側予測（ベースラインケース)'!D14/1000</f>
        <v>1.0751981494637701</v>
      </c>
      <c r="D13" s="269">
        <f t="shared" si="0"/>
        <v>1.0751981494637701</v>
      </c>
    </row>
    <row r="14" spans="1:4">
      <c r="A14" s="129">
        <v>1992</v>
      </c>
      <c r="B14" s="269">
        <f>'供給側予測（成長実現ケース）'!D15/1000</f>
        <v>1.1468155553272599</v>
      </c>
      <c r="C14" s="269">
        <f>'供給側予測（ベースラインケース)'!D15/1000</f>
        <v>1.1468155553272599</v>
      </c>
      <c r="D14" s="269">
        <f t="shared" si="0"/>
        <v>1.1468155553272599</v>
      </c>
    </row>
    <row r="15" spans="1:4">
      <c r="A15" s="129">
        <v>1993</v>
      </c>
      <c r="B15" s="269">
        <f>'供給側予測（成長実現ケース）'!D16/1000</f>
        <v>1.2164729488452999</v>
      </c>
      <c r="C15" s="269">
        <f>'供給側予測（ベースラインケース)'!D16/1000</f>
        <v>1.2164729488452999</v>
      </c>
      <c r="D15" s="269">
        <f t="shared" si="0"/>
        <v>1.2164729488452999</v>
      </c>
    </row>
    <row r="16" spans="1:4">
      <c r="A16" s="129">
        <v>1994</v>
      </c>
      <c r="B16" s="269">
        <f>'供給側予測（成長実現ケース）'!D17/1000</f>
        <v>1.2822284055868098</v>
      </c>
      <c r="C16" s="269">
        <f>'供給側予測（ベースラインケース)'!D17/1000</f>
        <v>1.2822284055868098</v>
      </c>
      <c r="D16" s="269">
        <f t="shared" si="0"/>
        <v>1.2822284055868098</v>
      </c>
    </row>
    <row r="17" spans="1:4">
      <c r="A17" s="129">
        <v>1995</v>
      </c>
      <c r="B17" s="269">
        <f>'供給側予測（成長実現ケース）'!D18/1000</f>
        <v>1.34229842065101</v>
      </c>
      <c r="C17" s="269">
        <f>'供給側予測（ベースラインケース)'!D18/1000</f>
        <v>1.34229842065101</v>
      </c>
      <c r="D17" s="269">
        <f t="shared" si="0"/>
        <v>1.34229842065101</v>
      </c>
    </row>
    <row r="18" spans="1:4">
      <c r="A18" s="129">
        <v>1996</v>
      </c>
      <c r="B18" s="269">
        <f>'供給側予測（成長実現ケース）'!D19/1000</f>
        <v>1.3953966768661601</v>
      </c>
      <c r="C18" s="269">
        <f>'供給側予測（ベースラインケース)'!D19/1000</f>
        <v>1.3953966768661601</v>
      </c>
      <c r="D18" s="269">
        <f t="shared" si="0"/>
        <v>1.3953966768661601</v>
      </c>
    </row>
    <row r="19" spans="1:4">
      <c r="A19" s="129">
        <v>1997</v>
      </c>
      <c r="B19" s="269">
        <f>'供給側予測（成長実現ケース）'!D20/1000</f>
        <v>1.4406598728540201</v>
      </c>
      <c r="C19" s="269">
        <f>'供給側予測（ベースラインケース)'!D20/1000</f>
        <v>1.4406598728540201</v>
      </c>
      <c r="D19" s="269">
        <f t="shared" si="0"/>
        <v>1.4406598728540201</v>
      </c>
    </row>
    <row r="20" spans="1:4">
      <c r="A20" s="129">
        <v>1998</v>
      </c>
      <c r="B20" s="269">
        <f>'供給側予測（成長実現ケース）'!D21/1000</f>
        <v>1.4774617404676802</v>
      </c>
      <c r="C20" s="269">
        <f>'供給側予測（ベースラインケース)'!D21/1000</f>
        <v>1.4774617404676802</v>
      </c>
      <c r="D20" s="269">
        <f t="shared" si="0"/>
        <v>1.4774617404676802</v>
      </c>
    </row>
    <row r="21" spans="1:4">
      <c r="A21" s="129">
        <v>1999</v>
      </c>
      <c r="B21" s="269">
        <f>'供給側予測（成長実現ケース）'!D22/1000</f>
        <v>1.5054704128317</v>
      </c>
      <c r="C21" s="269">
        <f>'供給側予測（ベースラインケース)'!D22/1000</f>
        <v>1.5054704128317</v>
      </c>
      <c r="D21" s="269">
        <f t="shared" si="0"/>
        <v>1.5054704128317</v>
      </c>
    </row>
    <row r="22" spans="1:4">
      <c r="A22" s="129">
        <v>2000</v>
      </c>
      <c r="B22" s="269">
        <f>'供給側予測（成長実現ケース）'!D23/1000</f>
        <v>1.5247844056659601</v>
      </c>
      <c r="C22" s="269">
        <f>'供給側予測（ベースラインケース)'!D23/1000</f>
        <v>1.5247844056659601</v>
      </c>
      <c r="D22" s="269">
        <f t="shared" si="0"/>
        <v>1.5247844056659601</v>
      </c>
    </row>
    <row r="23" spans="1:4">
      <c r="A23" s="129">
        <v>2001</v>
      </c>
      <c r="B23" s="269">
        <f>'供給側予測（成長実現ケース）'!D24/1000</f>
        <v>1.5358085305620099</v>
      </c>
      <c r="C23" s="269">
        <f>'供給側予測（ベースラインケース)'!D24/1000</f>
        <v>1.5358085305620099</v>
      </c>
      <c r="D23" s="269">
        <f t="shared" si="0"/>
        <v>1.5358085305620099</v>
      </c>
    </row>
    <row r="24" spans="1:4">
      <c r="A24" s="129">
        <v>2002</v>
      </c>
      <c r="B24" s="269">
        <f>'供給側予測（成長実現ケース）'!D25/1000</f>
        <v>1.53922475505476</v>
      </c>
      <c r="C24" s="269">
        <f>'供給側予測（ベースラインケース)'!D25/1000</f>
        <v>1.53922475505476</v>
      </c>
      <c r="D24" s="269">
        <f t="shared" si="0"/>
        <v>1.53922475505476</v>
      </c>
    </row>
    <row r="25" spans="1:4">
      <c r="A25" s="129">
        <v>2003</v>
      </c>
      <c r="B25" s="269">
        <f>'供給側予測（成長実現ケース）'!D26/1000</f>
        <v>1.5359989613734799</v>
      </c>
      <c r="C25" s="269">
        <f>'供給側予測（ベースラインケース)'!D26/1000</f>
        <v>1.5359989613734799</v>
      </c>
      <c r="D25" s="269">
        <f t="shared" si="0"/>
        <v>1.5359989613734799</v>
      </c>
    </row>
    <row r="26" spans="1:4">
      <c r="A26" s="129">
        <v>2004</v>
      </c>
      <c r="B26" s="269">
        <f>'供給側予測（成長実現ケース）'!D27/1000</f>
        <v>1.5272157841969198</v>
      </c>
      <c r="C26" s="269">
        <f>'供給側予測（ベースラインケース)'!D27/1000</f>
        <v>1.5272157841969198</v>
      </c>
      <c r="D26" s="269">
        <f t="shared" si="0"/>
        <v>1.5272157841969198</v>
      </c>
    </row>
    <row r="27" spans="1:4">
      <c r="A27" s="129">
        <v>2005</v>
      </c>
      <c r="B27" s="269">
        <f>'供給側予測（成長実現ケース）'!D28/1000</f>
        <v>1.5139448685900601</v>
      </c>
      <c r="C27" s="269">
        <f>'供給側予測（ベースラインケース)'!D28/1000</f>
        <v>1.5139448685900601</v>
      </c>
      <c r="D27" s="269">
        <f t="shared" si="0"/>
        <v>1.5139448685900601</v>
      </c>
    </row>
    <row r="28" spans="1:4">
      <c r="A28" s="129">
        <v>2006</v>
      </c>
      <c r="B28" s="269">
        <f>'供給側予測（成長実現ケース）'!D29/1000</f>
        <v>1.4972417017759301</v>
      </c>
      <c r="C28" s="269">
        <f>'供給側予測（ベースラインケース)'!D29/1000</f>
        <v>1.4972417017759301</v>
      </c>
      <c r="D28" s="269">
        <f t="shared" si="0"/>
        <v>1.4972417017759301</v>
      </c>
    </row>
    <row r="29" spans="1:4">
      <c r="A29" s="129">
        <v>2007</v>
      </c>
      <c r="B29" s="269">
        <f>'供給側予測（成長実現ケース）'!D30/1000</f>
        <v>1.4780853222916701</v>
      </c>
      <c r="C29" s="269">
        <f>'供給側予測（ベースラインケース)'!D30/1000</f>
        <v>1.4780853222916701</v>
      </c>
      <c r="D29" s="269">
        <f t="shared" si="0"/>
        <v>1.4780853222916701</v>
      </c>
    </row>
    <row r="30" spans="1:4">
      <c r="A30" s="129">
        <v>2008</v>
      </c>
      <c r="B30" s="269">
        <f>'供給側予測（成長実現ケース）'!D31/1000</f>
        <v>1.4574433516566301</v>
      </c>
      <c r="C30" s="269">
        <f>'供給側予測（ベースラインケース)'!D31/1000</f>
        <v>1.4574433516566301</v>
      </c>
      <c r="D30" s="269">
        <f t="shared" si="0"/>
        <v>1.4574433516566301</v>
      </c>
    </row>
    <row r="31" spans="1:4">
      <c r="A31" s="129">
        <v>2009</v>
      </c>
      <c r="B31" s="269">
        <f>'供給側予測（成長実現ケース）'!D32/1000</f>
        <v>1.43628755816728</v>
      </c>
      <c r="C31" s="269">
        <f>'供給側予測（ベースラインケース)'!D32/1000</f>
        <v>1.43628755816728</v>
      </c>
      <c r="D31" s="269">
        <f t="shared" si="0"/>
        <v>1.43628755816728</v>
      </c>
    </row>
    <row r="32" spans="1:4">
      <c r="A32" s="129">
        <v>2010</v>
      </c>
      <c r="B32" s="269">
        <f>'供給側予測（成長実現ケース）'!D33/1000</f>
        <v>1.4156182766034899</v>
      </c>
      <c r="C32" s="269">
        <f>'供給側予測（ベースラインケース)'!D33/1000</f>
        <v>1.4156182766034899</v>
      </c>
      <c r="D32" s="269">
        <f t="shared" si="0"/>
        <v>1.4156182766034899</v>
      </c>
    </row>
    <row r="33" spans="1:4">
      <c r="A33" s="129">
        <v>2011</v>
      </c>
      <c r="B33" s="269">
        <f>'供給側予測（成長実現ケース）'!D34/1000</f>
        <v>1.3965069661634699</v>
      </c>
      <c r="C33" s="269">
        <f>'供給側予測（ベースラインケース)'!D34/1000</f>
        <v>1.3965069661634699</v>
      </c>
      <c r="D33" s="269">
        <f t="shared" si="0"/>
        <v>1.3965069661634699</v>
      </c>
    </row>
    <row r="34" spans="1:4">
      <c r="A34" s="129">
        <v>2012</v>
      </c>
      <c r="B34" s="269">
        <f>'供給側予測（成長実現ケース）'!D35/1000</f>
        <v>1.3799329032794101</v>
      </c>
      <c r="C34" s="269">
        <f>'供給側予測（ベースラインケース)'!D35/1000</f>
        <v>1.3799329032794101</v>
      </c>
      <c r="D34" s="269">
        <f t="shared" si="0"/>
        <v>1.3799329032794101</v>
      </c>
    </row>
    <row r="35" spans="1:4">
      <c r="A35" s="129">
        <v>2013</v>
      </c>
      <c r="B35" s="269">
        <f>'供給側予測（成長実現ケース）'!D36/1000</f>
        <v>1.3666892947218401</v>
      </c>
      <c r="C35" s="269">
        <f>'供給側予測（ベースラインケース)'!D36/1000</f>
        <v>1.3666892947218401</v>
      </c>
      <c r="D35" s="269">
        <f t="shared" si="0"/>
        <v>1.3666892947218401</v>
      </c>
    </row>
    <row r="36" spans="1:4">
      <c r="A36" s="129">
        <v>2014</v>
      </c>
      <c r="B36" s="269">
        <f>'供給側予測（成長実現ケース）'!D37/1000</f>
        <v>1.35729701822851</v>
      </c>
      <c r="C36" s="269">
        <f>'供給側予測（ベースラインケース)'!D37/1000</f>
        <v>1.35729701822851</v>
      </c>
      <c r="D36" s="269">
        <f t="shared" si="0"/>
        <v>1.35729701822851</v>
      </c>
    </row>
    <row r="37" spans="1:4">
      <c r="A37" s="129">
        <v>2015</v>
      </c>
      <c r="B37" s="269">
        <f>'供給側予測（成長実現ケース）'!D38/1000</f>
        <v>1.3520110585899499</v>
      </c>
      <c r="C37" s="269">
        <f>'供給側予測（ベースラインケース)'!D38/1000</f>
        <v>1.3520110585899499</v>
      </c>
      <c r="D37" s="269">
        <f t="shared" si="0"/>
        <v>1.3520110585899499</v>
      </c>
    </row>
    <row r="38" spans="1:4">
      <c r="A38" s="129">
        <v>2016</v>
      </c>
      <c r="B38" s="269">
        <f>'供給側予測（成長実現ケース）'!D39/1000</f>
        <v>1.3508104304144</v>
      </c>
      <c r="C38" s="269">
        <f>'供給側予測（ベースラインケース)'!D39/1000</f>
        <v>1.3508104304144</v>
      </c>
      <c r="D38" s="269">
        <f t="shared" si="0"/>
        <v>1.3508104304144</v>
      </c>
    </row>
    <row r="39" spans="1:4">
      <c r="A39" s="129">
        <v>2017</v>
      </c>
      <c r="B39" s="269">
        <f>'供給側予測（成長実現ケース）'!D40/1000</f>
        <v>1.35321503772422</v>
      </c>
      <c r="C39" s="269">
        <f>'供給側予測（ベースラインケース)'!D40/1000</f>
        <v>1.35321503772422</v>
      </c>
      <c r="D39" s="269">
        <f t="shared" si="0"/>
        <v>1.35321503772422</v>
      </c>
    </row>
    <row r="40" spans="1:4">
      <c r="A40" s="129">
        <v>2018</v>
      </c>
      <c r="B40" s="269">
        <f>'供給側予測（成長実現ケース）'!D41/1000</f>
        <v>1.3584466802376101</v>
      </c>
      <c r="C40" s="269">
        <f>'供給側予測（ベースラインケース)'!D41/1000</f>
        <v>1.3584466802376101</v>
      </c>
      <c r="D40" s="269">
        <f t="shared" si="0"/>
        <v>1.3584466802376101</v>
      </c>
    </row>
    <row r="41" spans="1:4">
      <c r="A41" s="129">
        <v>2019</v>
      </c>
      <c r="B41" s="269">
        <f>'供給側予測（成長実現ケース）'!D42/1000</f>
        <v>1.3656400072955099</v>
      </c>
      <c r="C41" s="269">
        <f>'供給側予測（ベースラインケース)'!D42/1000</f>
        <v>1.3656400072955099</v>
      </c>
      <c r="D41" s="269">
        <f t="shared" si="0"/>
        <v>1.3656400072955099</v>
      </c>
    </row>
    <row r="42" spans="1:4">
      <c r="A42" s="129">
        <v>2020</v>
      </c>
      <c r="B42" s="269">
        <f>'供給側予測（成長実現ケース）'!D43/1000</f>
        <v>1.37394320143653</v>
      </c>
      <c r="C42" s="269">
        <f>'供給側予測（ベースラインケース)'!D43/1000</f>
        <v>1.37394320143653</v>
      </c>
      <c r="D42" s="269">
        <f t="shared" si="0"/>
        <v>1.37394320143653</v>
      </c>
    </row>
    <row r="43" spans="1:4">
      <c r="A43" s="129">
        <v>2021</v>
      </c>
      <c r="B43" s="269">
        <f>'供給側予測（成長実現ケース）'!D44/1000</f>
        <v>1.3826350451262799</v>
      </c>
      <c r="C43" s="269">
        <f>'供給側予測（ベースラインケース)'!D44/1000</f>
        <v>1.3826350451262799</v>
      </c>
    </row>
    <row r="44" spans="1:4">
      <c r="A44" s="129">
        <v>2022</v>
      </c>
      <c r="B44" s="269">
        <f>'供給側予測（成長実現ケース）'!D45/1000</f>
        <v>1.3890396860433749</v>
      </c>
      <c r="C44" s="269">
        <f>'供給側予測（ベースラインケース)'!D45/1000</f>
        <v>1.389880731770913</v>
      </c>
    </row>
    <row r="45" spans="1:4">
      <c r="A45" s="129">
        <v>2023</v>
      </c>
      <c r="B45" s="269">
        <f>'供給側予測（成長実現ケース）'!D46/1000</f>
        <v>1.3977604460657094</v>
      </c>
      <c r="C45" s="269">
        <f>'供給側予測（ベースラインケース)'!D46/1000</f>
        <v>1.3974386570302266</v>
      </c>
    </row>
    <row r="46" spans="1:4">
      <c r="A46" s="129">
        <v>2024</v>
      </c>
      <c r="B46" s="269">
        <f>'供給側予測（成長実現ケース）'!D47/1000</f>
        <v>1.4086760637313263</v>
      </c>
      <c r="C46" s="269">
        <f>'供給側予測（ベースラインケース)'!D47/1000</f>
        <v>1.4052817324144389</v>
      </c>
    </row>
    <row r="47" spans="1:4">
      <c r="A47" s="129">
        <v>2025</v>
      </c>
      <c r="B47" s="269">
        <f>'供給側予測（成長実現ケース）'!D48/1000</f>
        <v>1.4216837504390225</v>
      </c>
      <c r="C47" s="269">
        <f>'供給側予測（ベースラインケース)'!D48/1000</f>
        <v>1.4133851414715033</v>
      </c>
    </row>
    <row r="48" spans="1:4">
      <c r="A48" s="129">
        <v>2026</v>
      </c>
      <c r="B48" s="269">
        <f>'供給側予測（成長実現ケース）'!D49/1000</f>
        <v>1.4366966631267084</v>
      </c>
      <c r="C48" s="269">
        <f>'供給側予測（ベースラインケース)'!D49/1000</f>
        <v>1.4217260368689251</v>
      </c>
    </row>
    <row r="49" spans="1:7">
      <c r="A49" s="129">
        <v>2027</v>
      </c>
      <c r="B49" s="269">
        <f>'供給側予測（成長実現ケース）'!D50/1000</f>
        <v>1.453615119957866</v>
      </c>
      <c r="C49" s="269">
        <f>'供給側予測（ベースラインケース)'!D50/1000</f>
        <v>1.4296738049239435</v>
      </c>
    </row>
    <row r="50" spans="1:7">
      <c r="A50" s="129">
        <v>2028</v>
      </c>
      <c r="B50" s="269">
        <f>'供給側予測（成長実現ケース）'!D51/1000</f>
        <v>1.4723788349824485</v>
      </c>
      <c r="C50" s="269">
        <f>'供給側予測（ベースラインケース)'!D51/1000</f>
        <v>1.4372157763727036</v>
      </c>
    </row>
    <row r="51" spans="1:7">
      <c r="A51" s="129">
        <v>2029</v>
      </c>
      <c r="B51" s="269">
        <f>'供給側予測（成長実現ケース）'!D52/1000</f>
        <v>1.4929378572115701</v>
      </c>
      <c r="C51" s="269">
        <f>'供給側予測（ベースラインケース)'!D52/1000</f>
        <v>1.4443382281805295</v>
      </c>
    </row>
    <row r="52" spans="1:7">
      <c r="A52" s="129">
        <v>2030</v>
      </c>
      <c r="B52" s="269">
        <f>'供給側予測（成長実現ケース）'!D53/1000</f>
        <v>1.5152513376531733</v>
      </c>
      <c r="C52" s="269">
        <f>'供給側予測（ベースラインケース)'!D53/1000</f>
        <v>1.4510262363188757</v>
      </c>
    </row>
    <row r="53" spans="1:7">
      <c r="A53" s="129">
        <v>2031</v>
      </c>
      <c r="B53" s="269">
        <f>'供給側予測（成長実現ケース）'!D54/1000</f>
        <v>1.5392864842266836</v>
      </c>
      <c r="C53" s="269">
        <f>'供給側予測（ベースラインケース)'!D54/1000</f>
        <v>1.4572635298478194</v>
      </c>
    </row>
    <row r="54" spans="1:7">
      <c r="A54" s="129">
        <v>2032</v>
      </c>
      <c r="B54" s="269">
        <f>'供給側予測（成長実現ケース）'!D55/1000</f>
        <v>1.5649602820034616</v>
      </c>
      <c r="C54" s="269">
        <f>'供給側予測（ベースラインケース)'!D55/1000</f>
        <v>1.4632203820085607</v>
      </c>
    </row>
    <row r="55" spans="1:7">
      <c r="A55" s="129">
        <v>2033</v>
      </c>
      <c r="B55" s="269">
        <f>'供給側予測（成長実現ケース）'!D56/1000</f>
        <v>1.5922540848478393</v>
      </c>
      <c r="C55" s="269">
        <f>'供給側予測（ベースラインケース)'!D56/1000</f>
        <v>1.4688774215364861</v>
      </c>
    </row>
    <row r="56" spans="1:7">
      <c r="A56" s="129">
        <v>2034</v>
      </c>
      <c r="B56" s="269">
        <f>'供給側予測（成長実現ケース）'!D57/1000</f>
        <v>1.6211546415033484</v>
      </c>
      <c r="C56" s="269">
        <f>'供給側予測（ベースラインケース)'!D57/1000</f>
        <v>1.474214323506386</v>
      </c>
    </row>
    <row r="57" spans="1:7">
      <c r="A57" s="129">
        <v>2035</v>
      </c>
      <c r="B57" s="269">
        <f>'供給側予測（成長実現ケース）'!D58/1000</f>
        <v>1.6516535771264129</v>
      </c>
      <c r="C57" s="269">
        <f>'供給側予測（ベースラインケース)'!D58/1000</f>
        <v>1.4792096791396867</v>
      </c>
      <c r="E57" s="370"/>
      <c r="F57" s="21">
        <f>B57-C57</f>
        <v>0.17244389798672621</v>
      </c>
    </row>
    <row r="58" spans="1:7">
      <c r="A58" s="129">
        <v>2036</v>
      </c>
      <c r="B58" s="269">
        <f>'供給側予測（成長実現ケース）'!D59/1000</f>
        <v>1.6837469479736726</v>
      </c>
      <c r="C58" s="269">
        <f>'供給側予測（ベースラインケース)'!D59/1000</f>
        <v>1.4838408619997381</v>
      </c>
    </row>
    <row r="59" spans="1:7">
      <c r="A59" s="129">
        <v>2037</v>
      </c>
      <c r="B59" s="269">
        <f>'供給側予測（成長実現ケース）'!D60/1000</f>
        <v>1.7173800206853123</v>
      </c>
      <c r="C59" s="269">
        <f>'供給側予測（ベースラインケース)'!D60/1000</f>
        <v>1.4883352856817369</v>
      </c>
    </row>
    <row r="60" spans="1:7">
      <c r="A60" s="129">
        <v>2038</v>
      </c>
      <c r="B60" s="269">
        <f>'供給側予測（成長実現ケース）'!D61/1000</f>
        <v>1.7525565445926294</v>
      </c>
      <c r="C60" s="269">
        <f>'供給側予測（ベースラインケース)'!D61/1000</f>
        <v>1.4926666845284442</v>
      </c>
    </row>
    <row r="61" spans="1:7">
      <c r="A61" s="129">
        <v>2039</v>
      </c>
      <c r="B61" s="269">
        <f>'供給側予測（成長実現ケース）'!D62/1000</f>
        <v>1.7892834219988709</v>
      </c>
      <c r="C61" s="269">
        <f>'供給側予測（ベースラインケース)'!D62/1000</f>
        <v>1.496808370828171</v>
      </c>
    </row>
    <row r="62" spans="1:7">
      <c r="A62" s="129">
        <v>2040</v>
      </c>
      <c r="B62" s="269">
        <f>'供給側予測（成長実現ケース）'!D63/1000</f>
        <v>1.8275704812181179</v>
      </c>
      <c r="C62" s="269">
        <f>'供給側予測（ベースラインケース)'!D63/1000</f>
        <v>1.5007330928314622</v>
      </c>
    </row>
    <row r="63" spans="1:7">
      <c r="G63" s="14"/>
    </row>
    <row r="67" spans="10:10">
      <c r="J67" s="18"/>
    </row>
    <row r="71" spans="10:10">
      <c r="J71" s="18"/>
    </row>
  </sheetData>
  <phoneticPr fontId="1"/>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ED7D9-D4EE-49CD-9541-F98817FB3D6D}">
  <dimension ref="A1:J71"/>
  <sheetViews>
    <sheetView topLeftCell="A22" zoomScale="85" zoomScaleNormal="85" workbookViewId="0">
      <selection activeCell="J29" sqref="A1:N29"/>
    </sheetView>
  </sheetViews>
  <sheetFormatPr defaultRowHeight="18.45"/>
  <cols>
    <col min="1" max="1" width="8.84375" style="87"/>
    <col min="2" max="3" width="19" style="21" bestFit="1" customWidth="1"/>
    <col min="4" max="4" width="8.84375" style="21"/>
    <col min="6" max="6" width="4.07421875" bestFit="1" customWidth="1"/>
  </cols>
  <sheetData>
    <row r="1" spans="1:4">
      <c r="A1" s="87" t="s">
        <v>7</v>
      </c>
      <c r="B1" s="372" t="s">
        <v>127</v>
      </c>
      <c r="C1" s="372" t="s">
        <v>150</v>
      </c>
      <c r="D1" s="372" t="s">
        <v>413</v>
      </c>
    </row>
    <row r="2" spans="1:4">
      <c r="A2" s="129">
        <v>1980</v>
      </c>
      <c r="B2" s="373"/>
      <c r="C2" s="269"/>
      <c r="D2" s="269"/>
    </row>
    <row r="3" spans="1:4">
      <c r="A3" s="129">
        <v>1981</v>
      </c>
      <c r="B3" s="269">
        <f>'供給側予測（成長実現ケース）'!G4/1000</f>
        <v>9.8526778546204401</v>
      </c>
      <c r="C3" s="269">
        <f>'供給側予測（ベースラインケース)'!G4/1000</f>
        <v>9.8526778546204401</v>
      </c>
      <c r="D3" s="269">
        <f t="shared" ref="D3:D42" si="0">C3</f>
        <v>9.8526778546204401</v>
      </c>
    </row>
    <row r="4" spans="1:4">
      <c r="A4" s="129">
        <v>1982</v>
      </c>
      <c r="B4" s="269">
        <f>'供給側予測（成長実現ケース）'!G5/1000</f>
        <v>10.446904148254028</v>
      </c>
      <c r="C4" s="269">
        <f>'供給側予測（ベースラインケース)'!G5/1000</f>
        <v>10.446904148254028</v>
      </c>
      <c r="D4" s="269">
        <f t="shared" si="0"/>
        <v>10.446904148254028</v>
      </c>
    </row>
    <row r="5" spans="1:4">
      <c r="A5" s="129">
        <v>1983</v>
      </c>
      <c r="B5" s="269">
        <f>'供給側予測（成長実現ケース）'!G6/1000</f>
        <v>11.044788524344776</v>
      </c>
      <c r="C5" s="269">
        <f>'供給側予測（ベースラインケース)'!G6/1000</f>
        <v>11.044788524344776</v>
      </c>
      <c r="D5" s="269">
        <f t="shared" si="0"/>
        <v>11.044788524344776</v>
      </c>
    </row>
    <row r="6" spans="1:4">
      <c r="A6" s="129">
        <v>1984</v>
      </c>
      <c r="B6" s="269">
        <f>'供給側予測（成長実現ケース）'!G7/1000</f>
        <v>11.654536095712126</v>
      </c>
      <c r="C6" s="269">
        <f>'供給側予測（ベースラインケース)'!G7/1000</f>
        <v>11.654536095712126</v>
      </c>
      <c r="D6" s="269">
        <f t="shared" si="0"/>
        <v>11.654536095712126</v>
      </c>
    </row>
    <row r="7" spans="1:4">
      <c r="A7" s="129">
        <v>1985</v>
      </c>
      <c r="B7" s="269">
        <f>'供給側予測（成長実現ケース）'!G8/1000</f>
        <v>12.288658993537544</v>
      </c>
      <c r="C7" s="269">
        <f>'供給側予測（ベースラインケース)'!G8/1000</f>
        <v>12.288658993537544</v>
      </c>
      <c r="D7" s="269">
        <f t="shared" si="0"/>
        <v>12.288658993537544</v>
      </c>
    </row>
    <row r="8" spans="1:4">
      <c r="A8" s="129">
        <v>1986</v>
      </c>
      <c r="B8" s="269">
        <f>'供給側予測（成長実現ケース）'!G9/1000</f>
        <v>12.961943110240123</v>
      </c>
      <c r="C8" s="269">
        <f>'供給側予測（ベースラインケース)'!G9/1000</f>
        <v>12.961943110240123</v>
      </c>
      <c r="D8" s="269">
        <f t="shared" si="0"/>
        <v>12.961943110240123</v>
      </c>
    </row>
    <row r="9" spans="1:4">
      <c r="A9" s="129">
        <v>1987</v>
      </c>
      <c r="B9" s="269">
        <f>'供給側予測（成長実現ケース）'!G10/1000</f>
        <v>13.689437680463289</v>
      </c>
      <c r="C9" s="269">
        <f>'供給側予測（ベースラインケース)'!G10/1000</f>
        <v>13.689437680463289</v>
      </c>
      <c r="D9" s="269">
        <f t="shared" si="0"/>
        <v>13.689437680463289</v>
      </c>
    </row>
    <row r="10" spans="1:4">
      <c r="A10" s="129">
        <v>1988</v>
      </c>
      <c r="B10" s="269">
        <f>'供給側予測（成長実現ケース）'!G11/1000</f>
        <v>14.480275020691066</v>
      </c>
      <c r="C10" s="269">
        <f>'供給側予測（ベースラインケース)'!G11/1000</f>
        <v>14.480275020691066</v>
      </c>
      <c r="D10" s="269">
        <f t="shared" si="0"/>
        <v>14.480275020691066</v>
      </c>
    </row>
    <row r="11" spans="1:4">
      <c r="A11" s="129">
        <v>1989</v>
      </c>
      <c r="B11" s="269">
        <f>'供給側予測（成長実現ケース）'!G12/1000</f>
        <v>15.333439689282713</v>
      </c>
      <c r="C11" s="269">
        <f>'供給側予測（ベースラインケース)'!G12/1000</f>
        <v>15.333439689282713</v>
      </c>
      <c r="D11" s="269">
        <f t="shared" si="0"/>
        <v>15.333439689282713</v>
      </c>
    </row>
    <row r="12" spans="1:4">
      <c r="A12" s="129">
        <v>1990</v>
      </c>
      <c r="B12" s="269">
        <f>'供給側予測（成長実現ケース）'!G13/1000</f>
        <v>16.234671852349866</v>
      </c>
      <c r="C12" s="269">
        <f>'供給側予測（ベースラインケース)'!G13/1000</f>
        <v>16.234671852349866</v>
      </c>
      <c r="D12" s="269">
        <f t="shared" si="0"/>
        <v>16.234671852349866</v>
      </c>
    </row>
    <row r="13" spans="1:4">
      <c r="A13" s="129">
        <v>1991</v>
      </c>
      <c r="B13" s="269">
        <f>'供給側予測（成長実現ケース）'!G14/1000</f>
        <v>17.156451601659818</v>
      </c>
      <c r="C13" s="269">
        <f>'供給側予測（ベースラインケース)'!G14/1000</f>
        <v>17.156451601659818</v>
      </c>
      <c r="D13" s="269">
        <f t="shared" si="0"/>
        <v>17.156451601659818</v>
      </c>
    </row>
    <row r="14" spans="1:4">
      <c r="A14" s="129">
        <v>1992</v>
      </c>
      <c r="B14" s="269">
        <f>'供給側予測（成長実現ケース）'!G15/1000</f>
        <v>18.060034349067344</v>
      </c>
      <c r="C14" s="269">
        <f>'供給側予測（ベースラインケース)'!G15/1000</f>
        <v>18.060034349067344</v>
      </c>
      <c r="D14" s="269">
        <f t="shared" si="0"/>
        <v>18.060034349067344</v>
      </c>
    </row>
    <row r="15" spans="1:4">
      <c r="A15" s="129">
        <v>1993</v>
      </c>
      <c r="B15" s="269">
        <f>'供給側予測（成長実現ケース）'!G16/1000</f>
        <v>18.903781699518596</v>
      </c>
      <c r="C15" s="269">
        <f>'供給側予測（ベースラインケース)'!G16/1000</f>
        <v>18.903781699518596</v>
      </c>
      <c r="D15" s="269">
        <f t="shared" si="0"/>
        <v>18.903781699518596</v>
      </c>
    </row>
    <row r="16" spans="1:4">
      <c r="A16" s="129">
        <v>1994</v>
      </c>
      <c r="B16" s="269">
        <f>'供給側予測（成長実現ケース）'!G17/1000</f>
        <v>19.650973489993053</v>
      </c>
      <c r="C16" s="269">
        <f>'供給側予測（ベースラインケース)'!G17/1000</f>
        <v>19.650973489993053</v>
      </c>
      <c r="D16" s="269">
        <f t="shared" si="0"/>
        <v>19.650973489993053</v>
      </c>
    </row>
    <row r="17" spans="1:4">
      <c r="A17" s="129">
        <v>1995</v>
      </c>
      <c r="B17" s="269">
        <f>'供給側予測（成長実現ケース）'!G18/1000</f>
        <v>20.274208306661045</v>
      </c>
      <c r="C17" s="269">
        <f>'供給側予測（ベースラインケース)'!G18/1000</f>
        <v>20.274208306661045</v>
      </c>
      <c r="D17" s="269">
        <f t="shared" si="0"/>
        <v>20.274208306661045</v>
      </c>
    </row>
    <row r="18" spans="1:4">
      <c r="A18" s="129">
        <v>1996</v>
      </c>
      <c r="B18" s="269">
        <f>'供給側予測（成長実現ケース）'!G19/1000</f>
        <v>20.755929721535818</v>
      </c>
      <c r="C18" s="269">
        <f>'供給側予測（ベースラインケース)'!G19/1000</f>
        <v>20.755929721535818</v>
      </c>
      <c r="D18" s="269">
        <f t="shared" si="0"/>
        <v>20.755929721535818</v>
      </c>
    </row>
    <row r="19" spans="1:4">
      <c r="A19" s="129">
        <v>1997</v>
      </c>
      <c r="B19" s="269">
        <f>'供給側予測（成長実現ケース）'!G20/1000</f>
        <v>21.087266926400176</v>
      </c>
      <c r="C19" s="269">
        <f>'供給側予測（ベースラインケース)'!G20/1000</f>
        <v>21.087266926400176</v>
      </c>
      <c r="D19" s="269">
        <f t="shared" si="0"/>
        <v>21.087266926400176</v>
      </c>
    </row>
    <row r="20" spans="1:4">
      <c r="A20" s="129">
        <v>1998</v>
      </c>
      <c r="B20" s="269">
        <f>'供給側予測（成長実現ケース）'!G21/1000</f>
        <v>21.269360958829527</v>
      </c>
      <c r="C20" s="269">
        <f>'供給側予測（ベースラインケース)'!G21/1000</f>
        <v>21.269360958829527</v>
      </c>
      <c r="D20" s="269">
        <f t="shared" si="0"/>
        <v>21.269360958829527</v>
      </c>
    </row>
    <row r="21" spans="1:4">
      <c r="A21" s="129">
        <v>1999</v>
      </c>
      <c r="B21" s="269">
        <f>'供給側予測（成長実現ケース）'!G22/1000</f>
        <v>21.312011566007278</v>
      </c>
      <c r="C21" s="269">
        <f>'供給側予測（ベースラインケース)'!G22/1000</f>
        <v>21.312011566007278</v>
      </c>
      <c r="D21" s="269">
        <f t="shared" si="0"/>
        <v>21.312011566007278</v>
      </c>
    </row>
    <row r="22" spans="1:4">
      <c r="A22" s="129">
        <v>2000</v>
      </c>
      <c r="B22" s="269">
        <f>'供給側予測（成長実現ケース）'!G23/1000</f>
        <v>21.230945074512462</v>
      </c>
      <c r="C22" s="269">
        <f>'供給側予測（ベースラインケース)'!G23/1000</f>
        <v>21.230945074512462</v>
      </c>
      <c r="D22" s="269">
        <f t="shared" si="0"/>
        <v>21.230945074512462</v>
      </c>
    </row>
    <row r="23" spans="1:4">
      <c r="A23" s="129">
        <v>2001</v>
      </c>
      <c r="B23" s="269">
        <f>'供給側予測（成長実現ケース）'!G24/1000</f>
        <v>21.044151100000104</v>
      </c>
      <c r="C23" s="269">
        <f>'供給側予測（ベースラインケース)'!G24/1000</f>
        <v>21.044151100000104</v>
      </c>
      <c r="D23" s="269">
        <f t="shared" si="0"/>
        <v>21.044151100000104</v>
      </c>
    </row>
    <row r="24" spans="1:4">
      <c r="A24" s="129">
        <v>2002</v>
      </c>
      <c r="B24" s="269">
        <f>'供給側予測（成長実現ケース）'!G25/1000</f>
        <v>20.76979402692827</v>
      </c>
      <c r="C24" s="269">
        <f>'供給側予測（ベースラインケース)'!G25/1000</f>
        <v>20.76979402692827</v>
      </c>
      <c r="D24" s="269">
        <f t="shared" si="0"/>
        <v>20.76979402692827</v>
      </c>
    </row>
    <row r="25" spans="1:4">
      <c r="A25" s="129">
        <v>2003</v>
      </c>
      <c r="B25" s="269">
        <f>'供給側予測（成長実現ケース）'!G26/1000</f>
        <v>20.428360661762611</v>
      </c>
      <c r="C25" s="269">
        <f>'供給側予測（ベースラインケース)'!G26/1000</f>
        <v>20.428360661762611</v>
      </c>
      <c r="D25" s="269">
        <f t="shared" si="0"/>
        <v>20.428360661762611</v>
      </c>
    </row>
    <row r="26" spans="1:4">
      <c r="A26" s="129">
        <v>2004</v>
      </c>
      <c r="B26" s="269">
        <f>'供給側予測（成長実現ケース）'!G27/1000</f>
        <v>20.04274114915599</v>
      </c>
      <c r="C26" s="269">
        <f>'供給側予測（ベースラインケース)'!G27/1000</f>
        <v>20.04274114915599</v>
      </c>
      <c r="D26" s="269">
        <f t="shared" si="0"/>
        <v>20.04274114915599</v>
      </c>
    </row>
    <row r="27" spans="1:4">
      <c r="A27" s="129">
        <v>2005</v>
      </c>
      <c r="B27" s="269">
        <f>'供給側予測（成長実現ケース）'!G28/1000</f>
        <v>19.637522116879168</v>
      </c>
      <c r="C27" s="269">
        <f>'供給側予測（ベースラインケース)'!G28/1000</f>
        <v>19.637522116879168</v>
      </c>
      <c r="D27" s="269">
        <f t="shared" si="0"/>
        <v>19.637522116879168</v>
      </c>
    </row>
    <row r="28" spans="1:4">
      <c r="A28" s="129">
        <v>2006</v>
      </c>
      <c r="B28" s="269">
        <f>'供給側予測（成長実現ケース）'!G29/1000</f>
        <v>19.235251025515577</v>
      </c>
      <c r="C28" s="269">
        <f>'供給側予測（ベースラインケース)'!G29/1000</f>
        <v>19.235251025515577</v>
      </c>
      <c r="D28" s="269">
        <f t="shared" si="0"/>
        <v>19.235251025515577</v>
      </c>
    </row>
    <row r="29" spans="1:4">
      <c r="A29" s="129">
        <v>2007</v>
      </c>
      <c r="B29" s="269">
        <f>'供給側予測（成長実現ケース）'!G30/1000</f>
        <v>18.854372257695996</v>
      </c>
      <c r="C29" s="269">
        <f>'供給側予測（ベースラインケース)'!G30/1000</f>
        <v>18.854372257695996</v>
      </c>
      <c r="D29" s="269">
        <f t="shared" si="0"/>
        <v>18.854372257695996</v>
      </c>
    </row>
    <row r="30" spans="1:4">
      <c r="A30" s="129">
        <v>2008</v>
      </c>
      <c r="B30" s="269">
        <f>'供給側予測（成長実現ケース）'!G31/1000</f>
        <v>18.50826141864372</v>
      </c>
      <c r="C30" s="269">
        <f>'供給側予測（ベースラインケース)'!G31/1000</f>
        <v>18.50826141864372</v>
      </c>
      <c r="D30" s="269">
        <f t="shared" si="0"/>
        <v>18.50826141864372</v>
      </c>
    </row>
    <row r="31" spans="1:4">
      <c r="A31" s="129">
        <v>2009</v>
      </c>
      <c r="B31" s="269">
        <f>'供給側予測（成長実現ケース）'!G32/1000</f>
        <v>18.204398940621282</v>
      </c>
      <c r="C31" s="269">
        <f>'供給側予測（ベースラインケース)'!G32/1000</f>
        <v>18.204398940621282</v>
      </c>
      <c r="D31" s="269">
        <f t="shared" si="0"/>
        <v>18.204398940621282</v>
      </c>
    </row>
    <row r="32" spans="1:4">
      <c r="A32" s="129">
        <v>2010</v>
      </c>
      <c r="B32" s="269">
        <f>'供給側予測（成長実現ケース）'!G33/1000</f>
        <v>17.950851725984865</v>
      </c>
      <c r="C32" s="269">
        <f>'供給側予測（ベースラインケース)'!G33/1000</f>
        <v>17.950851725984865</v>
      </c>
      <c r="D32" s="269">
        <f t="shared" si="0"/>
        <v>17.950851725984865</v>
      </c>
    </row>
    <row r="33" spans="1:4">
      <c r="A33" s="129">
        <v>2011</v>
      </c>
      <c r="B33" s="269">
        <f>'供給側予測（成長実現ケース）'!G34/1000</f>
        <v>17.755961932428193</v>
      </c>
      <c r="C33" s="269">
        <f>'供給側予測（ベースラインケース)'!G34/1000</f>
        <v>17.755961932428193</v>
      </c>
      <c r="D33" s="269">
        <f t="shared" si="0"/>
        <v>17.755961932428193</v>
      </c>
    </row>
    <row r="34" spans="1:4">
      <c r="A34" s="129">
        <v>2012</v>
      </c>
      <c r="B34" s="269">
        <f>'供給側予測（成長実現ケース）'!G35/1000</f>
        <v>17.624970174353347</v>
      </c>
      <c r="C34" s="269">
        <f>'供給側予測（ベースラインケース)'!G35/1000</f>
        <v>17.624970174353347</v>
      </c>
      <c r="D34" s="269">
        <f t="shared" si="0"/>
        <v>17.624970174353347</v>
      </c>
    </row>
    <row r="35" spans="1:4">
      <c r="A35" s="129">
        <v>2013</v>
      </c>
      <c r="B35" s="269">
        <f>'供給側予測（成長実現ケース）'!G36/1000</f>
        <v>17.560262562062011</v>
      </c>
      <c r="C35" s="269">
        <f>'供給側予測（ベースラインケース)'!G36/1000</f>
        <v>17.560262562062011</v>
      </c>
      <c r="D35" s="269">
        <f t="shared" si="0"/>
        <v>17.560262562062011</v>
      </c>
    </row>
    <row r="36" spans="1:4">
      <c r="A36" s="129">
        <v>2014</v>
      </c>
      <c r="B36" s="269">
        <f>'供給側予測（成長実現ケース）'!G37/1000</f>
        <v>17.559672503652493</v>
      </c>
      <c r="C36" s="269">
        <f>'供給側予測（ベースラインケース)'!G37/1000</f>
        <v>17.559672503652493</v>
      </c>
      <c r="D36" s="269">
        <f t="shared" si="0"/>
        <v>17.559672503652493</v>
      </c>
    </row>
    <row r="37" spans="1:4">
      <c r="A37" s="129">
        <v>2015</v>
      </c>
      <c r="B37" s="269">
        <f>'供給側予測（成長実現ケース）'!G38/1000</f>
        <v>17.615781847406257</v>
      </c>
      <c r="C37" s="269">
        <f>'供給側予測（ベースラインケース)'!G38/1000</f>
        <v>17.615781847406257</v>
      </c>
      <c r="D37" s="269">
        <f t="shared" si="0"/>
        <v>17.615781847406257</v>
      </c>
    </row>
    <row r="38" spans="1:4">
      <c r="A38" s="129">
        <v>2016</v>
      </c>
      <c r="B38" s="269">
        <f>'供給側予測（成長実現ケース）'!G39/1000</f>
        <v>17.718820882176363</v>
      </c>
      <c r="C38" s="269">
        <f>'供給側予測（ベースラインケース)'!G39/1000</f>
        <v>17.718820882176363</v>
      </c>
      <c r="D38" s="269">
        <f t="shared" si="0"/>
        <v>17.718820882176363</v>
      </c>
    </row>
    <row r="39" spans="1:4">
      <c r="A39" s="129">
        <v>2017</v>
      </c>
      <c r="B39" s="269">
        <f>'供給側予測（成長実現ケース）'!G40/1000</f>
        <v>17.858580631665912</v>
      </c>
      <c r="C39" s="269">
        <f>'供給側予測（ベースラインケース)'!G40/1000</f>
        <v>17.858580631665912</v>
      </c>
      <c r="D39" s="269">
        <f t="shared" si="0"/>
        <v>17.858580631665912</v>
      </c>
    </row>
    <row r="40" spans="1:4">
      <c r="A40" s="129">
        <v>2018</v>
      </c>
      <c r="B40" s="269">
        <f>'供給側予測（成長実現ケース）'!G41/1000</f>
        <v>18.025147751116144</v>
      </c>
      <c r="C40" s="269">
        <f>'供給側予測（ベースラインケース)'!G41/1000</f>
        <v>18.025147751116144</v>
      </c>
      <c r="D40" s="269">
        <f t="shared" si="0"/>
        <v>18.025147751116144</v>
      </c>
    </row>
    <row r="41" spans="1:4">
      <c r="A41" s="129">
        <v>2019</v>
      </c>
      <c r="B41" s="269">
        <f>'供給側予測（成長実現ケース）'!G42/1000</f>
        <v>18.208054840311512</v>
      </c>
      <c r="C41" s="269">
        <f>'供給側予測（ベースラインケース)'!G42/1000</f>
        <v>18.208054840311512</v>
      </c>
      <c r="D41" s="269">
        <f t="shared" si="0"/>
        <v>18.208054840311512</v>
      </c>
    </row>
    <row r="42" spans="1:4">
      <c r="A42" s="129">
        <v>2020</v>
      </c>
      <c r="B42" s="269">
        <f>'供給側予測（成長実現ケース）'!G43/1000</f>
        <v>18.399319577125539</v>
      </c>
      <c r="C42" s="269">
        <f>'供給側予測（ベースラインケース)'!G43/1000</f>
        <v>18.399319577125539</v>
      </c>
      <c r="D42" s="269">
        <f t="shared" si="0"/>
        <v>18.399319577125539</v>
      </c>
    </row>
    <row r="43" spans="1:4">
      <c r="A43" s="129">
        <v>2021</v>
      </c>
      <c r="B43" s="269">
        <f>'供給側予測（成長実現ケース）'!G44/1000</f>
        <v>18.593571130704543</v>
      </c>
      <c r="C43" s="269">
        <f>'供給側予測（ベースラインケース)'!G44/1000</f>
        <v>18.593571130704543</v>
      </c>
    </row>
    <row r="44" spans="1:4">
      <c r="A44" s="129">
        <v>2022</v>
      </c>
      <c r="B44" s="269">
        <f>'供給側予測（成長実現ケース）'!G45/1000</f>
        <v>18.636035230120363</v>
      </c>
      <c r="C44" s="269">
        <f>'供給側予測（ベースラインケース)'!G45/1000</f>
        <v>18.644955616980301</v>
      </c>
    </row>
    <row r="45" spans="1:4">
      <c r="A45" s="129">
        <v>2023</v>
      </c>
      <c r="B45" s="269">
        <f>'供給側予測（成長実現ケース）'!G46/1000</f>
        <v>18.714898070462098</v>
      </c>
      <c r="C45" s="269">
        <f>'供給側予測（ベースラインケース)'!G46/1000</f>
        <v>18.705219674520166</v>
      </c>
    </row>
    <row r="46" spans="1:4">
      <c r="A46" s="129">
        <v>2024</v>
      </c>
      <c r="B46" s="269">
        <f>'供給側予測（成長実現ケース）'!G47/1000</f>
        <v>18.828826832677528</v>
      </c>
      <c r="C46" s="269">
        <f>'供給側予測（ベースラインケース)'!G47/1000</f>
        <v>18.773902018114622</v>
      </c>
    </row>
    <row r="47" spans="1:4">
      <c r="A47" s="129">
        <v>2025</v>
      </c>
      <c r="B47" s="269">
        <f>'供給側予測（成長実現ケース）'!G48/1000</f>
        <v>18.97673925455598</v>
      </c>
      <c r="C47" s="269">
        <f>'供給側予測（ベースラインケース)'!G48/1000</f>
        <v>18.850569752279295</v>
      </c>
    </row>
    <row r="48" spans="1:4">
      <c r="A48" s="129">
        <v>2026</v>
      </c>
      <c r="B48" s="269">
        <f>'供給側予測（成長実現ケース）'!G49/1000</f>
        <v>19.157776070607472</v>
      </c>
      <c r="C48" s="269">
        <f>'供給側予測（ベースラインケース)'!G49/1000</f>
        <v>18.93481525465176</v>
      </c>
    </row>
    <row r="49" spans="1:7">
      <c r="A49" s="129">
        <v>2027</v>
      </c>
      <c r="B49" s="269">
        <f>'供給側予測（成長実現ケース）'!G50/1000</f>
        <v>19.370935342861223</v>
      </c>
      <c r="C49" s="269">
        <f>'供給側予測（ベースラインケース)'!G50/1000</f>
        <v>19.018443438983059</v>
      </c>
    </row>
    <row r="50" spans="1:7">
      <c r="A50" s="129">
        <v>2028</v>
      </c>
      <c r="B50" s="269">
        <f>'供給側予測（成長実現ケース）'!G51/1000</f>
        <v>19.615739007713103</v>
      </c>
      <c r="C50" s="269">
        <f>'供給側予測（ベースラインケース)'!G51/1000</f>
        <v>19.101035308061945</v>
      </c>
    </row>
    <row r="51" spans="1:7">
      <c r="A51" s="129">
        <v>2029</v>
      </c>
      <c r="B51" s="269">
        <f>'供給側予測（成長実現ケース）'!G52/1000</f>
        <v>19.891869032411908</v>
      </c>
      <c r="C51" s="269">
        <f>'供給側予測（ベースラインケース)'!G52/1000</f>
        <v>19.18215975063729</v>
      </c>
    </row>
    <row r="52" spans="1:7">
      <c r="A52" s="129">
        <v>2030</v>
      </c>
      <c r="B52" s="269">
        <f>'供給側予測（成長実現ケース）'!G53/1000</f>
        <v>20.199153541746586</v>
      </c>
      <c r="C52" s="269">
        <f>'供給側予測（ベースラインケース)'!G53/1000</f>
        <v>19.261371692145499</v>
      </c>
    </row>
    <row r="53" spans="1:7">
      <c r="A53" s="129">
        <v>2031</v>
      </c>
      <c r="B53" s="269">
        <f>'供給側予測（成長実現ケース）'!G54/1000</f>
        <v>20.537555077976695</v>
      </c>
      <c r="C53" s="269">
        <f>'供給側予測（ベースラインケース)'!G54/1000</f>
        <v>19.338210158234048</v>
      </c>
    </row>
    <row r="54" spans="1:7">
      <c r="A54" s="129">
        <v>2032</v>
      </c>
      <c r="B54" s="269">
        <f>'供給側予測（成長実現ケース）'!G55/1000</f>
        <v>20.906422136532345</v>
      </c>
      <c r="C54" s="269">
        <f>'供給側予測（ベースラインケース)'!G55/1000</f>
        <v>19.414599648738566</v>
      </c>
    </row>
    <row r="55" spans="1:7">
      <c r="A55" s="129">
        <v>2033</v>
      </c>
      <c r="B55" s="269">
        <f>'供給側予測（成長実現ケース）'!G56/1000</f>
        <v>21.305945703502168</v>
      </c>
      <c r="C55" s="269">
        <f>'供給側予測（ベースラインケース)'!G56/1000</f>
        <v>19.490092631490889</v>
      </c>
    </row>
    <row r="56" spans="1:7">
      <c r="A56" s="129">
        <v>2034</v>
      </c>
      <c r="B56" s="269">
        <f>'供給側予測（成長実現ケース）'!G57/1000</f>
        <v>21.736420086031249</v>
      </c>
      <c r="C56" s="269">
        <f>'供給側予測（ベースラインケース)'!G57/1000</f>
        <v>19.564229467257618</v>
      </c>
    </row>
    <row r="57" spans="1:7">
      <c r="A57" s="129">
        <v>2035</v>
      </c>
      <c r="B57" s="269">
        <f>'供給側予測（成長実現ケース）'!G58/1000</f>
        <v>22.198237291290894</v>
      </c>
      <c r="C57" s="269">
        <f>'供給側予測（ベースラインケース)'!G58/1000</f>
        <v>19.636536451860181</v>
      </c>
      <c r="E57" s="370"/>
      <c r="F57" s="21">
        <f>B57-C57</f>
        <v>2.5617008394307135</v>
      </c>
    </row>
    <row r="58" spans="1:7">
      <c r="A58" s="129">
        <v>2036</v>
      </c>
      <c r="B58" s="269">
        <f>'供給側予測（成長実現ケース）'!G59/1000</f>
        <v>22.69188235558175</v>
      </c>
      <c r="C58" s="269">
        <f>'供給側予測（ベースラインケース)'!G59/1000</f>
        <v>19.706523762106428</v>
      </c>
    </row>
    <row r="59" spans="1:7">
      <c r="A59" s="129">
        <v>2037</v>
      </c>
      <c r="B59" s="269">
        <f>'供給側予測（成長実現ケース）'!G60/1000</f>
        <v>23.217215400081361</v>
      </c>
      <c r="C59" s="269">
        <f>'供給側予測（ベースラインケース)'!G60/1000</f>
        <v>19.776901246866792</v>
      </c>
    </row>
    <row r="60" spans="1:7">
      <c r="A60" s="129">
        <v>2038</v>
      </c>
      <c r="B60" s="269">
        <f>'供給側予測（成長実現ケース）'!G61/1000</f>
        <v>23.774872933498838</v>
      </c>
      <c r="C60" s="269">
        <f>'供給側予測（ベースラインケース)'!G61/1000</f>
        <v>19.847204505818134</v>
      </c>
    </row>
    <row r="61" spans="1:7">
      <c r="A61" s="129">
        <v>2039</v>
      </c>
      <c r="B61" s="269">
        <f>'供給側予測（成長実現ケース）'!G62/1000</f>
        <v>24.365570092849214</v>
      </c>
      <c r="C61" s="269">
        <f>'供給側予測（ベースラインケース)'!G62/1000</f>
        <v>19.916960151421058</v>
      </c>
    </row>
    <row r="62" spans="1:7">
      <c r="A62" s="129">
        <v>2040</v>
      </c>
      <c r="B62" s="269">
        <f>'供給側予測（成長実現ケース）'!G63/1000</f>
        <v>24.990098768142474</v>
      </c>
      <c r="C62" s="269">
        <f>'供給側予測（ベースラインケース)'!G63/1000</f>
        <v>19.985683810960158</v>
      </c>
    </row>
    <row r="63" spans="1:7">
      <c r="G63" s="14"/>
    </row>
    <row r="67" spans="10:10">
      <c r="J67" s="18"/>
    </row>
    <row r="71" spans="10:10">
      <c r="J71" s="18"/>
    </row>
  </sheetData>
  <phoneticPr fontId="1"/>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BA9C4-A5E2-4FC1-B564-6EEEB5FD61C7}">
  <dimension ref="A1:K71"/>
  <sheetViews>
    <sheetView topLeftCell="A34" zoomScale="85" zoomScaleNormal="85" workbookViewId="0">
      <selection activeCell="J29" sqref="A1:N29"/>
    </sheetView>
  </sheetViews>
  <sheetFormatPr defaultRowHeight="18.45"/>
  <cols>
    <col min="1" max="1" width="8.84375" style="87"/>
    <col min="2" max="3" width="19" style="18" bestFit="1" customWidth="1"/>
    <col min="4" max="4" width="40.07421875" bestFit="1" customWidth="1"/>
  </cols>
  <sheetData>
    <row r="1" spans="1:5">
      <c r="A1" s="87" t="s">
        <v>7</v>
      </c>
      <c r="B1" s="17" t="s">
        <v>127</v>
      </c>
      <c r="C1" s="17" t="s">
        <v>150</v>
      </c>
      <c r="D1" s="17" t="s">
        <v>414</v>
      </c>
      <c r="E1" s="17" t="s">
        <v>413</v>
      </c>
    </row>
    <row r="2" spans="1:5">
      <c r="A2" s="129">
        <v>1980</v>
      </c>
      <c r="B2" s="273">
        <f>'供給側予測（成長実現ケース）'!I3</f>
        <v>2278.0755795411901</v>
      </c>
      <c r="C2" s="273">
        <f>'供給側予測（ベースラインケース)'!I3</f>
        <v>2278.0755795411901</v>
      </c>
      <c r="D2" s="273">
        <f t="shared" ref="D2:E42" si="0">C2</f>
        <v>2278.0755795411901</v>
      </c>
      <c r="E2" s="369">
        <f>D2</f>
        <v>2278.0755795411901</v>
      </c>
    </row>
    <row r="3" spans="1:5">
      <c r="A3" s="129">
        <v>1981</v>
      </c>
      <c r="B3" s="273">
        <f>'供給側予測（成長実現ケース）'!I4</f>
        <v>2274.9449153820601</v>
      </c>
      <c r="C3" s="273">
        <f>'供給側予測（ベースラインケース)'!I4</f>
        <v>2274.9449153820601</v>
      </c>
      <c r="D3" s="273">
        <f t="shared" si="0"/>
        <v>2274.9449153820601</v>
      </c>
      <c r="E3" s="305">
        <f t="shared" si="0"/>
        <v>2274.9449153820601</v>
      </c>
    </row>
    <row r="4" spans="1:5">
      <c r="A4" s="129">
        <v>1982</v>
      </c>
      <c r="B4" s="273">
        <f>'供給側予測（成長実現ケース）'!I5</f>
        <v>2271.8301885385499</v>
      </c>
      <c r="C4" s="273">
        <f>'供給側予測（ベースラインケース)'!I5</f>
        <v>2271.8301885385499</v>
      </c>
      <c r="D4" s="273">
        <f t="shared" si="0"/>
        <v>2271.8301885385499</v>
      </c>
      <c r="E4" s="305">
        <f t="shared" si="0"/>
        <v>2271.8301885385499</v>
      </c>
    </row>
    <row r="5" spans="1:5">
      <c r="A5" s="129">
        <v>1983</v>
      </c>
      <c r="B5" s="273">
        <f>'供給側予測（成長実現ケース）'!I6</f>
        <v>2268.2678566087998</v>
      </c>
      <c r="C5" s="273">
        <f>'供給側予測（ベースラインケース)'!I6</f>
        <v>2268.2678566087998</v>
      </c>
      <c r="D5" s="273">
        <f t="shared" si="0"/>
        <v>2268.2678566087998</v>
      </c>
      <c r="E5" s="305">
        <f t="shared" si="0"/>
        <v>2268.2678566087998</v>
      </c>
    </row>
    <row r="6" spans="1:5">
      <c r="A6" s="129">
        <v>1984</v>
      </c>
      <c r="B6" s="273">
        <f>'供給側予測（成長実現ケース）'!I7</f>
        <v>2263.8346519721999</v>
      </c>
      <c r="C6" s="273">
        <f>'供給側予測（ベースラインケース)'!I7</f>
        <v>2263.8346519721999</v>
      </c>
      <c r="D6" s="273">
        <f t="shared" si="0"/>
        <v>2263.8346519721999</v>
      </c>
      <c r="E6" s="305">
        <f t="shared" si="0"/>
        <v>2263.8346519721999</v>
      </c>
    </row>
    <row r="7" spans="1:5">
      <c r="A7" s="129">
        <v>1985</v>
      </c>
      <c r="B7" s="273">
        <f>'供給側予測（成長実現ケース）'!I8</f>
        <v>2257.95276044208</v>
      </c>
      <c r="C7" s="273">
        <f>'供給側予測（ベースラインケース)'!I8</f>
        <v>2257.95276044208</v>
      </c>
      <c r="D7" s="273">
        <f t="shared" si="0"/>
        <v>2257.95276044208</v>
      </c>
      <c r="E7" s="305">
        <f t="shared" si="0"/>
        <v>2257.95276044208</v>
      </c>
    </row>
    <row r="8" spans="1:5">
      <c r="A8" s="129">
        <v>1986</v>
      </c>
      <c r="B8" s="273">
        <f>'供給側予測（成長実現ケース）'!I9</f>
        <v>2250.11781597867</v>
      </c>
      <c r="C8" s="273">
        <f>'供給側予測（ベースラインケース)'!I9</f>
        <v>2250.11781597867</v>
      </c>
      <c r="D8" s="273">
        <f t="shared" si="0"/>
        <v>2250.11781597867</v>
      </c>
      <c r="E8" s="305">
        <f t="shared" si="0"/>
        <v>2250.11781597867</v>
      </c>
    </row>
    <row r="9" spans="1:5">
      <c r="A9" s="129">
        <v>1987</v>
      </c>
      <c r="B9" s="273">
        <f>'供給側予測（成長実現ケース）'!I10</f>
        <v>2239.7688589378299</v>
      </c>
      <c r="C9" s="273">
        <f>'供給側予測（ベースラインケース)'!I10</f>
        <v>2239.7688589378299</v>
      </c>
      <c r="D9" s="273">
        <f t="shared" si="0"/>
        <v>2239.7688589378299</v>
      </c>
      <c r="E9" s="305">
        <f t="shared" si="0"/>
        <v>2239.7688589378299</v>
      </c>
    </row>
    <row r="10" spans="1:5">
      <c r="A10" s="129">
        <v>1988</v>
      </c>
      <c r="B10" s="273">
        <f>'供給側予測（成長実現ケース）'!I11</f>
        <v>2226.4533188489399</v>
      </c>
      <c r="C10" s="273">
        <f>'供給側予測（ベースラインケース)'!I11</f>
        <v>2226.4533188489399</v>
      </c>
      <c r="D10" s="273">
        <f t="shared" si="0"/>
        <v>2226.4533188489399</v>
      </c>
      <c r="E10" s="305">
        <f t="shared" si="0"/>
        <v>2226.4533188489399</v>
      </c>
    </row>
    <row r="11" spans="1:5">
      <c r="A11" s="129">
        <v>1989</v>
      </c>
      <c r="B11" s="273">
        <f>'供給側予測（成長実現ケース）'!I12</f>
        <v>2210.02406798533</v>
      </c>
      <c r="C11" s="273">
        <f>'供給側予測（ベースラインケース)'!I12</f>
        <v>2210.02406798533</v>
      </c>
      <c r="D11" s="273">
        <f t="shared" si="0"/>
        <v>2210.02406798533</v>
      </c>
      <c r="E11" s="305">
        <f t="shared" si="0"/>
        <v>2210.02406798533</v>
      </c>
    </row>
    <row r="12" spans="1:5">
      <c r="A12" s="129">
        <v>1990</v>
      </c>
      <c r="B12" s="273">
        <f>'供給側予測（成長実現ケース）'!I13</f>
        <v>2190.95623943186</v>
      </c>
      <c r="C12" s="273">
        <f>'供給側予測（ベースラインケース)'!I13</f>
        <v>2190.95623943186</v>
      </c>
      <c r="D12" s="273">
        <f t="shared" si="0"/>
        <v>2190.95623943186</v>
      </c>
      <c r="E12" s="305">
        <f t="shared" si="0"/>
        <v>2190.95623943186</v>
      </c>
    </row>
    <row r="13" spans="1:5">
      <c r="A13" s="129">
        <v>1991</v>
      </c>
      <c r="B13" s="273">
        <f>'供給側予測（成長実現ケース）'!I14</f>
        <v>2170.0852835935302</v>
      </c>
      <c r="C13" s="273">
        <f>'供給側予測（ベースラインケース)'!I14</f>
        <v>2170.0852835935302</v>
      </c>
      <c r="D13" s="273">
        <f t="shared" si="0"/>
        <v>2170.0852835935302</v>
      </c>
      <c r="E13" s="305">
        <f t="shared" si="0"/>
        <v>2170.0852835935302</v>
      </c>
    </row>
    <row r="14" spans="1:5">
      <c r="A14" s="129">
        <v>1992</v>
      </c>
      <c r="B14" s="273">
        <f>'供給側予測（成長実現ケース）'!I15</f>
        <v>2148.43725181434</v>
      </c>
      <c r="C14" s="273">
        <f>'供給側予測（ベースラインケース)'!I15</f>
        <v>2148.43725181434</v>
      </c>
      <c r="D14" s="273">
        <f t="shared" si="0"/>
        <v>2148.43725181434</v>
      </c>
      <c r="E14" s="305">
        <f t="shared" si="0"/>
        <v>2148.43725181434</v>
      </c>
    </row>
    <row r="15" spans="1:5">
      <c r="A15" s="129">
        <v>1993</v>
      </c>
      <c r="B15" s="273">
        <f>'供給側予測（成長実現ケース）'!I16</f>
        <v>2127.1221606023701</v>
      </c>
      <c r="C15" s="273">
        <f>'供給側予測（ベースラインケース)'!I16</f>
        <v>2127.1221606023701</v>
      </c>
      <c r="D15" s="273">
        <f t="shared" si="0"/>
        <v>2127.1221606023701</v>
      </c>
      <c r="E15" s="305">
        <f t="shared" si="0"/>
        <v>2127.1221606023701</v>
      </c>
    </row>
    <row r="16" spans="1:5">
      <c r="A16" s="129">
        <v>1994</v>
      </c>
      <c r="B16" s="273">
        <f>'供給側予測（成長実現ケース）'!I17</f>
        <v>2107.1640872808898</v>
      </c>
      <c r="C16" s="273">
        <f>'供給側予測（ベースラインケース)'!I17</f>
        <v>2107.1640872808898</v>
      </c>
      <c r="D16" s="273">
        <f t="shared" si="0"/>
        <v>2107.1640872808898</v>
      </c>
      <c r="E16" s="305">
        <f t="shared" si="0"/>
        <v>2107.1640872808898</v>
      </c>
    </row>
    <row r="17" spans="1:5">
      <c r="A17" s="129">
        <v>1995</v>
      </c>
      <c r="B17" s="273">
        <f>'供給側予測（成長実現ケース）'!I18</f>
        <v>2089.2343722338201</v>
      </c>
      <c r="C17" s="273">
        <f>'供給側予測（ベースラインケース)'!I18</f>
        <v>2089.2343722338201</v>
      </c>
      <c r="D17" s="273">
        <f t="shared" si="0"/>
        <v>2089.2343722338201</v>
      </c>
      <c r="E17" s="305">
        <f t="shared" si="0"/>
        <v>2089.2343722338201</v>
      </c>
    </row>
    <row r="18" spans="1:5">
      <c r="A18" s="129">
        <v>1996</v>
      </c>
      <c r="B18" s="273">
        <f>'供給側予測（成長実現ケース）'!I19</f>
        <v>2073.5635769722398</v>
      </c>
      <c r="C18" s="273">
        <f>'供給側予測（ベースラインケース)'!I19</f>
        <v>2073.5635769722398</v>
      </c>
      <c r="D18" s="273">
        <f t="shared" si="0"/>
        <v>2073.5635769722398</v>
      </c>
      <c r="E18" s="305">
        <f t="shared" si="0"/>
        <v>2073.5635769722398</v>
      </c>
    </row>
    <row r="19" spans="1:5">
      <c r="A19" s="129">
        <v>1997</v>
      </c>
      <c r="B19" s="273">
        <f>'供給側予測（成長実現ケース）'!I20</f>
        <v>2060.1467712849299</v>
      </c>
      <c r="C19" s="273">
        <f>'供給側予測（ベースラインケース)'!I20</f>
        <v>2060.1467712849299</v>
      </c>
      <c r="D19" s="273">
        <f t="shared" si="0"/>
        <v>2060.1467712849299</v>
      </c>
      <c r="E19" s="305">
        <f t="shared" si="0"/>
        <v>2060.1467712849299</v>
      </c>
    </row>
    <row r="20" spans="1:5">
      <c r="A20" s="129">
        <v>1998</v>
      </c>
      <c r="B20" s="273">
        <f>'供給側予測（成長実現ケース）'!I21</f>
        <v>2049.1306858575799</v>
      </c>
      <c r="C20" s="273">
        <f>'供給側予測（ベースラインケース)'!I21</f>
        <v>2049.1306858575799</v>
      </c>
      <c r="D20" s="273">
        <f t="shared" si="0"/>
        <v>2049.1306858575799</v>
      </c>
      <c r="E20" s="305">
        <f t="shared" si="0"/>
        <v>2049.1306858575799</v>
      </c>
    </row>
    <row r="21" spans="1:5">
      <c r="A21" s="129">
        <v>1999</v>
      </c>
      <c r="B21" s="273">
        <f>'供給側予測（成長実現ケース）'!I22</f>
        <v>2040.7763463297299</v>
      </c>
      <c r="C21" s="273">
        <f>'供給側予測（ベースラインケース)'!I22</f>
        <v>2040.7763463297299</v>
      </c>
      <c r="D21" s="273">
        <f t="shared" si="0"/>
        <v>2040.7763463297299</v>
      </c>
      <c r="E21" s="305">
        <f t="shared" si="0"/>
        <v>2040.7763463297299</v>
      </c>
    </row>
    <row r="22" spans="1:5">
      <c r="A22" s="129">
        <v>2000</v>
      </c>
      <c r="B22" s="273">
        <f>'供給側予測（成長実現ケース）'!I23</f>
        <v>2035.36131414897</v>
      </c>
      <c r="C22" s="273">
        <f>'供給側予測（ベースラインケース)'!I23</f>
        <v>2035.36131414897</v>
      </c>
      <c r="D22" s="273">
        <f t="shared" si="0"/>
        <v>2035.36131414897</v>
      </c>
      <c r="E22" s="305">
        <f t="shared" si="0"/>
        <v>2035.36131414897</v>
      </c>
    </row>
    <row r="23" spans="1:5">
      <c r="A23" s="129">
        <v>2001</v>
      </c>
      <c r="B23" s="273">
        <f>'供給側予測（成長実現ケース）'!I24</f>
        <v>2033.02065663297</v>
      </c>
      <c r="C23" s="273">
        <f>'供給側予測（ベースラインケース)'!I24</f>
        <v>2033.02065663297</v>
      </c>
      <c r="D23" s="273">
        <f t="shared" si="0"/>
        <v>2033.02065663297</v>
      </c>
      <c r="E23" s="305">
        <f t="shared" si="0"/>
        <v>2033.02065663297</v>
      </c>
    </row>
    <row r="24" spans="1:5">
      <c r="A24" s="129">
        <v>2002</v>
      </c>
      <c r="B24" s="273">
        <f>'供給側予測（成長実現ケース）'!I25</f>
        <v>2033.7075332912</v>
      </c>
      <c r="C24" s="273">
        <f>'供給側予測（ベースラインケース)'!I25</f>
        <v>2033.7075332912</v>
      </c>
      <c r="D24" s="273">
        <f t="shared" si="0"/>
        <v>2033.7075332912</v>
      </c>
      <c r="E24" s="305">
        <f t="shared" si="0"/>
        <v>2033.7075332912</v>
      </c>
    </row>
    <row r="25" spans="1:5">
      <c r="A25" s="129">
        <v>2003</v>
      </c>
      <c r="B25" s="273">
        <f>'供給側予測（成長実現ケース）'!I26</f>
        <v>2037.03813773351</v>
      </c>
      <c r="C25" s="273">
        <f>'供給側予測（ベースラインケース)'!I26</f>
        <v>2037.03813773351</v>
      </c>
      <c r="D25" s="273">
        <f t="shared" si="0"/>
        <v>2037.03813773351</v>
      </c>
      <c r="E25" s="305">
        <f t="shared" si="0"/>
        <v>2037.03813773351</v>
      </c>
    </row>
    <row r="26" spans="1:5">
      <c r="A26" s="129">
        <v>2004</v>
      </c>
      <c r="B26" s="273">
        <f>'供給側予測（成長実現ケース）'!I27</f>
        <v>2042.3853235701399</v>
      </c>
      <c r="C26" s="273">
        <f>'供給側予測（ベースラインケース)'!I27</f>
        <v>2042.3853235701399</v>
      </c>
      <c r="D26" s="273">
        <f t="shared" si="0"/>
        <v>2042.3853235701399</v>
      </c>
      <c r="E26" s="305">
        <f t="shared" si="0"/>
        <v>2042.3853235701399</v>
      </c>
    </row>
    <row r="27" spans="1:5">
      <c r="A27" s="129">
        <v>2005</v>
      </c>
      <c r="B27" s="273">
        <f>'供給側予測（成長実現ケース）'!I28</f>
        <v>2048.945793034</v>
      </c>
      <c r="C27" s="273">
        <f>'供給側予測（ベースラインケース)'!I28</f>
        <v>2048.945793034</v>
      </c>
      <c r="D27" s="273">
        <f t="shared" si="0"/>
        <v>2048.945793034</v>
      </c>
      <c r="E27" s="305">
        <f t="shared" si="0"/>
        <v>2048.945793034</v>
      </c>
    </row>
    <row r="28" spans="1:5">
      <c r="A28" s="129">
        <v>2006</v>
      </c>
      <c r="B28" s="273">
        <f>'供給側予測（成長実現ケース）'!I29</f>
        <v>2055.9188024556502</v>
      </c>
      <c r="C28" s="273">
        <f>'供給側予測（ベースラインケース)'!I29</f>
        <v>2055.9188024556502</v>
      </c>
      <c r="D28" s="273">
        <f t="shared" si="0"/>
        <v>2055.9188024556502</v>
      </c>
      <c r="E28" s="305">
        <f t="shared" si="0"/>
        <v>2055.9188024556502</v>
      </c>
    </row>
    <row r="29" spans="1:5">
      <c r="A29" s="129">
        <v>2007</v>
      </c>
      <c r="B29" s="273">
        <f>'供給側予測（成長実現ケース）'!I30</f>
        <v>2062.49080490195</v>
      </c>
      <c r="C29" s="273">
        <f>'供給側予測（ベースラインケース)'!I30</f>
        <v>2062.49080490195</v>
      </c>
      <c r="D29" s="273">
        <f t="shared" si="0"/>
        <v>2062.49080490195</v>
      </c>
      <c r="E29" s="305">
        <f t="shared" si="0"/>
        <v>2062.49080490195</v>
      </c>
    </row>
    <row r="30" spans="1:5">
      <c r="A30" s="129">
        <v>2008</v>
      </c>
      <c r="B30" s="273">
        <f>'供給側予測（成長実現ケース）'!I31</f>
        <v>2068.1451740819102</v>
      </c>
      <c r="C30" s="273">
        <f>'供給側予測（ベースラインケース)'!I31</f>
        <v>2068.1451740819102</v>
      </c>
      <c r="D30" s="273">
        <f t="shared" si="0"/>
        <v>2068.1451740819102</v>
      </c>
      <c r="E30" s="305">
        <f t="shared" si="0"/>
        <v>2068.1451740819102</v>
      </c>
    </row>
    <row r="31" spans="1:5">
      <c r="A31" s="129">
        <v>2009</v>
      </c>
      <c r="B31" s="273">
        <f>'供給側予測（成長実現ケース）'!I32</f>
        <v>2072.65019698881</v>
      </c>
      <c r="C31" s="273">
        <f>'供給側予測（ベースラインケース)'!I32</f>
        <v>2072.65019698881</v>
      </c>
      <c r="D31" s="273">
        <f t="shared" si="0"/>
        <v>2072.65019698881</v>
      </c>
      <c r="E31" s="305">
        <f t="shared" si="0"/>
        <v>2072.65019698881</v>
      </c>
    </row>
    <row r="32" spans="1:5">
      <c r="A32" s="129">
        <v>2010</v>
      </c>
      <c r="B32" s="273">
        <f>'供給側予測（成長実現ケース）'!I33</f>
        <v>2076.0302528751399</v>
      </c>
      <c r="C32" s="273">
        <f>'供給側予測（ベースラインケース)'!I33</f>
        <v>2076.0302528751399</v>
      </c>
      <c r="D32" s="273">
        <f t="shared" si="0"/>
        <v>2076.0302528751399</v>
      </c>
      <c r="E32" s="305">
        <f t="shared" si="0"/>
        <v>2076.0302528751399</v>
      </c>
    </row>
    <row r="33" spans="1:5">
      <c r="A33" s="129">
        <v>2011</v>
      </c>
      <c r="B33" s="273">
        <f>'供給側予測（成長実現ケース）'!I34</f>
        <v>2078.1395763568298</v>
      </c>
      <c r="C33" s="273">
        <f>'供給側予測（ベースラインケース)'!I34</f>
        <v>2078.1395763568298</v>
      </c>
      <c r="D33" s="273">
        <f t="shared" si="0"/>
        <v>2078.1395763568298</v>
      </c>
      <c r="E33" s="305">
        <f t="shared" si="0"/>
        <v>2078.1395763568298</v>
      </c>
    </row>
    <row r="34" spans="1:5">
      <c r="A34" s="129">
        <v>2012</v>
      </c>
      <c r="B34" s="273">
        <f>'供給側予測（成長実現ケース）'!I35</f>
        <v>2078.9576635210501</v>
      </c>
      <c r="C34" s="273">
        <f>'供給側予測（ベースラインケース)'!I35</f>
        <v>2078.9576635210501</v>
      </c>
      <c r="D34" s="273">
        <f t="shared" si="0"/>
        <v>2078.9576635210501</v>
      </c>
      <c r="E34" s="305">
        <f t="shared" si="0"/>
        <v>2078.9576635210501</v>
      </c>
    </row>
    <row r="35" spans="1:5">
      <c r="A35" s="129">
        <v>2013</v>
      </c>
      <c r="B35" s="273">
        <f>'供給側予測（成長実現ケース）'!I36</f>
        <v>2078.5872380247301</v>
      </c>
      <c r="C35" s="273">
        <f>'供給側予測（ベースラインケース)'!I36</f>
        <v>2078.5872380247301</v>
      </c>
      <c r="D35" s="273">
        <f t="shared" si="0"/>
        <v>2078.5872380247301</v>
      </c>
      <c r="E35" s="305">
        <f t="shared" si="0"/>
        <v>2078.5872380247301</v>
      </c>
    </row>
    <row r="36" spans="1:5">
      <c r="A36" s="129">
        <v>2014</v>
      </c>
      <c r="B36" s="273">
        <f>'供給側予測（成長実現ケース）'!I37</f>
        <v>2077.2685948896201</v>
      </c>
      <c r="C36" s="273">
        <f>'供給側予測（ベースラインケース)'!I37</f>
        <v>2077.2685948896201</v>
      </c>
      <c r="D36" s="273">
        <f t="shared" si="0"/>
        <v>2077.2685948896201</v>
      </c>
      <c r="E36" s="305">
        <f t="shared" si="0"/>
        <v>2077.2685948896201</v>
      </c>
    </row>
    <row r="37" spans="1:5">
      <c r="A37" s="129">
        <v>2015</v>
      </c>
      <c r="B37" s="273">
        <f>'供給側予測（成長実現ケース）'!I38</f>
        <v>2075.14073142385</v>
      </c>
      <c r="C37" s="273">
        <f>'供給側予測（ベースラインケース)'!I38</f>
        <v>2075.14073142385</v>
      </c>
      <c r="D37" s="273">
        <f t="shared" si="0"/>
        <v>2075.14073142385</v>
      </c>
      <c r="E37" s="305">
        <f t="shared" si="0"/>
        <v>2075.14073142385</v>
      </c>
    </row>
    <row r="38" spans="1:5">
      <c r="A38" s="129">
        <v>2016</v>
      </c>
      <c r="B38" s="273">
        <f>'供給側予測（成長実現ケース）'!I39</f>
        <v>2072.0379503200202</v>
      </c>
      <c r="C38" s="273">
        <f>'供給側予測（ベースラインケース)'!I39</f>
        <v>2072.0379503200202</v>
      </c>
      <c r="D38" s="273">
        <f t="shared" si="0"/>
        <v>2072.0379503200202</v>
      </c>
      <c r="E38" s="305">
        <f t="shared" si="0"/>
        <v>2072.0379503200202</v>
      </c>
    </row>
    <row r="39" spans="1:5">
      <c r="A39" s="129">
        <v>2017</v>
      </c>
      <c r="B39" s="273">
        <f>'供給側予測（成長実現ケース）'!I40</f>
        <v>2067.83168162313</v>
      </c>
      <c r="C39" s="273">
        <f>'供給側予測（ベースラインケース)'!I40</f>
        <v>2067.83168162313</v>
      </c>
      <c r="D39" s="273">
        <f t="shared" si="0"/>
        <v>2067.83168162313</v>
      </c>
      <c r="E39" s="305">
        <f t="shared" si="0"/>
        <v>2067.83168162313</v>
      </c>
    </row>
    <row r="40" spans="1:5">
      <c r="A40" s="129">
        <v>2018</v>
      </c>
      <c r="B40" s="273">
        <f>'供給側予測（成長実現ケース）'!I41</f>
        <v>2062.6850245416799</v>
      </c>
      <c r="C40" s="273">
        <f>'供給側予測（ベースラインケース)'!I41</f>
        <v>2062.6850245416799</v>
      </c>
      <c r="D40" s="273">
        <f t="shared" si="0"/>
        <v>2062.6850245416799</v>
      </c>
      <c r="E40" s="305">
        <f t="shared" si="0"/>
        <v>2062.6850245416799</v>
      </c>
    </row>
    <row r="41" spans="1:5">
      <c r="A41" s="129">
        <v>2019</v>
      </c>
      <c r="B41" s="273">
        <f>'供給側予測（成長実現ケース）'!I42</f>
        <v>2056.8695634679102</v>
      </c>
      <c r="C41" s="273">
        <f>'供給側予測（ベースラインケース)'!I42</f>
        <v>2056.8695634679102</v>
      </c>
      <c r="D41" s="273">
        <f t="shared" si="0"/>
        <v>2056.8695634679102</v>
      </c>
      <c r="E41" s="305">
        <f t="shared" si="0"/>
        <v>2056.8695634679102</v>
      </c>
    </row>
    <row r="42" spans="1:5">
      <c r="A42" s="129">
        <v>2020</v>
      </c>
      <c r="B42" s="273">
        <f>'供給側予測（成長実現ケース）'!I43</f>
        <v>2056.8695634679102</v>
      </c>
      <c r="C42" s="273">
        <f>'供給側予測（ベースラインケース)'!I43</f>
        <v>2056.8695634679102</v>
      </c>
      <c r="D42" s="273">
        <f t="shared" si="0"/>
        <v>2056.8695634679102</v>
      </c>
      <c r="E42" s="305">
        <f t="shared" si="0"/>
        <v>2056.8695634679102</v>
      </c>
    </row>
    <row r="43" spans="1:5">
      <c r="A43" s="129">
        <v>2021</v>
      </c>
      <c r="B43" s="273">
        <f>'供給側予測（成長実現ケース）'!I44</f>
        <v>1938.48183530548</v>
      </c>
      <c r="C43" s="273">
        <f>'供給側予測（ベースラインケース)'!I44</f>
        <v>2056.8695634679102</v>
      </c>
      <c r="D43" s="306">
        <f t="shared" ref="D43:D44" si="1">C43</f>
        <v>2056.8695634679102</v>
      </c>
    </row>
    <row r="44" spans="1:5">
      <c r="A44" s="129">
        <v>2022</v>
      </c>
      <c r="B44" s="273">
        <f>'供給側予測（成長実現ケース）'!I45</f>
        <v>1938.48183530548</v>
      </c>
      <c r="C44" s="273">
        <f>'供給側予測（ベースラインケース)'!I45</f>
        <v>2056.8695634679102</v>
      </c>
      <c r="D44" s="306">
        <f t="shared" si="1"/>
        <v>2056.8695634679102</v>
      </c>
    </row>
    <row r="45" spans="1:5">
      <c r="A45" s="129">
        <v>2023</v>
      </c>
      <c r="B45" s="273">
        <f>'供給側予測（成長実現ケース）'!I46</f>
        <v>1938.48183530548</v>
      </c>
      <c r="C45" s="273">
        <f>'供給側予測（ベースラインケース)'!I46</f>
        <v>2056.8695634679102</v>
      </c>
      <c r="D45" s="273"/>
    </row>
    <row r="46" spans="1:5">
      <c r="A46" s="129">
        <v>2024</v>
      </c>
      <c r="B46" s="273">
        <f>'供給側予測（成長実現ケース）'!I47</f>
        <v>1938.48183530548</v>
      </c>
      <c r="C46" s="273">
        <f>'供給側予測（ベースラインケース)'!I47</f>
        <v>2056.8695634679102</v>
      </c>
      <c r="D46" s="273"/>
    </row>
    <row r="47" spans="1:5">
      <c r="A47" s="129">
        <v>2025</v>
      </c>
      <c r="B47" s="273">
        <f>'供給側予測（成長実現ケース）'!I48</f>
        <v>1938.48183530548</v>
      </c>
      <c r="C47" s="273">
        <f>'供給側予測（ベースラインケース)'!I48</f>
        <v>2056.8695634679102</v>
      </c>
      <c r="D47" s="273"/>
    </row>
    <row r="48" spans="1:5">
      <c r="A48" s="129">
        <v>2026</v>
      </c>
      <c r="B48" s="273">
        <f>'供給側予測（成長実現ケース）'!I49</f>
        <v>1938.48183530548</v>
      </c>
      <c r="C48" s="273">
        <f>'供給側予測（ベースラインケース)'!I49</f>
        <v>2056.8695634679102</v>
      </c>
      <c r="D48" s="273"/>
    </row>
    <row r="49" spans="1:8">
      <c r="A49" s="129">
        <v>2027</v>
      </c>
      <c r="B49" s="273">
        <f>'供給側予測（成長実現ケース）'!I50</f>
        <v>1938.48183530548</v>
      </c>
      <c r="C49" s="273">
        <f>'供給側予測（ベースラインケース)'!I50</f>
        <v>2056.8695634679102</v>
      </c>
      <c r="D49" s="273"/>
    </row>
    <row r="50" spans="1:8">
      <c r="A50" s="129">
        <v>2028</v>
      </c>
      <c r="B50" s="273">
        <f>'供給側予測（成長実現ケース）'!I51</f>
        <v>1938.48183530548</v>
      </c>
      <c r="C50" s="273">
        <f>'供給側予測（ベースラインケース)'!I51</f>
        <v>2056.8695634679102</v>
      </c>
      <c r="D50" s="273"/>
    </row>
    <row r="51" spans="1:8">
      <c r="A51" s="129">
        <v>2029</v>
      </c>
      <c r="B51" s="273">
        <f>'供給側予測（成長実現ケース）'!I52</f>
        <v>1938.48183530548</v>
      </c>
      <c r="C51" s="273">
        <f>'供給側予測（ベースラインケース)'!I52</f>
        <v>2056.8695634679102</v>
      </c>
      <c r="D51" s="273"/>
    </row>
    <row r="52" spans="1:8">
      <c r="A52" s="129">
        <v>2030</v>
      </c>
      <c r="B52" s="273">
        <f>'供給側予測（成長実現ケース）'!I53</f>
        <v>1938.48183530548</v>
      </c>
      <c r="C52" s="273">
        <f>'供給側予測（ベースラインケース)'!I53</f>
        <v>2056.8695634679102</v>
      </c>
      <c r="D52" s="273"/>
    </row>
    <row r="53" spans="1:8">
      <c r="A53" s="129">
        <v>2031</v>
      </c>
      <c r="B53" s="273">
        <f>'供給側予測（成長実現ケース）'!I54</f>
        <v>1938.48183530548</v>
      </c>
      <c r="C53" s="273">
        <f>'供給側予測（ベースラインケース)'!I54</f>
        <v>2056.8695634679102</v>
      </c>
      <c r="D53" s="273"/>
    </row>
    <row r="54" spans="1:8">
      <c r="A54" s="129">
        <v>2032</v>
      </c>
      <c r="B54" s="273">
        <f>'供給側予測（成長実現ケース）'!I55</f>
        <v>1938.48183530548</v>
      </c>
      <c r="C54" s="273">
        <f>'供給側予測（ベースラインケース)'!I55</f>
        <v>2056.8695634679102</v>
      </c>
      <c r="D54" s="273"/>
    </row>
    <row r="55" spans="1:8">
      <c r="A55" s="129">
        <v>2033</v>
      </c>
      <c r="B55" s="273">
        <f>'供給側予測（成長実現ケース）'!I56</f>
        <v>1938.48183530548</v>
      </c>
      <c r="C55" s="273">
        <f>'供給側予測（ベースラインケース)'!I56</f>
        <v>2056.8695634679102</v>
      </c>
      <c r="D55" s="273"/>
    </row>
    <row r="56" spans="1:8">
      <c r="A56" s="129">
        <v>2034</v>
      </c>
      <c r="B56" s="273">
        <f>'供給側予測（成長実現ケース）'!I57</f>
        <v>1938.48183530548</v>
      </c>
      <c r="C56" s="273">
        <f>'供給側予測（ベースラインケース)'!I57</f>
        <v>2056.8695634679102</v>
      </c>
      <c r="D56" s="273"/>
    </row>
    <row r="57" spans="1:8">
      <c r="A57" s="129">
        <v>2035</v>
      </c>
      <c r="B57" s="273">
        <f>'供給側予測（成長実現ケース）'!I58</f>
        <v>1938.48183530548</v>
      </c>
      <c r="C57" s="273">
        <f>'供給側予測（ベースラインケース)'!I58</f>
        <v>2056.8695634679102</v>
      </c>
      <c r="D57" s="273"/>
      <c r="F57" s="370"/>
    </row>
    <row r="58" spans="1:8">
      <c r="A58" s="129">
        <v>2036</v>
      </c>
      <c r="B58" s="273">
        <f>'供給側予測（成長実現ケース）'!I59</f>
        <v>1938.48183530548</v>
      </c>
      <c r="C58" s="273">
        <f>'供給側予測（ベースラインケース)'!I59</f>
        <v>2056.8695634679102</v>
      </c>
      <c r="D58" s="273"/>
    </row>
    <row r="59" spans="1:8">
      <c r="A59" s="129">
        <v>2037</v>
      </c>
      <c r="B59" s="273">
        <f>'供給側予測（成長実現ケース）'!I60</f>
        <v>1938.48183530548</v>
      </c>
      <c r="C59" s="273">
        <f>'供給側予測（ベースラインケース)'!I60</f>
        <v>2056.8695634679102</v>
      </c>
      <c r="D59" s="273"/>
    </row>
    <row r="60" spans="1:8">
      <c r="A60" s="129">
        <v>2038</v>
      </c>
      <c r="B60" s="273">
        <f>'供給側予測（成長実現ケース）'!I61</f>
        <v>1938.48183530548</v>
      </c>
      <c r="C60" s="273">
        <f>'供給側予測（ベースラインケース)'!I61</f>
        <v>2056.8695634679102</v>
      </c>
      <c r="D60" s="273"/>
    </row>
    <row r="61" spans="1:8">
      <c r="A61" s="129">
        <v>2039</v>
      </c>
      <c r="B61" s="273">
        <f>'供給側予測（成長実現ケース）'!I62</f>
        <v>1938.48183530548</v>
      </c>
      <c r="C61" s="273">
        <f>'供給側予測（ベースラインケース)'!I62</f>
        <v>2056.8695634679102</v>
      </c>
      <c r="D61" s="273"/>
    </row>
    <row r="62" spans="1:8">
      <c r="A62" s="129">
        <v>2040</v>
      </c>
      <c r="B62" s="273">
        <f>'供給側予測（成長実現ケース）'!I63</f>
        <v>1938.48183530548</v>
      </c>
      <c r="C62" s="273">
        <f>'供給側予測（ベースラインケース)'!I63</f>
        <v>2056.8695634679102</v>
      </c>
      <c r="D62" s="273"/>
    </row>
    <row r="63" spans="1:8">
      <c r="H63" s="14"/>
    </row>
    <row r="67" spans="11:11">
      <c r="K67" s="18"/>
    </row>
    <row r="71" spans="11:11">
      <c r="K71" s="18"/>
    </row>
  </sheetData>
  <phoneticPr fontId="1"/>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B797E-F48D-4B80-A6D7-6EAD898D3EEA}">
  <dimension ref="A1:K71"/>
  <sheetViews>
    <sheetView topLeftCell="A34" zoomScale="85" zoomScaleNormal="85" workbookViewId="0">
      <selection activeCell="J29" sqref="A1:N29"/>
    </sheetView>
  </sheetViews>
  <sheetFormatPr defaultRowHeight="18.45"/>
  <cols>
    <col min="1" max="1" width="8.84375" style="87"/>
    <col min="2" max="3" width="19" style="18" bestFit="1" customWidth="1"/>
    <col min="4" max="4" width="40.07421875" bestFit="1" customWidth="1"/>
  </cols>
  <sheetData>
    <row r="1" spans="1:5">
      <c r="A1" s="87" t="s">
        <v>7</v>
      </c>
      <c r="B1" s="17" t="s">
        <v>127</v>
      </c>
      <c r="C1" s="17" t="s">
        <v>150</v>
      </c>
      <c r="D1" s="17" t="s">
        <v>414</v>
      </c>
      <c r="E1" s="17" t="s">
        <v>413</v>
      </c>
    </row>
    <row r="2" spans="1:5">
      <c r="A2" s="129">
        <v>1980</v>
      </c>
      <c r="B2" s="273">
        <f>'供給側予測（成長実現ケース）'!K3</f>
        <v>518.48900349658425</v>
      </c>
      <c r="C2" s="273">
        <f>'供給側予測（ベースラインケース)'!K3</f>
        <v>518.48900349658425</v>
      </c>
      <c r="D2" s="273">
        <f>'供給側予測（ベースラインケース　就業率維持）'!K3</f>
        <v>518.48900349658425</v>
      </c>
      <c r="E2" s="305">
        <f t="shared" ref="E2:E42" si="0">D2</f>
        <v>518.48900349658425</v>
      </c>
    </row>
    <row r="3" spans="1:5">
      <c r="A3" s="129">
        <v>1981</v>
      </c>
      <c r="B3" s="273">
        <f>'供給側予測（成長実現ケース）'!K4</f>
        <v>524.43359889640055</v>
      </c>
      <c r="C3" s="273">
        <f>'供給側予測（ベースラインケース)'!K4</f>
        <v>524.43359889640055</v>
      </c>
      <c r="D3" s="273">
        <f>'供給側予測（ベースラインケース　就業率維持）'!K4</f>
        <v>524.43359889640055</v>
      </c>
      <c r="E3" s="305">
        <f t="shared" si="0"/>
        <v>524.43359889640055</v>
      </c>
    </row>
    <row r="4" spans="1:5">
      <c r="A4" s="129">
        <v>1982</v>
      </c>
      <c r="B4" s="273">
        <f>'供給側予測（成長実現ケース）'!K5</f>
        <v>529.57257648961308</v>
      </c>
      <c r="C4" s="273">
        <f>'供給側予測（ベースラインケース)'!K5</f>
        <v>529.57257648961308</v>
      </c>
      <c r="D4" s="273">
        <f>'供給側予測（ベースラインケース　就業率維持）'!K5</f>
        <v>529.57257648961308</v>
      </c>
      <c r="E4" s="305">
        <f t="shared" si="0"/>
        <v>529.57257648961308</v>
      </c>
    </row>
    <row r="5" spans="1:5">
      <c r="A5" s="129">
        <v>1983</v>
      </c>
      <c r="B5" s="273">
        <f>'供給側予測（成長実現ケース）'!K6</f>
        <v>534.30866182975149</v>
      </c>
      <c r="C5" s="273">
        <f>'供給側予測（ベースラインケース)'!K6</f>
        <v>534.30866182975149</v>
      </c>
      <c r="D5" s="273">
        <f>'供給側予測（ベースラインケース　就業率維持）'!K6</f>
        <v>534.30866182975149</v>
      </c>
      <c r="E5" s="305">
        <f t="shared" si="0"/>
        <v>534.30866182975149</v>
      </c>
    </row>
    <row r="6" spans="1:5">
      <c r="A6" s="129">
        <v>1984</v>
      </c>
      <c r="B6" s="273">
        <f>'供給側予測（成長実現ケース）'!K7</f>
        <v>539.14042296064883</v>
      </c>
      <c r="C6" s="273">
        <f>'供給側予測（ベースラインケース)'!K7</f>
        <v>539.14042296064883</v>
      </c>
      <c r="D6" s="273">
        <f>'供給側予測（ベースラインケース　就業率維持）'!K7</f>
        <v>539.14042296064883</v>
      </c>
      <c r="E6" s="305">
        <f t="shared" si="0"/>
        <v>539.14042296064883</v>
      </c>
    </row>
    <row r="7" spans="1:5">
      <c r="A7" s="129">
        <v>1985</v>
      </c>
      <c r="B7" s="273">
        <f>'供給側予測（成長実現ケース）'!K8</f>
        <v>544.62983686959819</v>
      </c>
      <c r="C7" s="273">
        <f>'供給側予測（ベースラインケース)'!K8</f>
        <v>544.62983686959819</v>
      </c>
      <c r="D7" s="273">
        <f>'供給側予測（ベースラインケース　就業率維持）'!K8</f>
        <v>544.62983686959819</v>
      </c>
      <c r="E7" s="305">
        <f t="shared" si="0"/>
        <v>544.62983686959819</v>
      </c>
    </row>
    <row r="8" spans="1:5">
      <c r="A8" s="129">
        <v>1986</v>
      </c>
      <c r="B8" s="273">
        <f>'供給側予測（成長実現ケース）'!K9</f>
        <v>551.2211585228124</v>
      </c>
      <c r="C8" s="273">
        <f>'供給側予測（ベースラインケース)'!K9</f>
        <v>551.2211585228124</v>
      </c>
      <c r="D8" s="273">
        <f>'供給側予測（ベースラインケース　就業率維持）'!K9</f>
        <v>551.2211585228124</v>
      </c>
      <c r="E8" s="305">
        <f t="shared" si="0"/>
        <v>551.2211585228124</v>
      </c>
    </row>
    <row r="9" spans="1:5">
      <c r="A9" s="129">
        <v>1987</v>
      </c>
      <c r="B9" s="273">
        <f>'供給側予測（成長実現ケース）'!K10</f>
        <v>559.20334981775738</v>
      </c>
      <c r="C9" s="273">
        <f>'供給側予測（ベースラインケース)'!K10</f>
        <v>559.20334981775738</v>
      </c>
      <c r="D9" s="273">
        <f>'供給側予測（ベースラインケース　就業率維持）'!K10</f>
        <v>559.20334981775738</v>
      </c>
      <c r="E9" s="305">
        <f t="shared" si="0"/>
        <v>559.20334981775738</v>
      </c>
    </row>
    <row r="10" spans="1:5">
      <c r="A10" s="129">
        <v>1988</v>
      </c>
      <c r="B10" s="273">
        <f>'供給側予測（成長実現ケース）'!K11</f>
        <v>568.67935713198176</v>
      </c>
      <c r="C10" s="273">
        <f>'供給側予測（ベースラインケース)'!K11</f>
        <v>568.67935713198176</v>
      </c>
      <c r="D10" s="273">
        <f>'供給側予測（ベースラインケース　就業率維持）'!K11</f>
        <v>568.67935713198176</v>
      </c>
      <c r="E10" s="305">
        <f t="shared" si="0"/>
        <v>568.67935713198176</v>
      </c>
    </row>
    <row r="11" spans="1:5">
      <c r="A11" s="129">
        <v>1989</v>
      </c>
      <c r="B11" s="273">
        <f>'供給側予測（成長実現ケース）'!K12</f>
        <v>579.46861695629184</v>
      </c>
      <c r="C11" s="273">
        <f>'供給側予測（ベースラインケース)'!K12</f>
        <v>579.46861695629184</v>
      </c>
      <c r="D11" s="273">
        <f>'供給側予測（ベースラインケース　就業率維持）'!K12</f>
        <v>579.46861695629184</v>
      </c>
      <c r="E11" s="305">
        <f t="shared" si="0"/>
        <v>579.46861695629184</v>
      </c>
    </row>
    <row r="12" spans="1:5">
      <c r="A12" s="129">
        <v>1990</v>
      </c>
      <c r="B12" s="273">
        <f>'供給側予測（成長実現ケース）'!K13</f>
        <v>591.2477591083308</v>
      </c>
      <c r="C12" s="273">
        <f>'供給側予測（ベースラインケース)'!K13</f>
        <v>591.2477591083308</v>
      </c>
      <c r="D12" s="273">
        <f>'供給側予測（ベースラインケース　就業率維持）'!K13</f>
        <v>591.2477591083308</v>
      </c>
      <c r="E12" s="305">
        <f t="shared" si="0"/>
        <v>591.2477591083308</v>
      </c>
    </row>
    <row r="13" spans="1:5">
      <c r="A13" s="129">
        <v>1991</v>
      </c>
      <c r="B13" s="273">
        <f>'供給側予測（成長実現ケース）'!K14</f>
        <v>603.59230671948228</v>
      </c>
      <c r="C13" s="273">
        <f>'供給側予測（ベースラインケース)'!K14</f>
        <v>603.59230671948228</v>
      </c>
      <c r="D13" s="273">
        <f>'供給側予測（ベースラインケース　就業率維持）'!K14</f>
        <v>603.59230671948228</v>
      </c>
      <c r="E13" s="305">
        <f t="shared" si="0"/>
        <v>603.59230671948228</v>
      </c>
    </row>
    <row r="14" spans="1:5">
      <c r="A14" s="129">
        <v>1992</v>
      </c>
      <c r="B14" s="273">
        <f>'供給側予測（成長実現ケース）'!K15</f>
        <v>615.94584557991163</v>
      </c>
      <c r="C14" s="273">
        <f>'供給側予測（ベースラインケース)'!K15</f>
        <v>615.94584557991163</v>
      </c>
      <c r="D14" s="273">
        <f>'供給側予測（ベースラインケース　就業率維持）'!K15</f>
        <v>615.94584557991163</v>
      </c>
      <c r="E14" s="305">
        <f t="shared" si="0"/>
        <v>615.94584557991163</v>
      </c>
    </row>
    <row r="15" spans="1:5">
      <c r="A15" s="129">
        <v>1993</v>
      </c>
      <c r="B15" s="273">
        <f>'供給側予測（成長実現ケース）'!K16</f>
        <v>627.64920041157234</v>
      </c>
      <c r="C15" s="273">
        <f>'供給側予測（ベースラインケース)'!K16</f>
        <v>627.64920041157234</v>
      </c>
      <c r="D15" s="273">
        <f>'供給側予測（ベースラインケース　就業率維持）'!K16</f>
        <v>627.64920041157234</v>
      </c>
      <c r="E15" s="305">
        <f t="shared" si="0"/>
        <v>627.64920041157234</v>
      </c>
    </row>
    <row r="16" spans="1:5">
      <c r="A16" s="129">
        <v>1994</v>
      </c>
      <c r="B16" s="273">
        <f>'供給側予測（成長実現ケース）'!K17</f>
        <v>637.97414735726375</v>
      </c>
      <c r="C16" s="273">
        <f>'供給側予測（ベースラインケース)'!K17</f>
        <v>637.97414735726375</v>
      </c>
      <c r="D16" s="273">
        <f>'供給側予測（ベースラインケース　就業率維持）'!K17</f>
        <v>637.97414735726375</v>
      </c>
      <c r="E16" s="305">
        <f t="shared" si="0"/>
        <v>637.97414735726375</v>
      </c>
    </row>
    <row r="17" spans="1:5">
      <c r="A17" s="129">
        <v>1995</v>
      </c>
      <c r="B17" s="273">
        <f>'供給側予測（成長実現ケース）'!K18</f>
        <v>646.24321235019727</v>
      </c>
      <c r="C17" s="273">
        <f>'供給側予測（ベースラインケース)'!K18</f>
        <v>646.24321235019727</v>
      </c>
      <c r="D17" s="273">
        <f>'供給側予測（ベースラインケース　就業率維持）'!K18</f>
        <v>646.24321235019727</v>
      </c>
      <c r="E17" s="305">
        <f t="shared" si="0"/>
        <v>646.24321235019727</v>
      </c>
    </row>
    <row r="18" spans="1:5">
      <c r="A18" s="129">
        <v>1996</v>
      </c>
      <c r="B18" s="273">
        <f>'供給側予測（成長実現ケース）'!K19</f>
        <v>651.90525824423162</v>
      </c>
      <c r="C18" s="273">
        <f>'供給側予測（ベースラインケース)'!K19</f>
        <v>651.90525824423162</v>
      </c>
      <c r="D18" s="273">
        <f>'供給側予測（ベースラインケース　就業率維持）'!K19</f>
        <v>651.90525824423162</v>
      </c>
      <c r="E18" s="305">
        <f t="shared" si="0"/>
        <v>651.90525824423162</v>
      </c>
    </row>
    <row r="19" spans="1:5">
      <c r="A19" s="129">
        <v>1997</v>
      </c>
      <c r="B19" s="273">
        <f>'供給側予測（成長実現ケース）'!K20</f>
        <v>654.56481487111751</v>
      </c>
      <c r="C19" s="273">
        <f>'供給側予測（ベースラインケース)'!K20</f>
        <v>654.56481487111751</v>
      </c>
      <c r="D19" s="273">
        <f>'供給側予測（ベースラインケース　就業率維持）'!K20</f>
        <v>654.56481487111751</v>
      </c>
      <c r="E19" s="305">
        <f t="shared" si="0"/>
        <v>654.56481487111751</v>
      </c>
    </row>
    <row r="20" spans="1:5">
      <c r="A20" s="129">
        <v>1998</v>
      </c>
      <c r="B20" s="273">
        <f>'供給側予測（成長実現ケース）'!K21</f>
        <v>654.01277929777166</v>
      </c>
      <c r="C20" s="273">
        <f>'供給側予測（ベースラインケース)'!K21</f>
        <v>654.01277929777166</v>
      </c>
      <c r="D20" s="273">
        <f>'供給側予測（ベースラインケース　就業率維持）'!K21</f>
        <v>654.01277929777166</v>
      </c>
      <c r="E20" s="305">
        <f t="shared" si="0"/>
        <v>654.01277929777166</v>
      </c>
    </row>
    <row r="21" spans="1:5">
      <c r="A21" s="129">
        <v>1999</v>
      </c>
      <c r="B21" s="273">
        <f>'供給側予測（成長実現ケース）'!K22</f>
        <v>650.34415618213518</v>
      </c>
      <c r="C21" s="273">
        <f>'供給側予測（ベースラインケース)'!K22</f>
        <v>650.34415618213518</v>
      </c>
      <c r="D21" s="273">
        <f>'供給側予測（ベースラインケース　就業率維持）'!K22</f>
        <v>650.34415618213518</v>
      </c>
      <c r="E21" s="305">
        <f t="shared" si="0"/>
        <v>650.34415618213518</v>
      </c>
    </row>
    <row r="22" spans="1:5">
      <c r="A22" s="129">
        <v>2000</v>
      </c>
      <c r="B22" s="273">
        <f>'供給側予測（成長実現ケース）'!K23</f>
        <v>643.79121932408771</v>
      </c>
      <c r="C22" s="273">
        <f>'供給側予測（ベースラインケース)'!K23</f>
        <v>643.79121932408771</v>
      </c>
      <c r="D22" s="273">
        <f>'供給側予測（ベースラインケース　就業率維持）'!K23</f>
        <v>643.79121932408771</v>
      </c>
      <c r="E22" s="305">
        <f t="shared" si="0"/>
        <v>643.79121932408771</v>
      </c>
    </row>
    <row r="23" spans="1:5">
      <c r="A23" s="129">
        <v>2001</v>
      </c>
      <c r="B23" s="273">
        <f>'供給側予測（成長実現ケース）'!K24</f>
        <v>634.71887226506226</v>
      </c>
      <c r="C23" s="273">
        <f>'供給側予測（ベースラインケース)'!K24</f>
        <v>634.71887226506226</v>
      </c>
      <c r="D23" s="273">
        <f>'供給側予測（ベースラインケース　就業率維持）'!K24</f>
        <v>634.71887226506226</v>
      </c>
      <c r="E23" s="305">
        <f t="shared" si="0"/>
        <v>634.71887226506226</v>
      </c>
    </row>
    <row r="24" spans="1:5">
      <c r="A24" s="129">
        <v>2002</v>
      </c>
      <c r="B24" s="273">
        <f>'供給側予測（成長実現ケース）'!K25</f>
        <v>623.65781604113863</v>
      </c>
      <c r="C24" s="273">
        <f>'供給側予測（ベースラインケース)'!K25</f>
        <v>623.65781604113863</v>
      </c>
      <c r="D24" s="273">
        <f>'供給側予測（ベースラインケース　就業率維持）'!K25</f>
        <v>623.65781604113863</v>
      </c>
      <c r="E24" s="305">
        <f t="shared" si="0"/>
        <v>623.65781604113863</v>
      </c>
    </row>
    <row r="25" spans="1:5">
      <c r="A25" s="129">
        <v>2003</v>
      </c>
      <c r="B25" s="273">
        <f>'供給側予測（成長実現ケース）'!K26</f>
        <v>611.17886817197041</v>
      </c>
      <c r="C25" s="273">
        <f>'供給側予測（ベースラインケース)'!K26</f>
        <v>611.17886817197041</v>
      </c>
      <c r="D25" s="273">
        <f>'供給側予測（ベースラインケース　就業率維持）'!K26</f>
        <v>611.17886817197041</v>
      </c>
      <c r="E25" s="305">
        <f t="shared" si="0"/>
        <v>611.17886817197041</v>
      </c>
    </row>
    <row r="26" spans="1:5">
      <c r="A26" s="129">
        <v>2004</v>
      </c>
      <c r="B26" s="273">
        <f>'供給側予測（成長実現ケース）'!K27</f>
        <v>597.8688160951657</v>
      </c>
      <c r="C26" s="273">
        <f>'供給側予測（ベースラインケース)'!K27</f>
        <v>597.8688160951657</v>
      </c>
      <c r="D26" s="273">
        <f>'供給側予測（ベースラインケース　就業率維持）'!K27</f>
        <v>597.8688160951657</v>
      </c>
      <c r="E26" s="305">
        <f t="shared" si="0"/>
        <v>597.8688160951657</v>
      </c>
    </row>
    <row r="27" spans="1:5">
      <c r="A27" s="129">
        <v>2005</v>
      </c>
      <c r="B27" s="273">
        <f>'供給側予測（成長実現ケース）'!K28</f>
        <v>584.31221168739535</v>
      </c>
      <c r="C27" s="273">
        <f>'供給側予測（ベースラインケース)'!K28</f>
        <v>584.31221168739535</v>
      </c>
      <c r="D27" s="273">
        <f>'供給側予測（ベースラインケース　就業率維持）'!K28</f>
        <v>584.31221168739535</v>
      </c>
      <c r="E27" s="305">
        <f t="shared" si="0"/>
        <v>584.31221168739535</v>
      </c>
    </row>
    <row r="28" spans="1:5">
      <c r="A28" s="129">
        <v>2006</v>
      </c>
      <c r="B28" s="273">
        <f>'供給側予測（成長実現ケース）'!K29</f>
        <v>571.00471020401801</v>
      </c>
      <c r="C28" s="273">
        <f>'供給側予測（ベースラインケース)'!K29</f>
        <v>571.00471020401801</v>
      </c>
      <c r="D28" s="273">
        <f>'供給側予測（ベースラインケース　就業率維持）'!K29</f>
        <v>571.00471020401801</v>
      </c>
      <c r="E28" s="305">
        <f t="shared" si="0"/>
        <v>571.00471020401801</v>
      </c>
    </row>
    <row r="29" spans="1:5">
      <c r="A29" s="129">
        <v>2007</v>
      </c>
      <c r="B29" s="273">
        <f>'供給側予測（成長実現ケース）'!K30</f>
        <v>558.30637855754571</v>
      </c>
      <c r="C29" s="273">
        <f>'供給側予測（ベースラインケース)'!K30</f>
        <v>558.30637855754571</v>
      </c>
      <c r="D29" s="273">
        <f>'供給側予測（ベースラインケース　就業率維持）'!K30</f>
        <v>558.30637855754571</v>
      </c>
      <c r="E29" s="305">
        <f t="shared" si="0"/>
        <v>558.30637855754571</v>
      </c>
    </row>
    <row r="30" spans="1:5">
      <c r="A30" s="129">
        <v>2008</v>
      </c>
      <c r="B30" s="273">
        <f>'供給側予測（成長実現ケース）'!K31</f>
        <v>546.48514249556763</v>
      </c>
      <c r="C30" s="273">
        <f>'供給側予測（ベースラインケース)'!K31</f>
        <v>546.48514249556763</v>
      </c>
      <c r="D30" s="273">
        <f>'供給側予測（ベースラインケース　就業率維持）'!K31</f>
        <v>546.48514249556763</v>
      </c>
      <c r="E30" s="305">
        <f t="shared" si="0"/>
        <v>546.48514249556763</v>
      </c>
    </row>
    <row r="31" spans="1:5">
      <c r="A31" s="129">
        <v>2009</v>
      </c>
      <c r="B31" s="273">
        <f>'供給側予測（成長実現ケース）'!K32</f>
        <v>535.7747682044502</v>
      </c>
      <c r="C31" s="273">
        <f>'供給側予測（ベースラインケース)'!K32</f>
        <v>535.7747682044502</v>
      </c>
      <c r="D31" s="273">
        <f>'供給側予測（ベースラインケース　就業率維持）'!K32</f>
        <v>535.7747682044502</v>
      </c>
      <c r="E31" s="305">
        <f t="shared" si="0"/>
        <v>535.7747682044502</v>
      </c>
    </row>
    <row r="32" spans="1:5">
      <c r="A32" s="129">
        <v>2010</v>
      </c>
      <c r="B32" s="273">
        <f>'供給側予測（成長実現ケース）'!K33</f>
        <v>526.36473515503474</v>
      </c>
      <c r="C32" s="273">
        <f>'供給側予測（ベースラインケース)'!K33</f>
        <v>526.36473515503474</v>
      </c>
      <c r="D32" s="273">
        <f>'供給側予測（ベースラインケース　就業率維持）'!K33</f>
        <v>526.36473515503474</v>
      </c>
      <c r="E32" s="305">
        <f t="shared" si="0"/>
        <v>526.36473515503474</v>
      </c>
    </row>
    <row r="33" spans="1:5">
      <c r="A33" s="129">
        <v>2011</v>
      </c>
      <c r="B33" s="273">
        <f>'供給側予測（成長実現ケース）'!K34</f>
        <v>518.35832779131965</v>
      </c>
      <c r="C33" s="273">
        <f>'供給側予測（ベースラインケース)'!K34</f>
        <v>518.35832779131965</v>
      </c>
      <c r="D33" s="273">
        <f>'供給側予測（ベースラインケース　就業率維持）'!K34</f>
        <v>518.35832779131965</v>
      </c>
      <c r="E33" s="305">
        <f t="shared" si="0"/>
        <v>518.35832779131965</v>
      </c>
    </row>
    <row r="34" spans="1:5">
      <c r="A34" s="129">
        <v>2012</v>
      </c>
      <c r="B34" s="273">
        <f>'供給側予測（成長実現ケース）'!K35</f>
        <v>511.71028248573515</v>
      </c>
      <c r="C34" s="273">
        <f>'供給側予測（ベースラインケース)'!K35</f>
        <v>511.71028248573515</v>
      </c>
      <c r="D34" s="273">
        <f>'供給側予測（ベースラインケース　就業率維持）'!K35</f>
        <v>511.71028248573515</v>
      </c>
      <c r="E34" s="305">
        <f t="shared" si="0"/>
        <v>511.71028248573515</v>
      </c>
    </row>
    <row r="35" spans="1:5">
      <c r="A35" s="129">
        <v>2013</v>
      </c>
      <c r="B35" s="273">
        <f>'供給側予測（成長実現ケース）'!K36</f>
        <v>506.26093026087557</v>
      </c>
      <c r="C35" s="273">
        <f>'供給側予測（ベースラインケース)'!K36</f>
        <v>506.26093026087557</v>
      </c>
      <c r="D35" s="273">
        <f>'供給側予測（ベースラインケース　就業率維持）'!K36</f>
        <v>506.26093026087557</v>
      </c>
      <c r="E35" s="305">
        <f t="shared" si="0"/>
        <v>506.26093026087557</v>
      </c>
    </row>
    <row r="36" spans="1:5">
      <c r="A36" s="129">
        <v>2014</v>
      </c>
      <c r="B36" s="273">
        <f>'供給側予測（成長実現ケース）'!K37</f>
        <v>501.80495815177284</v>
      </c>
      <c r="C36" s="273">
        <f>'供給側予測（ベースラインケース)'!K37</f>
        <v>501.80495815177284</v>
      </c>
      <c r="D36" s="273">
        <f>'供給側予測（ベースラインケース　就業率維持）'!K37</f>
        <v>501.80495815177284</v>
      </c>
      <c r="E36" s="305">
        <f t="shared" si="0"/>
        <v>501.80495815177284</v>
      </c>
    </row>
    <row r="37" spans="1:5">
      <c r="A37" s="129">
        <v>2015</v>
      </c>
      <c r="B37" s="273">
        <f>'供給側予測（成長実現ケース）'!K38</f>
        <v>498.09599846279394</v>
      </c>
      <c r="C37" s="273">
        <f>'供給側予測（ベースラインケース)'!K38</f>
        <v>498.09599846279394</v>
      </c>
      <c r="D37" s="273">
        <f>'供給側予測（ベースラインケース　就業率維持）'!K38</f>
        <v>498.09599846279394</v>
      </c>
      <c r="E37" s="305">
        <f t="shared" si="0"/>
        <v>498.09599846279394</v>
      </c>
    </row>
    <row r="38" spans="1:5">
      <c r="A38" s="129">
        <v>2016</v>
      </c>
      <c r="B38" s="273">
        <f>'供給側予測（成長実現ケース）'!K39</f>
        <v>494.94285363183678</v>
      </c>
      <c r="C38" s="273">
        <f>'供給側予測（ベースラインケース)'!K39</f>
        <v>494.94285363183678</v>
      </c>
      <c r="D38" s="273">
        <f>'供給側予測（ベースラインケース　就業率維持）'!K39</f>
        <v>494.94285363183678</v>
      </c>
      <c r="E38" s="305">
        <f t="shared" si="0"/>
        <v>494.94285363183678</v>
      </c>
    </row>
    <row r="39" spans="1:5">
      <c r="A39" s="129">
        <v>2017</v>
      </c>
      <c r="B39" s="273">
        <f>'供給側予測（成長実現ケース）'!K40</f>
        <v>492.18757977883359</v>
      </c>
      <c r="C39" s="273">
        <f>'供給側予測（ベースラインケース)'!K40</f>
        <v>492.18757977883359</v>
      </c>
      <c r="D39" s="273">
        <f>'供給側予測（ベースラインケース　就業率維持）'!K40</f>
        <v>492.18757977883359</v>
      </c>
      <c r="E39" s="305">
        <f t="shared" si="0"/>
        <v>492.18757977883359</v>
      </c>
    </row>
    <row r="40" spans="1:5">
      <c r="A40" s="129">
        <v>2018</v>
      </c>
      <c r="B40" s="273">
        <f>'供給側予測（成長実現ケース）'!K41</f>
        <v>489.64754390580612</v>
      </c>
      <c r="C40" s="273">
        <f>'供給側予測（ベースラインケース)'!K41</f>
        <v>489.64754390580612</v>
      </c>
      <c r="D40" s="273">
        <f>'供給側予測（ベースラインケース　就業率維持）'!K41</f>
        <v>489.64754390580612</v>
      </c>
      <c r="E40" s="305">
        <f t="shared" si="0"/>
        <v>489.64754390580612</v>
      </c>
    </row>
    <row r="41" spans="1:5">
      <c r="A41" s="129">
        <v>2019</v>
      </c>
      <c r="B41" s="273">
        <f>'供給側予測（成長実現ケース）'!K42</f>
        <v>487.16278297712057</v>
      </c>
      <c r="C41" s="273">
        <f>'供給側予測（ベースラインケース)'!K42</f>
        <v>487.16278297712057</v>
      </c>
      <c r="D41" s="273">
        <f>'供給側予測（ベースラインケース　就業率維持）'!K42</f>
        <v>487.16278297712057</v>
      </c>
      <c r="E41" s="305">
        <f t="shared" si="0"/>
        <v>487.16278297712057</v>
      </c>
    </row>
    <row r="42" spans="1:5">
      <c r="A42" s="129">
        <v>2020</v>
      </c>
      <c r="B42" s="273">
        <f>'供給側予測（成長実現ケース）'!K43</f>
        <v>487.16278297712057</v>
      </c>
      <c r="C42" s="273">
        <f>'供給側予測（ベースラインケース)'!K43</f>
        <v>487.16278297712057</v>
      </c>
      <c r="D42" s="273">
        <f>'供給側予測（ベースラインケース　就業率維持）'!K43</f>
        <v>487.16278297712057</v>
      </c>
      <c r="E42" s="305">
        <f t="shared" si="0"/>
        <v>487.16278297712057</v>
      </c>
    </row>
    <row r="43" spans="1:5">
      <c r="A43" s="129">
        <v>2021</v>
      </c>
      <c r="B43" s="273">
        <f>'供給側予測（成長実現ケース）'!K44</f>
        <v>487.07906236965363</v>
      </c>
      <c r="C43" s="273">
        <f>'供給側予測（ベースラインケース)'!K44</f>
        <v>480.76342476226324</v>
      </c>
      <c r="D43" s="273">
        <f>'供給側予測（ベースラインケース　就業率維持）'!K44</f>
        <v>484.91922074651717</v>
      </c>
    </row>
    <row r="44" spans="1:5">
      <c r="A44" s="129">
        <v>2022</v>
      </c>
      <c r="B44" s="273">
        <f>'供給側予測（成長実現ケース）'!K45</f>
        <v>485.50463805407617</v>
      </c>
      <c r="C44" s="273">
        <f>'供給側予測（ベースラインケース)'!K45</f>
        <v>474.36406654740591</v>
      </c>
      <c r="D44" s="273">
        <f>'供給側予測（ベースラインケース　就業率維持）'!K45</f>
        <v>481.18495480780319</v>
      </c>
    </row>
    <row r="45" spans="1:5">
      <c r="A45" s="129">
        <v>2023</v>
      </c>
      <c r="B45" s="273">
        <f>'供給側予測（成長実現ケース）'!K46</f>
        <v>483.93021373849865</v>
      </c>
      <c r="C45" s="273">
        <f>'供給側予測（ベースラインケース)'!K46</f>
        <v>467.96470833254858</v>
      </c>
      <c r="D45" s="273">
        <f>'供給側予測（ベースラインケース　就業率維持）'!K46</f>
        <v>477.45068886908922</v>
      </c>
    </row>
    <row r="46" spans="1:5">
      <c r="A46" s="129">
        <v>2024</v>
      </c>
      <c r="B46" s="273">
        <f>'供給側予測（成長実現ケース）'!K47</f>
        <v>482.35578942292119</v>
      </c>
      <c r="C46" s="273">
        <f>'供給側予測（ベースラインケース)'!K47</f>
        <v>461.56535011769125</v>
      </c>
      <c r="D46" s="273">
        <f>'供給側予測（ベースラインケース　就業率維持）'!K47</f>
        <v>473.71642293037524</v>
      </c>
    </row>
    <row r="47" spans="1:5">
      <c r="A47" s="129">
        <v>2025</v>
      </c>
      <c r="B47" s="273">
        <f>'供給側予測（成長実現ケース）'!K48</f>
        <v>480.78136510734385</v>
      </c>
      <c r="C47" s="273">
        <f>'供給側予測（ベースラインケース)'!K48</f>
        <v>455.16599190283404</v>
      </c>
      <c r="D47" s="273">
        <f>'供給側予測（ベースラインケース　就業率維持）'!K48</f>
        <v>469.98215699166133</v>
      </c>
    </row>
    <row r="48" spans="1:5">
      <c r="A48" s="129">
        <v>2026</v>
      </c>
      <c r="B48" s="273">
        <f>'供給側予測（成長実現ケース）'!K49</f>
        <v>478.95945788782728</v>
      </c>
      <c r="C48" s="273">
        <f>'供給側予測（ベースラインケース)'!K49</f>
        <v>443.41376518218624</v>
      </c>
      <c r="D48" s="273">
        <f>'供給側予測（ベースラインケース　就業率維持）'!K49</f>
        <v>466.76443375719265</v>
      </c>
    </row>
    <row r="49" spans="1:8">
      <c r="A49" s="129">
        <v>2027</v>
      </c>
      <c r="B49" s="273">
        <f>'供給側予測（成長実現ケース）'!K50</f>
        <v>477.13755066831078</v>
      </c>
      <c r="C49" s="273">
        <f>'供給側予測（ベースラインケース)'!K50</f>
        <v>431.66153846153844</v>
      </c>
      <c r="D49" s="273">
        <f>'供給側予測（ベースラインケース　就業率維持）'!K50</f>
        <v>463.54671052272391</v>
      </c>
    </row>
    <row r="50" spans="1:8">
      <c r="A50" s="129">
        <v>2028</v>
      </c>
      <c r="B50" s="273">
        <f>'供給側予測（成長実現ケース）'!K51</f>
        <v>475.31564344879428</v>
      </c>
      <c r="C50" s="273">
        <f>'供給側予測（ベースラインケース)'!K51</f>
        <v>419.90931174089064</v>
      </c>
      <c r="D50" s="273">
        <f>'供給側予測（ベースラインケース　就業率維持）'!K51</f>
        <v>460.32898728825523</v>
      </c>
    </row>
    <row r="51" spans="1:8">
      <c r="A51" s="129">
        <v>2029</v>
      </c>
      <c r="B51" s="273">
        <f>'供給側予測（成長実現ケース）'!K52</f>
        <v>473.49373622927772</v>
      </c>
      <c r="C51" s="273">
        <f>'供給側予測（ベースラインケース)'!K52</f>
        <v>408.15708502024285</v>
      </c>
      <c r="D51" s="273">
        <f>'供給側予測（ベースラインケース　就業率維持）'!K52</f>
        <v>457.11126405378656</v>
      </c>
    </row>
    <row r="52" spans="1:8">
      <c r="A52" s="129">
        <v>2030</v>
      </c>
      <c r="B52" s="273">
        <f>'供給側予測（成長実現ケース）'!K53</f>
        <v>471.67182900976127</v>
      </c>
      <c r="C52" s="273">
        <f>'供給側予測（ベースラインケース)'!K53</f>
        <v>396.40485829959511</v>
      </c>
      <c r="D52" s="273">
        <f>'供給側予測（ベースラインケース　就業率維持）'!K53</f>
        <v>453.89354081931793</v>
      </c>
    </row>
    <row r="53" spans="1:8">
      <c r="A53" s="129">
        <v>2031</v>
      </c>
      <c r="B53" s="273">
        <f>'供給側予測（成長実現ケース）'!K54</f>
        <v>469.36505938505093</v>
      </c>
      <c r="C53" s="273">
        <f>'供給側予測（ベースラインケース)'!K54</f>
        <v>386.04696356275298</v>
      </c>
      <c r="D53" s="273">
        <f>'供給側予測（ベースラインケース　就業率維持）'!K54</f>
        <v>450.49950398296062</v>
      </c>
    </row>
    <row r="54" spans="1:8">
      <c r="A54" s="129">
        <v>2032</v>
      </c>
      <c r="B54" s="273">
        <f>'供給側予測（成長実現ケース）'!K55</f>
        <v>467.05828976034053</v>
      </c>
      <c r="C54" s="273">
        <f>'供給側予測（ベースラインケース)'!K55</f>
        <v>375.68906882591085</v>
      </c>
      <c r="D54" s="273">
        <f>'供給側予測（ベースラインケース　就業率維持）'!K55</f>
        <v>447.10546714660325</v>
      </c>
    </row>
    <row r="55" spans="1:8">
      <c r="A55" s="129">
        <v>2033</v>
      </c>
      <c r="B55" s="273">
        <f>'供給側予測（成長実現ケース）'!K56</f>
        <v>464.75152013563013</v>
      </c>
      <c r="C55" s="273">
        <f>'供給側予測（ベースラインケース)'!K56</f>
        <v>365.33117408906872</v>
      </c>
      <c r="D55" s="273">
        <f>'供給側予測（ベースラインケース　就業率維持）'!K56</f>
        <v>443.71143031024593</v>
      </c>
    </row>
    <row r="56" spans="1:8">
      <c r="A56" s="129">
        <v>2034</v>
      </c>
      <c r="B56" s="273">
        <f>'供給側予測（成長実現ケース）'!K57</f>
        <v>462.44475051091973</v>
      </c>
      <c r="C56" s="273">
        <f>'供給側予測（ベースラインケース)'!K57</f>
        <v>354.9732793522266</v>
      </c>
      <c r="D56" s="273">
        <f>'供給側予測（ベースラインケース　就業率維持）'!K57</f>
        <v>440.31739347388856</v>
      </c>
    </row>
    <row r="57" spans="1:8">
      <c r="A57" s="129">
        <v>2035</v>
      </c>
      <c r="B57" s="273">
        <f>'供給側予測（成長実現ケース）'!K58</f>
        <v>460.13798088620922</v>
      </c>
      <c r="C57" s="273">
        <f>'供給側予測（ベースラインケース)'!K58</f>
        <v>344.61538461538458</v>
      </c>
      <c r="D57" s="273">
        <f>'供給側予測（ベースラインケース　就業率維持）'!K58</f>
        <v>436.92335663753113</v>
      </c>
      <c r="F57" s="370">
        <f>B57-C57</f>
        <v>115.52259627082464</v>
      </c>
    </row>
    <row r="58" spans="1:8">
      <c r="A58" s="129">
        <v>2036</v>
      </c>
      <c r="B58" s="273">
        <f>'供給側予測（成長実現ケース）'!K59</f>
        <v>457.41981285709187</v>
      </c>
      <c r="C58" s="273">
        <f>'供給側予測（ベースラインケース)'!K59</f>
        <v>335.85101214574894</v>
      </c>
      <c r="D58" s="273">
        <f>'供給側予測（ベースラインケース　就業率維持）'!K59</f>
        <v>433.26484939834074</v>
      </c>
    </row>
    <row r="59" spans="1:8">
      <c r="A59" s="129">
        <v>2037</v>
      </c>
      <c r="B59" s="273">
        <f>'供給側予測（成長実現ケース）'!K60</f>
        <v>454.70164482797446</v>
      </c>
      <c r="C59" s="273">
        <f>'供給側予測（ベースラインケース)'!K60</f>
        <v>327.08663967611329</v>
      </c>
      <c r="D59" s="273">
        <f>'供給側予測（ベースラインケース　就業率維持）'!K60</f>
        <v>429.6063421591503</v>
      </c>
    </row>
    <row r="60" spans="1:8">
      <c r="A60" s="129">
        <v>2038</v>
      </c>
      <c r="B60" s="273">
        <f>'供給側予測（成長実現ケース）'!K61</f>
        <v>451.98347679885711</v>
      </c>
      <c r="C60" s="273">
        <f>'供給側予測（ベースラインケース)'!K61</f>
        <v>318.32226720647765</v>
      </c>
      <c r="D60" s="273">
        <f>'供給側予測（ベースラインケース　就業率維持）'!K61</f>
        <v>425.94783491995992</v>
      </c>
    </row>
    <row r="61" spans="1:8">
      <c r="A61" s="129">
        <v>2039</v>
      </c>
      <c r="B61" s="273">
        <f>'供給側予測（成長実現ケース）'!K62</f>
        <v>449.26530876973976</v>
      </c>
      <c r="C61" s="273">
        <f>'供給側予測（ベースラインケース)'!K62</f>
        <v>309.557894736842</v>
      </c>
      <c r="D61" s="273">
        <f>'供給側予測（ベースラインケース　就業率維持）'!K62</f>
        <v>422.28932768076947</v>
      </c>
    </row>
    <row r="62" spans="1:8">
      <c r="A62" s="129">
        <v>2040</v>
      </c>
      <c r="B62" s="273">
        <f>'供給側予測（成長実現ケース）'!K63</f>
        <v>446.54714074062235</v>
      </c>
      <c r="C62" s="273">
        <f>'供給側予測（ベースラインケース)'!K63</f>
        <v>300.79352226720647</v>
      </c>
      <c r="D62" s="273">
        <f>'供給側予測（ベースラインケース　就業率維持）'!K63</f>
        <v>418.63082044157915</v>
      </c>
      <c r="E62" s="370"/>
    </row>
    <row r="63" spans="1:8">
      <c r="H63" s="14"/>
    </row>
    <row r="67" spans="11:11">
      <c r="K67" s="18"/>
    </row>
    <row r="71" spans="11:11">
      <c r="K71" s="18"/>
    </row>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C746C-495F-4085-BC91-05F60F8CCAD7}">
  <sheetPr>
    <pageSetUpPr fitToPage="1"/>
  </sheetPr>
  <dimension ref="A1:AP27"/>
  <sheetViews>
    <sheetView view="pageBreakPreview" topLeftCell="R1" zoomScale="85" zoomScaleNormal="85" zoomScaleSheetLayoutView="85" workbookViewId="0">
      <selection activeCell="W5" sqref="W5"/>
    </sheetView>
  </sheetViews>
  <sheetFormatPr defaultColWidth="9" defaultRowHeight="13.3"/>
  <cols>
    <col min="1" max="1" width="6.07421875" style="98" customWidth="1"/>
    <col min="2" max="2" width="4.3046875" style="98" customWidth="1"/>
    <col min="3" max="3" width="20.69140625" style="98" customWidth="1"/>
    <col min="4" max="18" width="9.3046875" style="98" customWidth="1"/>
    <col min="19" max="16384" width="9" style="98"/>
  </cols>
  <sheetData>
    <row r="1" spans="1:42" ht="40.200000000000003" customHeight="1">
      <c r="A1" s="97" t="s">
        <v>150</v>
      </c>
    </row>
    <row r="2" spans="1:42" ht="6" customHeight="1">
      <c r="B2" s="99"/>
    </row>
    <row r="3" spans="1:42" ht="21" customHeight="1" thickBot="1">
      <c r="A3" s="100" t="s">
        <v>128</v>
      </c>
      <c r="B3" s="100"/>
      <c r="C3" s="100"/>
      <c r="D3" s="100"/>
      <c r="E3" s="100"/>
      <c r="F3" s="100"/>
      <c r="G3" s="100"/>
      <c r="Z3" s="101"/>
      <c r="AC3" s="101"/>
      <c r="AD3" s="101"/>
      <c r="AE3" s="101"/>
      <c r="AF3" s="101" t="s">
        <v>129</v>
      </c>
    </row>
    <row r="4" spans="1:42" ht="30" customHeight="1" thickBot="1">
      <c r="A4" s="409" t="s">
        <v>130</v>
      </c>
      <c r="B4" s="410"/>
      <c r="C4" s="411"/>
      <c r="D4" s="102">
        <v>2002</v>
      </c>
      <c r="E4" s="102">
        <v>2003</v>
      </c>
      <c r="F4" s="102">
        <v>2004</v>
      </c>
      <c r="G4" s="102">
        <v>2005</v>
      </c>
      <c r="H4" s="102">
        <v>2006</v>
      </c>
      <c r="I4" s="102">
        <v>2007</v>
      </c>
      <c r="J4" s="102">
        <v>2008</v>
      </c>
      <c r="K4" s="102">
        <v>2009</v>
      </c>
      <c r="L4" s="102">
        <v>2010</v>
      </c>
      <c r="M4" s="102">
        <v>2011</v>
      </c>
      <c r="N4" s="102">
        <v>2012</v>
      </c>
      <c r="O4" s="102">
        <v>2013</v>
      </c>
      <c r="P4" s="102">
        <v>2014</v>
      </c>
      <c r="Q4" s="102">
        <v>2015</v>
      </c>
      <c r="R4" s="102">
        <v>2016</v>
      </c>
      <c r="S4" s="102">
        <v>2017</v>
      </c>
      <c r="T4" s="102">
        <v>2018</v>
      </c>
      <c r="U4" s="103">
        <v>2019</v>
      </c>
      <c r="V4" s="102">
        <v>2020</v>
      </c>
      <c r="W4" s="104">
        <v>2021</v>
      </c>
      <c r="X4" s="102">
        <v>2022</v>
      </c>
      <c r="Y4" s="103">
        <v>2023</v>
      </c>
      <c r="Z4" s="103">
        <v>2024</v>
      </c>
      <c r="AA4" s="102">
        <v>2025</v>
      </c>
      <c r="AB4" s="102">
        <v>2026</v>
      </c>
      <c r="AC4" s="102">
        <v>2027</v>
      </c>
      <c r="AD4" s="102">
        <v>2028</v>
      </c>
      <c r="AE4" s="102">
        <v>2029</v>
      </c>
      <c r="AF4" s="102">
        <v>2030</v>
      </c>
      <c r="AG4" s="225">
        <v>2031</v>
      </c>
      <c r="AH4" s="104">
        <v>2032</v>
      </c>
      <c r="AI4" s="102">
        <v>2033</v>
      </c>
      <c r="AJ4" s="102">
        <v>2034</v>
      </c>
      <c r="AK4" s="102">
        <v>2035</v>
      </c>
      <c r="AL4" s="102">
        <v>2036</v>
      </c>
      <c r="AM4" s="102">
        <v>2037</v>
      </c>
      <c r="AN4" s="102">
        <v>2038</v>
      </c>
      <c r="AO4" s="102">
        <v>2039</v>
      </c>
      <c r="AP4" s="102">
        <v>2040</v>
      </c>
    </row>
    <row r="5" spans="1:42" ht="15.9" customHeight="1">
      <c r="A5" s="105" t="s">
        <v>131</v>
      </c>
      <c r="B5" s="106"/>
      <c r="C5" s="107"/>
      <c r="D5" s="188">
        <f>'★【内閣府】中長期試算　成長実現ケース'!D5</f>
        <v>0</v>
      </c>
      <c r="E5" s="189">
        <f>'★【内閣府】中長期試算　成長実現ケース'!E5</f>
        <v>1.927794640420144</v>
      </c>
      <c r="F5" s="189">
        <f>'★【内閣府】中長期試算　成長実現ケース'!F5</f>
        <v>1.6816648962383773</v>
      </c>
      <c r="G5" s="189">
        <f>'★【内閣府】中長期試算　成長実現ケース'!G5</f>
        <v>2.1561282262302583</v>
      </c>
      <c r="H5" s="190">
        <f>'★【内閣府】中長期試算　成長実現ケース'!H5</f>
        <v>1.2909172228934507</v>
      </c>
      <c r="I5" s="190">
        <f>'★【内閣府】中長期試算　成長実現ケース'!I5</f>
        <v>1.0506957237006009</v>
      </c>
      <c r="J5" s="190">
        <f>'★【内閣府】中長期試算　成長実現ケース'!J5</f>
        <v>-3.6050031293265228</v>
      </c>
      <c r="K5" s="190">
        <f>'★【内閣府】中長期試算　成長実現ケース'!K5</f>
        <v>-2.4366178145558526</v>
      </c>
      <c r="L5" s="190">
        <f>'★【内閣府】中長期試算　成長実現ケース'!L5</f>
        <v>3.2641529409985326</v>
      </c>
      <c r="M5" s="190">
        <f>'★【内閣府】中長期試算　成長実現ケース'!M5</f>
        <v>0.5109129977383553</v>
      </c>
      <c r="N5" s="190">
        <f>'★【内閣府】中長期試算　成長実現ケース'!N5</f>
        <v>0.63008094934344783</v>
      </c>
      <c r="O5" s="190">
        <f>'★【内閣府】中長期試算　成長実現ケース'!O5</f>
        <v>2.7335348048010522</v>
      </c>
      <c r="P5" s="190">
        <f>'★【内閣府】中長期試算　成長実現ケース'!P5</f>
        <v>-0.35498394603523664</v>
      </c>
      <c r="Q5" s="190">
        <f>'★【内閣府】中長期試算　成長実現ケース'!Q5</f>
        <v>1.7385601733411082</v>
      </c>
      <c r="R5" s="190">
        <f>'★【内閣府】中長期試算　成長実現ケース'!R5</f>
        <v>0.75141455662701695</v>
      </c>
      <c r="S5" s="190">
        <f>'★【内閣府】中長期試算　成長実現ケース'!S5</f>
        <v>1.7944752397819785</v>
      </c>
      <c r="T5" s="190">
        <f>'★【内閣府】中長期試算　成長実現ケース'!T5</f>
        <v>0.18880550556492626</v>
      </c>
      <c r="U5" s="190">
        <f>'★【内閣府】中長期試算　成長実現ケース'!U5</f>
        <v>-0.65512658064557083</v>
      </c>
      <c r="V5" s="190">
        <f>'★【内閣府】中長期試算　成長実現ケース'!V5</f>
        <v>-4.534802249503378</v>
      </c>
      <c r="W5" s="190">
        <f>'★【内閣府】中長期試算　成長実現ケース'!W5</f>
        <v>2.6</v>
      </c>
      <c r="X5" s="190">
        <f>'★【内閣府】中長期試算　成長実現ケース'!X5</f>
        <v>3.2</v>
      </c>
      <c r="Y5" s="206">
        <v>1.3</v>
      </c>
      <c r="Z5" s="207">
        <v>1.9</v>
      </c>
      <c r="AA5" s="206">
        <v>1.6</v>
      </c>
      <c r="AB5" s="206">
        <v>1</v>
      </c>
      <c r="AC5" s="206">
        <v>0.9</v>
      </c>
      <c r="AD5" s="206">
        <v>0.9</v>
      </c>
      <c r="AE5" s="206">
        <v>0.8</v>
      </c>
      <c r="AF5" s="206">
        <v>0.8</v>
      </c>
      <c r="AG5" s="226">
        <v>0.8</v>
      </c>
      <c r="AH5" s="219">
        <f t="shared" ref="AH5:AK5" si="0">AG5</f>
        <v>0.8</v>
      </c>
      <c r="AI5" s="218">
        <f t="shared" si="0"/>
        <v>0.8</v>
      </c>
      <c r="AJ5" s="218">
        <f t="shared" si="0"/>
        <v>0.8</v>
      </c>
      <c r="AK5" s="218">
        <f t="shared" si="0"/>
        <v>0.8</v>
      </c>
      <c r="AL5" s="218">
        <f t="shared" ref="AL5" si="1">AK5</f>
        <v>0.8</v>
      </c>
      <c r="AM5" s="218">
        <f t="shared" ref="AM5" si="2">AL5</f>
        <v>0.8</v>
      </c>
      <c r="AN5" s="218">
        <f t="shared" ref="AN5" si="3">AM5</f>
        <v>0.8</v>
      </c>
      <c r="AO5" s="218">
        <f t="shared" ref="AO5" si="4">AN5</f>
        <v>0.8</v>
      </c>
      <c r="AP5" s="218">
        <f t="shared" ref="AP5" si="5">AO5</f>
        <v>0.8</v>
      </c>
    </row>
    <row r="6" spans="1:42" s="108" customFormat="1" ht="15.9" customHeight="1">
      <c r="A6" s="246" t="s">
        <v>132</v>
      </c>
      <c r="B6" s="247"/>
      <c r="C6" s="248"/>
      <c r="D6" s="191">
        <f>'★【内閣府】中長期試算　成長実現ケース'!D6</f>
        <v>486.54559999999998</v>
      </c>
      <c r="E6" s="192">
        <f>'★【内閣府】中長期試算　成長実現ケース'!E6</f>
        <v>495.92520000000002</v>
      </c>
      <c r="F6" s="192">
        <f>'★【内閣府】中長期試算　成長実現ケース'!F6</f>
        <v>504.26499999999999</v>
      </c>
      <c r="G6" s="192">
        <f>'★【内閣府】中長期試算　成長実現ケース'!G6</f>
        <v>515.13760000000002</v>
      </c>
      <c r="H6" s="193">
        <f>'★【内閣府】中長期試算　成長実現ケース'!H6</f>
        <v>521.7876</v>
      </c>
      <c r="I6" s="193">
        <f>'★【内閣府】中長期試算　成長実現ケース'!I6</f>
        <v>527.27</v>
      </c>
      <c r="J6" s="193">
        <f>'★【内閣府】中長期試算　成長実現ケース'!J6</f>
        <v>508.26190000000003</v>
      </c>
      <c r="K6" s="193">
        <f>'★【内閣府】中長期試算　成長実現ケース'!K6</f>
        <v>495.8775</v>
      </c>
      <c r="L6" s="193">
        <f>'★【内閣府】中長期試算　成長実現ケース'!L6</f>
        <v>512.06370000000004</v>
      </c>
      <c r="M6" s="193">
        <f>'★【内閣府】中長期試算　成長実現ケース'!M6</f>
        <v>514.67989999999998</v>
      </c>
      <c r="N6" s="193">
        <f>'★【内閣府】中長期試算　成長実現ケース'!N6</f>
        <v>517.92279999999994</v>
      </c>
      <c r="O6" s="193">
        <f>'★【内閣府】中長期試算　成長実現ケース'!O6</f>
        <v>532.08040000000005</v>
      </c>
      <c r="P6" s="193">
        <f>'★【内閣府】中長期試算　成長実現ケース'!P6</f>
        <v>530.19159999999999</v>
      </c>
      <c r="Q6" s="193">
        <f>'★【内閣府】中長期試算　成長実現ケース'!Q6</f>
        <v>539.40930000000003</v>
      </c>
      <c r="R6" s="193">
        <f>'★【内閣府】中長期試算　成長実現ケース'!R6</f>
        <v>543.46249999999998</v>
      </c>
      <c r="S6" s="193">
        <f>'★【内閣府】中長期試算　成長実現ケース'!S6</f>
        <v>553.21480000000008</v>
      </c>
      <c r="T6" s="193">
        <f>'★【内閣府】中長期試算　成長実現ケース'!T6</f>
        <v>554.25930000000005</v>
      </c>
      <c r="U6" s="193">
        <f>'★【内閣府】中長期試算　成長実現ケース'!U6</f>
        <v>550.62819999999999</v>
      </c>
      <c r="V6" s="193">
        <f>'★【内閣府】中長期試算　成長実現ケース'!V6</f>
        <v>525.65830000000005</v>
      </c>
      <c r="W6" s="193">
        <f>'★【内閣府】中長期試算　成長実現ケース'!W6</f>
        <v>539.32541580000009</v>
      </c>
      <c r="X6" s="193">
        <f>'★【内閣府】中長期試算　成長実現ケース'!X6</f>
        <v>556.5838291056001</v>
      </c>
      <c r="Y6" s="193">
        <f t="shared" ref="Y6" si="6">X6*(1+Y5/100)</f>
        <v>563.81941888397284</v>
      </c>
      <c r="Z6" s="193">
        <f t="shared" ref="Z6" si="7">Y6*(1+Z5/100)</f>
        <v>574.53198784276833</v>
      </c>
      <c r="AA6" s="193">
        <f t="shared" ref="AA6" si="8">Z6*(1+AA5/100)</f>
        <v>583.72449964825262</v>
      </c>
      <c r="AB6" s="193">
        <f t="shared" ref="AB6" si="9">AA6*(1+AB5/100)</f>
        <v>589.5617446447352</v>
      </c>
      <c r="AC6" s="193">
        <f t="shared" ref="AC6" si="10">AB6*(1+AC5/100)</f>
        <v>594.86780034653771</v>
      </c>
      <c r="AD6" s="193">
        <f t="shared" ref="AD6" si="11">AC6*(1+AD5/100)</f>
        <v>600.22161054965648</v>
      </c>
      <c r="AE6" s="193">
        <f t="shared" ref="AE6" si="12">AD6*(1+AE5/100)</f>
        <v>605.0233834340537</v>
      </c>
      <c r="AF6" s="193">
        <f t="shared" ref="AF6" si="13">AE6*(1+AF5/100)</f>
        <v>609.86357050152617</v>
      </c>
      <c r="AG6" s="227">
        <f t="shared" ref="AG6" si="14">AF6*(1+AG5/100)</f>
        <v>614.74247906553842</v>
      </c>
      <c r="AH6" s="220">
        <f t="shared" ref="AH6" si="15">AG6*(1+AH5/100)</f>
        <v>619.66041889806274</v>
      </c>
      <c r="AI6" s="193">
        <f t="shared" ref="AI6" si="16">AH6*(1+AI5/100)</f>
        <v>624.61770224924726</v>
      </c>
      <c r="AJ6" s="193">
        <f t="shared" ref="AJ6" si="17">AI6*(1+AJ5/100)</f>
        <v>629.61464386724128</v>
      </c>
      <c r="AK6" s="193">
        <f t="shared" ref="AK6" si="18">AJ6*(1+AK5/100)</f>
        <v>634.65156101817922</v>
      </c>
      <c r="AL6" s="193">
        <f t="shared" ref="AL6" si="19">AK6*(1+AL5/100)</f>
        <v>639.72877350632461</v>
      </c>
      <c r="AM6" s="193">
        <f t="shared" ref="AM6" si="20">AL6*(1+AM5/100)</f>
        <v>644.84660369437518</v>
      </c>
      <c r="AN6" s="193">
        <f t="shared" ref="AN6" si="21">AM6*(1+AN5/100)</f>
        <v>650.00537652393018</v>
      </c>
      <c r="AO6" s="193">
        <f t="shared" ref="AO6" si="22">AN6*(1+AO5/100)</f>
        <v>655.20541953612167</v>
      </c>
      <c r="AP6" s="193">
        <f t="shared" ref="AP6" si="23">AO6*(1+AP5/100)</f>
        <v>660.4470628924106</v>
      </c>
    </row>
    <row r="7" spans="1:42" ht="15.9" customHeight="1">
      <c r="A7" s="105" t="s">
        <v>133</v>
      </c>
      <c r="B7" s="106"/>
      <c r="C7" s="107"/>
      <c r="D7" s="194">
        <f>'★【内閣府】中長期試算　成長実現ケース'!D7</f>
        <v>0.8</v>
      </c>
      <c r="E7" s="195">
        <f>'★【内閣府】中長期試算　成長実現ケース'!E7</f>
        <v>2.1</v>
      </c>
      <c r="F7" s="195">
        <f>'★【内閣府】中長期試算　成長実現ケース'!F7</f>
        <v>1.6</v>
      </c>
      <c r="G7" s="195">
        <f>'★【内閣府】中長期試算　成長実現ケース'!G7</f>
        <v>1.6</v>
      </c>
      <c r="H7" s="196">
        <f>'★【内閣府】中長期試算　成長実現ケース'!H7</f>
        <v>1</v>
      </c>
      <c r="I7" s="196">
        <f>'★【内閣府】中長期試算　成長実現ケース'!I7</f>
        <v>0.4</v>
      </c>
      <c r="J7" s="196">
        <f>'★【内閣府】中長期試算　成長実現ケース'!J7</f>
        <v>-4.9000000000000004</v>
      </c>
      <c r="K7" s="196">
        <f>'★【内閣府】中長期試算　成長実現ケース'!K7</f>
        <v>-1.3</v>
      </c>
      <c r="L7" s="196">
        <f>'★【内閣府】中長期試算　成長実現ケース'!L7</f>
        <v>2.6</v>
      </c>
      <c r="M7" s="196">
        <f>'★【内閣府】中長期試算　成長実現ケース'!M7</f>
        <v>-0.6</v>
      </c>
      <c r="N7" s="196">
        <f>'★【内閣府】中長期試算　成長実現ケース'!N7</f>
        <v>0.6</v>
      </c>
      <c r="O7" s="196">
        <f>'★【内閣府】中長期試算　成長実現ケース'!O7</f>
        <v>3.1</v>
      </c>
      <c r="P7" s="196">
        <f>'★【内閣府】中長期試算　成長実現ケース'!P7</f>
        <v>0.1</v>
      </c>
      <c r="Q7" s="196">
        <f>'★【内閣府】中長期試算　成長実現ケース'!Q7</f>
        <v>3.3</v>
      </c>
      <c r="R7" s="196">
        <f>'★【内閣府】中長期試算　成長実現ケース'!R7</f>
        <v>0.8</v>
      </c>
      <c r="S7" s="196">
        <f>'★【内閣府】中長期試算　成長実現ケース'!S7</f>
        <v>1.3</v>
      </c>
      <c r="T7" s="196">
        <f>'★【内閣府】中長期試算　成長実現ケース'!T7</f>
        <v>-0.3</v>
      </c>
      <c r="U7" s="196">
        <f>'★【内閣府】中長期試算　成長実現ケース'!U7</f>
        <v>-0.3</v>
      </c>
      <c r="V7" s="196">
        <f>'★【内閣府】中長期試算　成長実現ケース'!V7</f>
        <v>-3.9</v>
      </c>
      <c r="W7" s="196">
        <f>'★【内閣府】中長期試算　成長実現ケース'!W7</f>
        <v>1.4</v>
      </c>
      <c r="X7" s="196">
        <f>'★【内閣府】中長期試算　成長実現ケース'!X7</f>
        <v>3.1</v>
      </c>
      <c r="Y7" s="208">
        <v>1.7</v>
      </c>
      <c r="Z7" s="209">
        <v>2</v>
      </c>
      <c r="AA7" s="208">
        <v>1.6</v>
      </c>
      <c r="AB7" s="208">
        <v>1.1000000000000001</v>
      </c>
      <c r="AC7" s="208">
        <v>0.9</v>
      </c>
      <c r="AD7" s="208">
        <v>0.9</v>
      </c>
      <c r="AE7" s="208">
        <v>0.8</v>
      </c>
      <c r="AF7" s="208">
        <v>0.8</v>
      </c>
      <c r="AG7" s="228">
        <v>0.8</v>
      </c>
      <c r="AH7" s="221"/>
      <c r="AI7" s="111"/>
      <c r="AJ7" s="111"/>
      <c r="AK7" s="111"/>
      <c r="AL7" s="111"/>
      <c r="AM7" s="111"/>
      <c r="AN7" s="111"/>
      <c r="AO7" s="111"/>
      <c r="AP7" s="111"/>
    </row>
    <row r="8" spans="1:42" ht="15.9" customHeight="1">
      <c r="A8" s="113" t="s">
        <v>134</v>
      </c>
      <c r="B8" s="106"/>
      <c r="C8" s="107"/>
      <c r="D8" s="194">
        <f>'★【内閣府】中長期試算　成長実現ケース'!D8</f>
        <v>-0.7</v>
      </c>
      <c r="E8" s="195">
        <f>'★【内閣府】中長期試算　成長実現ケース'!E8</f>
        <v>0.52660535736799297</v>
      </c>
      <c r="F8" s="195">
        <f>'★【内閣府】中長期試算　成長実現ケース'!F8</f>
        <v>0.64820477113678443</v>
      </c>
      <c r="G8" s="195">
        <f>'★【内閣府】中長期試算　成長実現ケース'!G8</f>
        <v>0.84513142670705754</v>
      </c>
      <c r="H8" s="196">
        <f>'★【内閣府】中長期試算　成長実現ケース'!H8</f>
        <v>0.5900098799928255</v>
      </c>
      <c r="I8" s="196">
        <f>'★【内閣府】中長期試算　成長実現ケース'!I8</f>
        <v>0.22763610237857002</v>
      </c>
      <c r="J8" s="196">
        <f>'★【内閣府】中長期試算　成長実現ケース'!J8</f>
        <v>-4.1431128872910001</v>
      </c>
      <c r="K8" s="196">
        <f>'★【内閣府】中長期試算　成長実現ケース'!K8</f>
        <v>-3.6435775533056658</v>
      </c>
      <c r="L8" s="196">
        <f>'★【内閣府】中長期試算　成長実現ケース'!L8</f>
        <v>1.5090070346472695</v>
      </c>
      <c r="M8" s="196">
        <f>'★【内閣府】中長期試算　成長実現ケース'!M8</f>
        <v>-0.95699485077507251</v>
      </c>
      <c r="N8" s="196">
        <f>'★【内閣府】中長期試算　成長実現ケース'!N8</f>
        <v>-0.1233100118890329</v>
      </c>
      <c r="O8" s="196">
        <f>'★【内閣府】中長期試算　成長実現ケース'!O8</f>
        <v>2.6553995513630912</v>
      </c>
      <c r="P8" s="196">
        <f>'★【内閣府】中長期試算　成長実現ケース'!P8</f>
        <v>2.0934272388380082</v>
      </c>
      <c r="Q8" s="196">
        <f>'★【内閣府】中長期試算　成長実現ケース'!Q8</f>
        <v>3.3092270560658665</v>
      </c>
      <c r="R8" s="196">
        <f>'★【内閣府】中長期試算　成長実現ケース'!R8</f>
        <v>0.75596488807729845</v>
      </c>
      <c r="S8" s="196">
        <f>'★【内閣府】中長期試算　成長実現ケース'!S8</f>
        <v>1.9996615440638799</v>
      </c>
      <c r="T8" s="196">
        <f>'★【内閣府】中長期試算　成長実現ケース'!T8</f>
        <v>0.10469265292585295</v>
      </c>
      <c r="U8" s="196">
        <f>'★【内閣府】中長期試算　成長実現ケース'!U8</f>
        <v>0.1802612493859268</v>
      </c>
      <c r="V8" s="196">
        <f>'★【内閣府】中長期試算　成長実現ケース'!V8</f>
        <v>-3.9110615074469779</v>
      </c>
      <c r="W8" s="196">
        <f>'★【内閣府】中長期試算　成長実現ケース'!W8</f>
        <v>1.7</v>
      </c>
      <c r="X8" s="196">
        <f>'★【内閣府】中長期試算　成長実現ケース'!X8</f>
        <v>3.6</v>
      </c>
      <c r="Y8" s="208">
        <v>1.5</v>
      </c>
      <c r="Z8" s="209">
        <v>2</v>
      </c>
      <c r="AA8" s="208">
        <v>1.7</v>
      </c>
      <c r="AB8" s="208">
        <v>1.2</v>
      </c>
      <c r="AC8" s="208">
        <v>1.1000000000000001</v>
      </c>
      <c r="AD8" s="208">
        <v>1.1000000000000001</v>
      </c>
      <c r="AE8" s="208">
        <v>1.1000000000000001</v>
      </c>
      <c r="AF8" s="208">
        <v>1</v>
      </c>
      <c r="AG8" s="228">
        <v>1</v>
      </c>
      <c r="AH8" s="222">
        <f t="shared" ref="AH8:AK8" si="24">AG8</f>
        <v>1</v>
      </c>
      <c r="AI8" s="118">
        <f t="shared" si="24"/>
        <v>1</v>
      </c>
      <c r="AJ8" s="118">
        <f t="shared" si="24"/>
        <v>1</v>
      </c>
      <c r="AK8" s="118">
        <f t="shared" si="24"/>
        <v>1</v>
      </c>
      <c r="AL8" s="118">
        <f t="shared" ref="AL8" si="25">AK8</f>
        <v>1</v>
      </c>
      <c r="AM8" s="118">
        <f t="shared" ref="AM8" si="26">AL8</f>
        <v>1</v>
      </c>
      <c r="AN8" s="118">
        <f t="shared" ref="AN8" si="27">AM8</f>
        <v>1</v>
      </c>
      <c r="AO8" s="118">
        <f t="shared" ref="AO8" si="28">AN8</f>
        <v>1</v>
      </c>
      <c r="AP8" s="118">
        <f t="shared" ref="AP8" si="29">AO8</f>
        <v>1</v>
      </c>
    </row>
    <row r="9" spans="1:42" ht="15.9" customHeight="1">
      <c r="A9" s="113" t="s">
        <v>135</v>
      </c>
      <c r="B9" s="114"/>
      <c r="C9" s="115"/>
      <c r="D9" s="191">
        <f>'★【内閣府】中長期試算　成長実現ケース'!D9</f>
        <v>523.46600000000001</v>
      </c>
      <c r="E9" s="192">
        <f>'★【内閣府】中長期試算　成長実現ケース'!E9</f>
        <v>526.22259999999994</v>
      </c>
      <c r="F9" s="192">
        <f>'★【内閣府】中長期試算　成長実現ケース'!F9</f>
        <v>529.6336</v>
      </c>
      <c r="G9" s="192">
        <f>'★【内閣府】中長期試算　成長実現ケース'!G9</f>
        <v>534.10969999999998</v>
      </c>
      <c r="H9" s="193">
        <f>'★【内閣府】中長期試算　成長実現ケース'!H9</f>
        <v>537.26099999999997</v>
      </c>
      <c r="I9" s="193">
        <f>'★【内閣府】中長期試算　成長実現ケース'!I9</f>
        <v>538.48400000000004</v>
      </c>
      <c r="J9" s="193">
        <f>'★【内閣府】中長期試算　成長実現ケース'!J9</f>
        <v>516.17399999999998</v>
      </c>
      <c r="K9" s="193">
        <f>'★【内閣府】中長期試算　成長実現ケース'!K9</f>
        <v>497.36680000000001</v>
      </c>
      <c r="L9" s="193">
        <f>'★【内閣府】中長期試算　成長実現ケース'!L9</f>
        <v>504.87209999999999</v>
      </c>
      <c r="M9" s="193">
        <f>'★【内閣府】中長期試算　成長実現ケース'!M9</f>
        <v>500.04050000000001</v>
      </c>
      <c r="N9" s="193">
        <f>'★【内閣府】中長期試算　成長実現ケース'!N9</f>
        <v>499.4239</v>
      </c>
      <c r="O9" s="193">
        <f>'★【内閣府】中長期試算　成長実現ケース'!O9</f>
        <v>512.68560000000002</v>
      </c>
      <c r="P9" s="193">
        <f>'★【内閣府】中長期試算　成長実現ケース'!P9</f>
        <v>523.41830000000004</v>
      </c>
      <c r="Q9" s="193">
        <f>'★【内閣府】中長期試算　成長実現ケース'!Q9</f>
        <v>540.73940000000005</v>
      </c>
      <c r="R9" s="193">
        <f>'★【内閣府】中長期試算　成長実現ケース'!R9</f>
        <v>544.82719999999995</v>
      </c>
      <c r="S9" s="193">
        <f>'★【内閣府】中長期試算　成長実現ケース'!S9</f>
        <v>555.72190000000001</v>
      </c>
      <c r="T9" s="193">
        <f>'★【内閣府】中長期試算　成長実現ケース'!T9</f>
        <v>556.30369999999994</v>
      </c>
      <c r="U9" s="193">
        <f>'★【内閣府】中長期試算　成長実現ケース'!U9</f>
        <v>557.30650000000003</v>
      </c>
      <c r="V9" s="193">
        <f>'★【内閣府】中長期試算　成長実現ケース'!V9</f>
        <v>535.50990000000002</v>
      </c>
      <c r="W9" s="193">
        <f>'★【内閣府】中長期試算　成長実現ケース'!W9</f>
        <v>544.9</v>
      </c>
      <c r="X9" s="193">
        <f>'★【内閣府】中長期試算　成長実現ケース'!X9</f>
        <v>564.6</v>
      </c>
      <c r="Y9" s="210">
        <v>573.4</v>
      </c>
      <c r="Z9" s="211">
        <v>584.70000000000005</v>
      </c>
      <c r="AA9" s="210">
        <v>594.70000000000005</v>
      </c>
      <c r="AB9" s="210">
        <v>602</v>
      </c>
      <c r="AC9" s="210">
        <v>608.79999999999995</v>
      </c>
      <c r="AD9" s="210">
        <v>615.4</v>
      </c>
      <c r="AE9" s="210">
        <v>622</v>
      </c>
      <c r="AF9" s="210">
        <v>628.29999999999995</v>
      </c>
      <c r="AG9" s="229">
        <v>634.6</v>
      </c>
      <c r="AH9" s="220">
        <f>AG9*(1+AH8/100)</f>
        <v>640.94600000000003</v>
      </c>
      <c r="AI9" s="193">
        <f t="shared" ref="AI9:AK9" si="30">AH9*(1+AI8/100)</f>
        <v>647.35545999999999</v>
      </c>
      <c r="AJ9" s="193">
        <f t="shared" si="30"/>
        <v>653.82901460000005</v>
      </c>
      <c r="AK9" s="193">
        <f t="shared" si="30"/>
        <v>660.36730474600006</v>
      </c>
      <c r="AL9" s="193">
        <f t="shared" ref="AL9" si="31">AK9*(1+AL8/100)</f>
        <v>666.97097779346007</v>
      </c>
      <c r="AM9" s="193">
        <f t="shared" ref="AM9" si="32">AL9*(1+AM8/100)</f>
        <v>673.64068757139466</v>
      </c>
      <c r="AN9" s="193">
        <f t="shared" ref="AN9" si="33">AM9*(1+AN8/100)</f>
        <v>680.37709444710856</v>
      </c>
      <c r="AO9" s="193">
        <f t="shared" ref="AO9" si="34">AN9*(1+AO8/100)</f>
        <v>687.18086539157969</v>
      </c>
      <c r="AP9" s="193">
        <f t="shared" ref="AP9" si="35">AO9*(1+AP8/100)</f>
        <v>694.05267404549545</v>
      </c>
    </row>
    <row r="10" spans="1:42" ht="15.9" customHeight="1">
      <c r="A10" s="116" t="s">
        <v>136</v>
      </c>
      <c r="B10" s="114"/>
      <c r="C10" s="115"/>
      <c r="D10" s="194">
        <f>'★【内閣府】中長期試算　成長実現ケース'!D10</f>
        <v>-1</v>
      </c>
      <c r="E10" s="195">
        <f>'★【内閣府】中長期試算　成長実現ケース'!E10</f>
        <v>0.6</v>
      </c>
      <c r="F10" s="195">
        <f>'★【内閣府】中長期試算　成長実現ケース'!F10</f>
        <v>0.9</v>
      </c>
      <c r="G10" s="195">
        <f>'★【内閣府】中長期試算　成長実現ケース'!G10</f>
        <v>1.2</v>
      </c>
      <c r="H10" s="196">
        <f>'★【内閣府】中長期試算　成長実現ケース'!H10</f>
        <v>1</v>
      </c>
      <c r="I10" s="196">
        <f>'★【内閣府】中長期試算　成長実現ケース'!I10</f>
        <v>0.5</v>
      </c>
      <c r="J10" s="196">
        <f>'★【内閣府】中長期試算　成長実現ケース'!J10</f>
        <v>-4.7</v>
      </c>
      <c r="K10" s="196">
        <f>'★【内閣府】中長期試算　成長実現ケース'!K10</f>
        <v>-3.4</v>
      </c>
      <c r="L10" s="196">
        <f>'★【内閣府】中長期試算　成長実現ケース'!L10</f>
        <v>1.2</v>
      </c>
      <c r="M10" s="196">
        <f>'★【内閣府】中長期試算　成長実現ケース'!M10</f>
        <v>-0.8</v>
      </c>
      <c r="N10" s="196">
        <f>'★【内閣府】中長期試算　成長実現ケース'!N10</f>
        <v>0.1</v>
      </c>
      <c r="O10" s="196">
        <f>'★【内閣府】中長期試算　成長実現ケース'!O10</f>
        <v>3.5</v>
      </c>
      <c r="P10" s="196">
        <f>'★【内閣府】中長期試算　成長実現ケース'!P10</f>
        <v>2.5</v>
      </c>
      <c r="Q10" s="196">
        <f>'★【内閣府】中長期試算　成長実現ケース'!Q10</f>
        <v>3.6</v>
      </c>
      <c r="R10" s="196">
        <f>'★【内閣府】中長期試算　成長実現ケース'!R10</f>
        <v>0.5</v>
      </c>
      <c r="S10" s="196">
        <f>'★【内閣府】中長期試算　成長実現ケース'!S10</f>
        <v>2.2999999999999998</v>
      </c>
      <c r="T10" s="196">
        <f>'★【内閣府】中長期試算　成長実現ケース'!T10</f>
        <v>0.6</v>
      </c>
      <c r="U10" s="196">
        <f>'★【内閣府】中長期試算　成長実現ケース'!U10</f>
        <v>0.6</v>
      </c>
      <c r="V10" s="196">
        <f>'★【内閣府】中長期試算　成長実現ケース'!V10</f>
        <v>-3.9</v>
      </c>
      <c r="W10" s="196">
        <f>'★【内閣府】中長期試算　成長実現ケース'!W10</f>
        <v>2.6</v>
      </c>
      <c r="X10" s="196">
        <f>'★【内閣府】中長期試算　成長実現ケース'!X10</f>
        <v>4.3</v>
      </c>
      <c r="Y10" s="208">
        <v>1.9</v>
      </c>
      <c r="Z10" s="209">
        <v>2.4</v>
      </c>
      <c r="AA10" s="208">
        <v>2.2999999999999998</v>
      </c>
      <c r="AB10" s="208">
        <v>1.8</v>
      </c>
      <c r="AC10" s="208">
        <v>1.7</v>
      </c>
      <c r="AD10" s="208">
        <v>1.6</v>
      </c>
      <c r="AE10" s="208">
        <v>1.6</v>
      </c>
      <c r="AF10" s="208">
        <v>1.6</v>
      </c>
      <c r="AG10" s="228">
        <v>1.6</v>
      </c>
      <c r="AH10" s="221"/>
      <c r="AI10" s="111"/>
      <c r="AJ10" s="111"/>
      <c r="AK10" s="111"/>
      <c r="AL10" s="111"/>
      <c r="AM10" s="111"/>
      <c r="AN10" s="111"/>
      <c r="AO10" s="111"/>
      <c r="AP10" s="111"/>
    </row>
    <row r="11" spans="1:42" ht="15.9" customHeight="1">
      <c r="A11" s="116" t="s">
        <v>137</v>
      </c>
      <c r="B11" s="114"/>
      <c r="C11" s="115"/>
      <c r="D11" s="197">
        <f>'★【内閣府】中長期試算　成長実現ケース'!D11</f>
        <v>417</v>
      </c>
      <c r="E11" s="197">
        <f>'★【内閣府】中長期試算　成長実現ケース'!E11</f>
        <v>419</v>
      </c>
      <c r="F11" s="197">
        <f>'★【内閣府】中長期試算　成長実現ケース'!F11</f>
        <v>423</v>
      </c>
      <c r="G11" s="197">
        <f>'★【内閣府】中長期試算　成長実現ケース'!G11</f>
        <v>428</v>
      </c>
      <c r="H11" s="198">
        <f>'★【内閣府】中長期試算　成長実現ケース'!H11</f>
        <v>432</v>
      </c>
      <c r="I11" s="198">
        <f>'★【内閣府】中長期試算　成長実現ケース'!I11</f>
        <v>434</v>
      </c>
      <c r="J11" s="198">
        <f>'★【内閣府】中長期試算　成長実現ケース'!J11</f>
        <v>414</v>
      </c>
      <c r="K11" s="198">
        <f>'★【内閣府】中長期試算　成長実現ケース'!K11</f>
        <v>400</v>
      </c>
      <c r="L11" s="198">
        <f>'★【内閣府】中長期試算　成長実現ケース'!L11</f>
        <v>405</v>
      </c>
      <c r="M11" s="198">
        <f>'★【内閣府】中長期試算　成長実現ケース'!M11</f>
        <v>402</v>
      </c>
      <c r="N11" s="198">
        <f>'★【内閣府】中長期試算　成長実現ケース'!N11</f>
        <v>402</v>
      </c>
      <c r="O11" s="198">
        <f>'★【内閣府】中長期試算　成長実現ケース'!O11</f>
        <v>416</v>
      </c>
      <c r="P11" s="198">
        <f>'★【内閣府】中長期試算　成長実現ケース'!P11</f>
        <v>427</v>
      </c>
      <c r="Q11" s="198">
        <f>'★【内閣府】中長期試算　成長実現ケース'!Q11</f>
        <v>442</v>
      </c>
      <c r="R11" s="198">
        <f>'★【内閣府】中長期試算　成長実現ケース'!R11</f>
        <v>444</v>
      </c>
      <c r="S11" s="198">
        <f>'★【内閣府】中長期試算　成長実現ケース'!S11</f>
        <v>455</v>
      </c>
      <c r="T11" s="198">
        <f>'★【内閣府】中長期試算　成長実現ケース'!T11</f>
        <v>457</v>
      </c>
      <c r="U11" s="198">
        <f>'★【内閣府】中長期試算　成長実現ケース'!U11</f>
        <v>460</v>
      </c>
      <c r="V11" s="198">
        <f>'★【内閣府】中長期試算　成長実現ケース'!V11</f>
        <v>441</v>
      </c>
      <c r="W11" s="198">
        <f>'★【内閣府】中長期試算　成長実現ケース'!W11</f>
        <v>453</v>
      </c>
      <c r="X11" s="198">
        <f>'★【内閣府】中長期試算　成長実現ケース'!X11</f>
        <v>472</v>
      </c>
      <c r="Y11" s="212">
        <v>482</v>
      </c>
      <c r="Z11" s="213">
        <v>493</v>
      </c>
      <c r="AA11" s="212">
        <v>504</v>
      </c>
      <c r="AB11" s="212">
        <v>513</v>
      </c>
      <c r="AC11" s="212">
        <v>522</v>
      </c>
      <c r="AD11" s="212">
        <v>530</v>
      </c>
      <c r="AE11" s="212">
        <v>539</v>
      </c>
      <c r="AF11" s="212">
        <v>547</v>
      </c>
      <c r="AG11" s="230">
        <v>556</v>
      </c>
      <c r="AH11" s="223"/>
      <c r="AI11" s="117"/>
      <c r="AJ11" s="117"/>
      <c r="AK11" s="117"/>
      <c r="AL11" s="117"/>
      <c r="AM11" s="117"/>
      <c r="AN11" s="117"/>
      <c r="AO11" s="117"/>
      <c r="AP11" s="117"/>
    </row>
    <row r="12" spans="1:42" ht="15.9" customHeight="1">
      <c r="A12" s="249" t="s">
        <v>138</v>
      </c>
      <c r="B12" s="250"/>
      <c r="C12" s="251"/>
      <c r="D12" s="194">
        <f>'★【内閣府】中長期試算　成長実現ケース'!D12</f>
        <v>-2.6</v>
      </c>
      <c r="E12" s="195">
        <f>'★【内閣府】中長期試算　成長実現ケース'!E12</f>
        <v>-1.8</v>
      </c>
      <c r="F12" s="195">
        <f>'★【内閣府】中長期試算　成長実現ケース'!F12</f>
        <v>-1.3</v>
      </c>
      <c r="G12" s="195">
        <f>'★【内閣府】中長期試算　成長実現ケース'!G12</f>
        <v>0</v>
      </c>
      <c r="H12" s="196">
        <f>'★【内閣府】中長期試算　成長実現ケース'!H12</f>
        <v>0.7</v>
      </c>
      <c r="I12" s="196">
        <f>'★【内閣府】中長期試算　成長実現ケース'!I12</f>
        <v>1.6</v>
      </c>
      <c r="J12" s="196">
        <f>'★【内閣府】中長期試算　成長実現ケース'!J12</f>
        <v>-1.8</v>
      </c>
      <c r="K12" s="196">
        <f>'★【内閣府】中長期試算　成長実現ケース'!K12</f>
        <v>-4.2</v>
      </c>
      <c r="L12" s="196">
        <f>'★【内閣府】中長期試算　成長実現ケース'!L12</f>
        <v>-1.3</v>
      </c>
      <c r="M12" s="196">
        <f>'★【内閣府】中長期試算　成長実現ケース'!M12</f>
        <v>-1.4</v>
      </c>
      <c r="N12" s="196">
        <f>'★【内閣府】中長期試算　成長実現ケース'!N12</f>
        <v>-1.4</v>
      </c>
      <c r="O12" s="196">
        <f>'★【内閣府】中長期試算　成長実現ケース'!O12</f>
        <v>0.4</v>
      </c>
      <c r="P12" s="196">
        <f>'★【内閣府】中長期試算　成長実現ケース'!P12</f>
        <v>-0.9</v>
      </c>
      <c r="Q12" s="196">
        <f>'★【内閣府】中長期試算　成長実現ケース'!Q12</f>
        <v>-0.1</v>
      </c>
      <c r="R12" s="196">
        <f>'★【内閣府】中長期試算　成長実現ケース'!R12</f>
        <v>-0.2</v>
      </c>
      <c r="S12" s="196">
        <f>'★【内閣府】中長期試算　成長実現ケース'!S12</f>
        <v>0.8</v>
      </c>
      <c r="T12" s="196">
        <f>'★【内閣府】中長期試算　成長実現ケース'!T12</f>
        <v>0.3</v>
      </c>
      <c r="U12" s="196">
        <f>'★【内閣府】中長期試算　成長実現ケース'!U12</f>
        <v>-0.9</v>
      </c>
      <c r="V12" s="196">
        <f>'★【内閣府】中長期試算　成長実現ケース'!V12</f>
        <v>-5.8</v>
      </c>
      <c r="W12" s="196">
        <f>'★【内閣府】中長期試算　成長実現ケース'!W12</f>
        <v>-3.9272365805169018</v>
      </c>
      <c r="X12" s="196">
        <f>'★【内閣府】中長期試算　成長実現ケース'!X12</f>
        <v>-1.8345625258351039</v>
      </c>
      <c r="Y12" s="196">
        <f t="shared" ref="Y12:AP12" si="36">(Y6/Y14-1)*100</f>
        <v>-1.5429820184861054</v>
      </c>
      <c r="Z12" s="196">
        <f t="shared" si="36"/>
        <v>-0.66564225429439627</v>
      </c>
      <c r="AA12" s="196">
        <f t="shared" si="36"/>
        <v>2.3496005586620683E-2</v>
      </c>
      <c r="AB12" s="196">
        <f t="shared" si="36"/>
        <v>0.12262731976462327</v>
      </c>
      <c r="AC12" s="196">
        <f t="shared" si="36"/>
        <v>0.12262731976460106</v>
      </c>
      <c r="AD12" s="196">
        <f t="shared" si="36"/>
        <v>0.12262731976460106</v>
      </c>
      <c r="AE12" s="196">
        <f t="shared" si="36"/>
        <v>0.12262731976457886</v>
      </c>
      <c r="AF12" s="196">
        <f t="shared" si="36"/>
        <v>0.12262731976457886</v>
      </c>
      <c r="AG12" s="231">
        <f t="shared" si="36"/>
        <v>0.12262731976457886</v>
      </c>
      <c r="AH12" s="224">
        <f>(AH6/AH14-1)*100</f>
        <v>0.12262731976457886</v>
      </c>
      <c r="AI12" s="196">
        <f t="shared" si="36"/>
        <v>0.12262731976460106</v>
      </c>
      <c r="AJ12" s="196">
        <f t="shared" si="36"/>
        <v>0.12262731976460106</v>
      </c>
      <c r="AK12" s="196">
        <f t="shared" si="36"/>
        <v>0.12262731976460106</v>
      </c>
      <c r="AL12" s="196">
        <f t="shared" si="36"/>
        <v>0.12262731976460106</v>
      </c>
      <c r="AM12" s="196">
        <f t="shared" si="36"/>
        <v>0.12262731976457886</v>
      </c>
      <c r="AN12" s="196">
        <f t="shared" si="36"/>
        <v>0.12262731976457886</v>
      </c>
      <c r="AO12" s="196">
        <f t="shared" si="36"/>
        <v>0.12262731976460106</v>
      </c>
      <c r="AP12" s="196">
        <f t="shared" si="36"/>
        <v>0.12262731976457886</v>
      </c>
    </row>
    <row r="13" spans="1:42" ht="15.9" customHeight="1">
      <c r="A13" s="113" t="s">
        <v>24</v>
      </c>
      <c r="B13" s="114"/>
      <c r="C13" s="115"/>
      <c r="D13" s="194">
        <f>'★【内閣府】中長期試算　成長実現ケース'!D13</f>
        <v>1</v>
      </c>
      <c r="E13" s="195">
        <f>'★【内閣府】中長期試算　成長実現ケース'!E13</f>
        <v>1.1000000000000001</v>
      </c>
      <c r="F13" s="195">
        <f>'★【内閣府】中長期試算　成長実現ケース'!F13</f>
        <v>1.1000000000000001</v>
      </c>
      <c r="G13" s="195">
        <f>'★【内閣府】中長期試算　成長実現ケース'!G13</f>
        <v>0.9</v>
      </c>
      <c r="H13" s="196">
        <f>'★【内閣府】中長期試算　成長実現ケース'!H13</f>
        <v>0.5</v>
      </c>
      <c r="I13" s="196">
        <f>'★【内閣府】中長期試算　成長実現ケース'!I13</f>
        <v>0.1</v>
      </c>
      <c r="J13" s="196">
        <f>'★【内閣府】中長期試算　成長実現ケース'!J13</f>
        <v>-0.1</v>
      </c>
      <c r="K13" s="196">
        <f>'★【内閣府】中長期試算　成長実現ケース'!K13</f>
        <v>-0.1</v>
      </c>
      <c r="L13" s="196">
        <f>'★【内閣府】中長期試算　成長実現ケース'!L13</f>
        <v>0.2</v>
      </c>
      <c r="M13" s="196">
        <f>'★【内閣府】中長期試算　成長実現ケース'!M13</f>
        <v>0.5</v>
      </c>
      <c r="N13" s="196">
        <f>'★【内閣府】中長期試算　成長実現ケース'!N13</f>
        <v>0.7</v>
      </c>
      <c r="O13" s="196">
        <f>'★【内閣府】中長期試算　成長実現ケース'!O13</f>
        <v>0.9</v>
      </c>
      <c r="P13" s="196">
        <f>'★【内閣府】中長期試算　成長実現ケース'!P13</f>
        <v>0.9</v>
      </c>
      <c r="Q13" s="196">
        <f>'★【内閣府】中長期試算　成長実現ケース'!Q13</f>
        <v>0.9</v>
      </c>
      <c r="R13" s="196">
        <f>'★【内閣府】中長期試算　成長実現ケース'!R13</f>
        <v>0.9</v>
      </c>
      <c r="S13" s="196">
        <f>'★【内閣府】中長期試算　成長実現ケース'!S13</f>
        <v>0.8</v>
      </c>
      <c r="T13" s="196">
        <f>'★【内閣府】中長期試算　成長実現ケース'!T13</f>
        <v>0.7</v>
      </c>
      <c r="U13" s="196">
        <f>'★【内閣府】中長期試算　成長実現ケース'!U13</f>
        <v>0.7</v>
      </c>
      <c r="V13" s="196">
        <f>'★【内閣府】中長期試算　成長実現ケース'!V13</f>
        <v>0.5</v>
      </c>
      <c r="W13" s="196">
        <f>'★【内閣府】中長期試算　成長実現ケース'!W13</f>
        <v>0.6</v>
      </c>
      <c r="X13" s="196">
        <f>'★【内閣府】中長期試算　成長実現ケース'!X13</f>
        <v>1</v>
      </c>
      <c r="Y13" s="208">
        <v>1</v>
      </c>
      <c r="Z13" s="208">
        <v>1</v>
      </c>
      <c r="AA13" s="208">
        <v>0.9</v>
      </c>
      <c r="AB13" s="208">
        <v>0.9</v>
      </c>
      <c r="AC13" s="208">
        <v>0.9</v>
      </c>
      <c r="AD13" s="208">
        <v>0.9</v>
      </c>
      <c r="AE13" s="208">
        <v>0.8</v>
      </c>
      <c r="AF13" s="208">
        <v>0.8</v>
      </c>
      <c r="AG13" s="228">
        <v>0.8</v>
      </c>
      <c r="AH13" s="222">
        <f>AG13</f>
        <v>0.8</v>
      </c>
      <c r="AI13" s="118">
        <f t="shared" ref="AI13:AK13" si="37">AH13</f>
        <v>0.8</v>
      </c>
      <c r="AJ13" s="118">
        <f t="shared" si="37"/>
        <v>0.8</v>
      </c>
      <c r="AK13" s="118">
        <f t="shared" si="37"/>
        <v>0.8</v>
      </c>
      <c r="AL13" s="118">
        <f t="shared" ref="AL13" si="38">AK13</f>
        <v>0.8</v>
      </c>
      <c r="AM13" s="118">
        <f t="shared" ref="AM13" si="39">AL13</f>
        <v>0.8</v>
      </c>
      <c r="AN13" s="118">
        <f t="shared" ref="AN13" si="40">AM13</f>
        <v>0.8</v>
      </c>
      <c r="AO13" s="118">
        <f t="shared" ref="AO13" si="41">AN13</f>
        <v>0.8</v>
      </c>
      <c r="AP13" s="118">
        <f t="shared" ref="AP13" si="42">AO13</f>
        <v>0.8</v>
      </c>
    </row>
    <row r="14" spans="1:42" s="108" customFormat="1" ht="15.9" customHeight="1">
      <c r="A14" s="246" t="s">
        <v>139</v>
      </c>
      <c r="B14" s="247"/>
      <c r="C14" s="248"/>
      <c r="D14" s="191">
        <f>'★【内閣府】中長期試算　成長実現ケース'!D14</f>
        <v>499.53347022587269</v>
      </c>
      <c r="E14" s="192">
        <f>'★【内閣府】中長期試算　成長実現ケース'!E14</f>
        <v>505.01547861507129</v>
      </c>
      <c r="F14" s="192">
        <f>'★【内閣府】中長期試算　成長実現ケース'!F14</f>
        <v>510.9067882472138</v>
      </c>
      <c r="G14" s="192">
        <f>'★【内閣府】中長期試算　成長実現ケース'!G14</f>
        <v>515.13760000000002</v>
      </c>
      <c r="H14" s="193">
        <f>'★【内閣府】中長期試算　成長実現ケース'!H14</f>
        <v>518.16047666335658</v>
      </c>
      <c r="I14" s="193">
        <f>'★【内閣府】中長期試算　成長実現ケース'!I14</f>
        <v>518.96653543307082</v>
      </c>
      <c r="J14" s="193">
        <f>'★【内閣府】中長期試算　成長実現ケース'!J14</f>
        <v>517.57830957230146</v>
      </c>
      <c r="K14" s="193">
        <f>'★【内閣府】中長期試算　成長実現ケース'!K14</f>
        <v>517.61743215031322</v>
      </c>
      <c r="L14" s="193">
        <f>'★【内閣府】中長期試算　成長実現ケース'!L14</f>
        <v>518.80820668693013</v>
      </c>
      <c r="M14" s="193">
        <f>'★【内閣府】中長期試算　成長実現ケース'!M14</f>
        <v>521.98772819472617</v>
      </c>
      <c r="N14" s="193">
        <f>'★【内閣府】中長期試算　成長実現ケース'!N14</f>
        <v>525.2766734279918</v>
      </c>
      <c r="O14" s="193">
        <f>'★【内閣府】中長期試算　成長実現ケース'!O14</f>
        <v>529.96055776892433</v>
      </c>
      <c r="P14" s="193">
        <f>'★【内閣府】中長期試算　成長実現ケース'!P14</f>
        <v>535.00665993945506</v>
      </c>
      <c r="Q14" s="193">
        <f>'★【内閣府】中長期試算　成長実現ケース'!Q14</f>
        <v>539.94924924924931</v>
      </c>
      <c r="R14" s="193">
        <f>'★【内閣府】中長期試算　成長実現ケース'!R14</f>
        <v>544.55160320641278</v>
      </c>
      <c r="S14" s="193">
        <f>'★【内閣府】中長期試算　成長実現ケース'!S14</f>
        <v>548.82420634920641</v>
      </c>
      <c r="T14" s="193">
        <f>'★【内閣府】中長期試算　成長実現ケース'!T14</f>
        <v>552.60149551345978</v>
      </c>
      <c r="U14" s="193">
        <f>'★【内閣府】中長期試算　成長実現ケース'!U14</f>
        <v>555.62885973763878</v>
      </c>
      <c r="V14" s="193">
        <f>'★【内閣府】中長期試算　成長実現ケース'!V14</f>
        <v>558.02367303609356</v>
      </c>
      <c r="W14" s="193">
        <f>'★【内閣府】中長期試算　成長実現ケース'!W14</f>
        <v>561.37181507431012</v>
      </c>
      <c r="X14" s="193">
        <f>'★【内閣府】中長期試算　成長実現ケース'!X14</f>
        <v>566.98553322505325</v>
      </c>
      <c r="Y14" s="193">
        <f>X14*(1+Y13/100)</f>
        <v>572.65538855730381</v>
      </c>
      <c r="Z14" s="193">
        <f t="shared" ref="Z14" si="43">Y14*(1+Z13/100)</f>
        <v>578.38194244287683</v>
      </c>
      <c r="AA14" s="193">
        <f t="shared" ref="AA14" si="44">Z14*(1+AA13/100)</f>
        <v>583.58737992486272</v>
      </c>
      <c r="AB14" s="193">
        <f t="shared" ref="AB14" si="45">AA14*(1+AB13/100)</f>
        <v>588.83966634418641</v>
      </c>
      <c r="AC14" s="193">
        <f t="shared" ref="AC14" si="46">AB14*(1+AC13/100)</f>
        <v>594.13922334128404</v>
      </c>
      <c r="AD14" s="193">
        <f t="shared" ref="AD14" si="47">AC14*(1+AD13/100)</f>
        <v>599.48647635135558</v>
      </c>
      <c r="AE14" s="193">
        <f t="shared" ref="AE14" si="48">AD14*(1+AE13/100)</f>
        <v>604.28236816216645</v>
      </c>
      <c r="AF14" s="193">
        <f t="shared" ref="AF14" si="49">AE14*(1+AF13/100)</f>
        <v>609.11662710746384</v>
      </c>
      <c r="AG14" s="227">
        <f>AF14*(1+AG13/100)</f>
        <v>613.98956012432359</v>
      </c>
      <c r="AH14" s="220">
        <f t="shared" ref="AH14" si="50">AG14*(1+AH13/100)</f>
        <v>618.90147660531818</v>
      </c>
      <c r="AI14" s="193">
        <f t="shared" ref="AI14" si="51">AH14*(1+AI13/100)</f>
        <v>623.85268841816071</v>
      </c>
      <c r="AJ14" s="193">
        <f t="shared" ref="AJ14" si="52">AI14*(1+AJ13/100)</f>
        <v>628.84350992550605</v>
      </c>
      <c r="AK14" s="193">
        <f t="shared" ref="AK14" si="53">AJ14*(1+AK13/100)</f>
        <v>633.87425800491008</v>
      </c>
      <c r="AL14" s="193">
        <f t="shared" ref="AL14" si="54">AK14*(1+AL13/100)</f>
        <v>638.94525206894934</v>
      </c>
      <c r="AM14" s="193">
        <f t="shared" ref="AM14" si="55">AL14*(1+AM13/100)</f>
        <v>644.05681408550095</v>
      </c>
      <c r="AN14" s="193">
        <f t="shared" ref="AN14" si="56">AM14*(1+AN13/100)</f>
        <v>649.20926859818496</v>
      </c>
      <c r="AO14" s="193">
        <f t="shared" ref="AO14" si="57">AN14*(1+AO13/100)</f>
        <v>654.40294274697044</v>
      </c>
      <c r="AP14" s="193">
        <f t="shared" ref="AP14" si="58">AO14*(1+AP13/100)</f>
        <v>659.63816628894619</v>
      </c>
    </row>
    <row r="15" spans="1:42" s="108" customFormat="1" ht="15.9" customHeight="1">
      <c r="A15" s="246" t="s">
        <v>140</v>
      </c>
      <c r="B15" s="247"/>
      <c r="C15" s="248"/>
      <c r="D15" s="199">
        <f>'★【内閣府】中長期試算　成長実現ケース'!D15</f>
        <v>537.43942505133475</v>
      </c>
      <c r="E15" s="192">
        <f>'★【内閣府】中長期試算　成長実現ケース'!E15</f>
        <v>535.86822810590627</v>
      </c>
      <c r="F15" s="192">
        <f>'★【内閣府】中長期試算　成長実現ケース'!F15</f>
        <v>536.60952380952381</v>
      </c>
      <c r="G15" s="192">
        <f>'★【内閣府】中長期試算　成長実現ケース'!G15</f>
        <v>534.10969999999998</v>
      </c>
      <c r="H15" s="193">
        <f>'★【内閣府】中長期試算　成長実現ケース'!H15</f>
        <v>533.52631578947376</v>
      </c>
      <c r="I15" s="193">
        <f>'★【内閣府】中長期試算　成長実現ケース'!I15</f>
        <v>530.00393700787401</v>
      </c>
      <c r="J15" s="193">
        <f>'★【内閣府】中長期試算　成長実現ケース'!J15</f>
        <v>525.63543788187371</v>
      </c>
      <c r="K15" s="193">
        <f>'★【内閣府】中長期試算　成長実現ケース'!K15</f>
        <v>519.17202505219211</v>
      </c>
      <c r="L15" s="193">
        <f>'★【内閣府】中長期試算　成長実現ケース'!L15</f>
        <v>511.52188449848023</v>
      </c>
      <c r="M15" s="193">
        <f>'★【内閣府】中長期試算　成長実現ケース'!M15</f>
        <v>507.14046653144015</v>
      </c>
      <c r="N15" s="193">
        <f>'★【内閣府】中長期試算　成長実現ケース'!N15</f>
        <v>506.51511156186615</v>
      </c>
      <c r="O15" s="193">
        <f>'★【内閣府】中長期試算　成長実現ケース'!O15</f>
        <v>510.64302788844623</v>
      </c>
      <c r="P15" s="193">
        <f>'★【内閣府】中長期試算　成長実現ケース'!P15</f>
        <v>528.17184661957629</v>
      </c>
      <c r="Q15" s="193">
        <f>'★【内閣府】中長期試算　成長実現ケース'!Q15</f>
        <v>541.28068068068069</v>
      </c>
      <c r="R15" s="193">
        <f>'★【内閣府】中長期試算　成長実現ケース'!R15</f>
        <v>545.91903807615222</v>
      </c>
      <c r="S15" s="193">
        <f>'★【内閣府】中長期試算　成長実現ケース'!S15</f>
        <v>551.31140873015875</v>
      </c>
      <c r="T15" s="193">
        <f>'★【内閣府】中長期試算　成長実現ケース'!T15</f>
        <v>554.63978065802587</v>
      </c>
      <c r="U15" s="193">
        <f>'★【内閣府】中長期試算　成長実現ケース'!U15</f>
        <v>562.36781029263375</v>
      </c>
      <c r="V15" s="193">
        <f>'★【内閣府】中長期試算　成長実現ケース'!V15</f>
        <v>568.48184713375804</v>
      </c>
      <c r="W15" s="193">
        <f>'★【内閣府】中長期試算　成長実現ケース'!W15</f>
        <v>567.17427562773412</v>
      </c>
      <c r="X15" s="193">
        <f>'★【内閣府】中長期試算　成長実現ケース'!X15</f>
        <v>575.15151414528259</v>
      </c>
      <c r="Y15" s="193">
        <f t="shared" ref="Y15:AP15" si="59">Y9/(1+Y12/100)</f>
        <v>582.38611300177763</v>
      </c>
      <c r="Z15" s="193">
        <f t="shared" si="59"/>
        <v>588.61809072830863</v>
      </c>
      <c r="AA15" s="193">
        <f t="shared" si="59"/>
        <v>594.56030207820788</v>
      </c>
      <c r="AB15" s="193">
        <f t="shared" si="59"/>
        <v>601.26268768135162</v>
      </c>
      <c r="AC15" s="193">
        <f t="shared" si="59"/>
        <v>608.05435923655637</v>
      </c>
      <c r="AD15" s="193">
        <f t="shared" si="59"/>
        <v>614.64627574601968</v>
      </c>
      <c r="AE15" s="193">
        <f t="shared" si="59"/>
        <v>621.23819225548323</v>
      </c>
      <c r="AF15" s="193">
        <f t="shared" si="59"/>
        <v>627.53047619633446</v>
      </c>
      <c r="AG15" s="227">
        <f t="shared" si="59"/>
        <v>633.82276013718592</v>
      </c>
      <c r="AH15" s="220">
        <f>AH9/(1+AH12/100)</f>
        <v>640.16098773855776</v>
      </c>
      <c r="AI15" s="193">
        <f t="shared" si="59"/>
        <v>646.56259761594322</v>
      </c>
      <c r="AJ15" s="193">
        <f t="shared" si="59"/>
        <v>653.02822359210268</v>
      </c>
      <c r="AK15" s="193">
        <f t="shared" si="59"/>
        <v>659.55850582802373</v>
      </c>
      <c r="AL15" s="193">
        <f t="shared" si="59"/>
        <v>666.15409088630395</v>
      </c>
      <c r="AM15" s="193">
        <f t="shared" si="59"/>
        <v>672.81563179516718</v>
      </c>
      <c r="AN15" s="193">
        <f t="shared" si="59"/>
        <v>679.54378811311881</v>
      </c>
      <c r="AO15" s="193">
        <f t="shared" si="59"/>
        <v>686.33922599424989</v>
      </c>
      <c r="AP15" s="193">
        <f t="shared" si="59"/>
        <v>693.20261825419243</v>
      </c>
    </row>
    <row r="16" spans="1:42" ht="15.9" customHeight="1">
      <c r="A16" s="116" t="s">
        <v>141</v>
      </c>
      <c r="B16" s="114"/>
      <c r="C16" s="115"/>
      <c r="D16" s="111"/>
      <c r="E16" s="111"/>
      <c r="F16" s="111"/>
      <c r="G16" s="111"/>
      <c r="H16" s="111"/>
      <c r="I16" s="111"/>
      <c r="J16" s="111"/>
      <c r="K16" s="111"/>
      <c r="L16" s="111"/>
      <c r="M16" s="111"/>
      <c r="N16" s="111"/>
      <c r="O16" s="111"/>
      <c r="P16" s="111"/>
      <c r="Q16" s="111"/>
      <c r="R16" s="111"/>
      <c r="S16" s="111"/>
      <c r="T16" s="111"/>
      <c r="U16" s="111"/>
      <c r="V16" s="111"/>
      <c r="W16" s="111"/>
      <c r="X16" s="111"/>
      <c r="Y16" s="111"/>
      <c r="Z16" s="112"/>
      <c r="AA16" s="111"/>
      <c r="AB16" s="111"/>
      <c r="AC16" s="111"/>
      <c r="AD16" s="111"/>
      <c r="AE16" s="111"/>
      <c r="AF16" s="111"/>
      <c r="AG16" s="142"/>
    </row>
    <row r="17" spans="1:33" ht="15.9" customHeight="1">
      <c r="A17" s="119"/>
      <c r="B17" s="114" t="s">
        <v>142</v>
      </c>
      <c r="C17" s="115"/>
      <c r="D17" s="194">
        <f>'★【内閣府】中長期試算　成長実現ケース'!D17</f>
        <v>-0.6</v>
      </c>
      <c r="E17" s="195">
        <f>'★【内閣府】中長期試算　成長実現ケース'!E17</f>
        <v>-0.2</v>
      </c>
      <c r="F17" s="195">
        <f>'★【内閣府】中長期試算　成長実現ケース'!F17</f>
        <v>-0.1</v>
      </c>
      <c r="G17" s="195">
        <f>'★【内閣府】中長期試算　成長実現ケース'!G17</f>
        <v>-0.1</v>
      </c>
      <c r="H17" s="196">
        <f>'★【内閣府】中長期試算　成長実現ケース'!H17</f>
        <v>0.2</v>
      </c>
      <c r="I17" s="196">
        <f>'★【内閣府】中長期試算　成長実現ケース'!I17</f>
        <v>0.4</v>
      </c>
      <c r="J17" s="196">
        <f>'★【内閣府】中長期試算　成長実現ケース'!J17</f>
        <v>1.1000000000000001</v>
      </c>
      <c r="K17" s="196">
        <f>'★【内閣府】中長期試算　成長実現ケース'!K17</f>
        <v>-1.7</v>
      </c>
      <c r="L17" s="196">
        <f>'★【内閣府】中長期試算　成長実現ケース'!L17</f>
        <v>-0.4</v>
      </c>
      <c r="M17" s="196">
        <f>'★【内閣府】中長期試算　成長実現ケース'!M17</f>
        <v>-0.1</v>
      </c>
      <c r="N17" s="196">
        <f>'★【内閣府】中長期試算　成長実現ケース'!N17</f>
        <v>-0.3</v>
      </c>
      <c r="O17" s="196">
        <f>'★【内閣府】中長期試算　成長実現ケース'!O17</f>
        <v>0.9</v>
      </c>
      <c r="P17" s="196">
        <f>'★【内閣府】中長期試算　成長実現ケース'!P17</f>
        <v>2.9</v>
      </c>
      <c r="Q17" s="196">
        <f>'★【内閣府】中長期試算　成長実現ケース'!Q17</f>
        <v>0.2</v>
      </c>
      <c r="R17" s="196">
        <f>'★【内閣府】中長期試算　成長実現ケース'!R17</f>
        <v>-0.1</v>
      </c>
      <c r="S17" s="196">
        <f>'★【内閣府】中長期試算　成長実現ケース'!S17</f>
        <v>0.7</v>
      </c>
      <c r="T17" s="196">
        <f>'★【内閣府】中長期試算　成長実現ケース'!T17</f>
        <v>0.7</v>
      </c>
      <c r="U17" s="196">
        <f>'★【内閣府】中長期試算　成長実現ケース'!U17</f>
        <v>0.5</v>
      </c>
      <c r="V17" s="196">
        <f>'★【内閣府】中長期試算　成長実現ケース'!V17</f>
        <v>-0.2</v>
      </c>
      <c r="W17" s="196">
        <f>'★【内閣府】中長期試算　成長実現ケース'!W17</f>
        <v>-0.1</v>
      </c>
      <c r="X17" s="196">
        <f>'★【内閣府】中長期試算　成長実現ケース'!X17</f>
        <v>0.9</v>
      </c>
      <c r="Y17" s="208">
        <v>0.6</v>
      </c>
      <c r="Z17" s="209">
        <v>0.6</v>
      </c>
      <c r="AA17" s="208">
        <v>0.7</v>
      </c>
      <c r="AB17" s="208">
        <v>0.7</v>
      </c>
      <c r="AC17" s="208">
        <v>0.7</v>
      </c>
      <c r="AD17" s="208">
        <v>0.7</v>
      </c>
      <c r="AE17" s="208">
        <v>0.7</v>
      </c>
      <c r="AF17" s="208">
        <v>0.7</v>
      </c>
      <c r="AG17" s="234">
        <v>0.7</v>
      </c>
    </row>
    <row r="18" spans="1:33" ht="15.9" customHeight="1">
      <c r="A18" s="119"/>
      <c r="B18" s="114" t="s">
        <v>143</v>
      </c>
      <c r="C18" s="115"/>
      <c r="D18" s="194">
        <f>'★【内閣府】中長期試算　成長実現ケース'!D18</f>
        <v>-1.6</v>
      </c>
      <c r="E18" s="195">
        <f>'★【内閣府】中長期試算　成長実現ケース'!E18</f>
        <v>-0.5</v>
      </c>
      <c r="F18" s="195">
        <f>'★【内閣府】中長期試算　成長実現ケース'!F18</f>
        <v>1.5</v>
      </c>
      <c r="G18" s="195">
        <f>'★【内閣府】中長期試算　成長実現ケース'!G18</f>
        <v>2.1</v>
      </c>
      <c r="H18" s="196">
        <f>'★【内閣府】中長期試算　成長実現ケース'!H18</f>
        <v>2</v>
      </c>
      <c r="I18" s="196">
        <f>'★【内閣府】中長期試算　成長実現ケース'!I18</f>
        <v>2.2999999999999998</v>
      </c>
      <c r="J18" s="196">
        <f>'★【内閣府】中長期試算　成長実現ケース'!J18</f>
        <v>3.1</v>
      </c>
      <c r="K18" s="196">
        <f>'★【内閣府】中長期試算　成長実現ケース'!K18</f>
        <v>-5.2</v>
      </c>
      <c r="L18" s="196">
        <f>'★【内閣府】中長期試算　成長実現ケース'!L18</f>
        <v>0.7</v>
      </c>
      <c r="M18" s="196">
        <f>'★【内閣府】中長期試算　成長実現ケース'!M18</f>
        <v>1.4</v>
      </c>
      <c r="N18" s="196">
        <f>'★【内閣府】中長期試算　成長実現ケース'!N18</f>
        <v>-1.1000000000000001</v>
      </c>
      <c r="O18" s="196">
        <f>'★【内閣府】中長期試算　成長実現ケース'!O18</f>
        <v>1.9</v>
      </c>
      <c r="P18" s="196">
        <f>'★【内閣府】中長期試算　成長実現ケース'!P18</f>
        <v>2.7</v>
      </c>
      <c r="Q18" s="196">
        <f>'★【内閣府】中長期試算　成長実現ケース'!Q18</f>
        <v>-3.2</v>
      </c>
      <c r="R18" s="196">
        <f>'★【内閣府】中長期試算　成長実現ケース'!R18</f>
        <v>-2.4</v>
      </c>
      <c r="S18" s="196">
        <f>'★【内閣府】中長期試算　成長実現ケース'!S18</f>
        <v>2.7</v>
      </c>
      <c r="T18" s="196">
        <f>'★【内閣府】中長期試算　成長実現ケース'!T18</f>
        <v>2.2000000000000002</v>
      </c>
      <c r="U18" s="196">
        <f>'★【内閣府】中長期試算　成長実現ケース'!U18</f>
        <v>0.1</v>
      </c>
      <c r="V18" s="196">
        <f>'★【内閣府】中長期試算　成長実現ケース'!V18</f>
        <v>-1.4</v>
      </c>
      <c r="W18" s="196">
        <f>'★【内閣府】中長期試算　成長実現ケース'!W18</f>
        <v>6.5</v>
      </c>
      <c r="X18" s="196">
        <f>'★【内閣府】中長期試算　成長実現ケース'!X18</f>
        <v>2</v>
      </c>
      <c r="Y18" s="208">
        <v>0.2</v>
      </c>
      <c r="Z18" s="209">
        <v>0.2</v>
      </c>
      <c r="AA18" s="208">
        <v>0.3</v>
      </c>
      <c r="AB18" s="208">
        <v>0.2</v>
      </c>
      <c r="AC18" s="208">
        <v>0.2</v>
      </c>
      <c r="AD18" s="208">
        <v>0.2</v>
      </c>
      <c r="AE18" s="208">
        <v>0.2</v>
      </c>
      <c r="AF18" s="208">
        <v>0.2</v>
      </c>
      <c r="AG18" s="228">
        <v>0.2</v>
      </c>
    </row>
    <row r="19" spans="1:33" ht="15.9" customHeight="1">
      <c r="A19" s="105"/>
      <c r="B19" s="114" t="s">
        <v>144</v>
      </c>
      <c r="C19" s="115"/>
      <c r="D19" s="194">
        <f>'★【内閣府】中長期試算　成長実現ケース'!D19</f>
        <v>-1.7</v>
      </c>
      <c r="E19" s="195">
        <f>'★【内閣府】中長期試算　成長実現ケース'!E19</f>
        <v>-1.4</v>
      </c>
      <c r="F19" s="195">
        <f>'★【内閣府】中長期試算　成長実現ケース'!F19</f>
        <v>-1</v>
      </c>
      <c r="G19" s="195">
        <f>'★【内閣府】中長期試算　成長実現ケース'!G19</f>
        <v>-1.3</v>
      </c>
      <c r="H19" s="196">
        <f>'★【内閣府】中長期試算　成長実現ケース'!H19</f>
        <v>-0.7</v>
      </c>
      <c r="I19" s="196">
        <f>'★【内閣府】中長期試算　成長実現ケース'!I19</f>
        <v>-0.8</v>
      </c>
      <c r="J19" s="196">
        <f>'★【内閣府】中長期試算　成長実現ケース'!J19</f>
        <v>-0.6</v>
      </c>
      <c r="K19" s="196">
        <f>'★【内閣府】中長期試算　成長実現ケース'!K19</f>
        <v>-1.2</v>
      </c>
      <c r="L19" s="196">
        <f>'★【内閣府】中長期試算　成長実現ケース'!L19</f>
        <v>-1.7</v>
      </c>
      <c r="M19" s="196">
        <f>'★【内閣府】中長期試算　成長実現ケース'!M19</f>
        <v>-1.5</v>
      </c>
      <c r="N19" s="196">
        <f>'★【内閣府】中長期試算　成長実現ケース'!N19</f>
        <v>-0.7</v>
      </c>
      <c r="O19" s="196">
        <f>'★【内閣府】中長期試算　成長実現ケース'!O19</f>
        <v>-0.1</v>
      </c>
      <c r="P19" s="196">
        <f>'★【内閣府】中長期試算　成長実現ケース'!P19</f>
        <v>2.5</v>
      </c>
      <c r="Q19" s="196">
        <f>'★【内閣府】中長期試算　成長実現ケース'!Q19</f>
        <v>1.5</v>
      </c>
      <c r="R19" s="196">
        <f>'★【内閣府】中長期試算　成長実現ケース'!R19</f>
        <v>0</v>
      </c>
      <c r="S19" s="196">
        <f>'★【内閣府】中長期試算　成長実現ケース'!S19</f>
        <v>0.2</v>
      </c>
      <c r="T19" s="196">
        <f>'★【内閣府】中長期試算　成長実現ケース'!T19</f>
        <v>-0.1</v>
      </c>
      <c r="U19" s="196">
        <f>'★【内閣府】中長期試算　成長実現ケース'!U19</f>
        <v>0.9</v>
      </c>
      <c r="V19" s="196">
        <f>'★【内閣府】中長期試算　成長実現ケース'!V19</f>
        <v>0.7</v>
      </c>
      <c r="W19" s="196">
        <f>'★【内閣府】中長期試算　成長実現ケース'!W19</f>
        <v>-0.8</v>
      </c>
      <c r="X19" s="196">
        <f>'★【内閣府】中長期試算　成長実現ケース'!X19</f>
        <v>0.4</v>
      </c>
      <c r="Y19" s="208">
        <v>0.2</v>
      </c>
      <c r="Z19" s="209">
        <v>0.1</v>
      </c>
      <c r="AA19" s="208">
        <v>0.1</v>
      </c>
      <c r="AB19" s="208">
        <v>0.2</v>
      </c>
      <c r="AC19" s="208">
        <v>0.2</v>
      </c>
      <c r="AD19" s="208">
        <v>0.2</v>
      </c>
      <c r="AE19" s="208">
        <v>0.2</v>
      </c>
      <c r="AF19" s="208">
        <v>0.2</v>
      </c>
      <c r="AG19" s="228">
        <v>0.2</v>
      </c>
    </row>
    <row r="20" spans="1:33" ht="15.9" customHeight="1">
      <c r="A20" s="113" t="s">
        <v>145</v>
      </c>
      <c r="B20" s="114"/>
      <c r="C20" s="115"/>
      <c r="D20" s="194">
        <f>'★【内閣府】中長期試算　成長実現ケース'!D20</f>
        <v>5.4</v>
      </c>
      <c r="E20" s="195">
        <f>'★【内閣府】中長期試算　成長実現ケース'!E20</f>
        <v>5.0999999999999996</v>
      </c>
      <c r="F20" s="195">
        <f>'★【内閣府】中長期試算　成長実現ケース'!F20</f>
        <v>4.5999999999999996</v>
      </c>
      <c r="G20" s="195">
        <f>'★【内閣府】中長期試算　成長実現ケース'!G20</f>
        <v>4.3</v>
      </c>
      <c r="H20" s="196">
        <f>'★【内閣府】中長期試算　成長実現ケース'!H20</f>
        <v>4.0999999999999996</v>
      </c>
      <c r="I20" s="196">
        <f>'★【内閣府】中長期試算　成長実現ケース'!I20</f>
        <v>3.8</v>
      </c>
      <c r="J20" s="196">
        <f>'★【内閣府】中長期試算　成長実現ケース'!J20</f>
        <v>4.0999999999999996</v>
      </c>
      <c r="K20" s="196">
        <f>'★【内閣府】中長期試算　成長実現ケース'!K20</f>
        <v>5.2</v>
      </c>
      <c r="L20" s="196">
        <f>'★【内閣府】中長期試算　成長実現ケース'!L20</f>
        <v>5</v>
      </c>
      <c r="M20" s="196">
        <f>'★【内閣府】中長期試算　成長実現ケース'!M20</f>
        <v>4.5</v>
      </c>
      <c r="N20" s="196">
        <f>'★【内閣府】中長期試算　成長実現ケース'!N20</f>
        <v>4.3</v>
      </c>
      <c r="O20" s="196">
        <f>'★【内閣府】中長期試算　成長実現ケース'!O20</f>
        <v>3.9</v>
      </c>
      <c r="P20" s="196">
        <f>'★【内閣府】中長期試算　成長実現ケース'!P20</f>
        <v>3.6</v>
      </c>
      <c r="Q20" s="196">
        <f>'★【内閣府】中長期試算　成長実現ケース'!Q20</f>
        <v>3.3</v>
      </c>
      <c r="R20" s="196">
        <f>'★【内閣府】中長期試算　成長実現ケース'!R20</f>
        <v>3</v>
      </c>
      <c r="S20" s="196">
        <f>'★【内閣府】中長期試算　成長実現ケース'!S20</f>
        <v>2.7</v>
      </c>
      <c r="T20" s="196">
        <f>'★【内閣府】中長期試算　成長実現ケース'!T20</f>
        <v>2.4</v>
      </c>
      <c r="U20" s="196">
        <f>'★【内閣府】中長期試算　成長実現ケース'!U20</f>
        <v>2.2999999999999998</v>
      </c>
      <c r="V20" s="196">
        <f>'★【内閣府】中長期試算　成長実現ケース'!V20</f>
        <v>2.9</v>
      </c>
      <c r="W20" s="196">
        <f>'★【内閣府】中長期試算　成長実現ケース'!W20</f>
        <v>2.8</v>
      </c>
      <c r="X20" s="196">
        <f>'★【内閣府】中長期試算　成長実現ケース'!X20</f>
        <v>2.4</v>
      </c>
      <c r="Y20" s="208">
        <v>2.5</v>
      </c>
      <c r="Z20" s="209">
        <v>2.5</v>
      </c>
      <c r="AA20" s="208">
        <v>2.5</v>
      </c>
      <c r="AB20" s="208">
        <v>2.6</v>
      </c>
      <c r="AC20" s="208">
        <v>2.6</v>
      </c>
      <c r="AD20" s="208">
        <v>2.7</v>
      </c>
      <c r="AE20" s="208">
        <v>2.7</v>
      </c>
      <c r="AF20" s="208">
        <v>2.7</v>
      </c>
      <c r="AG20" s="228">
        <v>2.8</v>
      </c>
    </row>
    <row r="21" spans="1:33" ht="15.9" customHeight="1">
      <c r="A21" s="113" t="s">
        <v>21</v>
      </c>
      <c r="B21" s="114"/>
      <c r="C21" s="115"/>
      <c r="D21" s="194">
        <f>'★【内閣府】中長期試算　成長実現ケース'!D21</f>
        <v>1.1000000000000001</v>
      </c>
      <c r="E21" s="195">
        <f>'★【内閣府】中長期試算　成長実現ケース'!E21</f>
        <v>1.1000000000000001</v>
      </c>
      <c r="F21" s="195">
        <f>'★【内閣府】中長期試算　成長実現ケース'!F21</f>
        <v>1.5</v>
      </c>
      <c r="G21" s="195">
        <f>'★【内閣府】中長期試算　成長実現ケース'!G21</f>
        <v>1.4</v>
      </c>
      <c r="H21" s="196">
        <f>'★【内閣府】中長期試算　成長実現ケース'!H21</f>
        <v>1.7</v>
      </c>
      <c r="I21" s="196">
        <f>'★【内閣府】中長期試算　成長実現ケース'!I21</f>
        <v>1.6</v>
      </c>
      <c r="J21" s="196">
        <f>'★【内閣府】中長期試算　成長実現ケース'!J21</f>
        <v>1.4</v>
      </c>
      <c r="K21" s="196">
        <f>'★【内閣府】中長期試算　成長実現ケース'!K21</f>
        <v>1.3</v>
      </c>
      <c r="L21" s="196">
        <f>'★【内閣府】中長期試算　成長実現ケース'!L21</f>
        <v>1.1000000000000001</v>
      </c>
      <c r="M21" s="196">
        <f>'★【内閣府】中長期試算　成長実現ケース'!M21</f>
        <v>1</v>
      </c>
      <c r="N21" s="196">
        <f>'★【内閣府】中長期試算　成長実現ケース'!N21</f>
        <v>0.8</v>
      </c>
      <c r="O21" s="196">
        <f>'★【内閣府】中長期試算　成長実現ケース'!O21</f>
        <v>0.7</v>
      </c>
      <c r="P21" s="196">
        <f>'★【内閣府】中長期試算　成長実現ケース'!P21</f>
        <v>0.4</v>
      </c>
      <c r="Q21" s="196">
        <f>'★【内閣府】中長期試算　成長実現ケース'!Q21</f>
        <v>0.3</v>
      </c>
      <c r="R21" s="196">
        <f>'★【内閣府】中長期試算　成長実現ケース'!R21</f>
        <v>-0.1</v>
      </c>
      <c r="S21" s="196">
        <f>'★【内閣府】中長期試算　成長実現ケース'!S21</f>
        <v>0</v>
      </c>
      <c r="T21" s="196">
        <f>'★【内閣府】中長期試算　成長実現ケース'!T21</f>
        <v>0</v>
      </c>
      <c r="U21" s="196">
        <f>'★【内閣府】中長期試算　成長実現ケース'!U21</f>
        <v>-0.1</v>
      </c>
      <c r="V21" s="196">
        <f>'★【内閣府】中長期試算　成長実現ケース'!V21</f>
        <v>0</v>
      </c>
      <c r="W21" s="196">
        <f>'★【内閣府】中長期試算　成長実現ケース'!W21</f>
        <v>0</v>
      </c>
      <c r="X21" s="196">
        <f>'★【内閣府】中長期試算　成長実現ケース'!X21</f>
        <v>0</v>
      </c>
      <c r="Y21" s="208">
        <v>0</v>
      </c>
      <c r="Z21" s="209">
        <v>0</v>
      </c>
      <c r="AA21" s="208">
        <v>0</v>
      </c>
      <c r="AB21" s="208">
        <v>0.2</v>
      </c>
      <c r="AC21" s="208">
        <v>0.6</v>
      </c>
      <c r="AD21" s="208">
        <v>1</v>
      </c>
      <c r="AE21" s="208">
        <v>1.3</v>
      </c>
      <c r="AF21" s="208">
        <v>1.4</v>
      </c>
      <c r="AG21" s="228">
        <v>1.4</v>
      </c>
    </row>
    <row r="22" spans="1:33" ht="15.9" customHeight="1">
      <c r="A22" s="116" t="s">
        <v>146</v>
      </c>
      <c r="B22" s="114"/>
      <c r="C22" s="115"/>
      <c r="D22" s="111"/>
      <c r="E22" s="111"/>
      <c r="F22" s="111"/>
      <c r="G22" s="111"/>
      <c r="H22" s="111"/>
      <c r="I22" s="111"/>
      <c r="J22" s="111"/>
      <c r="K22" s="111"/>
      <c r="L22" s="111"/>
      <c r="M22" s="111"/>
      <c r="N22" s="111"/>
      <c r="O22" s="111"/>
      <c r="P22" s="111"/>
      <c r="Q22" s="111"/>
      <c r="R22" s="111"/>
      <c r="S22" s="111"/>
      <c r="T22" s="111"/>
      <c r="U22" s="111"/>
      <c r="V22" s="111"/>
      <c r="W22" s="111"/>
      <c r="X22" s="111"/>
      <c r="Y22" s="111"/>
      <c r="Z22" s="112"/>
      <c r="AA22" s="111"/>
      <c r="AB22" s="111"/>
      <c r="AC22" s="111"/>
      <c r="AD22" s="111"/>
      <c r="AE22" s="111"/>
      <c r="AF22" s="111"/>
      <c r="AG22" s="142"/>
    </row>
    <row r="23" spans="1:33" ht="15.9" customHeight="1">
      <c r="A23" s="119"/>
      <c r="B23" s="114" t="s">
        <v>147</v>
      </c>
      <c r="C23" s="115"/>
      <c r="D23" s="200">
        <f>'★【内閣府】中長期試算　成長実現ケース'!D23</f>
        <v>-7.8</v>
      </c>
      <c r="E23" s="200">
        <f>'★【内閣府】中長期試算　成長実現ケース'!E23</f>
        <v>-7</v>
      </c>
      <c r="F23" s="200">
        <f>'★【内閣府】中長期試算　成長実現ケース'!F23</f>
        <v>-5.0999999999999996</v>
      </c>
      <c r="G23" s="200">
        <f>'★【内閣府】中長期試算　成長実現ケース'!G23</f>
        <v>-4</v>
      </c>
      <c r="H23" s="200">
        <f>'★【内閣府】中長期試算　成長実現ケース'!H23</f>
        <v>-3.1</v>
      </c>
      <c r="I23" s="200">
        <f>'★【内閣府】中長期試算　成長実現ケース'!I23</f>
        <v>-2.9</v>
      </c>
      <c r="J23" s="200">
        <f>'★【内閣府】中長期試算　成長実現ケース'!J23</f>
        <v>-4.8</v>
      </c>
      <c r="K23" s="200">
        <f>'★【内閣府】中長期試算　成長実現ケース'!K23</f>
        <v>-10.1</v>
      </c>
      <c r="L23" s="200">
        <f>'★【内閣府】中長期試算　成長実現ケース'!L23</f>
        <v>-8.8000000000000007</v>
      </c>
      <c r="M23" s="200">
        <f>'★【内閣府】中長期試算　成長実現ケース'!M23</f>
        <v>-8.9</v>
      </c>
      <c r="N23" s="200">
        <f>'★【内閣府】中長期試算　成長実現ケース'!N23</f>
        <v>-8.1</v>
      </c>
      <c r="O23" s="200">
        <f>'★【内閣府】中長期試算　成長実現ケース'!O23</f>
        <v>-7.3</v>
      </c>
      <c r="P23" s="200">
        <f>'★【内閣府】中長期試算　成長実現ケース'!P23</f>
        <v>-5.0999999999999996</v>
      </c>
      <c r="Q23" s="201">
        <f>'★【内閣府】中長期試算　成長実現ケース'!Q23</f>
        <v>-3.6</v>
      </c>
      <c r="R23" s="201">
        <f>'★【内閣府】中長期試算　成長実現ケース'!R23</f>
        <v>-3.5</v>
      </c>
      <c r="S23" s="201">
        <f>'★【内閣府】中長期試算　成長実現ケース'!S23</f>
        <v>-2.9</v>
      </c>
      <c r="T23" s="201">
        <f>'★【内閣府】中長期試算　成長実現ケース'!T23</f>
        <v>-2.4</v>
      </c>
      <c r="U23" s="201">
        <f>'★【内閣府】中長期試算　成長実現ケース'!U23</f>
        <v>-3.1</v>
      </c>
      <c r="V23" s="201">
        <f>'★【内閣府】中長期試算　成長実現ケース'!V23</f>
        <v>-10</v>
      </c>
      <c r="W23" s="201">
        <f>'★【内閣府】中長期試算　成長実現ケース'!W23</f>
        <v>-7.9</v>
      </c>
      <c r="X23" s="201">
        <f>'★【内閣府】中長期試算　成長実現ケース'!X23</f>
        <v>-6.5</v>
      </c>
      <c r="Y23" s="214">
        <v>-1.4</v>
      </c>
      <c r="Z23" s="215">
        <v>-0.8</v>
      </c>
      <c r="AA23" s="214">
        <v>-0.4</v>
      </c>
      <c r="AB23" s="214">
        <v>-0.3</v>
      </c>
      <c r="AC23" s="214">
        <v>-0.2</v>
      </c>
      <c r="AD23" s="214">
        <v>-0.2</v>
      </c>
      <c r="AE23" s="214">
        <v>-0.3</v>
      </c>
      <c r="AF23" s="214">
        <v>-0.4</v>
      </c>
      <c r="AG23" s="232">
        <v>-0.5</v>
      </c>
    </row>
    <row r="24" spans="1:33" ht="15.9" customHeight="1">
      <c r="A24" s="119"/>
      <c r="B24" s="114" t="s">
        <v>148</v>
      </c>
      <c r="C24" s="115"/>
      <c r="D24" s="202">
        <f>'★【内閣府】中長期試算　成長実現ケース'!D24</f>
        <v>10.199999999999999</v>
      </c>
      <c r="E24" s="200">
        <f>'★【内閣府】中長期試算　成長実現ケース'!E24</f>
        <v>10.3</v>
      </c>
      <c r="F24" s="200">
        <f>'★【内閣府】中長期試算　成長実現ケース'!F24</f>
        <v>8.6</v>
      </c>
      <c r="G24" s="200">
        <f>'★【内閣府】中長期試算　成長実現ケース'!G24</f>
        <v>7.5</v>
      </c>
      <c r="H24" s="200">
        <f>'★【内閣府】中長期試算　成長実現ケース'!H24</f>
        <v>4.8</v>
      </c>
      <c r="I24" s="200">
        <f>'★【内閣府】中長期試算　成長実現ケース'!I24</f>
        <v>7.4</v>
      </c>
      <c r="J24" s="200">
        <f>'★【内閣府】中長期試算　成長実現ケース'!J24</f>
        <v>5.2</v>
      </c>
      <c r="K24" s="200">
        <f>'★【内閣府】中長期試算　成長実現ケース'!K24</f>
        <v>11.9</v>
      </c>
      <c r="L24" s="200">
        <f>'★【内閣府】中長期試算　成長実現ケース'!L24</f>
        <v>11.4</v>
      </c>
      <c r="M24" s="200">
        <f>'★【内閣府】中長期試算　成長実現ケース'!M24</f>
        <v>10.1</v>
      </c>
      <c r="N24" s="200">
        <f>'★【内閣府】中長期試算　成長実現ケース'!N24</f>
        <v>8.9</v>
      </c>
      <c r="O24" s="200">
        <f>'★【内閣府】中長期試算　成長実現ケース'!O24</f>
        <v>7.6</v>
      </c>
      <c r="P24" s="200">
        <f>'★【内閣府】中長期試算　成長実現ケース'!P24</f>
        <v>6.7</v>
      </c>
      <c r="Q24" s="201">
        <f>'★【内閣府】中長期試算　成長実現ケース'!Q24</f>
        <v>6.8</v>
      </c>
      <c r="R24" s="201">
        <f>'★【内閣府】中長期試算　成長実現ケース'!R24</f>
        <v>7.4</v>
      </c>
      <c r="S24" s="201">
        <f>'★【内閣府】中長期試算　成長実現ケース'!S24</f>
        <v>6.9</v>
      </c>
      <c r="T24" s="201">
        <f>'★【内閣府】中長期試算　成長実現ケース'!T24</f>
        <v>5.9</v>
      </c>
      <c r="U24" s="201">
        <f>'★【内閣府】中長期試算　成長実現ケース'!U24</f>
        <v>6.6</v>
      </c>
      <c r="V24" s="201">
        <f>'★【内閣府】中長期試算　成長実現ケース'!V24</f>
        <v>13</v>
      </c>
      <c r="W24" s="201">
        <f>'★【内閣府】中長期試算　成長実現ケース'!W24</f>
        <v>10.4</v>
      </c>
      <c r="X24" s="201">
        <f>'★【内閣府】中長期試算　成長実現ケース'!X24</f>
        <v>9.3000000000000007</v>
      </c>
      <c r="Y24" s="214">
        <v>4.7</v>
      </c>
      <c r="Z24" s="215">
        <v>4.5</v>
      </c>
      <c r="AA24" s="214">
        <v>4.2</v>
      </c>
      <c r="AB24" s="214">
        <v>3.9</v>
      </c>
      <c r="AC24" s="214">
        <v>3.8</v>
      </c>
      <c r="AD24" s="214">
        <v>3.7</v>
      </c>
      <c r="AE24" s="214">
        <v>3.7</v>
      </c>
      <c r="AF24" s="214">
        <v>3.8</v>
      </c>
      <c r="AG24" s="232">
        <v>3.8</v>
      </c>
    </row>
    <row r="25" spans="1:33" ht="15.9" customHeight="1" thickBot="1">
      <c r="A25" s="120"/>
      <c r="B25" s="121" t="s">
        <v>149</v>
      </c>
      <c r="C25" s="122"/>
      <c r="D25" s="203">
        <f>'★【内閣府】中長期試算　成長実現ケース'!D25</f>
        <v>-2.4</v>
      </c>
      <c r="E25" s="204">
        <f>'★【内閣府】中長期試算　成長実現ケース'!E25</f>
        <v>-3.3</v>
      </c>
      <c r="F25" s="204">
        <f>'★【内閣府】中長期試算　成長実現ケース'!F25</f>
        <v>-3.6</v>
      </c>
      <c r="G25" s="204">
        <f>'★【内閣府】中長期試算　成長実現ケース'!G25</f>
        <v>-3.5</v>
      </c>
      <c r="H25" s="204">
        <f>'★【内閣府】中長期試算　成長実現ケース'!H25</f>
        <v>-4</v>
      </c>
      <c r="I25" s="204">
        <f>'★【内閣府】中長期試算　成長実現ケース'!I25</f>
        <v>-4.4000000000000004</v>
      </c>
      <c r="J25" s="204">
        <f>'★【内閣府】中長期試算　成長実現ケース'!J25</f>
        <v>-2</v>
      </c>
      <c r="K25" s="204">
        <f>'★【内閣府】中長期試算　成長実現ケース'!K25</f>
        <v>-3.3</v>
      </c>
      <c r="L25" s="204">
        <f>'★【内閣府】中長期試算　成長実現ケース'!L25</f>
        <v>-3.5</v>
      </c>
      <c r="M25" s="204">
        <f>'★【内閣府】中長期試算　成長実現ケース'!M25</f>
        <v>-1.7</v>
      </c>
      <c r="N25" s="204">
        <f>'★【内閣府】中長期試算　成長実現ケース'!N25</f>
        <v>-0.8</v>
      </c>
      <c r="O25" s="204">
        <f>'★【内閣府】中長期試算　成長実現ケース'!O25</f>
        <v>-0.4</v>
      </c>
      <c r="P25" s="204">
        <f>'★【内閣府】中長期試算　成長実現ケース'!P25</f>
        <v>-1.6</v>
      </c>
      <c r="Q25" s="205">
        <f>'★【内閣府】中長期試算　成長実現ケース'!Q25</f>
        <v>-3.3</v>
      </c>
      <c r="R25" s="205">
        <f>'★【内閣府】中長期試算　成長実現ケース'!R25</f>
        <v>-3.9</v>
      </c>
      <c r="S25" s="205">
        <f>'★【内閣府】中長期試算　成長実現ケース'!S25</f>
        <v>-4</v>
      </c>
      <c r="T25" s="205">
        <f>'★【内閣府】中長期試算　成長実現ケース'!T25</f>
        <v>-3.5</v>
      </c>
      <c r="U25" s="205">
        <f>'★【内閣府】中長期試算　成長実現ケース'!U25</f>
        <v>-3.5</v>
      </c>
      <c r="V25" s="205">
        <f>'★【内閣府】中長期試算　成長実現ケース'!V25</f>
        <v>-3</v>
      </c>
      <c r="W25" s="205">
        <f>'★【内閣府】中長期試算　成長実現ケース'!W25</f>
        <v>-2.5</v>
      </c>
      <c r="X25" s="205">
        <f>'★【内閣府】中長期試算　成長実現ケース'!X25</f>
        <v>-2.8</v>
      </c>
      <c r="Y25" s="216">
        <v>-3.3</v>
      </c>
      <c r="Z25" s="217">
        <v>-3.7</v>
      </c>
      <c r="AA25" s="216">
        <v>-3.8</v>
      </c>
      <c r="AB25" s="216">
        <v>-3.6</v>
      </c>
      <c r="AC25" s="216">
        <v>-3.5</v>
      </c>
      <c r="AD25" s="216">
        <v>-3.5</v>
      </c>
      <c r="AE25" s="216">
        <v>-3.4</v>
      </c>
      <c r="AF25" s="216">
        <v>-3.4</v>
      </c>
      <c r="AG25" s="233">
        <v>-3.3</v>
      </c>
    </row>
    <row r="26" spans="1:33" ht="15.9" customHeight="1"/>
    <row r="27" spans="1:33">
      <c r="A27" s="123"/>
      <c r="B27" s="124"/>
      <c r="C27" s="124"/>
      <c r="D27" s="124"/>
      <c r="E27" s="124"/>
      <c r="F27" s="124"/>
      <c r="G27" s="124"/>
      <c r="H27" s="124"/>
      <c r="I27" s="124"/>
      <c r="J27" s="124"/>
      <c r="K27" s="124"/>
      <c r="L27" s="124"/>
      <c r="M27" s="124"/>
      <c r="N27" s="124"/>
      <c r="O27" s="124"/>
      <c r="P27" s="124"/>
      <c r="Q27" s="124"/>
      <c r="R27" s="124"/>
    </row>
  </sheetData>
  <mergeCells count="1">
    <mergeCell ref="A4:C4"/>
  </mergeCells>
  <phoneticPr fontId="1"/>
  <pageMargins left="0.7" right="0.7" top="0.75" bottom="0.75" header="0.3" footer="0.3"/>
  <pageSetup paperSize="9" scale="33"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6996A-7809-43E3-969A-37209BF1C2AA}">
  <dimension ref="A1:K71"/>
  <sheetViews>
    <sheetView topLeftCell="D32" zoomScaleNormal="100" workbookViewId="0">
      <selection activeCell="J29" sqref="A1:N29"/>
    </sheetView>
  </sheetViews>
  <sheetFormatPr defaultRowHeight="18.45"/>
  <cols>
    <col min="1" max="1" width="8.84375" style="87"/>
    <col min="2" max="3" width="19" style="18" bestFit="1" customWidth="1"/>
    <col min="4" max="4" width="40.07421875" bestFit="1" customWidth="1"/>
  </cols>
  <sheetData>
    <row r="1" spans="1:5">
      <c r="A1" s="87" t="s">
        <v>7</v>
      </c>
      <c r="B1" s="17" t="s">
        <v>127</v>
      </c>
      <c r="C1" s="17" t="s">
        <v>150</v>
      </c>
      <c r="D1" s="17" t="s">
        <v>414</v>
      </c>
      <c r="E1" s="17" t="s">
        <v>413</v>
      </c>
    </row>
    <row r="2" spans="1:5">
      <c r="A2" s="129">
        <v>1980</v>
      </c>
      <c r="B2" s="273">
        <f>'供給側予測（成長実現ケース）'!L3/10000</f>
        <v>118.11571371262153</v>
      </c>
      <c r="C2" s="273">
        <f>'供給側予測（ベースラインケース)'!L3/10000</f>
        <v>118.11571371262153</v>
      </c>
      <c r="D2" s="273">
        <f>'供給側予測（ベースラインケース　就業率維持）'!L3/10000</f>
        <v>118.11571371262153</v>
      </c>
      <c r="E2" s="369">
        <f>D2</f>
        <v>118.11571371262153</v>
      </c>
    </row>
    <row r="3" spans="1:5">
      <c r="A3" s="129">
        <v>1981</v>
      </c>
      <c r="B3" s="273">
        <f>'供給側予測（成長実現ケース）'!L4/10000</f>
        <v>119.30575492648813</v>
      </c>
      <c r="C3" s="273">
        <f>'供給側予測（ベースラインケース)'!L4/10000</f>
        <v>119.30575492648813</v>
      </c>
      <c r="D3" s="273">
        <f>'供給側予測（ベースラインケース　就業率維持）'!L4/10000</f>
        <v>119.30575492648813</v>
      </c>
      <c r="E3" s="369">
        <f t="shared" ref="E3:E42" si="0">D3</f>
        <v>119.30575492648813</v>
      </c>
    </row>
    <row r="4" spans="1:5">
      <c r="A4" s="129">
        <v>1982</v>
      </c>
      <c r="B4" s="273">
        <f>'供給側予測（成長実現ケース）'!L5/10000</f>
        <v>120.30989662912434</v>
      </c>
      <c r="C4" s="273">
        <f>'供給側予測（ベースラインケース)'!L5/10000</f>
        <v>120.30989662912434</v>
      </c>
      <c r="D4" s="273">
        <f>'供給側予測（ベースラインケース　就業率維持）'!L5/10000</f>
        <v>120.30989662912434</v>
      </c>
      <c r="E4" s="369">
        <f t="shared" si="0"/>
        <v>120.30989662912434</v>
      </c>
    </row>
    <row r="5" spans="1:5">
      <c r="A5" s="129">
        <v>1983</v>
      </c>
      <c r="B5" s="273">
        <f>'供給側予測（成長実現ケース）'!L6/10000</f>
        <v>121.19551631360865</v>
      </c>
      <c r="C5" s="273">
        <f>'供給側予測（ベースラインケース)'!L6/10000</f>
        <v>121.19551631360865</v>
      </c>
      <c r="D5" s="273">
        <f>'供給側予測（ベースラインケース　就業率維持）'!L6/10000</f>
        <v>121.19551631360865</v>
      </c>
      <c r="E5" s="369">
        <f t="shared" si="0"/>
        <v>121.19551631360865</v>
      </c>
    </row>
    <row r="6" spans="1:5">
      <c r="A6" s="129">
        <v>1984</v>
      </c>
      <c r="B6" s="273">
        <f>'供給側予測（成長実現ケース）'!L7/10000</f>
        <v>122.05247717772653</v>
      </c>
      <c r="C6" s="273">
        <f>'供給側予測（ベースラインケース)'!L7/10000</f>
        <v>122.05247717772653</v>
      </c>
      <c r="D6" s="273">
        <f>'供給側予測（ベースラインケース　就業率維持）'!L7/10000</f>
        <v>122.05247717772653</v>
      </c>
      <c r="E6" s="369">
        <f t="shared" si="0"/>
        <v>122.05247717772653</v>
      </c>
    </row>
    <row r="7" spans="1:5">
      <c r="A7" s="129">
        <v>1985</v>
      </c>
      <c r="B7" s="273">
        <f>'供給側予測（成長実現ケース）'!L8/10000</f>
        <v>122.9748443578829</v>
      </c>
      <c r="C7" s="273">
        <f>'供給側予測（ベースラインケース)'!L8/10000</f>
        <v>122.9748443578829</v>
      </c>
      <c r="D7" s="273">
        <f>'供給側予測（ベースラインケース　就業率維持）'!L8/10000</f>
        <v>122.9748443578829</v>
      </c>
      <c r="E7" s="369">
        <f t="shared" si="0"/>
        <v>122.9748443578829</v>
      </c>
    </row>
    <row r="8" spans="1:5">
      <c r="A8" s="129">
        <v>1986</v>
      </c>
      <c r="B8" s="273">
        <f>'供給側予測（成長実現ケース）'!L9/10000</f>
        <v>124.03125493365829</v>
      </c>
      <c r="C8" s="273">
        <f>'供給側予測（ベースラインケース)'!L9/10000</f>
        <v>124.03125493365829</v>
      </c>
      <c r="D8" s="273">
        <f>'供給側予測（ベースラインケース　就業率維持）'!L9/10000</f>
        <v>124.03125493365829</v>
      </c>
      <c r="E8" s="369">
        <f t="shared" si="0"/>
        <v>124.03125493365829</v>
      </c>
    </row>
    <row r="9" spans="1:5">
      <c r="A9" s="129">
        <v>1987</v>
      </c>
      <c r="B9" s="273">
        <f>'供給側予測（成長実現ケース）'!L10/10000</f>
        <v>125.24862487355306</v>
      </c>
      <c r="C9" s="273">
        <f>'供給側予測（ベースラインケース)'!L10/10000</f>
        <v>125.24862487355306</v>
      </c>
      <c r="D9" s="273">
        <f>'供給側予測（ベースラインケース　就業率維持）'!L10/10000</f>
        <v>125.24862487355306</v>
      </c>
      <c r="E9" s="369">
        <f t="shared" si="0"/>
        <v>125.24862487355306</v>
      </c>
    </row>
    <row r="10" spans="1:5">
      <c r="A10" s="129">
        <v>1988</v>
      </c>
      <c r="B10" s="273">
        <f>'供給側予測（成長実現ケース）'!L11/10000</f>
        <v>126.61380420473823</v>
      </c>
      <c r="C10" s="273">
        <f>'供給側予測（ベースラインケース)'!L11/10000</f>
        <v>126.61380420473823</v>
      </c>
      <c r="D10" s="273">
        <f>'供給側予測（ベースラインケース　就業率維持）'!L11/10000</f>
        <v>126.61380420473823</v>
      </c>
      <c r="E10" s="369">
        <f t="shared" si="0"/>
        <v>126.61380420473823</v>
      </c>
    </row>
    <row r="11" spans="1:5">
      <c r="A11" s="129">
        <v>1989</v>
      </c>
      <c r="B11" s="273">
        <f>'供給側予測（成長実現ケース）'!L12/10000</f>
        <v>128.0639590115577</v>
      </c>
      <c r="C11" s="273">
        <f>'供給側予測（ベースラインケース)'!L12/10000</f>
        <v>128.0639590115577</v>
      </c>
      <c r="D11" s="273">
        <f>'供給側予測（ベースラインケース　就業率維持）'!L12/10000</f>
        <v>128.0639590115577</v>
      </c>
      <c r="E11" s="369">
        <f t="shared" si="0"/>
        <v>128.0639590115577</v>
      </c>
    </row>
    <row r="12" spans="1:5">
      <c r="A12" s="129">
        <v>1990</v>
      </c>
      <c r="B12" s="273">
        <f>'供給側予測（成長実現ケース）'!L13/10000</f>
        <v>129.53979668685028</v>
      </c>
      <c r="C12" s="273">
        <f>'供給側予測（ベースラインケース)'!L13/10000</f>
        <v>129.53979668685028</v>
      </c>
      <c r="D12" s="273">
        <f>'供給側予測（ベースラインケース　就業率維持）'!L13/10000</f>
        <v>129.53979668685028</v>
      </c>
      <c r="E12" s="369">
        <f t="shared" si="0"/>
        <v>129.53979668685028</v>
      </c>
    </row>
    <row r="13" spans="1:5">
      <c r="A13" s="129">
        <v>1991</v>
      </c>
      <c r="B13" s="273">
        <f>'供給側予測（成長実現ケース）'!L14/10000</f>
        <v>130.98467821022206</v>
      </c>
      <c r="C13" s="273">
        <f>'供給側予測（ベースラインケース)'!L14/10000</f>
        <v>130.98467821022206</v>
      </c>
      <c r="D13" s="273">
        <f>'供給側予測（ベースラインケース　就業率維持）'!L14/10000</f>
        <v>130.98467821022206</v>
      </c>
      <c r="E13" s="369">
        <f t="shared" si="0"/>
        <v>130.98467821022206</v>
      </c>
    </row>
    <row r="14" spans="1:5">
      <c r="A14" s="129">
        <v>1992</v>
      </c>
      <c r="B14" s="273">
        <f>'供給側予測（成長実現ケース）'!L15/10000</f>
        <v>132.33209997441654</v>
      </c>
      <c r="C14" s="273">
        <f>'供給側予測（ベースラインケース)'!L15/10000</f>
        <v>132.33209997441654</v>
      </c>
      <c r="D14" s="273">
        <f>'供給側予測（ベースラインケース　就業率維持）'!L15/10000</f>
        <v>132.33209997441654</v>
      </c>
      <c r="E14" s="369">
        <f t="shared" si="0"/>
        <v>132.33209997441654</v>
      </c>
    </row>
    <row r="15" spans="1:5">
      <c r="A15" s="129">
        <v>1993</v>
      </c>
      <c r="B15" s="273">
        <f>'供給側予測（成長実現ケース）'!L16/10000</f>
        <v>133.50865232798139</v>
      </c>
      <c r="C15" s="273">
        <f>'供給側予測（ベースラインケース)'!L16/10000</f>
        <v>133.50865232798139</v>
      </c>
      <c r="D15" s="273">
        <f>'供給側予測（ベースラインケース　就業率維持）'!L16/10000</f>
        <v>133.50865232798139</v>
      </c>
      <c r="E15" s="369">
        <f t="shared" si="0"/>
        <v>133.50865232798139</v>
      </c>
    </row>
    <row r="16" spans="1:5">
      <c r="A16" s="129">
        <v>1994</v>
      </c>
      <c r="B16" s="273">
        <f>'供給側予測（成長実現ケース）'!L17/10000</f>
        <v>134.43162119248726</v>
      </c>
      <c r="C16" s="273">
        <f>'供給側予測（ベースラインケース)'!L17/10000</f>
        <v>134.43162119248726</v>
      </c>
      <c r="D16" s="273">
        <f>'供給側予測（ベースラインケース　就業率維持）'!L17/10000</f>
        <v>134.43162119248726</v>
      </c>
      <c r="E16" s="369">
        <f t="shared" si="0"/>
        <v>134.43162119248726</v>
      </c>
    </row>
    <row r="17" spans="1:5">
      <c r="A17" s="129">
        <v>1995</v>
      </c>
      <c r="B17" s="273">
        <f>'供給側予測（成長実現ケース）'!L18/10000</f>
        <v>135.01535320648316</v>
      </c>
      <c r="C17" s="273">
        <f>'供給側予測（ベースラインケース)'!L18/10000</f>
        <v>135.01535320648316</v>
      </c>
      <c r="D17" s="273">
        <f>'供給側予測（ベースラインケース　就業率維持）'!L18/10000</f>
        <v>135.01535320648316</v>
      </c>
      <c r="E17" s="369">
        <f t="shared" si="0"/>
        <v>135.01535320648316</v>
      </c>
    </row>
    <row r="18" spans="1:5">
      <c r="A18" s="129">
        <v>1996</v>
      </c>
      <c r="B18" s="273">
        <f>'供給側予測（成長実現ケース）'!L19/10000</f>
        <v>135.17669991319207</v>
      </c>
      <c r="C18" s="273">
        <f>'供給側予測（ベースラインケース)'!L19/10000</f>
        <v>135.17669991319207</v>
      </c>
      <c r="D18" s="273">
        <f>'供給側予測（ベースラインケース　就業率維持）'!L19/10000</f>
        <v>135.17669991319207</v>
      </c>
      <c r="E18" s="369">
        <f t="shared" si="0"/>
        <v>135.17669991319207</v>
      </c>
    </row>
    <row r="19" spans="1:5">
      <c r="A19" s="129">
        <v>1997</v>
      </c>
      <c r="B19" s="273">
        <f>'供給側予測（成長実現ケース）'!L20/10000</f>
        <v>134.84995899534505</v>
      </c>
      <c r="C19" s="273">
        <f>'供給側予測（ベースラインケース)'!L20/10000</f>
        <v>134.84995899534505</v>
      </c>
      <c r="D19" s="273">
        <f>'供給側予測（ベースラインケース　就業率維持）'!L20/10000</f>
        <v>134.84995899534505</v>
      </c>
      <c r="E19" s="369">
        <f t="shared" si="0"/>
        <v>134.84995899534505</v>
      </c>
    </row>
    <row r="20" spans="1:5">
      <c r="A20" s="129">
        <v>1998</v>
      </c>
      <c r="B20" s="273">
        <f>'供給側予測（成長実現ケース）'!L21/10000</f>
        <v>134.01576550020647</v>
      </c>
      <c r="C20" s="273">
        <f>'供給側予測（ベースラインケース)'!L21/10000</f>
        <v>134.01576550020647</v>
      </c>
      <c r="D20" s="273">
        <f>'供給側予測（ベースラインケース　就業率維持）'!L21/10000</f>
        <v>134.01576550020647</v>
      </c>
      <c r="E20" s="369">
        <f t="shared" si="0"/>
        <v>134.01576550020647</v>
      </c>
    </row>
    <row r="21" spans="1:5">
      <c r="A21" s="129">
        <v>1999</v>
      </c>
      <c r="B21" s="273">
        <f>'供給側予測（成長実現ケース）'!L22/10000</f>
        <v>132.72069709102692</v>
      </c>
      <c r="C21" s="273">
        <f>'供給側予測（ベースラインケース)'!L22/10000</f>
        <v>132.72069709102692</v>
      </c>
      <c r="D21" s="273">
        <f>'供給側予測（ベースラインケース　就業率維持）'!L22/10000</f>
        <v>132.72069709102692</v>
      </c>
      <c r="E21" s="369">
        <f t="shared" si="0"/>
        <v>132.72069709102692</v>
      </c>
    </row>
    <row r="22" spans="1:5">
      <c r="A22" s="129">
        <v>2000</v>
      </c>
      <c r="B22" s="273">
        <f>'供給側予測（成長実現ケース）'!L23/10000</f>
        <v>131.03477422010428</v>
      </c>
      <c r="C22" s="273">
        <f>'供給側予測（ベースラインケース)'!L23/10000</f>
        <v>131.03477422010428</v>
      </c>
      <c r="D22" s="273">
        <f>'供給側予測（ベースラインケース　就業率維持）'!L23/10000</f>
        <v>131.03477422010428</v>
      </c>
      <c r="E22" s="369">
        <f t="shared" si="0"/>
        <v>131.03477422010428</v>
      </c>
    </row>
    <row r="23" spans="1:5">
      <c r="A23" s="129">
        <v>2001</v>
      </c>
      <c r="B23" s="273">
        <f>'供給側予測（成長実現ケース）'!L24/10000</f>
        <v>129.0396578469655</v>
      </c>
      <c r="C23" s="273">
        <f>'供給側予測（ベースラインケース)'!L24/10000</f>
        <v>129.0396578469655</v>
      </c>
      <c r="D23" s="273">
        <f>'供給側予測（ベースラインケース　就業率維持）'!L24/10000</f>
        <v>129.0396578469655</v>
      </c>
      <c r="E23" s="369">
        <f t="shared" si="0"/>
        <v>129.0396578469655</v>
      </c>
    </row>
    <row r="24" spans="1:5">
      <c r="A24" s="129">
        <v>2002</v>
      </c>
      <c r="B24" s="273">
        <f>'供給側予測（成長実現ケース）'!L25/10000</f>
        <v>126.8337598678801</v>
      </c>
      <c r="C24" s="273">
        <f>'供給側予測（ベースラインケース)'!L25/10000</f>
        <v>126.8337598678801</v>
      </c>
      <c r="D24" s="273">
        <f>'供給側予測（ベースラインケース　就業率維持）'!L25/10000</f>
        <v>126.8337598678801</v>
      </c>
      <c r="E24" s="369">
        <f t="shared" si="0"/>
        <v>126.8337598678801</v>
      </c>
    </row>
    <row r="25" spans="1:5">
      <c r="A25" s="129">
        <v>2003</v>
      </c>
      <c r="B25" s="273">
        <f>'供給側予測（成長実現ケース）'!L26/10000</f>
        <v>124.49946634431051</v>
      </c>
      <c r="C25" s="273">
        <f>'供給側予測（ベースラインケース)'!L26/10000</f>
        <v>124.49946634431051</v>
      </c>
      <c r="D25" s="273">
        <f>'供給側予測（ベースラインケース　就業率維持）'!L26/10000</f>
        <v>124.49946634431051</v>
      </c>
      <c r="E25" s="369">
        <f t="shared" si="0"/>
        <v>124.49946634431051</v>
      </c>
    </row>
    <row r="26" spans="1:5">
      <c r="A26" s="129">
        <v>2004</v>
      </c>
      <c r="B26" s="273">
        <f>'供給側予測（成長実現ケース）'!L27/10000</f>
        <v>122.10784954130214</v>
      </c>
      <c r="C26" s="273">
        <f>'供給側予測（ベースラインケース)'!L27/10000</f>
        <v>122.10784954130214</v>
      </c>
      <c r="D26" s="273">
        <f>'供給側予測（ベースラインケース　就業率維持）'!L27/10000</f>
        <v>122.10784954130214</v>
      </c>
      <c r="E26" s="369">
        <f t="shared" si="0"/>
        <v>122.10784954130214</v>
      </c>
    </row>
    <row r="27" spans="1:5">
      <c r="A27" s="129">
        <v>2005</v>
      </c>
      <c r="B27" s="273">
        <f>'供給側予測（成長実現ケース）'!L28/10000</f>
        <v>119.72240479552806</v>
      </c>
      <c r="C27" s="273">
        <f>'供給側予測（ベースラインケース)'!L28/10000</f>
        <v>119.72240479552806</v>
      </c>
      <c r="D27" s="273">
        <f>'供給側予測（ベースラインケース　就業率維持）'!L28/10000</f>
        <v>119.72240479552806</v>
      </c>
      <c r="E27" s="369">
        <f t="shared" si="0"/>
        <v>119.72240479552806</v>
      </c>
    </row>
    <row r="28" spans="1:5">
      <c r="A28" s="129">
        <v>2006</v>
      </c>
      <c r="B28" s="273">
        <f>'供給側予測（成長実現ケース）'!L29/10000</f>
        <v>117.39393199991802</v>
      </c>
      <c r="C28" s="273">
        <f>'供給側予測（ベースラインケース)'!L29/10000</f>
        <v>117.39393199991802</v>
      </c>
      <c r="D28" s="273">
        <f>'供給側予測（ベースラインケース　就業率維持）'!L29/10000</f>
        <v>117.39393199991802</v>
      </c>
      <c r="E28" s="369">
        <f t="shared" si="0"/>
        <v>117.39393199991802</v>
      </c>
    </row>
    <row r="29" spans="1:5">
      <c r="A29" s="129">
        <v>2007</v>
      </c>
      <c r="B29" s="273">
        <f>'供給側予測（成長実現ケース）'!L30/10000</f>
        <v>115.15017720930453</v>
      </c>
      <c r="C29" s="273">
        <f>'供給側予測（ベースラインケース)'!L30/10000</f>
        <v>115.15017720930453</v>
      </c>
      <c r="D29" s="273">
        <f>'供給側予測（ベースラインケース　就業率維持）'!L30/10000</f>
        <v>115.15017720930453</v>
      </c>
      <c r="E29" s="369">
        <f t="shared" si="0"/>
        <v>115.15017720930453</v>
      </c>
    </row>
    <row r="30" spans="1:5">
      <c r="A30" s="129">
        <v>2008</v>
      </c>
      <c r="B30" s="273">
        <f>'供給側予測（成長実現ケース）'!L31/10000</f>
        <v>113.02106101596732</v>
      </c>
      <c r="C30" s="273">
        <f>'供給側予測（ベースラインケース)'!L31/10000</f>
        <v>113.02106101596732</v>
      </c>
      <c r="D30" s="273">
        <f>'供給側予測（ベースラインケース　就業率維持）'!L31/10000</f>
        <v>113.02106101596732</v>
      </c>
      <c r="E30" s="369">
        <f t="shared" si="0"/>
        <v>113.02106101596732</v>
      </c>
    </row>
    <row r="31" spans="1:5">
      <c r="A31" s="129">
        <v>2009</v>
      </c>
      <c r="B31" s="273">
        <f>'供給側予測（成長実現ケース）'!L32/10000</f>
        <v>111.04736788605878</v>
      </c>
      <c r="C31" s="273">
        <f>'供給側予測（ベースラインケース)'!L32/10000</f>
        <v>111.04736788605878</v>
      </c>
      <c r="D31" s="273">
        <f>'供給側予測（ベースラインケース　就業率維持）'!L32/10000</f>
        <v>111.04736788605878</v>
      </c>
      <c r="E31" s="369">
        <f t="shared" si="0"/>
        <v>111.04736788605878</v>
      </c>
    </row>
    <row r="32" spans="1:5">
      <c r="A32" s="129">
        <v>2010</v>
      </c>
      <c r="B32" s="273">
        <f>'供給側予測（成長実現ケース）'!L33/10000</f>
        <v>109.27491142284627</v>
      </c>
      <c r="C32" s="273">
        <f>'供給側予測（ベースラインケース)'!L33/10000</f>
        <v>109.27491142284627</v>
      </c>
      <c r="D32" s="273">
        <f>'供給側予測（ベースラインケース　就業率維持）'!L33/10000</f>
        <v>109.27491142284627</v>
      </c>
      <c r="E32" s="369">
        <f t="shared" si="0"/>
        <v>109.27491142284627</v>
      </c>
    </row>
    <row r="33" spans="1:5">
      <c r="A33" s="129">
        <v>2011</v>
      </c>
      <c r="B33" s="273">
        <f>'供給側予測（成長実現ケース）'!L34/10000</f>
        <v>107.72209557172877</v>
      </c>
      <c r="C33" s="273">
        <f>'供給側予測（ベースラインケース)'!L34/10000</f>
        <v>107.72209557172877</v>
      </c>
      <c r="D33" s="273">
        <f>'供給側予測（ベースラインケース　就業率維持）'!L34/10000</f>
        <v>107.72209557172877</v>
      </c>
      <c r="E33" s="369">
        <f t="shared" si="0"/>
        <v>107.72209557172877</v>
      </c>
    </row>
    <row r="34" spans="1:5">
      <c r="A34" s="129">
        <v>2012</v>
      </c>
      <c r="B34" s="273">
        <f>'供給側予測（成長実現ケース）'!L35/10000</f>
        <v>106.38240132762405</v>
      </c>
      <c r="C34" s="273">
        <f>'供給側予測（ベースラインケース)'!L35/10000</f>
        <v>106.38240132762405</v>
      </c>
      <c r="D34" s="273">
        <f>'供給側予測（ベースラインケース　就業率維持）'!L35/10000</f>
        <v>106.38240132762405</v>
      </c>
      <c r="E34" s="369">
        <f t="shared" si="0"/>
        <v>106.38240132762405</v>
      </c>
    </row>
    <row r="35" spans="1:5">
      <c r="A35" s="129">
        <v>2013</v>
      </c>
      <c r="B35" s="273">
        <f>'供給側予測（成長実現ケース）'!L36/10000</f>
        <v>105.2307508750784</v>
      </c>
      <c r="C35" s="273">
        <f>'供給側予測（ベースラインケース)'!L36/10000</f>
        <v>105.2307508750784</v>
      </c>
      <c r="D35" s="273">
        <f>'供給側予測（ベースラインケース　就業率維持）'!L36/10000</f>
        <v>105.2307508750784</v>
      </c>
      <c r="E35" s="369">
        <f t="shared" si="0"/>
        <v>105.2307508750784</v>
      </c>
    </row>
    <row r="36" spans="1:5">
      <c r="A36" s="129">
        <v>2014</v>
      </c>
      <c r="B36" s="273">
        <f>'供給側予測（成長実現ケース）'!L37/10000</f>
        <v>104.23836803285778</v>
      </c>
      <c r="C36" s="273">
        <f>'供給側予測（ベースラインケース)'!L37/10000</f>
        <v>104.23836803285778</v>
      </c>
      <c r="D36" s="273">
        <f>'供給側予測（ベースラインケース　就業率維持）'!L37/10000</f>
        <v>104.23836803285778</v>
      </c>
      <c r="E36" s="369">
        <f t="shared" si="0"/>
        <v>104.23836803285778</v>
      </c>
    </row>
    <row r="37" spans="1:5">
      <c r="A37" s="129">
        <v>2015</v>
      </c>
      <c r="B37" s="273">
        <f>'供給側予測（成長実現ケース）'!L38/10000</f>
        <v>103.36192945693752</v>
      </c>
      <c r="C37" s="273">
        <f>'供給側予測（ベースラインケース)'!L38/10000</f>
        <v>103.36192945693752</v>
      </c>
      <c r="D37" s="273">
        <f>'供給側予測（ベースラインケース　就業率維持）'!L38/10000</f>
        <v>103.36192945693752</v>
      </c>
      <c r="E37" s="369">
        <f t="shared" si="0"/>
        <v>103.36192945693752</v>
      </c>
    </row>
    <row r="38" spans="1:5">
      <c r="A38" s="129">
        <v>2016</v>
      </c>
      <c r="B38" s="273">
        <f>'供給側予測（成長実現ケース）'!L39/10000</f>
        <v>102.55403759648529</v>
      </c>
      <c r="C38" s="273">
        <f>'供給側予測（ベースラインケース)'!L39/10000</f>
        <v>102.55403759648529</v>
      </c>
      <c r="D38" s="273">
        <f>'供給側予測（ベースラインケース　就業率維持）'!L39/10000</f>
        <v>102.55403759648529</v>
      </c>
      <c r="E38" s="369">
        <f t="shared" si="0"/>
        <v>102.55403759648529</v>
      </c>
    </row>
    <row r="39" spans="1:5">
      <c r="A39" s="129">
        <v>2017</v>
      </c>
      <c r="B39" s="273">
        <f>'供給側予測（成長実現ケース）'!L40/10000</f>
        <v>101.77610707680839</v>
      </c>
      <c r="C39" s="273">
        <f>'供給側予測（ベースラインケース)'!L40/10000</f>
        <v>101.77610707680839</v>
      </c>
      <c r="D39" s="273">
        <f>'供給側予測（ベースラインケース　就業率維持）'!L40/10000</f>
        <v>101.77610707680839</v>
      </c>
      <c r="E39" s="369">
        <f t="shared" si="0"/>
        <v>101.77610707680839</v>
      </c>
    </row>
    <row r="40" spans="1:5">
      <c r="A40" s="129">
        <v>2018</v>
      </c>
      <c r="B40" s="273">
        <f>'供給側予測（成長実現ケース）'!L41/10000</f>
        <v>100.99886561181209</v>
      </c>
      <c r="C40" s="273">
        <f>'供給側予測（ベースラインケース)'!L41/10000</f>
        <v>100.99886561181209</v>
      </c>
      <c r="D40" s="273">
        <f>'供給側予測（ベースラインケース　就業率維持）'!L41/10000</f>
        <v>100.99886561181209</v>
      </c>
      <c r="E40" s="369">
        <f t="shared" si="0"/>
        <v>100.99886561181209</v>
      </c>
    </row>
    <row r="41" spans="1:5">
      <c r="A41" s="129">
        <v>2019</v>
      </c>
      <c r="B41" s="273">
        <f>'供給側予測（成長実現ケース）'!L42/10000</f>
        <v>100.20303007599622</v>
      </c>
      <c r="C41" s="273">
        <f>'供給側予測（ベースラインケース)'!L42/10000</f>
        <v>100.20303007599622</v>
      </c>
      <c r="D41" s="273">
        <f>'供給側予測（ベースラインケース　就業率維持）'!L42/10000</f>
        <v>100.20303007599622</v>
      </c>
      <c r="E41" s="369">
        <f t="shared" si="0"/>
        <v>100.20303007599622</v>
      </c>
    </row>
    <row r="42" spans="1:5">
      <c r="A42" s="129">
        <v>2020</v>
      </c>
      <c r="B42" s="273">
        <f>'供給側予測（成長実現ケース）'!L43/10000</f>
        <v>100.20303007599622</v>
      </c>
      <c r="C42" s="273">
        <f>'供給側予測（ベースラインケース)'!L43/10000</f>
        <v>100.20303007599622</v>
      </c>
      <c r="D42" s="273">
        <f>'供給側予測（ベースラインケース　就業率維持）'!L43/10000</f>
        <v>100.20303007599622</v>
      </c>
      <c r="E42" s="369">
        <f t="shared" si="0"/>
        <v>100.20303007599622</v>
      </c>
    </row>
    <row r="43" spans="1:5">
      <c r="A43" s="129">
        <v>2021</v>
      </c>
      <c r="B43" s="273">
        <f>'供給側予測（成長実現ケース）'!L44/10000</f>
        <v>94.419391476119856</v>
      </c>
      <c r="C43" s="273">
        <f>'供給側予測（ベースラインケース)'!L44/10000</f>
        <v>98.886765562209391</v>
      </c>
      <c r="D43" s="273">
        <f>'供給側予測（ベースラインケース　就業率維持）'!L44/10000</f>
        <v>99.741558589408797</v>
      </c>
    </row>
    <row r="44" spans="1:5">
      <c r="A44" s="129">
        <v>2022</v>
      </c>
      <c r="B44" s="273">
        <f>'供給側予測（成長実現ケース）'!L45/10000</f>
        <v>94.114192182438828</v>
      </c>
      <c r="C44" s="273">
        <f>'供給側予測（ベースラインケース)'!L45/10000</f>
        <v>97.570501048422543</v>
      </c>
      <c r="D44" s="273">
        <f>'供給側予測（ベースラインケース　就業率維持）'!L45/10000</f>
        <v>98.973468794285225</v>
      </c>
    </row>
    <row r="45" spans="1:5">
      <c r="A45" s="129">
        <v>2023</v>
      </c>
      <c r="B45" s="273">
        <f>'供給側予測（成長実現ケース）'!L46/10000</f>
        <v>93.808992888757814</v>
      </c>
      <c r="C45" s="273">
        <f>'供給側予測（ベースラインケース)'!L46/10000</f>
        <v>96.254236534635709</v>
      </c>
      <c r="D45" s="273">
        <f>'供給側予測（ベースラインケース　就業率維持）'!L46/10000</f>
        <v>98.205378999161653</v>
      </c>
    </row>
    <row r="46" spans="1:5">
      <c r="A46" s="129">
        <v>2024</v>
      </c>
      <c r="B46" s="273">
        <f>'供給側予測（成長実現ケース）'!L47/10000</f>
        <v>93.5037935950768</v>
      </c>
      <c r="C46" s="273">
        <f>'供給側予測（ベースラインケース)'!L47/10000</f>
        <v>94.937972020848875</v>
      </c>
      <c r="D46" s="273">
        <f>'供給側予測（ベースラインケース　就業率維持）'!L47/10000</f>
        <v>97.43728920403808</v>
      </c>
    </row>
    <row r="47" spans="1:5">
      <c r="A47" s="129">
        <v>2025</v>
      </c>
      <c r="B47" s="273">
        <f>'供給側予測（成長実現ケース）'!L48/10000</f>
        <v>93.198594301395786</v>
      </c>
      <c r="C47" s="273">
        <f>'供給側予測（ベースラインケース)'!L48/10000</f>
        <v>93.621707507062069</v>
      </c>
      <c r="D47" s="273">
        <f>'供給側予測（ベースラインケース　就業率維持）'!L48/10000</f>
        <v>96.669199408914537</v>
      </c>
    </row>
    <row r="48" spans="1:5">
      <c r="A48" s="129">
        <v>2026</v>
      </c>
      <c r="B48" s="273">
        <f>'供給側予測（成長実現ケース）'!L49/10000</f>
        <v>92.845420896331319</v>
      </c>
      <c r="C48" s="273">
        <f>'供給側予測（ベースラインケース)'!L49/10000</f>
        <v>91.204427762594591</v>
      </c>
      <c r="D48" s="273">
        <f>'供給側予測（ベースラインケース　就業率維持）'!L49/10000</f>
        <v>96.007355710450312</v>
      </c>
    </row>
    <row r="49" spans="1:8">
      <c r="A49" s="129">
        <v>2027</v>
      </c>
      <c r="B49" s="273">
        <f>'供給側予測（成長実現ケース）'!L50/10000</f>
        <v>92.492247491266852</v>
      </c>
      <c r="C49" s="273">
        <f>'供給側予測（ベースラインケース)'!L50/10000</f>
        <v>88.787148018127112</v>
      </c>
      <c r="D49" s="273">
        <f>'供給側予測（ベースラインケース　就業率維持）'!L50/10000</f>
        <v>95.345512011986088</v>
      </c>
    </row>
    <row r="50" spans="1:8">
      <c r="A50" s="129">
        <v>2028</v>
      </c>
      <c r="B50" s="273">
        <f>'供給側予測（成長実現ケース）'!L51/10000</f>
        <v>92.139074086202385</v>
      </c>
      <c r="C50" s="273">
        <f>'供給側予測（ベースラインケース)'!L51/10000</f>
        <v>86.369868273659634</v>
      </c>
      <c r="D50" s="273">
        <f>'供給側予測（ベースラインケース　就業率維持）'!L51/10000</f>
        <v>94.683668313521864</v>
      </c>
    </row>
    <row r="51" spans="1:8">
      <c r="A51" s="129">
        <v>2029</v>
      </c>
      <c r="B51" s="273">
        <f>'供給側予測（成長実現ケース）'!L52/10000</f>
        <v>91.785900681137917</v>
      </c>
      <c r="C51" s="273">
        <f>'供給側予測（ベースラインケース)'!L52/10000</f>
        <v>83.95258852919217</v>
      </c>
      <c r="D51" s="273">
        <f>'供給側予測（ベースラインケース　就業率維持）'!L52/10000</f>
        <v>94.021824615057668</v>
      </c>
    </row>
    <row r="52" spans="1:8">
      <c r="A52" s="129">
        <v>2030</v>
      </c>
      <c r="B52" s="273">
        <f>'供給側予測（成長実現ケース）'!L53/10000</f>
        <v>91.43272727607345</v>
      </c>
      <c r="C52" s="273">
        <f>'供給側予測（ベースラインケース)'!L53/10000</f>
        <v>81.535308784724705</v>
      </c>
      <c r="D52" s="273">
        <f>'供給側予測（ベースラインケース　就業率維持）'!L53/10000</f>
        <v>93.359980916593457</v>
      </c>
    </row>
    <row r="53" spans="1:8">
      <c r="A53" s="129">
        <v>2031</v>
      </c>
      <c r="B53" s="273">
        <f>'供給側予測（成長実現ケース）'!L54/10000</f>
        <v>90.985564174499913</v>
      </c>
      <c r="C53" s="273">
        <f>'供給側予測（ベースラインケース)'!L54/10000</f>
        <v>79.404824942143193</v>
      </c>
      <c r="D53" s="273">
        <f>'供給側予測（ベースラインケース　就業率維持）'!L54/10000</f>
        <v>92.661871809994238</v>
      </c>
    </row>
    <row r="54" spans="1:8">
      <c r="A54" s="129">
        <v>2032</v>
      </c>
      <c r="B54" s="273">
        <f>'供給側予測（成長実現ケース）'!L55/10000</f>
        <v>90.538401072926348</v>
      </c>
      <c r="C54" s="273">
        <f>'供給側予測（ベースラインケース)'!L55/10000</f>
        <v>77.274341099561696</v>
      </c>
      <c r="D54" s="273">
        <f>'供給側予測（ベースラインケース　就業率維持）'!L55/10000</f>
        <v>91.963762703394991</v>
      </c>
    </row>
    <row r="55" spans="1:8">
      <c r="A55" s="129">
        <v>2033</v>
      </c>
      <c r="B55" s="273">
        <f>'供給側予測（成長実現ケース）'!L56/10000</f>
        <v>90.091237971352811</v>
      </c>
      <c r="C55" s="273">
        <f>'供給側予測（ベースラインケース)'!L56/10000</f>
        <v>75.143857256980198</v>
      </c>
      <c r="D55" s="273">
        <f>'供給側予測（ベースラインケース　就業率維持）'!L56/10000</f>
        <v>91.265653596795758</v>
      </c>
    </row>
    <row r="56" spans="1:8">
      <c r="A56" s="129">
        <v>2034</v>
      </c>
      <c r="B56" s="273">
        <f>'供給側予測（成長実現ケース）'!L57/10000</f>
        <v>89.64407486977926</v>
      </c>
      <c r="C56" s="273">
        <f>'供給側予測（ベースラインケース)'!L57/10000</f>
        <v>73.013373414398686</v>
      </c>
      <c r="D56" s="273">
        <f>'供給側予測（ベースラインケース　就業率維持）'!L57/10000</f>
        <v>90.567544490196525</v>
      </c>
    </row>
    <row r="57" spans="1:8">
      <c r="A57" s="129">
        <v>2035</v>
      </c>
      <c r="B57" s="273">
        <f>'供給側予測（成長実現ケース）'!L58/10000</f>
        <v>89.19691176820568</v>
      </c>
      <c r="C57" s="273">
        <f>'供給側予測（ベースラインケース)'!L58/10000</f>
        <v>70.882889571817202</v>
      </c>
      <c r="D57" s="273">
        <f>'供給側予測（ベースラインケース　就業率維持）'!L58/10000</f>
        <v>89.869435383597278</v>
      </c>
      <c r="F57" s="371">
        <f>B57-C57</f>
        <v>18.314022196388478</v>
      </c>
    </row>
    <row r="58" spans="1:8">
      <c r="A58" s="129">
        <v>2036</v>
      </c>
      <c r="B58" s="273">
        <f>'供給側予測（成長実現ケース）'!L59/10000</f>
        <v>88.669999833230463</v>
      </c>
      <c r="C58" s="273">
        <f>'供給側予測（ベースラインケース)'!L59/10000</f>
        <v>69.080172474248243</v>
      </c>
      <c r="D58" s="273">
        <f>'供給側予測（ベースラインケース　就業率維持）'!L59/10000</f>
        <v>89.116928164795496</v>
      </c>
    </row>
    <row r="59" spans="1:8">
      <c r="A59" s="129">
        <v>2037</v>
      </c>
      <c r="B59" s="273">
        <f>'供給側予測（成長実現ケース）'!L60/10000</f>
        <v>88.143087898255246</v>
      </c>
      <c r="C59" s="273">
        <f>'供給側予測（ベースラインケース)'!L60/10000</f>
        <v>67.277455376679271</v>
      </c>
      <c r="D59" s="273">
        <f>'供給側予測（ベースラインケース　就業率維持）'!L60/10000</f>
        <v>88.364420945993714</v>
      </c>
    </row>
    <row r="60" spans="1:8">
      <c r="A60" s="129">
        <v>2038</v>
      </c>
      <c r="B60" s="273">
        <f>'供給側予測（成長実現ケース）'!L61/10000</f>
        <v>87.616175963280043</v>
      </c>
      <c r="C60" s="273">
        <f>'供給側予測（ベースラインケース)'!L61/10000</f>
        <v>65.474738279110312</v>
      </c>
      <c r="D60" s="273">
        <f>'供給側予測（ベースラインケース　就業率維持）'!L61/10000</f>
        <v>87.611913727191947</v>
      </c>
    </row>
    <row r="61" spans="1:8">
      <c r="A61" s="129">
        <v>2039</v>
      </c>
      <c r="B61" s="273">
        <f>'供給側予測（成長実現ケース）'!L62/10000</f>
        <v>87.089264028304825</v>
      </c>
      <c r="C61" s="273">
        <f>'供給側予測（ベースラインケース)'!L62/10000</f>
        <v>63.672021181541353</v>
      </c>
      <c r="D61" s="273">
        <f>'供給側予測（ベースラインケース　就業率維持）'!L62/10000</f>
        <v>86.859406508390165</v>
      </c>
    </row>
    <row r="62" spans="1:8">
      <c r="A62" s="129">
        <v>2040</v>
      </c>
      <c r="B62" s="273">
        <f>'供給側予測（成長実現ケース）'!L63/10000</f>
        <v>86.562352093329608</v>
      </c>
      <c r="C62" s="273">
        <f>'供給側予測（ベースラインケース)'!L63/10000</f>
        <v>61.869304083972409</v>
      </c>
      <c r="D62" s="273">
        <f>'供給側予測（ベースラインケース　就業率維持）'!L63/10000</f>
        <v>86.106899289588398</v>
      </c>
      <c r="E62" s="370"/>
    </row>
    <row r="63" spans="1:8">
      <c r="H63" s="14"/>
    </row>
    <row r="67" spans="11:11">
      <c r="K67" s="18"/>
    </row>
    <row r="71" spans="11:11">
      <c r="K71" s="18"/>
    </row>
  </sheetData>
  <phoneticPr fontId="1"/>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92DC9-C5B5-420A-A6A6-65D4398E3C0F}">
  <dimension ref="A1:K76"/>
  <sheetViews>
    <sheetView topLeftCell="A28" zoomScale="85" zoomScaleNormal="85" workbookViewId="0">
      <selection activeCell="J29" sqref="A1:N29"/>
    </sheetView>
  </sheetViews>
  <sheetFormatPr defaultRowHeight="18.45"/>
  <cols>
    <col min="1" max="1" width="8.84375" style="87"/>
    <col min="2" max="3" width="19" style="21" bestFit="1" customWidth="1"/>
    <col min="4" max="4" width="40.07421875" style="21" bestFit="1" customWidth="1"/>
    <col min="5" max="5" width="8.84375" style="21"/>
  </cols>
  <sheetData>
    <row r="1" spans="1:5">
      <c r="A1" s="87" t="s">
        <v>7</v>
      </c>
      <c r="B1" s="372" t="s">
        <v>127</v>
      </c>
      <c r="C1" s="372" t="s">
        <v>150</v>
      </c>
      <c r="D1" s="372" t="s">
        <v>414</v>
      </c>
      <c r="E1" s="372" t="s">
        <v>413</v>
      </c>
    </row>
    <row r="2" spans="1:5">
      <c r="A2" s="129">
        <v>1980</v>
      </c>
      <c r="B2" s="269">
        <f>★図7!B2/10000</f>
        <v>67.561164047159934</v>
      </c>
      <c r="C2" s="269">
        <f>★図7!C2/10000</f>
        <v>67.561164047159934</v>
      </c>
      <c r="D2" s="269">
        <f>★図7!D2/10000</f>
        <v>67.561164047159934</v>
      </c>
      <c r="E2" s="269">
        <f>★図7!E2/10000</f>
        <v>67.561164047159934</v>
      </c>
    </row>
    <row r="3" spans="1:5">
      <c r="A3" s="129">
        <v>1981</v>
      </c>
      <c r="B3" s="269">
        <f>★図7!B3/10000</f>
        <v>65.624971464099985</v>
      </c>
      <c r="C3" s="269">
        <f>★図7!C3/10000</f>
        <v>65.624971464099985</v>
      </c>
      <c r="D3" s="269">
        <f>★図7!D3/10000</f>
        <v>65.624971464099985</v>
      </c>
      <c r="E3" s="269">
        <f>★図7!E3/10000</f>
        <v>65.624971464099985</v>
      </c>
    </row>
    <row r="4" spans="1:5">
      <c r="A4" s="129">
        <v>1982</v>
      </c>
      <c r="B4" s="269">
        <f>★図7!B4/10000</f>
        <v>66.156322702856116</v>
      </c>
      <c r="C4" s="269">
        <f>★図7!C4/10000</f>
        <v>66.156322702856116</v>
      </c>
      <c r="D4" s="269">
        <f>★図7!D4/10000</f>
        <v>66.156322702856116</v>
      </c>
      <c r="E4" s="269">
        <f>★図7!E4/10000</f>
        <v>66.156322702856116</v>
      </c>
    </row>
    <row r="5" spans="1:5">
      <c r="A5" s="129">
        <v>1983</v>
      </c>
      <c r="B5" s="269">
        <f>★図7!B5/10000</f>
        <v>63.142281931843861</v>
      </c>
      <c r="C5" s="269">
        <f>★図7!C5/10000</f>
        <v>63.142281931843861</v>
      </c>
      <c r="D5" s="269">
        <f>★図7!D5/10000</f>
        <v>63.142281931843861</v>
      </c>
      <c r="E5" s="269">
        <f>★図7!E5/10000</f>
        <v>63.142281931843861</v>
      </c>
    </row>
    <row r="6" spans="1:5">
      <c r="A6" s="129">
        <v>1984</v>
      </c>
      <c r="B6" s="269">
        <f>★図7!B6/10000</f>
        <v>63.05966532765612</v>
      </c>
      <c r="C6" s="269">
        <f>★図7!C6/10000</f>
        <v>63.05966532765612</v>
      </c>
      <c r="D6" s="269">
        <f>★図7!D6/10000</f>
        <v>63.05966532765612</v>
      </c>
      <c r="E6" s="269">
        <f>★図7!E6/10000</f>
        <v>63.05966532765612</v>
      </c>
    </row>
    <row r="7" spans="1:5">
      <c r="A7" s="129">
        <v>1985</v>
      </c>
      <c r="B7" s="269">
        <f>★図7!B7/10000</f>
        <v>63.683949725459222</v>
      </c>
      <c r="C7" s="269">
        <f>★図7!C7/10000</f>
        <v>63.683949725459222</v>
      </c>
      <c r="D7" s="269">
        <f>★図7!D7/10000</f>
        <v>63.683949725459222</v>
      </c>
      <c r="E7" s="269">
        <f>★図7!E7/10000</f>
        <v>63.683949725459222</v>
      </c>
    </row>
    <row r="8" spans="1:5">
      <c r="A8" s="129">
        <v>1986</v>
      </c>
      <c r="B8" s="269">
        <f>★図7!B8/10000</f>
        <v>68.292115114852692</v>
      </c>
      <c r="C8" s="269">
        <f>★図7!C8/10000</f>
        <v>68.292115114852692</v>
      </c>
      <c r="D8" s="269">
        <f>★図7!D8/10000</f>
        <v>68.292115114852692</v>
      </c>
      <c r="E8" s="269">
        <f>★図7!E8/10000</f>
        <v>68.292115114852692</v>
      </c>
    </row>
    <row r="9" spans="1:5">
      <c r="A9" s="129">
        <v>1987</v>
      </c>
      <c r="B9" s="269">
        <f>★図7!B9/10000</f>
        <v>75.574779202608468</v>
      </c>
      <c r="C9" s="269">
        <f>★図7!C9/10000</f>
        <v>75.574779202608468</v>
      </c>
      <c r="D9" s="269">
        <f>★図7!D9/10000</f>
        <v>75.574779202608468</v>
      </c>
      <c r="E9" s="269">
        <f>★図7!E9/10000</f>
        <v>75.574779202608468</v>
      </c>
    </row>
    <row r="10" spans="1:5">
      <c r="A10" s="129">
        <v>1988</v>
      </c>
      <c r="B10" s="269">
        <f>★図7!B10/10000</f>
        <v>83.081255366915329</v>
      </c>
      <c r="C10" s="269">
        <f>★図7!C10/10000</f>
        <v>83.081255366915329</v>
      </c>
      <c r="D10" s="269">
        <f>★図7!D10/10000</f>
        <v>83.081255366915329</v>
      </c>
      <c r="E10" s="269">
        <f>★図7!E10/10000</f>
        <v>83.081255366915329</v>
      </c>
    </row>
    <row r="11" spans="1:5">
      <c r="A11" s="129">
        <v>1989</v>
      </c>
      <c r="B11" s="269">
        <f>★図7!B11/10000</f>
        <v>86.253728205168557</v>
      </c>
      <c r="C11" s="269">
        <f>★図7!C11/10000</f>
        <v>86.253728205168557</v>
      </c>
      <c r="D11" s="269">
        <f>★図7!D11/10000</f>
        <v>86.253728205168557</v>
      </c>
      <c r="E11" s="269">
        <f>★図7!E11/10000</f>
        <v>86.253728205168557</v>
      </c>
    </row>
    <row r="12" spans="1:5">
      <c r="A12" s="129">
        <v>1990</v>
      </c>
      <c r="B12" s="269">
        <f>★図7!B12/10000</f>
        <v>93.001869481936907</v>
      </c>
      <c r="C12" s="269">
        <f>★図7!C12/10000</f>
        <v>93.001869481936907</v>
      </c>
      <c r="D12" s="269">
        <f>★図7!D12/10000</f>
        <v>93.001869481936907</v>
      </c>
      <c r="E12" s="269">
        <f>★図7!E12/10000</f>
        <v>93.001869481936907</v>
      </c>
    </row>
    <row r="13" spans="1:5">
      <c r="A13" s="129">
        <v>1991</v>
      </c>
      <c r="B13" s="269">
        <f>★図7!B13/10000</f>
        <v>93.007407912184632</v>
      </c>
      <c r="C13" s="269">
        <f>★図7!C13/10000</f>
        <v>93.007407912184632</v>
      </c>
      <c r="D13" s="269">
        <f>★図7!D13/10000</f>
        <v>93.007407912184632</v>
      </c>
      <c r="E13" s="269">
        <f>★図7!E13/10000</f>
        <v>93.007407912184632</v>
      </c>
    </row>
    <row r="14" spans="1:5">
      <c r="A14" s="129">
        <v>1992</v>
      </c>
      <c r="B14" s="269">
        <f>★図7!B14/10000</f>
        <v>93.624337829754367</v>
      </c>
      <c r="C14" s="269">
        <f>★図7!C14/10000</f>
        <v>93.624337829754367</v>
      </c>
      <c r="D14" s="269">
        <f>★図7!D14/10000</f>
        <v>93.624337829754367</v>
      </c>
      <c r="E14" s="269">
        <f>★図7!E14/10000</f>
        <v>93.624337829754367</v>
      </c>
    </row>
    <row r="15" spans="1:5">
      <c r="A15" s="129">
        <v>1993</v>
      </c>
      <c r="B15" s="269">
        <f>★図7!B15/10000</f>
        <v>91.15208117216828</v>
      </c>
      <c r="C15" s="269">
        <f>★図7!C15/10000</f>
        <v>91.15208117216828</v>
      </c>
      <c r="D15" s="269">
        <f>★図7!D15/10000</f>
        <v>91.15208117216828</v>
      </c>
      <c r="E15" s="269">
        <f>★図7!E15/10000</f>
        <v>91.15208117216828</v>
      </c>
    </row>
    <row r="16" spans="1:5">
      <c r="A16" s="129">
        <v>1994</v>
      </c>
      <c r="B16" s="269">
        <f>★図7!B16/10000</f>
        <v>87.92687013193536</v>
      </c>
      <c r="C16" s="269">
        <f>★図7!C16/10000</f>
        <v>87.92687013193536</v>
      </c>
      <c r="D16" s="269">
        <f>★図7!D16/10000</f>
        <v>87.92687013193536</v>
      </c>
      <c r="E16" s="269">
        <f>★図7!E16/10000</f>
        <v>87.92687013193536</v>
      </c>
    </row>
    <row r="17" spans="1:5">
      <c r="A17" s="129">
        <v>1995</v>
      </c>
      <c r="B17" s="269">
        <f>★図7!B17/10000</f>
        <v>85.291185695646433</v>
      </c>
      <c r="C17" s="269">
        <f>★図7!C17/10000</f>
        <v>85.291185695646433</v>
      </c>
      <c r="D17" s="269">
        <f>★図7!D17/10000</f>
        <v>85.291185695646433</v>
      </c>
      <c r="E17" s="269">
        <f>★図7!E17/10000</f>
        <v>85.291185695646433</v>
      </c>
    </row>
    <row r="18" spans="1:5">
      <c r="A18" s="129">
        <v>1996</v>
      </c>
      <c r="B18" s="269">
        <f>★図7!B18/10000</f>
        <v>91.379542875690703</v>
      </c>
      <c r="C18" s="269">
        <f>★図7!C18/10000</f>
        <v>91.379542875690703</v>
      </c>
      <c r="D18" s="269">
        <f>★図7!D18/10000</f>
        <v>91.379542875690703</v>
      </c>
      <c r="E18" s="269">
        <f>★図7!E18/10000</f>
        <v>91.379542875690703</v>
      </c>
    </row>
    <row r="19" spans="1:5">
      <c r="A19" s="129">
        <v>1997</v>
      </c>
      <c r="B19" s="269">
        <f>★図7!B19/10000</f>
        <v>84.214724991048442</v>
      </c>
      <c r="C19" s="269">
        <f>★図7!C19/10000</f>
        <v>84.214724991048442</v>
      </c>
      <c r="D19" s="269">
        <f>★図7!D19/10000</f>
        <v>84.214724991048442</v>
      </c>
      <c r="E19" s="269">
        <f>★図7!E19/10000</f>
        <v>84.214724991048442</v>
      </c>
    </row>
    <row r="20" spans="1:5">
      <c r="A20" s="129">
        <v>1998</v>
      </c>
      <c r="B20" s="269">
        <f>★図7!B20/10000</f>
        <v>79.212836784281521</v>
      </c>
      <c r="C20" s="269">
        <f>★図7!C20/10000</f>
        <v>79.212836784281521</v>
      </c>
      <c r="D20" s="269">
        <f>★図7!D20/10000</f>
        <v>79.212836784281521</v>
      </c>
      <c r="E20" s="269">
        <f>★図7!E20/10000</f>
        <v>79.212836784281521</v>
      </c>
    </row>
    <row r="21" spans="1:5">
      <c r="A21" s="129">
        <v>1999</v>
      </c>
      <c r="B21" s="269">
        <f>★図7!B21/10000</f>
        <v>77.995531695557034</v>
      </c>
      <c r="C21" s="269">
        <f>★図7!C21/10000</f>
        <v>77.995531695557034</v>
      </c>
      <c r="D21" s="269">
        <f>★図7!D21/10000</f>
        <v>77.995531695557034</v>
      </c>
      <c r="E21" s="269">
        <f>★図7!E21/10000</f>
        <v>77.995531695557034</v>
      </c>
    </row>
    <row r="22" spans="1:5">
      <c r="A22" s="129">
        <v>2000</v>
      </c>
      <c r="B22" s="269">
        <f>★図7!B22/10000</f>
        <v>73.537797712155438</v>
      </c>
      <c r="C22" s="269">
        <f>★図7!C22/10000</f>
        <v>73.537797712155438</v>
      </c>
      <c r="D22" s="269">
        <f>★図7!D22/10000</f>
        <v>73.537797712155438</v>
      </c>
      <c r="E22" s="269">
        <f>★図7!E22/10000</f>
        <v>73.537797712155438</v>
      </c>
    </row>
    <row r="23" spans="1:5">
      <c r="A23" s="129">
        <v>2001</v>
      </c>
      <c r="B23" s="269">
        <f>★図7!B23/10000</f>
        <v>71.218682389267883</v>
      </c>
      <c r="C23" s="269">
        <f>★図7!C23/10000</f>
        <v>71.218682389267883</v>
      </c>
      <c r="D23" s="269">
        <f>★図7!D23/10000</f>
        <v>71.218682389267883</v>
      </c>
      <c r="E23" s="269">
        <f>★図7!E23/10000</f>
        <v>71.218682389267883</v>
      </c>
    </row>
    <row r="24" spans="1:5">
      <c r="A24" s="129">
        <v>2002</v>
      </c>
      <c r="B24" s="269">
        <f>★図7!B24/10000</f>
        <v>66.639352951853184</v>
      </c>
      <c r="C24" s="269">
        <f>★図7!C24/10000</f>
        <v>66.639352951853184</v>
      </c>
      <c r="D24" s="269">
        <f>★図7!D24/10000</f>
        <v>66.639352951853184</v>
      </c>
      <c r="E24" s="269">
        <f>★図7!E24/10000</f>
        <v>66.639352951853184</v>
      </c>
    </row>
    <row r="25" spans="1:5">
      <c r="A25" s="129">
        <v>2003</v>
      </c>
      <c r="B25" s="269">
        <f>★図7!B25/10000</f>
        <v>62.460839192366635</v>
      </c>
      <c r="C25" s="269">
        <f>★図7!C25/10000</f>
        <v>62.460839192366635</v>
      </c>
      <c r="D25" s="269">
        <f>★図7!D25/10000</f>
        <v>62.460839192366635</v>
      </c>
      <c r="E25" s="269">
        <f>★図7!E25/10000</f>
        <v>62.460839192366635</v>
      </c>
    </row>
    <row r="26" spans="1:5">
      <c r="A26" s="129">
        <v>2004</v>
      </c>
      <c r="B26" s="269">
        <f>★図7!B26/10000</f>
        <v>59.792852910741175</v>
      </c>
      <c r="C26" s="269">
        <f>★図7!C26/10000</f>
        <v>59.792852910741175</v>
      </c>
      <c r="D26" s="269">
        <f>★図7!D26/10000</f>
        <v>59.792852910741175</v>
      </c>
      <c r="E26" s="269">
        <f>★図7!E26/10000</f>
        <v>59.792852910741175</v>
      </c>
    </row>
    <row r="27" spans="1:5">
      <c r="A27" s="129">
        <v>2005</v>
      </c>
      <c r="B27" s="269">
        <f>★図7!B27/10000</f>
        <v>57.899793350860477</v>
      </c>
      <c r="C27" s="269">
        <f>★図7!C27/10000</f>
        <v>57.899793350860477</v>
      </c>
      <c r="D27" s="269">
        <f>★図7!D27/10000</f>
        <v>57.899793350860477</v>
      </c>
      <c r="E27" s="269">
        <f>★図7!E27/10000</f>
        <v>57.899793350860477</v>
      </c>
    </row>
    <row r="28" spans="1:5">
      <c r="A28" s="129">
        <v>2006</v>
      </c>
      <c r="B28" s="269">
        <f>★図7!B28/10000</f>
        <v>56.504847532275413</v>
      </c>
      <c r="C28" s="269">
        <f>★図7!C28/10000</f>
        <v>56.504847532275413</v>
      </c>
      <c r="D28" s="269">
        <f>★図7!D28/10000</f>
        <v>56.504847532275413</v>
      </c>
      <c r="E28" s="269">
        <f>★図7!E28/10000</f>
        <v>56.504847532275413</v>
      </c>
    </row>
    <row r="29" spans="1:5">
      <c r="A29" s="129">
        <v>2007</v>
      </c>
      <c r="B29" s="269">
        <f>★図7!B29/10000</f>
        <v>52.375461380397788</v>
      </c>
      <c r="C29" s="269">
        <f>★図7!C29/10000</f>
        <v>52.375461380397788</v>
      </c>
      <c r="D29" s="269">
        <f>★図7!D29/10000</f>
        <v>52.375461380397788</v>
      </c>
      <c r="E29" s="269">
        <f>★図7!E29/10000</f>
        <v>52.375461380397788</v>
      </c>
    </row>
    <row r="30" spans="1:5">
      <c r="A30" s="129">
        <v>2008</v>
      </c>
      <c r="B30" s="269">
        <f>★図7!B30/10000</f>
        <v>49.893397362326738</v>
      </c>
      <c r="C30" s="269">
        <f>★図7!C30/10000</f>
        <v>49.893397362326738</v>
      </c>
      <c r="D30" s="269">
        <f>★図7!D30/10000</f>
        <v>49.893397362326738</v>
      </c>
      <c r="E30" s="269">
        <f>★図7!E30/10000</f>
        <v>49.893397362326738</v>
      </c>
    </row>
    <row r="31" spans="1:5">
      <c r="A31" s="129">
        <v>2009</v>
      </c>
      <c r="B31" s="269">
        <f>★図7!B31/10000</f>
        <v>46.274517776524192</v>
      </c>
      <c r="C31" s="269">
        <f>★図7!C31/10000</f>
        <v>46.274517776524192</v>
      </c>
      <c r="D31" s="269">
        <f>★図7!D31/10000</f>
        <v>46.274517776524192</v>
      </c>
      <c r="E31" s="269">
        <f>★図7!E31/10000</f>
        <v>46.274517776524192</v>
      </c>
    </row>
    <row r="32" spans="1:5">
      <c r="A32" s="129">
        <v>2010</v>
      </c>
      <c r="B32" s="269">
        <f>★図7!B32/10000</f>
        <v>44.697776782772671</v>
      </c>
      <c r="C32" s="269">
        <f>★図7!C32/10000</f>
        <v>44.697776782772671</v>
      </c>
      <c r="D32" s="269">
        <f>★図7!D32/10000</f>
        <v>44.697776782772671</v>
      </c>
      <c r="E32" s="269">
        <f>★図7!E32/10000</f>
        <v>44.697776782772671</v>
      </c>
    </row>
    <row r="33" spans="1:5">
      <c r="A33" s="129">
        <v>2011</v>
      </c>
      <c r="B33" s="269">
        <f>★図7!B33/10000</f>
        <v>44.606994860838995</v>
      </c>
      <c r="C33" s="269">
        <f>★図7!C33/10000</f>
        <v>44.606994860838995</v>
      </c>
      <c r="D33" s="269">
        <f>★図7!D33/10000</f>
        <v>44.606994860838995</v>
      </c>
      <c r="E33" s="269">
        <f>★図7!E33/10000</f>
        <v>44.606994860838995</v>
      </c>
    </row>
    <row r="34" spans="1:5">
      <c r="A34" s="129">
        <v>2012</v>
      </c>
      <c r="B34" s="269">
        <f>★図7!B34/10000</f>
        <v>44.968161798681095</v>
      </c>
      <c r="C34" s="269">
        <f>★図7!C34/10000</f>
        <v>44.968161798681095</v>
      </c>
      <c r="D34" s="269">
        <f>★図7!D34/10000</f>
        <v>44.968161798681095</v>
      </c>
      <c r="E34" s="269">
        <f>★図7!E34/10000</f>
        <v>44.968161798681095</v>
      </c>
    </row>
    <row r="35" spans="1:5">
      <c r="A35" s="129">
        <v>2013</v>
      </c>
      <c r="B35" s="269">
        <f>★図7!B35/10000</f>
        <v>48.819848128962548</v>
      </c>
      <c r="C35" s="269">
        <f>★図7!C35/10000</f>
        <v>48.819848128962548</v>
      </c>
      <c r="D35" s="269">
        <f>★図7!D35/10000</f>
        <v>48.819848128962548</v>
      </c>
      <c r="E35" s="269">
        <f>★図7!E35/10000</f>
        <v>48.819848128962548</v>
      </c>
    </row>
    <row r="36" spans="1:5">
      <c r="A36" s="129">
        <v>2014</v>
      </c>
      <c r="B36" s="269">
        <f>★図7!B36/10000</f>
        <v>48.559379057289568</v>
      </c>
      <c r="C36" s="269">
        <f>★図7!C36/10000</f>
        <v>48.559379057289568</v>
      </c>
      <c r="D36" s="269">
        <f>★図7!D36/10000</f>
        <v>48.559379057289568</v>
      </c>
      <c r="E36" s="269">
        <f>★図7!E36/10000</f>
        <v>48.559379057289568</v>
      </c>
    </row>
    <row r="37" spans="1:5">
      <c r="A37" s="129">
        <v>2015</v>
      </c>
      <c r="B37" s="269">
        <f>★図7!B37/10000</f>
        <v>53.957338020544512</v>
      </c>
      <c r="C37" s="269">
        <f>★図7!C37/10000</f>
        <v>53.957338020544512</v>
      </c>
      <c r="D37" s="269">
        <f>★図7!D37/10000</f>
        <v>53.957338020544512</v>
      </c>
      <c r="E37" s="269">
        <f>★図7!E37/10000</f>
        <v>53.957338020544512</v>
      </c>
    </row>
    <row r="38" spans="1:5">
      <c r="A38" s="129">
        <v>2016</v>
      </c>
      <c r="B38" s="269">
        <f>★図7!B38/10000</f>
        <v>58.1088236980126</v>
      </c>
      <c r="C38" s="269">
        <f>★図7!C38/10000</f>
        <v>58.1088236980126</v>
      </c>
      <c r="D38" s="269">
        <f>★図7!D38/10000</f>
        <v>58.1088236980126</v>
      </c>
      <c r="E38" s="269">
        <f>★図7!E38/10000</f>
        <v>58.1088236980126</v>
      </c>
    </row>
    <row r="39" spans="1:5">
      <c r="A39" s="129">
        <v>2017</v>
      </c>
      <c r="B39" s="269">
        <f>★図7!B39/10000</f>
        <v>59.917292942574221</v>
      </c>
      <c r="C39" s="269">
        <f>★図7!C39/10000</f>
        <v>59.917292942574221</v>
      </c>
      <c r="D39" s="269">
        <f>★図7!D39/10000</f>
        <v>59.917292942574221</v>
      </c>
      <c r="E39" s="269">
        <f>★図7!E39/10000</f>
        <v>59.917292942574221</v>
      </c>
    </row>
    <row r="40" spans="1:5">
      <c r="A40" s="129">
        <v>2018</v>
      </c>
      <c r="B40" s="269">
        <f>★図7!B40/10000</f>
        <v>58.832847782626693</v>
      </c>
      <c r="C40" s="269">
        <f>★図7!C40/10000</f>
        <v>58.832847782626693</v>
      </c>
      <c r="D40" s="269">
        <f>★図7!D40/10000</f>
        <v>58.832847782626693</v>
      </c>
      <c r="E40" s="269">
        <f>★図7!E40/10000</f>
        <v>58.832847782626693</v>
      </c>
    </row>
    <row r="41" spans="1:5">
      <c r="A41" s="129">
        <v>2019</v>
      </c>
      <c r="B41" s="269">
        <f>★図7!B41/10000</f>
        <v>58.327032016486555</v>
      </c>
      <c r="C41" s="269">
        <f>★図7!C41/10000</f>
        <v>58.327032016486555</v>
      </c>
      <c r="D41" s="269">
        <f>★図7!D41/10000</f>
        <v>58.327032016486555</v>
      </c>
      <c r="E41" s="269">
        <f>★図7!E41/10000</f>
        <v>58.327032016486555</v>
      </c>
    </row>
    <row r="42" spans="1:5">
      <c r="A42" s="129">
        <v>2020</v>
      </c>
      <c r="B42" s="269">
        <f>★図7!B42/10000</f>
        <v>56.566115425904549</v>
      </c>
      <c r="C42" s="269">
        <f>★図7!C42/10000</f>
        <v>56.566115425904549</v>
      </c>
      <c r="D42" s="269">
        <f>★図7!D42/10000</f>
        <v>56.566115425904549</v>
      </c>
      <c r="E42" s="269">
        <f>★図7!E42/10000</f>
        <v>56.566115425904549</v>
      </c>
    </row>
    <row r="43" spans="1:5">
      <c r="A43" s="129">
        <v>2021</v>
      </c>
      <c r="B43" s="269">
        <f>★図7!B43/10000</f>
        <v>56.763666163192902</v>
      </c>
      <c r="C43" s="269">
        <f>★図7!C43/10000</f>
        <v>56.763666163192902</v>
      </c>
      <c r="D43" s="269">
        <f>★図7!D43/10000</f>
        <v>56.763666163192902</v>
      </c>
      <c r="E43" s="269">
        <f>★図7!E43/10000</f>
        <v>56.763666163192902</v>
      </c>
    </row>
    <row r="44" spans="1:5">
      <c r="A44" s="129">
        <v>2022</v>
      </c>
      <c r="B44" s="269">
        <f>★図7!B44/10000</f>
        <v>57.458868916883702</v>
      </c>
      <c r="C44" s="269">
        <f>★図7!C44/10000</f>
        <v>57.458868916883702</v>
      </c>
      <c r="D44" s="269">
        <f>★図7!D44/10000</f>
        <v>57.458868916883702</v>
      </c>
      <c r="E44" s="269">
        <f>★図7!E44/10000</f>
        <v>57.458868916883702</v>
      </c>
    </row>
    <row r="45" spans="1:5">
      <c r="A45" s="129">
        <v>2023</v>
      </c>
      <c r="B45" s="269">
        <f>★図7!B45/10000</f>
        <v>58.042768393034059</v>
      </c>
      <c r="C45" s="269">
        <f>★図7!C45/10000</f>
        <v>56.014261845727745</v>
      </c>
      <c r="D45" s="269">
        <f>★図7!D45/10000</f>
        <v>56.970646246295878</v>
      </c>
    </row>
    <row r="46" spans="1:5">
      <c r="A46" s="129">
        <v>2024</v>
      </c>
      <c r="B46" s="269">
        <f>★図7!B46/10000</f>
        <v>60.205181867849952</v>
      </c>
      <c r="C46" s="269">
        <f>★図7!C46/10000</f>
        <v>56.485257580918571</v>
      </c>
      <c r="D46" s="269">
        <f>★図7!D46/10000</f>
        <v>57.741150054689136</v>
      </c>
    </row>
    <row r="47" spans="1:5">
      <c r="A47" s="129">
        <v>2025</v>
      </c>
      <c r="B47" s="269">
        <f>★図7!B47/10000</f>
        <v>62.465431417205473</v>
      </c>
      <c r="C47" s="269">
        <f>★図7!C47/10000</f>
        <v>56.954844718869786</v>
      </c>
      <c r="D47" s="269">
        <f>★図7!D47/10000</f>
        <v>58.524558345073416</v>
      </c>
    </row>
    <row r="48" spans="1:5">
      <c r="A48" s="129">
        <v>2026</v>
      </c>
      <c r="B48" s="269">
        <f>★図7!B48/10000</f>
        <v>64.799516402449726</v>
      </c>
      <c r="C48" s="269">
        <f>★図7!C48/10000</f>
        <v>56.848294817577695</v>
      </c>
      <c r="D48" s="269">
        <f>★図7!D48/10000</f>
        <v>59.37579851607159</v>
      </c>
    </row>
    <row r="49" spans="1:9">
      <c r="A49" s="129">
        <v>2027</v>
      </c>
      <c r="B49" s="269">
        <f>★図7!B49/10000</f>
        <v>67.237168962413904</v>
      </c>
      <c r="C49" s="269">
        <f>★図7!C49/10000</f>
        <v>56.708082765638721</v>
      </c>
      <c r="D49" s="269">
        <f>★図7!D49/10000</f>
        <v>60.242502919215056</v>
      </c>
    </row>
    <row r="50" spans="1:9">
      <c r="A50" s="129">
        <v>2028</v>
      </c>
      <c r="B50" s="269">
        <f>★図7!B50/10000</f>
        <v>69.782613955719071</v>
      </c>
      <c r="C50" s="269">
        <f>★図7!C50/10000</f>
        <v>56.532425858752035</v>
      </c>
      <c r="D50" s="269">
        <f>★図7!D50/10000</f>
        <v>61.124666109846011</v>
      </c>
    </row>
    <row r="51" spans="1:9">
      <c r="A51" s="129">
        <v>2029</v>
      </c>
      <c r="B51" s="269">
        <f>★図7!B51/10000</f>
        <v>72.440260673150462</v>
      </c>
      <c r="C51" s="269">
        <f>★図7!C51/10000</f>
        <v>56.319472271824921</v>
      </c>
      <c r="D51" s="269">
        <f>★図7!D51/10000</f>
        <v>62.022284439877815</v>
      </c>
    </row>
    <row r="52" spans="1:9">
      <c r="A52" s="129">
        <v>2030</v>
      </c>
      <c r="B52" s="269">
        <f>★図7!B52/10000</f>
        <v>75.214709908079413</v>
      </c>
      <c r="C52" s="269">
        <f>★図7!C52/10000</f>
        <v>56.067297439117709</v>
      </c>
      <c r="D52" s="269">
        <f>★図7!D52/10000</f>
        <v>62.935355610930827</v>
      </c>
    </row>
    <row r="53" spans="1:9">
      <c r="A53" s="129">
        <v>2031</v>
      </c>
      <c r="B53" s="269">
        <f>★図7!B53/10000</f>
        <v>78.043256131113978</v>
      </c>
      <c r="C53" s="269">
        <f>★図7!C53/10000</f>
        <v>55.943151221501935</v>
      </c>
      <c r="D53" s="269">
        <f>★図7!D53/10000</f>
        <v>63.842955364158691</v>
      </c>
    </row>
    <row r="54" spans="1:9">
      <c r="A54" s="129">
        <v>2032</v>
      </c>
      <c r="B54" s="269">
        <f>★図7!B54/10000</f>
        <v>80.992163332322505</v>
      </c>
      <c r="C54" s="269">
        <f>★図7!C54/10000</f>
        <v>55.785275516979212</v>
      </c>
      <c r="D54" s="269">
        <f>★図7!D54/10000</f>
        <v>64.764939419511407</v>
      </c>
    </row>
    <row r="55" spans="1:9">
      <c r="A55" s="129">
        <v>2033</v>
      </c>
      <c r="B55" s="269">
        <f>★図7!B55/10000</f>
        <v>84.066205136473499</v>
      </c>
      <c r="C55" s="269">
        <f>★図7!C55/10000</f>
        <v>55.591878819111571</v>
      </c>
      <c r="D55" s="269">
        <f>★図7!D55/10000</f>
        <v>65.701270126918814</v>
      </c>
    </row>
    <row r="56" spans="1:9">
      <c r="A56" s="129">
        <v>2034</v>
      </c>
      <c r="B56" s="269">
        <f>★図7!B56/10000</f>
        <v>87.27035002023166</v>
      </c>
      <c r="C56" s="269">
        <f>★図7!C56/10000</f>
        <v>55.361100173429932</v>
      </c>
      <c r="D56" s="269">
        <f>★図7!D56/10000</f>
        <v>66.651908257156151</v>
      </c>
    </row>
    <row r="57" spans="1:9">
      <c r="A57" s="129">
        <v>2035</v>
      </c>
      <c r="B57" s="269">
        <f>★図7!B57/10000</f>
        <v>90.609768438297777</v>
      </c>
      <c r="C57" s="269">
        <f>★図7!C57/10000</f>
        <v>55.091005515889577</v>
      </c>
      <c r="D57" s="269">
        <f>★図7!D57/10000</f>
        <v>67.61681256429506</v>
      </c>
    </row>
    <row r="58" spans="1:9">
      <c r="A58" s="129">
        <v>2036</v>
      </c>
      <c r="B58" s="269">
        <f>★図7!B58/10000</f>
        <v>94.019035485915765</v>
      </c>
      <c r="C58" s="269">
        <f>★図7!C58/10000</f>
        <v>54.998187867012156</v>
      </c>
      <c r="D58" s="269">
        <f>★図7!D58/10000</f>
        <v>68.560895707740968</v>
      </c>
    </row>
    <row r="59" spans="1:9">
      <c r="A59" s="129">
        <v>2037</v>
      </c>
      <c r="B59" s="269">
        <f>★図7!B59/10000</f>
        <v>97.567851433051359</v>
      </c>
      <c r="C59" s="269">
        <f>★図7!C59/10000</f>
        <v>54.874277491016002</v>
      </c>
      <c r="D59" s="269">
        <f>★図7!D59/10000</f>
        <v>69.517339188168691</v>
      </c>
    </row>
    <row r="60" spans="1:9">
      <c r="A60" s="129">
        <v>2038</v>
      </c>
      <c r="B60" s="269">
        <f>★図7!B60/10000</f>
        <v>101.26155892792538</v>
      </c>
      <c r="C60" s="269">
        <f>★図7!C60/10000</f>
        <v>54.717580222606436</v>
      </c>
      <c r="D60" s="269">
        <f>★図7!D60/10000</f>
        <v>70.486031100598709</v>
      </c>
    </row>
    <row r="61" spans="1:9">
      <c r="A61" s="129">
        <v>2039</v>
      </c>
      <c r="B61" s="269">
        <f>★図7!B61/10000</f>
        <v>105.10570358383329</v>
      </c>
      <c r="C61" s="269">
        <f>★図7!C61/10000</f>
        <v>54.526337613813254</v>
      </c>
      <c r="D61" s="269">
        <f>★図7!D61/10000</f>
        <v>71.466853655841717</v>
      </c>
    </row>
    <row r="62" spans="1:9">
      <c r="A62" s="129">
        <v>2040</v>
      </c>
      <c r="B62" s="269">
        <f>★図7!B62/10000</f>
        <v>109.10604079699135</v>
      </c>
      <c r="C62" s="269">
        <f>★図7!C62/10000</f>
        <v>54.298723595020967</v>
      </c>
      <c r="D62" s="269">
        <f>★図7!D62/10000</f>
        <v>72.459682687175359</v>
      </c>
    </row>
    <row r="63" spans="1:9">
      <c r="H63" s="14" t="s">
        <v>415</v>
      </c>
    </row>
    <row r="64" spans="1:9">
      <c r="H64" t="s">
        <v>206</v>
      </c>
      <c r="I64">
        <v>15358.478010361399</v>
      </c>
    </row>
    <row r="65" spans="8:11">
      <c r="H65" t="s">
        <v>207</v>
      </c>
      <c r="I65">
        <v>12721.4593289405</v>
      </c>
    </row>
    <row r="66" spans="8:11">
      <c r="H66" t="s">
        <v>208</v>
      </c>
      <c r="I66">
        <v>13683.032111291401</v>
      </c>
    </row>
    <row r="67" spans="8:11">
      <c r="H67" t="s">
        <v>209</v>
      </c>
      <c r="I67">
        <v>14786.502095165901</v>
      </c>
      <c r="J67">
        <f>SUM(I64:I67)*10</f>
        <v>565494.71545759204</v>
      </c>
      <c r="K67" s="18"/>
    </row>
    <row r="68" spans="8:11">
      <c r="H68" t="s">
        <v>210</v>
      </c>
      <c r="I68">
        <v>15207.942535362101</v>
      </c>
    </row>
    <row r="69" spans="8:11">
      <c r="H69" t="s">
        <v>416</v>
      </c>
      <c r="I69">
        <v>12707.6729363142</v>
      </c>
    </row>
    <row r="70" spans="8:11">
      <c r="H70" t="s">
        <v>417</v>
      </c>
      <c r="I70">
        <v>13566.159192516499</v>
      </c>
    </row>
    <row r="71" spans="8:11">
      <c r="H71" t="s">
        <v>418</v>
      </c>
      <c r="I71">
        <v>15281.891499000099</v>
      </c>
      <c r="J71">
        <f>SUM(I68:I71)*10</f>
        <v>567636.66163192899</v>
      </c>
      <c r="K71" s="18"/>
    </row>
    <row r="72" spans="8:11">
      <c r="H72" t="s">
        <v>419</v>
      </c>
      <c r="I72">
        <v>15490.9111294676</v>
      </c>
    </row>
    <row r="73" spans="8:11">
      <c r="H73" t="s">
        <v>420</v>
      </c>
      <c r="I73">
        <v>13149.6288906276</v>
      </c>
    </row>
    <row r="74" spans="8:11">
      <c r="H74" t="s">
        <v>421</v>
      </c>
      <c r="I74">
        <v>13986.718567207899</v>
      </c>
    </row>
    <row r="75" spans="8:11">
      <c r="H75" t="s">
        <v>422</v>
      </c>
      <c r="I75">
        <v>14831.610329580601</v>
      </c>
      <c r="J75">
        <f>SUM(I72:I75)*10</f>
        <v>574588.68916883704</v>
      </c>
    </row>
    <row r="76" spans="8:11">
      <c r="H76" t="s">
        <v>423</v>
      </c>
      <c r="I76">
        <v>15157.693101905401</v>
      </c>
    </row>
  </sheetData>
  <phoneticPr fontId="1"/>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DB5E7-02F6-4A54-8FBD-B0A338AAD731}">
  <dimension ref="A1:K76"/>
  <sheetViews>
    <sheetView topLeftCell="A31" zoomScale="85" zoomScaleNormal="85" workbookViewId="0">
      <selection activeCell="J29" sqref="A1:N29"/>
    </sheetView>
  </sheetViews>
  <sheetFormatPr defaultRowHeight="18.45"/>
  <cols>
    <col min="1" max="1" width="8.84375" style="87"/>
    <col min="2" max="3" width="19" style="18" bestFit="1" customWidth="1"/>
    <col min="4" max="4" width="40.07421875" bestFit="1" customWidth="1"/>
  </cols>
  <sheetData>
    <row r="1" spans="1:5">
      <c r="A1" s="87" t="s">
        <v>7</v>
      </c>
      <c r="B1" s="17" t="s">
        <v>127</v>
      </c>
      <c r="C1" s="17" t="s">
        <v>150</v>
      </c>
      <c r="D1" s="17" t="s">
        <v>414</v>
      </c>
      <c r="E1" s="17" t="s">
        <v>413</v>
      </c>
    </row>
    <row r="2" spans="1:5">
      <c r="A2" s="129">
        <v>1980</v>
      </c>
      <c r="B2" s="273">
        <f>★TFP上昇率推計・図5!B3</f>
        <v>675611.6404715993</v>
      </c>
      <c r="C2" s="273">
        <f t="shared" ref="C2:C42" si="0">B2</f>
        <v>675611.6404715993</v>
      </c>
      <c r="D2" s="273">
        <f t="shared" ref="D2:D42" si="1">C2</f>
        <v>675611.6404715993</v>
      </c>
      <c r="E2" s="305">
        <f t="shared" ref="E2:E42" si="2">D2</f>
        <v>675611.6404715993</v>
      </c>
    </row>
    <row r="3" spans="1:5">
      <c r="A3" s="129">
        <v>1981</v>
      </c>
      <c r="B3" s="273">
        <f>★TFP上昇率推計・図5!B4</f>
        <v>656249.71464099991</v>
      </c>
      <c r="C3" s="273">
        <f t="shared" si="0"/>
        <v>656249.71464099991</v>
      </c>
      <c r="D3" s="273">
        <f t="shared" si="1"/>
        <v>656249.71464099991</v>
      </c>
      <c r="E3" s="305">
        <f t="shared" si="2"/>
        <v>656249.71464099991</v>
      </c>
    </row>
    <row r="4" spans="1:5">
      <c r="A4" s="129">
        <v>1982</v>
      </c>
      <c r="B4" s="273">
        <f>★TFP上昇率推計・図5!B5</f>
        <v>661563.22702856117</v>
      </c>
      <c r="C4" s="273">
        <f t="shared" si="0"/>
        <v>661563.22702856117</v>
      </c>
      <c r="D4" s="273">
        <f t="shared" si="1"/>
        <v>661563.22702856117</v>
      </c>
      <c r="E4" s="305">
        <f t="shared" si="2"/>
        <v>661563.22702856117</v>
      </c>
    </row>
    <row r="5" spans="1:5">
      <c r="A5" s="129">
        <v>1983</v>
      </c>
      <c r="B5" s="273">
        <f>★TFP上昇率推計・図5!B6</f>
        <v>631422.81931843865</v>
      </c>
      <c r="C5" s="273">
        <f t="shared" si="0"/>
        <v>631422.81931843865</v>
      </c>
      <c r="D5" s="273">
        <f t="shared" si="1"/>
        <v>631422.81931843865</v>
      </c>
      <c r="E5" s="305">
        <f t="shared" si="2"/>
        <v>631422.81931843865</v>
      </c>
    </row>
    <row r="6" spans="1:5">
      <c r="A6" s="129">
        <v>1984</v>
      </c>
      <c r="B6" s="273">
        <f>★TFP上昇率推計・図5!B7</f>
        <v>630596.65327656118</v>
      </c>
      <c r="C6" s="273">
        <f t="shared" si="0"/>
        <v>630596.65327656118</v>
      </c>
      <c r="D6" s="273">
        <f t="shared" si="1"/>
        <v>630596.65327656118</v>
      </c>
      <c r="E6" s="305">
        <f t="shared" si="2"/>
        <v>630596.65327656118</v>
      </c>
    </row>
    <row r="7" spans="1:5">
      <c r="A7" s="129">
        <v>1985</v>
      </c>
      <c r="B7" s="273">
        <f>★TFP上昇率推計・図5!B8</f>
        <v>636839.49725459225</v>
      </c>
      <c r="C7" s="273">
        <f t="shared" si="0"/>
        <v>636839.49725459225</v>
      </c>
      <c r="D7" s="273">
        <f t="shared" si="1"/>
        <v>636839.49725459225</v>
      </c>
      <c r="E7" s="305">
        <f t="shared" si="2"/>
        <v>636839.49725459225</v>
      </c>
    </row>
    <row r="8" spans="1:5">
      <c r="A8" s="129">
        <v>1986</v>
      </c>
      <c r="B8" s="273">
        <f>★TFP上昇率推計・図5!B9</f>
        <v>682921.15114852693</v>
      </c>
      <c r="C8" s="273">
        <f t="shared" si="0"/>
        <v>682921.15114852693</v>
      </c>
      <c r="D8" s="273">
        <f t="shared" si="1"/>
        <v>682921.15114852693</v>
      </c>
      <c r="E8" s="305">
        <f t="shared" si="2"/>
        <v>682921.15114852693</v>
      </c>
    </row>
    <row r="9" spans="1:5">
      <c r="A9" s="129">
        <v>1987</v>
      </c>
      <c r="B9" s="273">
        <f>★TFP上昇率推計・図5!B10</f>
        <v>755747.79202608461</v>
      </c>
      <c r="C9" s="273">
        <f t="shared" si="0"/>
        <v>755747.79202608461</v>
      </c>
      <c r="D9" s="273">
        <f t="shared" si="1"/>
        <v>755747.79202608461</v>
      </c>
      <c r="E9" s="305">
        <f t="shared" si="2"/>
        <v>755747.79202608461</v>
      </c>
    </row>
    <row r="10" spans="1:5">
      <c r="A10" s="129">
        <v>1988</v>
      </c>
      <c r="B10" s="273">
        <f>★TFP上昇率推計・図5!B11</f>
        <v>830812.55366915325</v>
      </c>
      <c r="C10" s="273">
        <f t="shared" si="0"/>
        <v>830812.55366915325</v>
      </c>
      <c r="D10" s="273">
        <f t="shared" si="1"/>
        <v>830812.55366915325</v>
      </c>
      <c r="E10" s="305">
        <f t="shared" si="2"/>
        <v>830812.55366915325</v>
      </c>
    </row>
    <row r="11" spans="1:5">
      <c r="A11" s="129">
        <v>1989</v>
      </c>
      <c r="B11" s="273">
        <f>★TFP上昇率推計・図5!B12</f>
        <v>862537.2820516855</v>
      </c>
      <c r="C11" s="273">
        <f t="shared" si="0"/>
        <v>862537.2820516855</v>
      </c>
      <c r="D11" s="273">
        <f t="shared" si="1"/>
        <v>862537.2820516855</v>
      </c>
      <c r="E11" s="305">
        <f t="shared" si="2"/>
        <v>862537.2820516855</v>
      </c>
    </row>
    <row r="12" spans="1:5">
      <c r="A12" s="129">
        <v>1990</v>
      </c>
      <c r="B12" s="273">
        <f>★TFP上昇率推計・図5!B13</f>
        <v>930018.694819369</v>
      </c>
      <c r="C12" s="273">
        <f t="shared" si="0"/>
        <v>930018.694819369</v>
      </c>
      <c r="D12" s="273">
        <f t="shared" si="1"/>
        <v>930018.694819369</v>
      </c>
      <c r="E12" s="305">
        <f t="shared" si="2"/>
        <v>930018.694819369</v>
      </c>
    </row>
    <row r="13" spans="1:5">
      <c r="A13" s="129">
        <v>1991</v>
      </c>
      <c r="B13" s="273">
        <f>★TFP上昇率推計・図5!B14</f>
        <v>930074.07912184636</v>
      </c>
      <c r="C13" s="273">
        <f t="shared" si="0"/>
        <v>930074.07912184636</v>
      </c>
      <c r="D13" s="273">
        <f t="shared" si="1"/>
        <v>930074.07912184636</v>
      </c>
      <c r="E13" s="305">
        <f t="shared" si="2"/>
        <v>930074.07912184636</v>
      </c>
    </row>
    <row r="14" spans="1:5">
      <c r="A14" s="129">
        <v>1992</v>
      </c>
      <c r="B14" s="273">
        <f>★TFP上昇率推計・図5!B15</f>
        <v>936243.37829754362</v>
      </c>
      <c r="C14" s="273">
        <f t="shared" si="0"/>
        <v>936243.37829754362</v>
      </c>
      <c r="D14" s="273">
        <f t="shared" si="1"/>
        <v>936243.37829754362</v>
      </c>
      <c r="E14" s="305">
        <f t="shared" si="2"/>
        <v>936243.37829754362</v>
      </c>
    </row>
    <row r="15" spans="1:5">
      <c r="A15" s="129">
        <v>1993</v>
      </c>
      <c r="B15" s="273">
        <f>★TFP上昇率推計・図5!B16</f>
        <v>911520.81172168278</v>
      </c>
      <c r="C15" s="273">
        <f t="shared" si="0"/>
        <v>911520.81172168278</v>
      </c>
      <c r="D15" s="273">
        <f t="shared" si="1"/>
        <v>911520.81172168278</v>
      </c>
      <c r="E15" s="305">
        <f t="shared" si="2"/>
        <v>911520.81172168278</v>
      </c>
    </row>
    <row r="16" spans="1:5">
      <c r="A16" s="129">
        <v>1994</v>
      </c>
      <c r="B16" s="273">
        <f>★TFP上昇率推計・図5!B17</f>
        <v>879268.70131935354</v>
      </c>
      <c r="C16" s="273">
        <f t="shared" si="0"/>
        <v>879268.70131935354</v>
      </c>
      <c r="D16" s="273">
        <f t="shared" si="1"/>
        <v>879268.70131935354</v>
      </c>
      <c r="E16" s="305">
        <f t="shared" si="2"/>
        <v>879268.70131935354</v>
      </c>
    </row>
    <row r="17" spans="1:5">
      <c r="A17" s="129">
        <v>1995</v>
      </c>
      <c r="B17" s="273">
        <f>★TFP上昇率推計・図5!B18</f>
        <v>852911.85695646435</v>
      </c>
      <c r="C17" s="273">
        <f t="shared" si="0"/>
        <v>852911.85695646435</v>
      </c>
      <c r="D17" s="273">
        <f t="shared" si="1"/>
        <v>852911.85695646435</v>
      </c>
      <c r="E17" s="305">
        <f t="shared" si="2"/>
        <v>852911.85695646435</v>
      </c>
    </row>
    <row r="18" spans="1:5">
      <c r="A18" s="129">
        <v>1996</v>
      </c>
      <c r="B18" s="273">
        <f>★TFP上昇率推計・図5!B19</f>
        <v>913795.428756907</v>
      </c>
      <c r="C18" s="273">
        <f t="shared" si="0"/>
        <v>913795.428756907</v>
      </c>
      <c r="D18" s="273">
        <f t="shared" si="1"/>
        <v>913795.428756907</v>
      </c>
      <c r="E18" s="305">
        <f t="shared" si="2"/>
        <v>913795.428756907</v>
      </c>
    </row>
    <row r="19" spans="1:5">
      <c r="A19" s="129">
        <v>1997</v>
      </c>
      <c r="B19" s="273">
        <f>★TFP上昇率推計・図5!B20</f>
        <v>842147.24991048442</v>
      </c>
      <c r="C19" s="273">
        <f t="shared" si="0"/>
        <v>842147.24991048442</v>
      </c>
      <c r="D19" s="273">
        <f t="shared" si="1"/>
        <v>842147.24991048442</v>
      </c>
      <c r="E19" s="305">
        <f t="shared" si="2"/>
        <v>842147.24991048442</v>
      </c>
    </row>
    <row r="20" spans="1:5">
      <c r="A20" s="129">
        <v>1998</v>
      </c>
      <c r="B20" s="273">
        <f>★TFP上昇率推計・図5!B21</f>
        <v>792128.36784281523</v>
      </c>
      <c r="C20" s="273">
        <f t="shared" si="0"/>
        <v>792128.36784281523</v>
      </c>
      <c r="D20" s="273">
        <f t="shared" si="1"/>
        <v>792128.36784281523</v>
      </c>
      <c r="E20" s="305">
        <f t="shared" si="2"/>
        <v>792128.36784281523</v>
      </c>
    </row>
    <row r="21" spans="1:5">
      <c r="A21" s="129">
        <v>1999</v>
      </c>
      <c r="B21" s="273">
        <f>★TFP上昇率推計・図5!B22</f>
        <v>779955.31695557036</v>
      </c>
      <c r="C21" s="273">
        <f t="shared" si="0"/>
        <v>779955.31695557036</v>
      </c>
      <c r="D21" s="273">
        <f t="shared" si="1"/>
        <v>779955.31695557036</v>
      </c>
      <c r="E21" s="305">
        <f t="shared" si="2"/>
        <v>779955.31695557036</v>
      </c>
    </row>
    <row r="22" spans="1:5">
      <c r="A22" s="129">
        <v>2000</v>
      </c>
      <c r="B22" s="273">
        <f>★TFP上昇率推計・図5!B23</f>
        <v>735377.97712155432</v>
      </c>
      <c r="C22" s="273">
        <f t="shared" si="0"/>
        <v>735377.97712155432</v>
      </c>
      <c r="D22" s="273">
        <f t="shared" si="1"/>
        <v>735377.97712155432</v>
      </c>
      <c r="E22" s="305">
        <f t="shared" si="2"/>
        <v>735377.97712155432</v>
      </c>
    </row>
    <row r="23" spans="1:5">
      <c r="A23" s="129">
        <v>2001</v>
      </c>
      <c r="B23" s="273">
        <f>★TFP上昇率推計・図5!B24</f>
        <v>712186.82389267883</v>
      </c>
      <c r="C23" s="273">
        <f t="shared" si="0"/>
        <v>712186.82389267883</v>
      </c>
      <c r="D23" s="273">
        <f t="shared" si="1"/>
        <v>712186.82389267883</v>
      </c>
      <c r="E23" s="305">
        <f t="shared" si="2"/>
        <v>712186.82389267883</v>
      </c>
    </row>
    <row r="24" spans="1:5">
      <c r="A24" s="129">
        <v>2002</v>
      </c>
      <c r="B24" s="273">
        <f>★TFP上昇率推計・図5!B25</f>
        <v>666393.52951853187</v>
      </c>
      <c r="C24" s="273">
        <f t="shared" si="0"/>
        <v>666393.52951853187</v>
      </c>
      <c r="D24" s="273">
        <f t="shared" si="1"/>
        <v>666393.52951853187</v>
      </c>
      <c r="E24" s="305">
        <f t="shared" si="2"/>
        <v>666393.52951853187</v>
      </c>
    </row>
    <row r="25" spans="1:5">
      <c r="A25" s="129">
        <v>2003</v>
      </c>
      <c r="B25" s="273">
        <f>★TFP上昇率推計・図5!B26</f>
        <v>624608.39192366635</v>
      </c>
      <c r="C25" s="273">
        <f t="shared" si="0"/>
        <v>624608.39192366635</v>
      </c>
      <c r="D25" s="273">
        <f t="shared" si="1"/>
        <v>624608.39192366635</v>
      </c>
      <c r="E25" s="305">
        <f t="shared" si="2"/>
        <v>624608.39192366635</v>
      </c>
    </row>
    <row r="26" spans="1:5">
      <c r="A26" s="129">
        <v>2004</v>
      </c>
      <c r="B26" s="273">
        <f>★TFP上昇率推計・図5!B27</f>
        <v>597928.52910741174</v>
      </c>
      <c r="C26" s="273">
        <f t="shared" si="0"/>
        <v>597928.52910741174</v>
      </c>
      <c r="D26" s="273">
        <f t="shared" si="1"/>
        <v>597928.52910741174</v>
      </c>
      <c r="E26" s="305">
        <f t="shared" si="2"/>
        <v>597928.52910741174</v>
      </c>
    </row>
    <row r="27" spans="1:5">
      <c r="A27" s="129">
        <v>2005</v>
      </c>
      <c r="B27" s="273">
        <f>★TFP上昇率推計・図5!B28</f>
        <v>578997.93350860476</v>
      </c>
      <c r="C27" s="273">
        <f t="shared" si="0"/>
        <v>578997.93350860476</v>
      </c>
      <c r="D27" s="273">
        <f t="shared" si="1"/>
        <v>578997.93350860476</v>
      </c>
      <c r="E27" s="305">
        <f t="shared" si="2"/>
        <v>578997.93350860476</v>
      </c>
    </row>
    <row r="28" spans="1:5">
      <c r="A28" s="129">
        <v>2006</v>
      </c>
      <c r="B28" s="273">
        <f>★TFP上昇率推計・図5!B29</f>
        <v>565048.47532275412</v>
      </c>
      <c r="C28" s="273">
        <f t="shared" si="0"/>
        <v>565048.47532275412</v>
      </c>
      <c r="D28" s="273">
        <f t="shared" si="1"/>
        <v>565048.47532275412</v>
      </c>
      <c r="E28" s="305">
        <f t="shared" si="2"/>
        <v>565048.47532275412</v>
      </c>
    </row>
    <row r="29" spans="1:5">
      <c r="A29" s="129">
        <v>2007</v>
      </c>
      <c r="B29" s="273">
        <f>★TFP上昇率推計・図5!B30</f>
        <v>523754.61380397785</v>
      </c>
      <c r="C29" s="273">
        <f t="shared" si="0"/>
        <v>523754.61380397785</v>
      </c>
      <c r="D29" s="273">
        <f t="shared" si="1"/>
        <v>523754.61380397785</v>
      </c>
      <c r="E29" s="305">
        <f t="shared" si="2"/>
        <v>523754.61380397785</v>
      </c>
    </row>
    <row r="30" spans="1:5">
      <c r="A30" s="129">
        <v>2008</v>
      </c>
      <c r="B30" s="273">
        <f>★TFP上昇率推計・図5!B31</f>
        <v>498933.97362326737</v>
      </c>
      <c r="C30" s="273">
        <f t="shared" si="0"/>
        <v>498933.97362326737</v>
      </c>
      <c r="D30" s="273">
        <f t="shared" si="1"/>
        <v>498933.97362326737</v>
      </c>
      <c r="E30" s="305">
        <f t="shared" si="2"/>
        <v>498933.97362326737</v>
      </c>
    </row>
    <row r="31" spans="1:5">
      <c r="A31" s="129">
        <v>2009</v>
      </c>
      <c r="B31" s="273">
        <f>★TFP上昇率推計・図5!B32</f>
        <v>462745.17776524194</v>
      </c>
      <c r="C31" s="273">
        <f t="shared" si="0"/>
        <v>462745.17776524194</v>
      </c>
      <c r="D31" s="273">
        <f t="shared" si="1"/>
        <v>462745.17776524194</v>
      </c>
      <c r="E31" s="305">
        <f t="shared" si="2"/>
        <v>462745.17776524194</v>
      </c>
    </row>
    <row r="32" spans="1:5">
      <c r="A32" s="129">
        <v>2010</v>
      </c>
      <c r="B32" s="273">
        <f>★TFP上昇率推計・図5!B33</f>
        <v>446977.76782772673</v>
      </c>
      <c r="C32" s="273">
        <f t="shared" si="0"/>
        <v>446977.76782772673</v>
      </c>
      <c r="D32" s="273">
        <f t="shared" si="1"/>
        <v>446977.76782772673</v>
      </c>
      <c r="E32" s="305">
        <f t="shared" si="2"/>
        <v>446977.76782772673</v>
      </c>
    </row>
    <row r="33" spans="1:5">
      <c r="A33" s="129">
        <v>2011</v>
      </c>
      <c r="B33" s="273">
        <f>★TFP上昇率推計・図5!B34</f>
        <v>446069.94860838994</v>
      </c>
      <c r="C33" s="273">
        <f t="shared" si="0"/>
        <v>446069.94860838994</v>
      </c>
      <c r="D33" s="273">
        <f t="shared" si="1"/>
        <v>446069.94860838994</v>
      </c>
      <c r="E33" s="305">
        <f t="shared" si="2"/>
        <v>446069.94860838994</v>
      </c>
    </row>
    <row r="34" spans="1:5">
      <c r="A34" s="129">
        <v>2012</v>
      </c>
      <c r="B34" s="273">
        <f>★TFP上昇率推計・図5!B35</f>
        <v>449681.61798681098</v>
      </c>
      <c r="C34" s="273">
        <f t="shared" si="0"/>
        <v>449681.61798681098</v>
      </c>
      <c r="D34" s="273">
        <f t="shared" si="1"/>
        <v>449681.61798681098</v>
      </c>
      <c r="E34" s="305">
        <f t="shared" si="2"/>
        <v>449681.61798681098</v>
      </c>
    </row>
    <row r="35" spans="1:5">
      <c r="A35" s="129">
        <v>2013</v>
      </c>
      <c r="B35" s="273">
        <f>★TFP上昇率推計・図5!B36</f>
        <v>488198.48128962546</v>
      </c>
      <c r="C35" s="273">
        <f t="shared" si="0"/>
        <v>488198.48128962546</v>
      </c>
      <c r="D35" s="273">
        <f t="shared" si="1"/>
        <v>488198.48128962546</v>
      </c>
      <c r="E35" s="305">
        <f t="shared" si="2"/>
        <v>488198.48128962546</v>
      </c>
    </row>
    <row r="36" spans="1:5">
      <c r="A36" s="129">
        <v>2014</v>
      </c>
      <c r="B36" s="273">
        <f>★TFP上昇率推計・図5!B37</f>
        <v>485593.79057289567</v>
      </c>
      <c r="C36" s="273">
        <f t="shared" si="0"/>
        <v>485593.79057289567</v>
      </c>
      <c r="D36" s="273">
        <f t="shared" si="1"/>
        <v>485593.79057289567</v>
      </c>
      <c r="E36" s="305">
        <f t="shared" si="2"/>
        <v>485593.79057289567</v>
      </c>
    </row>
    <row r="37" spans="1:5">
      <c r="A37" s="129">
        <v>2015</v>
      </c>
      <c r="B37" s="273">
        <f>★TFP上昇率推計・図5!B38</f>
        <v>539573.38020544511</v>
      </c>
      <c r="C37" s="273">
        <f t="shared" si="0"/>
        <v>539573.38020544511</v>
      </c>
      <c r="D37" s="273">
        <f t="shared" si="1"/>
        <v>539573.38020544511</v>
      </c>
      <c r="E37" s="305">
        <f t="shared" si="2"/>
        <v>539573.38020544511</v>
      </c>
    </row>
    <row r="38" spans="1:5">
      <c r="A38" s="129">
        <v>2016</v>
      </c>
      <c r="B38" s="273">
        <f>★TFP上昇率推計・図5!B39</f>
        <v>581088.23698012601</v>
      </c>
      <c r="C38" s="273">
        <f t="shared" si="0"/>
        <v>581088.23698012601</v>
      </c>
      <c r="D38" s="273">
        <f t="shared" si="1"/>
        <v>581088.23698012601</v>
      </c>
      <c r="E38" s="305">
        <f t="shared" si="2"/>
        <v>581088.23698012601</v>
      </c>
    </row>
    <row r="39" spans="1:5">
      <c r="A39" s="129">
        <v>2017</v>
      </c>
      <c r="B39" s="273">
        <f>★TFP上昇率推計・図5!B40</f>
        <v>599172.92942574224</v>
      </c>
      <c r="C39" s="273">
        <f t="shared" si="0"/>
        <v>599172.92942574224</v>
      </c>
      <c r="D39" s="273">
        <f t="shared" si="1"/>
        <v>599172.92942574224</v>
      </c>
      <c r="E39" s="305">
        <f t="shared" si="2"/>
        <v>599172.92942574224</v>
      </c>
    </row>
    <row r="40" spans="1:5">
      <c r="A40" s="129">
        <v>2018</v>
      </c>
      <c r="B40" s="273">
        <f>★TFP上昇率推計・図5!B41</f>
        <v>588328.4778262669</v>
      </c>
      <c r="C40" s="273">
        <f t="shared" si="0"/>
        <v>588328.4778262669</v>
      </c>
      <c r="D40" s="273">
        <f t="shared" si="1"/>
        <v>588328.4778262669</v>
      </c>
      <c r="E40" s="305">
        <f t="shared" si="2"/>
        <v>588328.4778262669</v>
      </c>
    </row>
    <row r="41" spans="1:5">
      <c r="A41" s="129">
        <v>2019</v>
      </c>
      <c r="B41" s="273">
        <f>★TFP上昇率推計・図5!B42</f>
        <v>583270.32016486558</v>
      </c>
      <c r="C41" s="273">
        <f t="shared" si="0"/>
        <v>583270.32016486558</v>
      </c>
      <c r="D41" s="273">
        <f t="shared" si="1"/>
        <v>583270.32016486558</v>
      </c>
      <c r="E41" s="305">
        <f t="shared" si="2"/>
        <v>583270.32016486558</v>
      </c>
    </row>
    <row r="42" spans="1:5">
      <c r="A42" s="129">
        <v>2020</v>
      </c>
      <c r="B42" s="273">
        <f>★TFP上昇率推計・図5!B43</f>
        <v>565661.15425904549</v>
      </c>
      <c r="C42" s="273">
        <f t="shared" si="0"/>
        <v>565661.15425904549</v>
      </c>
      <c r="D42" s="273">
        <f t="shared" si="1"/>
        <v>565661.15425904549</v>
      </c>
      <c r="E42" s="305">
        <f t="shared" si="2"/>
        <v>565661.15425904549</v>
      </c>
    </row>
    <row r="43" spans="1:5">
      <c r="A43" s="129">
        <v>2021</v>
      </c>
      <c r="B43" s="307">
        <v>567636.66163192899</v>
      </c>
      <c r="C43" s="306">
        <f t="shared" ref="C43:E44" si="3">B43</f>
        <v>567636.66163192899</v>
      </c>
      <c r="D43" s="306">
        <f t="shared" si="3"/>
        <v>567636.66163192899</v>
      </c>
      <c r="E43" s="306">
        <f t="shared" si="3"/>
        <v>567636.66163192899</v>
      </c>
    </row>
    <row r="44" spans="1:5">
      <c r="A44" s="129">
        <v>2022</v>
      </c>
      <c r="B44" s="307">
        <v>574588.68916883704</v>
      </c>
      <c r="C44" s="306">
        <f t="shared" si="3"/>
        <v>574588.68916883704</v>
      </c>
      <c r="D44" s="306">
        <f t="shared" si="3"/>
        <v>574588.68916883704</v>
      </c>
      <c r="E44" s="306">
        <f t="shared" si="3"/>
        <v>574588.68916883704</v>
      </c>
    </row>
    <row r="45" spans="1:5">
      <c r="A45" s="129">
        <v>2023</v>
      </c>
      <c r="B45" s="273">
        <f>'供給側予測（成長実現ケース）'!S46</f>
        <v>580427.68393034057</v>
      </c>
      <c r="C45" s="273">
        <f>'供給側予測（ベースラインケース)'!S46</f>
        <v>560142.61845727742</v>
      </c>
      <c r="D45" s="273">
        <f>'供給側予測（ベースラインケース　就業率維持）'!S46</f>
        <v>569706.46246295876</v>
      </c>
    </row>
    <row r="46" spans="1:5">
      <c r="A46" s="129">
        <v>2024</v>
      </c>
      <c r="B46" s="273">
        <f>'供給側予測（成長実現ケース）'!S47</f>
        <v>602051.81867849955</v>
      </c>
      <c r="C46" s="273">
        <f>'供給側予測（ベースラインケース)'!S47</f>
        <v>564852.57580918574</v>
      </c>
      <c r="D46" s="273">
        <f>'供給側予測（ベースラインケース　就業率維持）'!S47</f>
        <v>577411.50054689136</v>
      </c>
    </row>
    <row r="47" spans="1:5">
      <c r="A47" s="129">
        <v>2025</v>
      </c>
      <c r="B47" s="273">
        <f>'供給側予測（成長実現ケース）'!S48</f>
        <v>624654.31417205476</v>
      </c>
      <c r="C47" s="273">
        <f>'供給側予測（ベースラインケース)'!S48</f>
        <v>569548.44718869787</v>
      </c>
      <c r="D47" s="273">
        <f>'供給側予測（ベースラインケース　就業率維持）'!S48</f>
        <v>585245.58345073415</v>
      </c>
    </row>
    <row r="48" spans="1:5">
      <c r="A48" s="129">
        <v>2026</v>
      </c>
      <c r="B48" s="273">
        <f>'供給側予測（成長実現ケース）'!S49</f>
        <v>647995.16402449727</v>
      </c>
      <c r="C48" s="273">
        <f>'供給側予測（ベースラインケース)'!S49</f>
        <v>568482.94817577698</v>
      </c>
      <c r="D48" s="273">
        <f>'供給側予測（ベースラインケース　就業率維持）'!S49</f>
        <v>593757.98516071588</v>
      </c>
    </row>
    <row r="49" spans="1:9">
      <c r="A49" s="129">
        <v>2027</v>
      </c>
      <c r="B49" s="273">
        <f>'供給側予測（成長実現ケース）'!S50</f>
        <v>672371.68962413899</v>
      </c>
      <c r="C49" s="273">
        <f>'供給側予測（ベースラインケース)'!S50</f>
        <v>567080.82765638724</v>
      </c>
      <c r="D49" s="273">
        <f>'供給側予測（ベースラインケース　就業率維持）'!S50</f>
        <v>602425.02919215057</v>
      </c>
    </row>
    <row r="50" spans="1:9">
      <c r="A50" s="129">
        <v>2028</v>
      </c>
      <c r="B50" s="273">
        <f>'供給側予測（成長実現ケース）'!S51</f>
        <v>697826.13955719071</v>
      </c>
      <c r="C50" s="273">
        <f>'供給側予測（ベースラインケース)'!S51</f>
        <v>565324.25858752034</v>
      </c>
      <c r="D50" s="273">
        <f>'供給側予測（ベースラインケース　就業率維持）'!S51</f>
        <v>611246.66109846008</v>
      </c>
    </row>
    <row r="51" spans="1:9">
      <c r="A51" s="129">
        <v>2029</v>
      </c>
      <c r="B51" s="273">
        <f>'供給側予測（成長実現ケース）'!S52</f>
        <v>724402.60673150455</v>
      </c>
      <c r="C51" s="273">
        <f>'供給側予測（ベースラインケース)'!S52</f>
        <v>563194.72271824919</v>
      </c>
      <c r="D51" s="273">
        <f>'供給側予測（ベースラインケース　就業率維持）'!S52</f>
        <v>620222.84439877816</v>
      </c>
    </row>
    <row r="52" spans="1:9">
      <c r="A52" s="129">
        <v>2030</v>
      </c>
      <c r="B52" s="273">
        <f>'供給側予測（成長実現ケース）'!S53</f>
        <v>752147.09908079414</v>
      </c>
      <c r="C52" s="273">
        <f>'供給側予測（ベースラインケース)'!S53</f>
        <v>560672.97439117706</v>
      </c>
      <c r="D52" s="273">
        <f>'供給側予測（ベースラインケース　就業率維持）'!S53</f>
        <v>629353.55610930827</v>
      </c>
    </row>
    <row r="53" spans="1:9">
      <c r="A53" s="129">
        <v>2031</v>
      </c>
      <c r="B53" s="273">
        <f>'供給側予測（成長実現ケース）'!S54</f>
        <v>780432.56131113984</v>
      </c>
      <c r="C53" s="273">
        <f>'供給側予測（ベースラインケース)'!S54</f>
        <v>559431.51221501932</v>
      </c>
      <c r="D53" s="273">
        <f>'供給側予測（ベースラインケース　就業率維持）'!S54</f>
        <v>638429.55364158691</v>
      </c>
    </row>
    <row r="54" spans="1:9">
      <c r="A54" s="129">
        <v>2032</v>
      </c>
      <c r="B54" s="273">
        <f>'供給側予測（成長実現ケース）'!S55</f>
        <v>809921.63332322508</v>
      </c>
      <c r="C54" s="273">
        <f>'供給側予測（ベースラインケース)'!S55</f>
        <v>557852.7551697921</v>
      </c>
      <c r="D54" s="273">
        <f>'供給側予測（ベースラインケース　就業率維持）'!S55</f>
        <v>647649.39419511403</v>
      </c>
    </row>
    <row r="55" spans="1:9">
      <c r="A55" s="129">
        <v>2033</v>
      </c>
      <c r="B55" s="273">
        <f>'供給側予測（成長実現ケース）'!S56</f>
        <v>840662.051364735</v>
      </c>
      <c r="C55" s="273">
        <f>'供給側予測（ベースラインケース)'!S56</f>
        <v>555918.78819111572</v>
      </c>
      <c r="D55" s="273">
        <f>'供給側予測（ベースラインケース　就業率維持）'!S56</f>
        <v>657012.70126918808</v>
      </c>
    </row>
    <row r="56" spans="1:9">
      <c r="A56" s="129">
        <v>2034</v>
      </c>
      <c r="B56" s="273">
        <f>'供給側予測（成長実現ケース）'!S57</f>
        <v>872703.50020231667</v>
      </c>
      <c r="C56" s="273">
        <f>'供給側予測（ベースラインケース)'!S57</f>
        <v>553611.00173429935</v>
      </c>
      <c r="D56" s="273">
        <f>'供給側予測（ベースラインケース　就業率維持）'!S57</f>
        <v>666519.08257156145</v>
      </c>
    </row>
    <row r="57" spans="1:9">
      <c r="A57" s="129">
        <v>2035</v>
      </c>
      <c r="B57" s="273">
        <f>'供給側予測（成長実現ケース）'!S58</f>
        <v>906097.68438297778</v>
      </c>
      <c r="C57" s="273">
        <f>'供給側予測（ベースラインケース)'!S58</f>
        <v>550910.05515889579</v>
      </c>
      <c r="D57" s="273">
        <f>'供給側予測（ベースラインケース　就業率維持）'!S58</f>
        <v>676168.12564295053</v>
      </c>
    </row>
    <row r="58" spans="1:9">
      <c r="A58" s="129">
        <v>2036</v>
      </c>
      <c r="B58" s="273">
        <f>'供給側予測（成長実現ケース）'!S59</f>
        <v>940190.35485915758</v>
      </c>
      <c r="C58" s="273">
        <f>'供給側予測（ベースラインケース)'!S59</f>
        <v>549981.87867012154</v>
      </c>
      <c r="D58" s="273">
        <f>'供給側予測（ベースラインケース　就業率維持）'!S59</f>
        <v>685608.95707740972</v>
      </c>
    </row>
    <row r="59" spans="1:9">
      <c r="A59" s="129">
        <v>2037</v>
      </c>
      <c r="B59" s="273">
        <f>'供給側予測（成長実現ケース）'!S60</f>
        <v>975678.51433051354</v>
      </c>
      <c r="C59" s="273">
        <f>'供給側予測（ベースラインケース)'!S60</f>
        <v>548742.77491015999</v>
      </c>
      <c r="D59" s="273">
        <f>'供給側予測（ベースラインケース　就業率維持）'!S60</f>
        <v>695173.39188168687</v>
      </c>
    </row>
    <row r="60" spans="1:9">
      <c r="A60" s="129">
        <v>2038</v>
      </c>
      <c r="B60" s="273">
        <f>'供給側予測（成長実現ケース）'!S61</f>
        <v>1012615.5892792539</v>
      </c>
      <c r="C60" s="273">
        <f>'供給側予測（ベースラインケース)'!S61</f>
        <v>547175.80222606438</v>
      </c>
      <c r="D60" s="273">
        <f>'供給側予測（ベースラインケース　就業率維持）'!S61</f>
        <v>704860.31100598711</v>
      </c>
    </row>
    <row r="61" spans="1:9">
      <c r="A61" s="129">
        <v>2039</v>
      </c>
      <c r="B61" s="273">
        <f>'供給側予測（成長実現ケース）'!S62</f>
        <v>1051057.035838333</v>
      </c>
      <c r="C61" s="273">
        <f>'供給側予測（ベースラインケース)'!S62</f>
        <v>545263.37613813253</v>
      </c>
      <c r="D61" s="273">
        <f>'供給側予測（ベースラインケース　就業率維持）'!S62</f>
        <v>714668.53655841714</v>
      </c>
    </row>
    <row r="62" spans="1:9">
      <c r="A62" s="129">
        <v>2040</v>
      </c>
      <c r="B62" s="273">
        <f>'供給側予測（成長実現ケース）'!S63</f>
        <v>1091060.4079699134</v>
      </c>
      <c r="C62" s="273">
        <f>'供給側予測（ベースラインケース)'!S63</f>
        <v>542987.23595020967</v>
      </c>
      <c r="D62" s="273">
        <f>'供給側予測（ベースラインケース　就業率維持）'!S63</f>
        <v>724596.82687175355</v>
      </c>
    </row>
    <row r="63" spans="1:9">
      <c r="H63" s="14" t="s">
        <v>415</v>
      </c>
    </row>
    <row r="64" spans="1:9">
      <c r="H64" t="s">
        <v>206</v>
      </c>
      <c r="I64">
        <v>15358.478010361399</v>
      </c>
    </row>
    <row r="65" spans="8:11">
      <c r="H65" t="s">
        <v>207</v>
      </c>
      <c r="I65">
        <v>12721.4593289405</v>
      </c>
    </row>
    <row r="66" spans="8:11">
      <c r="H66" t="s">
        <v>208</v>
      </c>
      <c r="I66">
        <v>13683.032111291401</v>
      </c>
    </row>
    <row r="67" spans="8:11">
      <c r="H67" t="s">
        <v>209</v>
      </c>
      <c r="I67">
        <v>14786.502095165901</v>
      </c>
      <c r="J67">
        <f>SUM(I64:I67)*10</f>
        <v>565494.71545759204</v>
      </c>
      <c r="K67" s="18"/>
    </row>
    <row r="68" spans="8:11">
      <c r="H68" t="s">
        <v>210</v>
      </c>
      <c r="I68">
        <v>15207.942535362101</v>
      </c>
    </row>
    <row r="69" spans="8:11">
      <c r="H69" t="s">
        <v>416</v>
      </c>
      <c r="I69">
        <v>12707.6729363142</v>
      </c>
    </row>
    <row r="70" spans="8:11">
      <c r="H70" t="s">
        <v>417</v>
      </c>
      <c r="I70">
        <v>13566.159192516499</v>
      </c>
    </row>
    <row r="71" spans="8:11">
      <c r="H71" t="s">
        <v>418</v>
      </c>
      <c r="I71">
        <v>15281.891499000099</v>
      </c>
      <c r="J71">
        <f>SUM(I68:I71)*10</f>
        <v>567636.66163192899</v>
      </c>
      <c r="K71" s="18"/>
    </row>
    <row r="72" spans="8:11">
      <c r="H72" t="s">
        <v>419</v>
      </c>
      <c r="I72">
        <v>15490.9111294676</v>
      </c>
    </row>
    <row r="73" spans="8:11">
      <c r="H73" t="s">
        <v>420</v>
      </c>
      <c r="I73">
        <v>13149.6288906276</v>
      </c>
    </row>
    <row r="74" spans="8:11">
      <c r="H74" t="s">
        <v>421</v>
      </c>
      <c r="I74">
        <v>13986.718567207899</v>
      </c>
    </row>
    <row r="75" spans="8:11">
      <c r="H75" t="s">
        <v>422</v>
      </c>
      <c r="I75">
        <v>14831.610329580601</v>
      </c>
      <c r="J75">
        <f>SUM(I72:I75)*10</f>
        <v>574588.68916883704</v>
      </c>
    </row>
    <row r="76" spans="8:11">
      <c r="H76" t="s">
        <v>423</v>
      </c>
      <c r="I76">
        <v>15157.693101905401</v>
      </c>
    </row>
  </sheetData>
  <phoneticPr fontId="1"/>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A6B59-A87E-43D8-A35C-BAF874B192AE}">
  <dimension ref="A1:AT69"/>
  <sheetViews>
    <sheetView topLeftCell="A34" zoomScale="70" zoomScaleNormal="70" workbookViewId="0">
      <selection activeCell="J44" sqref="J44"/>
    </sheetView>
  </sheetViews>
  <sheetFormatPr defaultColWidth="8.84375" defaultRowHeight="18.45" outlineLevelCol="1"/>
  <cols>
    <col min="1" max="1" width="8.84375" style="57"/>
    <col min="2" max="2" width="19.3046875" style="43" hidden="1" customWidth="1" outlineLevel="1"/>
    <col min="3" max="3" width="16.765625" style="24" hidden="1" customWidth="1" outlineLevel="1"/>
    <col min="4" max="7" width="19.07421875" style="43" hidden="1" customWidth="1" outlineLevel="1"/>
    <col min="8" max="8" width="19.07421875" style="43" bestFit="1" customWidth="1" collapsed="1"/>
    <col min="9" max="9" width="23.23046875" style="44" bestFit="1" customWidth="1"/>
    <col min="10" max="10" width="27.84375" style="44" customWidth="1"/>
    <col min="11" max="11" width="19.07421875" style="43" bestFit="1" customWidth="1"/>
    <col min="12" max="12" width="22.84375" style="44" bestFit="1" customWidth="1"/>
    <col min="13" max="13" width="28.84375" style="44" bestFit="1" customWidth="1"/>
    <col min="14" max="15" width="16.765625" style="43" bestFit="1" customWidth="1"/>
    <col min="16" max="16" width="8.84375" style="24"/>
    <col min="17" max="18" width="19.07421875" style="24" hidden="1" customWidth="1" outlineLevel="1"/>
    <col min="19" max="19" width="19.07421875" style="43" hidden="1" customWidth="1" outlineLevel="1"/>
    <col min="20" max="20" width="19.07421875" style="24" bestFit="1" customWidth="1" collapsed="1"/>
    <col min="21" max="21" width="22.69140625" style="24" hidden="1" customWidth="1" outlineLevel="1"/>
    <col min="22" max="22" width="16.4609375" style="43" bestFit="1" customWidth="1" collapsed="1"/>
    <col min="23" max="23" width="16.765625" style="43" bestFit="1" customWidth="1"/>
    <col min="24" max="24" width="8.84375" style="24"/>
    <col min="25" max="25" width="14.07421875" style="43" hidden="1" customWidth="1" outlineLevel="1"/>
    <col min="26" max="26" width="11.84375" style="43" hidden="1" customWidth="1" outlineLevel="1"/>
    <col min="27" max="27" width="16.4609375" style="44" hidden="1" customWidth="1" outlineLevel="1"/>
    <col min="28" max="28" width="18.84375" style="44" bestFit="1" customWidth="1" collapsed="1"/>
    <col min="29" max="29" width="8.84375" style="24"/>
    <col min="30" max="30" width="8.84375" style="57" hidden="1" customWidth="1" outlineLevel="1"/>
    <col min="31" max="31" width="9.69140625" style="45" hidden="1" customWidth="1" outlineLevel="1"/>
    <col min="32" max="32" width="5.765625" style="45" bestFit="1" customWidth="1" collapsed="1"/>
    <col min="33" max="33" width="11.765625" style="44" bestFit="1" customWidth="1"/>
    <col min="34" max="34" width="13.765625" style="24" bestFit="1" customWidth="1"/>
    <col min="35" max="35" width="8.84375" style="57" hidden="1" customWidth="1" outlineLevel="1"/>
    <col min="36" max="36" width="16.4609375" style="24" hidden="1" customWidth="1" outlineLevel="1"/>
    <col min="37" max="37" width="18.765625" style="24" bestFit="1" customWidth="1" collapsed="1"/>
    <col min="38" max="38" width="14.07421875" style="24" hidden="1" customWidth="1" outlineLevel="1"/>
    <col min="39" max="39" width="11.84375" style="24" bestFit="1" customWidth="1" collapsed="1"/>
    <col min="40" max="40" width="8.84375" style="24"/>
    <col min="41" max="41" width="20.4609375" style="24" bestFit="1" customWidth="1"/>
    <col min="42" max="43" width="19" style="24" bestFit="1" customWidth="1"/>
    <col min="44" max="46" width="22.4609375" style="24" customWidth="1"/>
    <col min="47" max="16384" width="8.84375" style="24"/>
  </cols>
  <sheetData>
    <row r="1" spans="1:46" s="59" customFormat="1">
      <c r="A1" s="58"/>
      <c r="B1" s="56" t="s">
        <v>0</v>
      </c>
      <c r="D1" s="407" t="s">
        <v>1</v>
      </c>
      <c r="E1" s="407"/>
      <c r="F1" s="407"/>
      <c r="G1" s="407"/>
      <c r="H1" s="407"/>
      <c r="I1" s="407"/>
      <c r="J1" s="407"/>
      <c r="K1" s="407"/>
      <c r="L1" s="407"/>
      <c r="M1" s="407"/>
      <c r="N1" s="407"/>
      <c r="O1" s="407"/>
      <c r="Q1" s="407" t="s">
        <v>3</v>
      </c>
      <c r="R1" s="407"/>
      <c r="S1" s="407"/>
      <c r="T1" s="407"/>
      <c r="U1" s="407"/>
      <c r="V1" s="407"/>
      <c r="W1" s="407"/>
      <c r="Y1" s="407" t="s">
        <v>4</v>
      </c>
      <c r="Z1" s="407"/>
      <c r="AA1" s="407"/>
      <c r="AB1" s="407"/>
      <c r="AD1" s="58"/>
      <c r="AE1" s="407" t="s">
        <v>5</v>
      </c>
      <c r="AF1" s="407"/>
      <c r="AG1" s="407"/>
      <c r="AI1" s="58"/>
      <c r="AJ1" s="407" t="s">
        <v>6</v>
      </c>
      <c r="AK1" s="407"/>
      <c r="AL1" s="407"/>
      <c r="AM1" s="407"/>
    </row>
    <row r="2" spans="1:46" ht="55.3">
      <c r="A2" s="57" t="s">
        <v>7</v>
      </c>
      <c r="B2" s="49" t="s">
        <v>8</v>
      </c>
      <c r="D2" s="49" t="s">
        <v>9</v>
      </c>
      <c r="E2" s="49" t="s">
        <v>10</v>
      </c>
      <c r="F2" s="43" t="s">
        <v>11</v>
      </c>
      <c r="G2" s="49" t="s">
        <v>12</v>
      </c>
      <c r="H2" s="49" t="s">
        <v>13</v>
      </c>
      <c r="I2" s="53" t="s">
        <v>14</v>
      </c>
      <c r="J2" s="53" t="s">
        <v>424</v>
      </c>
      <c r="K2" s="49" t="s">
        <v>16</v>
      </c>
      <c r="L2" s="53" t="s">
        <v>17</v>
      </c>
      <c r="M2" s="53" t="s">
        <v>425</v>
      </c>
      <c r="N2" s="43" t="s">
        <v>19</v>
      </c>
      <c r="O2" s="49" t="s">
        <v>20</v>
      </c>
      <c r="Q2" s="50" t="s">
        <v>28</v>
      </c>
      <c r="R2" s="32" t="s">
        <v>29</v>
      </c>
      <c r="S2" s="30" t="s">
        <v>30</v>
      </c>
      <c r="T2" s="50" t="s">
        <v>31</v>
      </c>
      <c r="U2" s="30" t="s">
        <v>32</v>
      </c>
      <c r="V2" s="30" t="s">
        <v>33</v>
      </c>
      <c r="W2" s="30" t="s">
        <v>34</v>
      </c>
      <c r="Y2" s="30" t="s">
        <v>35</v>
      </c>
      <c r="Z2" s="30" t="s">
        <v>36</v>
      </c>
      <c r="AA2" s="35" t="s">
        <v>37</v>
      </c>
      <c r="AB2" s="35" t="s">
        <v>38</v>
      </c>
      <c r="AD2" s="57" t="s">
        <v>7</v>
      </c>
      <c r="AE2" s="39" t="s">
        <v>39</v>
      </c>
      <c r="AF2" s="54" t="s">
        <v>40</v>
      </c>
      <c r="AG2" s="53" t="s">
        <v>41</v>
      </c>
      <c r="AI2" s="57" t="s">
        <v>7</v>
      </c>
      <c r="AJ2" s="32" t="s">
        <v>42</v>
      </c>
      <c r="AK2" s="32" t="s">
        <v>43</v>
      </c>
      <c r="AL2" s="32" t="s">
        <v>44</v>
      </c>
      <c r="AM2" s="32" t="s">
        <v>45</v>
      </c>
      <c r="AO2" s="32"/>
      <c r="AP2" s="32"/>
      <c r="AQ2" s="32"/>
      <c r="AR2" s="32"/>
      <c r="AS2" s="32"/>
      <c r="AT2" s="32"/>
    </row>
    <row r="3" spans="1:46">
      <c r="A3" s="57" t="s">
        <v>49</v>
      </c>
      <c r="B3" s="49">
        <v>672729.84744445409</v>
      </c>
      <c r="D3" s="49"/>
      <c r="E3" s="49"/>
      <c r="F3" s="44"/>
      <c r="H3" s="49"/>
      <c r="I3" s="53"/>
      <c r="J3" s="77">
        <v>3.0076727933746966E-2</v>
      </c>
      <c r="K3" s="49"/>
      <c r="L3" s="53"/>
      <c r="M3" s="77">
        <v>1.5827775574795225E-3</v>
      </c>
      <c r="N3" s="44"/>
      <c r="Q3" s="49">
        <v>2280.8823999999995</v>
      </c>
      <c r="R3" s="30">
        <v>548.02883189833722</v>
      </c>
      <c r="S3" s="43">
        <f t="shared" ref="S3:S43" si="0">Q3*R3</f>
        <v>1249989.3173694757</v>
      </c>
      <c r="T3" s="49">
        <v>2278.0755795411901</v>
      </c>
      <c r="U3" s="49">
        <v>5536.083333333333</v>
      </c>
      <c r="V3" s="30">
        <v>518.43212547841347</v>
      </c>
      <c r="W3" s="43">
        <f>T3*V3</f>
        <v>1181027.5647020077</v>
      </c>
      <c r="Y3" s="30">
        <v>19489.3</v>
      </c>
      <c r="Z3" s="30">
        <v>13415.4</v>
      </c>
      <c r="AA3" s="44">
        <f t="shared" ref="AA3:AA16" si="1">1-Z3/Y3</f>
        <v>0.31165306091034572</v>
      </c>
      <c r="AB3" s="35">
        <v>0.308037193656299</v>
      </c>
      <c r="AD3" s="57" t="s">
        <v>49</v>
      </c>
      <c r="AF3" s="54"/>
      <c r="AG3" s="53"/>
      <c r="AI3" s="57" t="s">
        <v>49</v>
      </c>
      <c r="AJ3" s="42"/>
      <c r="AK3" s="43"/>
      <c r="AL3" s="44"/>
      <c r="AM3" s="44"/>
      <c r="AO3" s="32"/>
      <c r="AP3" s="32"/>
      <c r="AQ3" s="32"/>
      <c r="AR3" s="32"/>
      <c r="AS3" s="32"/>
      <c r="AT3" s="32"/>
    </row>
    <row r="4" spans="1:46">
      <c r="A4" s="57" t="s">
        <v>50</v>
      </c>
      <c r="B4" s="49">
        <v>651330.72414749418</v>
      </c>
      <c r="D4" s="49">
        <v>11608.412051853184</v>
      </c>
      <c r="E4" s="49">
        <v>532.10204873840848</v>
      </c>
      <c r="F4" s="44">
        <v>0.80789743103963818</v>
      </c>
      <c r="G4" s="43">
        <f t="shared" ref="G4:G43" si="2">D4*F4+E4</f>
        <v>9910.5083238801708</v>
      </c>
      <c r="H4" s="49">
        <v>11241.132312989799</v>
      </c>
      <c r="I4" s="53">
        <v>9.9397659666527638E-2</v>
      </c>
      <c r="J4" s="77">
        <v>3.0015232990648254E-2</v>
      </c>
      <c r="K4" s="49">
        <v>472.81342905605402</v>
      </c>
      <c r="L4" s="53">
        <v>0.16529717456579643</v>
      </c>
      <c r="M4" s="77">
        <v>1.5750259397105892E-3</v>
      </c>
      <c r="N4" s="44">
        <v>0.82784500000000005</v>
      </c>
      <c r="O4" s="43">
        <f t="shared" ref="O4:O16" si="3">H4*N4+K4</f>
        <v>9778.7286087030952</v>
      </c>
      <c r="Q4" s="49">
        <v>2292.1447333333331</v>
      </c>
      <c r="R4" s="30">
        <v>543.47471465378021</v>
      </c>
      <c r="S4" s="43">
        <f t="shared" si="0"/>
        <v>1245722.7048934982</v>
      </c>
      <c r="T4" s="49">
        <v>2274.9449153820601</v>
      </c>
      <c r="U4" s="49">
        <v>5581.75</v>
      </c>
      <c r="V4" s="30">
        <v>524.38561843499588</v>
      </c>
      <c r="W4" s="43">
        <f t="shared" ref="W4:W63" si="4">T4*V4</f>
        <v>1192948.396358171</v>
      </c>
      <c r="Y4" s="30">
        <v>21185.1</v>
      </c>
      <c r="Z4" s="30">
        <v>14162.7</v>
      </c>
      <c r="AA4" s="44">
        <f t="shared" si="1"/>
        <v>0.33147825594403602</v>
      </c>
      <c r="AB4" s="35">
        <v>0.311199733868668</v>
      </c>
      <c r="AD4" s="57" t="s">
        <v>50</v>
      </c>
      <c r="AE4" s="45">
        <f t="shared" ref="AE4:AE43" si="5">EXP(LOG(B4,EXP(1))-AA4*LOG(G4,EXP(1))-(1-AA4)*LOG(S4,EXP(1)))</f>
        <v>2.5957384094341149</v>
      </c>
      <c r="AF4" s="54">
        <v>2.2613179803338999</v>
      </c>
      <c r="AG4" s="53"/>
      <c r="AI4" s="57" t="s">
        <v>50</v>
      </c>
      <c r="AJ4" s="42">
        <f t="shared" ref="AJ4:AJ43" si="6">B4</f>
        <v>651330.72414749418</v>
      </c>
      <c r="AK4" s="43">
        <f t="shared" ref="AK4:AK42" si="7">AF4*(O4^AB4)*(W4^(1-AB4))</f>
        <v>604943.85533050459</v>
      </c>
      <c r="AL4" s="44">
        <f t="shared" ref="AL4:AL63" si="8">(AJ4-AK4)/AK4</f>
        <v>7.6679626395488587E-2</v>
      </c>
      <c r="AM4" s="44"/>
      <c r="AN4" s="40"/>
      <c r="AO4" s="32"/>
      <c r="AP4" s="32"/>
      <c r="AQ4" s="32"/>
      <c r="AR4" s="32"/>
      <c r="AS4" s="32"/>
      <c r="AT4" s="32"/>
    </row>
    <row r="5" spans="1:46">
      <c r="A5" s="57" t="s">
        <v>51</v>
      </c>
      <c r="B5" s="49">
        <v>635334.08977780421</v>
      </c>
      <c r="D5" s="49">
        <v>12409.547405379732</v>
      </c>
      <c r="E5" s="49">
        <v>546.73336208755643</v>
      </c>
      <c r="F5" s="44">
        <v>0.79672072435186447</v>
      </c>
      <c r="G5" s="43">
        <f t="shared" si="2"/>
        <v>10433.676959780496</v>
      </c>
      <c r="H5" s="49">
        <v>11892.6473065052</v>
      </c>
      <c r="I5" s="53">
        <v>0.10155024626748284</v>
      </c>
      <c r="J5" s="77">
        <v>3.023216551820904E-2</v>
      </c>
      <c r="K5" s="49">
        <v>523.38944473409902</v>
      </c>
      <c r="L5" s="53">
        <v>0.16547513255097859</v>
      </c>
      <c r="M5" s="77">
        <v>1.78117691125024E-3</v>
      </c>
      <c r="N5" s="44">
        <v>0.82784500000000005</v>
      </c>
      <c r="O5" s="43">
        <f t="shared" si="3"/>
        <v>10368.658054187898</v>
      </c>
      <c r="Q5" s="49">
        <v>2275.8576666666668</v>
      </c>
      <c r="R5" s="30">
        <v>541.05959882112359</v>
      </c>
      <c r="S5" s="43">
        <f t="shared" si="0"/>
        <v>1231374.6361006452</v>
      </c>
      <c r="T5" s="49">
        <v>2271.8301885385499</v>
      </c>
      <c r="U5" s="49">
        <v>5638.583333333333</v>
      </c>
      <c r="V5" s="30">
        <v>529.53917409834207</v>
      </c>
      <c r="W5" s="43">
        <f t="shared" si="4"/>
        <v>1203023.0817303844</v>
      </c>
      <c r="Y5" s="30">
        <v>21667.1</v>
      </c>
      <c r="Z5" s="30">
        <v>14821</v>
      </c>
      <c r="AA5" s="44">
        <f t="shared" si="1"/>
        <v>0.31596752680331008</v>
      </c>
      <c r="AB5" s="35">
        <v>0.31439843275357399</v>
      </c>
      <c r="AD5" s="57" t="s">
        <v>51</v>
      </c>
      <c r="AE5" s="45">
        <f t="shared" si="5"/>
        <v>2.3296021707688053</v>
      </c>
      <c r="AF5" s="54">
        <v>2.3812542931106999</v>
      </c>
      <c r="AG5" s="53">
        <f>AF5/AF4-1</f>
        <v>5.3038234259779049E-2</v>
      </c>
      <c r="AI5" s="57" t="s">
        <v>51</v>
      </c>
      <c r="AJ5" s="42">
        <f t="shared" si="6"/>
        <v>635334.08977780421</v>
      </c>
      <c r="AK5" s="43">
        <f t="shared" si="7"/>
        <v>642669.9728225742</v>
      </c>
      <c r="AL5" s="44">
        <f t="shared" si="8"/>
        <v>-1.141469705290751E-2</v>
      </c>
      <c r="AM5" s="44">
        <f t="shared" ref="AM5:AM41" si="9">AK5/AK4-1</f>
        <v>6.236300635115688E-2</v>
      </c>
      <c r="AN5" s="40"/>
      <c r="AO5" s="32"/>
      <c r="AP5" s="32"/>
      <c r="AQ5" s="32"/>
      <c r="AR5" s="32"/>
      <c r="AS5" s="32"/>
      <c r="AT5" s="32"/>
    </row>
    <row r="6" spans="1:46">
      <c r="A6" s="57" t="s">
        <v>52</v>
      </c>
      <c r="B6" s="49">
        <v>624447.63493421394</v>
      </c>
      <c r="D6" s="49">
        <v>13070.107346447743</v>
      </c>
      <c r="E6" s="49">
        <v>569.42682769031705</v>
      </c>
      <c r="F6" s="44">
        <v>0.79459224052434818</v>
      </c>
      <c r="G6" s="43">
        <f t="shared" si="2"/>
        <v>10954.832707997972</v>
      </c>
      <c r="H6" s="49">
        <v>12547.835097409101</v>
      </c>
      <c r="I6" s="53">
        <v>0.10577141616732792</v>
      </c>
      <c r="J6" s="77">
        <v>2.9079027779793962E-2</v>
      </c>
      <c r="K6" s="49">
        <v>574.55834660896699</v>
      </c>
      <c r="L6" s="53">
        <v>0.16564104074701808</v>
      </c>
      <c r="M6" s="77">
        <v>2.2277318277431298E-3</v>
      </c>
      <c r="N6" s="44">
        <v>0.82784500000000005</v>
      </c>
      <c r="O6" s="43">
        <f t="shared" si="3"/>
        <v>10962.220892823605</v>
      </c>
      <c r="Q6" s="49">
        <v>2252.8132000000005</v>
      </c>
      <c r="R6" s="30">
        <v>540.40654355710569</v>
      </c>
      <c r="S6" s="43">
        <f t="shared" si="0"/>
        <v>1217434.9946918229</v>
      </c>
      <c r="T6" s="49">
        <v>2268.2678566087998</v>
      </c>
      <c r="U6" s="49">
        <v>5732.666666666667</v>
      </c>
      <c r="V6" s="30">
        <v>534.29373986375072</v>
      </c>
      <c r="W6" s="43">
        <f t="shared" si="4"/>
        <v>1211921.3161202495</v>
      </c>
      <c r="Y6" s="30">
        <v>20032</v>
      </c>
      <c r="Z6" s="30">
        <v>15047.4</v>
      </c>
      <c r="AA6" s="44">
        <f>1-Z6/Y6</f>
        <v>0.24883186900958465</v>
      </c>
      <c r="AB6" s="35">
        <v>0.31787223420430799</v>
      </c>
      <c r="AD6" s="57" t="s">
        <v>52</v>
      </c>
      <c r="AE6" s="45">
        <f t="shared" si="5"/>
        <v>1.6562292206040363</v>
      </c>
      <c r="AF6" s="54">
        <v>2.5045348101781699</v>
      </c>
      <c r="AG6" s="53">
        <f t="shared" ref="AG6:AG42" si="10">AF6/AF5-1</f>
        <v>5.1771252412704305E-2</v>
      </c>
      <c r="AI6" s="57" t="s">
        <v>52</v>
      </c>
      <c r="AJ6" s="42">
        <f t="shared" si="6"/>
        <v>624447.63493421394</v>
      </c>
      <c r="AK6" s="43">
        <f t="shared" si="7"/>
        <v>680151.19786981656</v>
      </c>
      <c r="AL6" s="44">
        <f t="shared" si="8"/>
        <v>-8.1898794135865774E-2</v>
      </c>
      <c r="AM6" s="44">
        <f t="shared" si="9"/>
        <v>5.8321108239469677E-2</v>
      </c>
      <c r="AN6" s="40"/>
      <c r="AO6" s="32"/>
      <c r="AP6" s="32"/>
      <c r="AQ6" s="32"/>
      <c r="AR6" s="32"/>
      <c r="AS6" s="32"/>
      <c r="AT6" s="32"/>
    </row>
    <row r="7" spans="1:46">
      <c r="A7" s="57" t="s">
        <v>53</v>
      </c>
      <c r="B7" s="49">
        <v>647211.48335997341</v>
      </c>
      <c r="D7" s="49">
        <v>13503.496595282833</v>
      </c>
      <c r="E7" s="49">
        <v>614.21656243260713</v>
      </c>
      <c r="F7" s="44">
        <v>0.80249055041149842</v>
      </c>
      <c r="G7" s="43">
        <f t="shared" si="2"/>
        <v>11450.644977660922</v>
      </c>
      <c r="H7" s="49">
        <v>13215.537484079199</v>
      </c>
      <c r="I7" s="53">
        <v>0.1081193944932954</v>
      </c>
      <c r="J7" s="77">
        <v>2.9587709490156947E-2</v>
      </c>
      <c r="K7" s="49">
        <v>627.14646005101895</v>
      </c>
      <c r="L7" s="53">
        <v>0.1662716480849635</v>
      </c>
      <c r="M7" s="77">
        <v>2.4037874415981839E-3</v>
      </c>
      <c r="N7" s="44">
        <v>0.82784500000000005</v>
      </c>
      <c r="O7" s="43">
        <f t="shared" si="3"/>
        <v>11567.563088558565</v>
      </c>
      <c r="Q7" s="49">
        <v>2271.1794666666669</v>
      </c>
      <c r="R7" s="30">
        <v>526.85398165299546</v>
      </c>
      <c r="S7" s="43">
        <f t="shared" si="0"/>
        <v>1196579.9450618601</v>
      </c>
      <c r="T7" s="49">
        <v>2263.8346519721999</v>
      </c>
      <c r="U7" s="49">
        <v>5766</v>
      </c>
      <c r="V7" s="30">
        <v>539.14589247768799</v>
      </c>
      <c r="W7" s="43">
        <f t="shared" si="4"/>
        <v>1220537.1538594679</v>
      </c>
      <c r="Y7" s="30">
        <v>20268.900000000001</v>
      </c>
      <c r="Z7" s="30">
        <v>15008.1</v>
      </c>
      <c r="AA7" s="44">
        <f t="shared" si="1"/>
        <v>0.25955034560336288</v>
      </c>
      <c r="AB7" s="35">
        <v>0.32187577305465498</v>
      </c>
      <c r="AD7" s="57" t="s">
        <v>53</v>
      </c>
      <c r="AE7" s="45">
        <f t="shared" si="5"/>
        <v>1.8078635651681458</v>
      </c>
      <c r="AF7" s="54">
        <v>2.6339872146038599</v>
      </c>
      <c r="AG7" s="53">
        <f t="shared" si="10"/>
        <v>5.1687205104759881E-2</v>
      </c>
      <c r="AI7" s="57" t="s">
        <v>53</v>
      </c>
      <c r="AJ7" s="42">
        <f t="shared" si="6"/>
        <v>647211.48335997341</v>
      </c>
      <c r="AK7" s="43">
        <f t="shared" si="7"/>
        <v>717646.34480833646</v>
      </c>
      <c r="AL7" s="44">
        <f t="shared" si="8"/>
        <v>-9.8147035734118121E-2</v>
      </c>
      <c r="AM7" s="44">
        <f t="shared" si="9"/>
        <v>5.5127664342798921E-2</v>
      </c>
      <c r="AN7" s="40"/>
      <c r="AO7" s="32"/>
      <c r="AP7" s="32"/>
      <c r="AQ7" s="32"/>
      <c r="AR7" s="32"/>
      <c r="AS7" s="32"/>
      <c r="AT7" s="32"/>
    </row>
    <row r="8" spans="1:46">
      <c r="A8" s="57" t="s">
        <v>54</v>
      </c>
      <c r="B8" s="49">
        <v>680353.27379812137</v>
      </c>
      <c r="D8" s="49">
        <v>13958.457254693421</v>
      </c>
      <c r="E8" s="49">
        <v>667.66564589174027</v>
      </c>
      <c r="F8" s="44">
        <v>0.80482308224348664</v>
      </c>
      <c r="G8" s="43">
        <f t="shared" si="2"/>
        <v>11901.754236978057</v>
      </c>
      <c r="H8" s="49">
        <v>13909.8189873831</v>
      </c>
      <c r="I8" s="53">
        <v>0.11717576103466582</v>
      </c>
      <c r="J8" s="77">
        <v>2.4286107509598358E-2</v>
      </c>
      <c r="K8" s="49">
        <v>681.92879524142597</v>
      </c>
      <c r="L8" s="53">
        <v>0.16756109163692762</v>
      </c>
      <c r="M8" s="77">
        <v>2.2514902048715057E-3</v>
      </c>
      <c r="N8" s="44">
        <v>0.82784500000000005</v>
      </c>
      <c r="O8" s="43">
        <f t="shared" si="3"/>
        <v>12197.102894851589</v>
      </c>
      <c r="Q8" s="49">
        <v>2252.2934000000005</v>
      </c>
      <c r="R8" s="30">
        <v>529.99930416760583</v>
      </c>
      <c r="S8" s="43">
        <f t="shared" si="0"/>
        <v>1193713.9347812913</v>
      </c>
      <c r="T8" s="49">
        <v>2257.95276044208</v>
      </c>
      <c r="U8" s="49">
        <v>5807.25</v>
      </c>
      <c r="V8" s="30">
        <v>544.6544879631216</v>
      </c>
      <c r="W8" s="43">
        <f t="shared" si="4"/>
        <v>1229804.1045834981</v>
      </c>
      <c r="Y8" s="30">
        <v>22246.799999999999</v>
      </c>
      <c r="Z8" s="30">
        <v>15525.7</v>
      </c>
      <c r="AA8" s="44">
        <f t="shared" si="1"/>
        <v>0.30211536041138498</v>
      </c>
      <c r="AB8" s="35">
        <v>0.32597328048645802</v>
      </c>
      <c r="AD8" s="57" t="s">
        <v>54</v>
      </c>
      <c r="AE8" s="45">
        <f t="shared" si="5"/>
        <v>2.293266088842377</v>
      </c>
      <c r="AF8" s="54">
        <v>2.7639561335595499</v>
      </c>
      <c r="AG8" s="53">
        <f t="shared" si="10"/>
        <v>4.9343033343173248E-2</v>
      </c>
      <c r="AI8" s="57" t="s">
        <v>54</v>
      </c>
      <c r="AJ8" s="42">
        <f t="shared" si="6"/>
        <v>680353.27379812137</v>
      </c>
      <c r="AK8" s="43">
        <f t="shared" si="7"/>
        <v>755533.60047919734</v>
      </c>
      <c r="AL8" s="44">
        <f t="shared" si="8"/>
        <v>-9.9506265020368162E-2</v>
      </c>
      <c r="AM8" s="44">
        <f t="shared" si="9"/>
        <v>5.279376944500358E-2</v>
      </c>
      <c r="AN8" s="40"/>
      <c r="AO8" s="32"/>
      <c r="AP8" s="32"/>
      <c r="AQ8" s="32"/>
      <c r="AR8" s="32"/>
      <c r="AS8" s="32"/>
      <c r="AT8" s="32"/>
    </row>
    <row r="9" spans="1:46">
      <c r="A9" s="57" t="s">
        <v>55</v>
      </c>
      <c r="B9" s="49">
        <v>763024.5789952171</v>
      </c>
      <c r="D9" s="49">
        <v>13975.177678201706</v>
      </c>
      <c r="E9" s="49">
        <v>708.97173459851911</v>
      </c>
      <c r="F9" s="44">
        <v>0.81042158384827134</v>
      </c>
      <c r="G9" s="43">
        <f t="shared" si="2"/>
        <v>12034.757363127754</v>
      </c>
      <c r="H9" s="49">
        <v>14647.6237193006</v>
      </c>
      <c r="I9" s="53">
        <v>0.11315827810043899</v>
      </c>
      <c r="J9" s="77">
        <v>2.468749342547992E-2</v>
      </c>
      <c r="K9" s="49">
        <v>739.55106338517601</v>
      </c>
      <c r="L9" s="53">
        <v>0.16923977148471012</v>
      </c>
      <c r="M9" s="77">
        <v>2.2560396726414131E-3</v>
      </c>
      <c r="N9" s="44">
        <v>0.82784500000000005</v>
      </c>
      <c r="O9" s="43">
        <f t="shared" si="3"/>
        <v>12865.513121289581</v>
      </c>
      <c r="Q9" s="49">
        <v>2260.9567333333334</v>
      </c>
      <c r="R9" s="30">
        <v>534.20519891082301</v>
      </c>
      <c r="S9" s="43">
        <f t="shared" si="0"/>
        <v>1207814.841459098</v>
      </c>
      <c r="T9" s="49">
        <v>2250.11781597867</v>
      </c>
      <c r="U9" s="49">
        <v>5853.583333333333</v>
      </c>
      <c r="V9" s="30">
        <v>551.26012146449921</v>
      </c>
      <c r="W9" s="43">
        <f t="shared" si="4"/>
        <v>1240400.2205458353</v>
      </c>
      <c r="Y9" s="30">
        <v>23689.9</v>
      </c>
      <c r="Z9" s="30">
        <v>16160.4</v>
      </c>
      <c r="AA9" s="44">
        <f>1-Z9/Y9</f>
        <v>0.31783587098299282</v>
      </c>
      <c r="AB9" s="35">
        <v>0.32910573340704202</v>
      </c>
      <c r="AD9" s="57" t="s">
        <v>55</v>
      </c>
      <c r="AE9" s="45">
        <f t="shared" si="5"/>
        <v>2.7334220461249492</v>
      </c>
      <c r="AF9" s="54">
        <v>2.8805249577229701</v>
      </c>
      <c r="AG9" s="53">
        <f t="shared" si="10"/>
        <v>4.2174628876362696E-2</v>
      </c>
      <c r="AI9" s="57" t="s">
        <v>55</v>
      </c>
      <c r="AJ9" s="42">
        <f t="shared" si="6"/>
        <v>763024.5789952171</v>
      </c>
      <c r="AK9" s="43">
        <f t="shared" si="7"/>
        <v>794407.55202034651</v>
      </c>
      <c r="AL9" s="44">
        <f t="shared" si="8"/>
        <v>-3.9504877496841347E-2</v>
      </c>
      <c r="AM9" s="44">
        <f t="shared" si="9"/>
        <v>5.145231332728728E-2</v>
      </c>
      <c r="AN9" s="40"/>
      <c r="AO9" s="32"/>
      <c r="AP9" s="32"/>
      <c r="AQ9" s="32"/>
      <c r="AR9" s="32"/>
      <c r="AS9" s="32"/>
      <c r="AT9" s="32"/>
    </row>
    <row r="10" spans="1:46">
      <c r="A10" s="57" t="s">
        <v>56</v>
      </c>
      <c r="B10" s="49">
        <v>814660.82511505764</v>
      </c>
      <c r="D10" s="49">
        <v>14277.487063731111</v>
      </c>
      <c r="E10" s="49">
        <v>761.12689238731934</v>
      </c>
      <c r="F10" s="44">
        <v>0.81735128419209435</v>
      </c>
      <c r="G10" s="43">
        <f t="shared" si="2"/>
        <v>12430.849278963957</v>
      </c>
      <c r="H10" s="49">
        <v>15446.382174484699</v>
      </c>
      <c r="I10" s="53">
        <v>0.11060647451739838</v>
      </c>
      <c r="J10" s="77">
        <v>2.571036204318633E-2</v>
      </c>
      <c r="K10" s="49">
        <v>800.51634419376103</v>
      </c>
      <c r="L10" s="53">
        <v>0.17035721082788821</v>
      </c>
      <c r="M10" s="77">
        <v>2.2196143382461832E-3</v>
      </c>
      <c r="N10" s="44">
        <v>0.82784500000000005</v>
      </c>
      <c r="O10" s="43">
        <f t="shared" si="3"/>
        <v>13587.726595430047</v>
      </c>
      <c r="Q10" s="49">
        <v>2270.3131333333331</v>
      </c>
      <c r="R10" s="30">
        <v>532.96989243874862</v>
      </c>
      <c r="S10" s="43">
        <f t="shared" si="0"/>
        <v>1210008.5464749448</v>
      </c>
      <c r="T10" s="49">
        <v>2239.7688589378299</v>
      </c>
      <c r="U10" s="49">
        <v>5910.666666666667</v>
      </c>
      <c r="V10" s="30">
        <v>559.24937200726674</v>
      </c>
      <c r="W10" s="43">
        <f t="shared" si="4"/>
        <v>1252589.3278024138</v>
      </c>
      <c r="Y10" s="30">
        <v>26129.200000000001</v>
      </c>
      <c r="Z10" s="30">
        <v>16769.099999999999</v>
      </c>
      <c r="AA10" s="44">
        <f t="shared" si="1"/>
        <v>0.3582237496746935</v>
      </c>
      <c r="AB10" s="35">
        <v>0.32997552952297798</v>
      </c>
      <c r="AD10" s="57" t="s">
        <v>56</v>
      </c>
      <c r="AE10" s="45">
        <f t="shared" si="5"/>
        <v>3.4708851851190863</v>
      </c>
      <c r="AF10" s="54">
        <v>2.9650701773242698</v>
      </c>
      <c r="AG10" s="53">
        <f t="shared" si="10"/>
        <v>2.9350629083988888E-2</v>
      </c>
      <c r="AI10" s="57" t="s">
        <v>56</v>
      </c>
      <c r="AJ10" s="42">
        <f t="shared" si="6"/>
        <v>814660.82511505764</v>
      </c>
      <c r="AK10" s="43">
        <f t="shared" si="7"/>
        <v>834744.04708368483</v>
      </c>
      <c r="AL10" s="44">
        <f t="shared" si="8"/>
        <v>-2.4059137694711588E-2</v>
      </c>
      <c r="AM10" s="44">
        <f t="shared" si="9"/>
        <v>5.0775568485916356E-2</v>
      </c>
      <c r="AN10" s="40"/>
      <c r="AO10" s="32"/>
      <c r="AP10" s="32"/>
      <c r="AQ10" s="32"/>
      <c r="AR10" s="32"/>
      <c r="AS10" s="32"/>
      <c r="AT10" s="32"/>
    </row>
    <row r="11" spans="1:46">
      <c r="A11" s="57" t="s">
        <v>57</v>
      </c>
      <c r="B11" s="49">
        <v>869898.3104078183</v>
      </c>
      <c r="D11" s="49">
        <v>14792.827030254954</v>
      </c>
      <c r="E11" s="49">
        <v>812.28672273740221</v>
      </c>
      <c r="F11" s="44">
        <v>0.83243356941567237</v>
      </c>
      <c r="G11" s="43">
        <f t="shared" si="2"/>
        <v>13126.332529281173</v>
      </c>
      <c r="H11" s="49">
        <v>16316.8003871773</v>
      </c>
      <c r="I11" s="53">
        <v>0.10622289444240661</v>
      </c>
      <c r="J11" s="77">
        <v>2.8869998254101616E-2</v>
      </c>
      <c r="K11" s="49">
        <v>865.02192409080499</v>
      </c>
      <c r="L11" s="53">
        <v>0.17073589395908595</v>
      </c>
      <c r="M11" s="77">
        <v>2.3666111246334887E-3</v>
      </c>
      <c r="N11" s="44">
        <v>0.82784500000000005</v>
      </c>
      <c r="O11" s="43">
        <f t="shared" si="3"/>
        <v>14372.803540613597</v>
      </c>
      <c r="Q11" s="49">
        <v>2288.6794</v>
      </c>
      <c r="R11" s="30">
        <v>560.30058003257557</v>
      </c>
      <c r="S11" s="43">
        <f t="shared" si="0"/>
        <v>1282348.3953286069</v>
      </c>
      <c r="T11" s="49">
        <v>2226.4533188489399</v>
      </c>
      <c r="U11" s="49">
        <v>6010.416666666667</v>
      </c>
      <c r="V11" s="30">
        <v>568.72478427240276</v>
      </c>
      <c r="W11" s="43">
        <f t="shared" si="4"/>
        <v>1266239.1834549385</v>
      </c>
      <c r="Y11" s="30">
        <v>29945.7</v>
      </c>
      <c r="Z11" s="30">
        <v>18553.599999999999</v>
      </c>
      <c r="AA11" s="44">
        <f t="shared" si="1"/>
        <v>0.38042523634445014</v>
      </c>
      <c r="AB11" s="35">
        <v>0.32717236791659698</v>
      </c>
      <c r="AD11" s="57" t="s">
        <v>57</v>
      </c>
      <c r="AE11" s="45">
        <f t="shared" si="5"/>
        <v>3.8766484228900753</v>
      </c>
      <c r="AF11" s="54">
        <v>2.9974972534773499</v>
      </c>
      <c r="AG11" s="53">
        <f t="shared" si="10"/>
        <v>1.0936360427847625E-2</v>
      </c>
      <c r="AI11" s="57" t="s">
        <v>57</v>
      </c>
      <c r="AJ11" s="42">
        <f t="shared" si="6"/>
        <v>869898.3104078183</v>
      </c>
      <c r="AK11" s="43">
        <f t="shared" si="7"/>
        <v>876864.94519029197</v>
      </c>
      <c r="AL11" s="44">
        <f t="shared" si="8"/>
        <v>-7.9449347595504753E-3</v>
      </c>
      <c r="AM11" s="44">
        <f t="shared" si="9"/>
        <v>5.0459656769956451E-2</v>
      </c>
      <c r="AN11" s="40"/>
      <c r="AO11" s="32"/>
      <c r="AP11" s="32"/>
      <c r="AQ11" s="32"/>
      <c r="AR11" s="32"/>
      <c r="AS11" s="32"/>
      <c r="AT11" s="32"/>
    </row>
    <row r="12" spans="1:46">
      <c r="A12" s="57" t="s">
        <v>58</v>
      </c>
      <c r="B12" s="49">
        <v>921875.92235572974</v>
      </c>
      <c r="D12" s="49">
        <v>15732.886396387368</v>
      </c>
      <c r="E12" s="49">
        <v>879.4713248508375</v>
      </c>
      <c r="F12" s="44">
        <v>0.83091084772924007</v>
      </c>
      <c r="G12" s="43">
        <f t="shared" si="2"/>
        <v>13952.097297700895</v>
      </c>
      <c r="H12" s="49">
        <v>17257.895440512799</v>
      </c>
      <c r="I12" s="53">
        <v>0.10562191321004738</v>
      </c>
      <c r="J12" s="77">
        <v>3.1200968410059586E-2</v>
      </c>
      <c r="K12" s="49">
        <v>932.87119498186905</v>
      </c>
      <c r="L12" s="53">
        <v>0.17172099635020205</v>
      </c>
      <c r="M12" s="77">
        <v>2.6282844840557883E-3</v>
      </c>
      <c r="N12" s="44">
        <v>0.82784500000000005</v>
      </c>
      <c r="O12" s="43">
        <f t="shared" si="3"/>
        <v>15219.733645933189</v>
      </c>
      <c r="Q12" s="49">
        <v>2246.0558000000005</v>
      </c>
      <c r="R12" s="30">
        <v>578.32462500052077</v>
      </c>
      <c r="S12" s="43">
        <f t="shared" si="0"/>
        <v>1298949.3782652449</v>
      </c>
      <c r="T12" s="49">
        <v>2210.02406798533</v>
      </c>
      <c r="U12" s="49">
        <v>6127.833333333333</v>
      </c>
      <c r="V12" s="30">
        <v>579.50914622360051</v>
      </c>
      <c r="W12" s="43">
        <f t="shared" si="4"/>
        <v>1280729.1607717869</v>
      </c>
      <c r="Y12" s="30">
        <v>33251</v>
      </c>
      <c r="Z12" s="30">
        <v>20538.8</v>
      </c>
      <c r="AA12" s="44">
        <f t="shared" si="1"/>
        <v>0.38231030645694863</v>
      </c>
      <c r="AB12" s="35">
        <v>0.31956842987174799</v>
      </c>
      <c r="AD12" s="57" t="s">
        <v>58</v>
      </c>
      <c r="AE12" s="45">
        <f t="shared" si="5"/>
        <v>4.0163464450564419</v>
      </c>
      <c r="AF12" s="54">
        <v>2.9627697973739</v>
      </c>
      <c r="AG12" s="53">
        <f t="shared" si="10"/>
        <v>-1.1585483877645908E-2</v>
      </c>
      <c r="AI12" s="57" t="s">
        <v>58</v>
      </c>
      <c r="AJ12" s="42">
        <f t="shared" si="6"/>
        <v>921875.92235572974</v>
      </c>
      <c r="AK12" s="43">
        <f t="shared" si="7"/>
        <v>920385.82687777793</v>
      </c>
      <c r="AL12" s="44">
        <f t="shared" si="8"/>
        <v>1.6189900305251912E-3</v>
      </c>
      <c r="AM12" s="44">
        <f t="shared" si="9"/>
        <v>4.9632365766476561E-2</v>
      </c>
      <c r="AN12" s="40"/>
      <c r="AO12" s="32"/>
      <c r="AP12" s="32"/>
      <c r="AQ12" s="32"/>
      <c r="AR12" s="32"/>
      <c r="AS12" s="32"/>
      <c r="AT12" s="32"/>
    </row>
    <row r="13" spans="1:46">
      <c r="A13" s="57" t="s">
        <v>59</v>
      </c>
      <c r="B13" s="49">
        <v>938020.51009871368</v>
      </c>
      <c r="D13" s="49">
        <v>16947.490988026173</v>
      </c>
      <c r="E13" s="49">
        <v>970.74285098123778</v>
      </c>
      <c r="F13" s="44">
        <v>0.83215700371960644</v>
      </c>
      <c r="G13" s="43">
        <f t="shared" si="2"/>
        <v>15073.716172142131</v>
      </c>
      <c r="H13" s="49">
        <v>18253.4446840565</v>
      </c>
      <c r="I13" s="53">
        <v>9.9648887769073657E-2</v>
      </c>
      <c r="J13" s="77">
        <v>3.9287390810171699E-2</v>
      </c>
      <c r="K13" s="49">
        <v>1003.34019675897</v>
      </c>
      <c r="L13" s="53">
        <v>0.17345639184699976</v>
      </c>
      <c r="M13" s="77">
        <v>2.743690810521204E-3</v>
      </c>
      <c r="N13" s="44">
        <v>0.82784500000000005</v>
      </c>
      <c r="O13" s="43">
        <f t="shared" si="3"/>
        <v>16114.363111231725</v>
      </c>
      <c r="Q13" s="49">
        <v>2210.0163333333335</v>
      </c>
      <c r="R13" s="30">
        <v>588.53134995179312</v>
      </c>
      <c r="S13" s="43">
        <f t="shared" si="0"/>
        <v>1300663.8960721788</v>
      </c>
      <c r="T13" s="49">
        <v>2190.95623943186</v>
      </c>
      <c r="U13" s="49">
        <v>6249.166666666667</v>
      </c>
      <c r="V13" s="30">
        <v>591.2819073940293</v>
      </c>
      <c r="W13" s="43">
        <f t="shared" si="4"/>
        <v>1295472.7842681198</v>
      </c>
      <c r="Y13" s="30">
        <v>37213.5</v>
      </c>
      <c r="Z13" s="30">
        <v>22637.8</v>
      </c>
      <c r="AA13" s="44">
        <f t="shared" si="1"/>
        <v>0.39167775135367544</v>
      </c>
      <c r="AB13" s="35">
        <v>0.30656842535655898</v>
      </c>
      <c r="AD13" s="57" t="s">
        <v>59</v>
      </c>
      <c r="AE13" s="45">
        <f t="shared" si="5"/>
        <v>4.1334599719520204</v>
      </c>
      <c r="AF13" s="54">
        <v>2.8546429318998201</v>
      </c>
      <c r="AG13" s="53">
        <f t="shared" si="10"/>
        <v>-3.6495196342935521E-2</v>
      </c>
      <c r="AI13" s="57" t="s">
        <v>59</v>
      </c>
      <c r="AJ13" s="42">
        <f t="shared" si="6"/>
        <v>938020.51009871368</v>
      </c>
      <c r="AK13" s="43">
        <f t="shared" si="7"/>
        <v>963609.95651603385</v>
      </c>
      <c r="AL13" s="44">
        <f t="shared" si="8"/>
        <v>-2.6555813630070538E-2</v>
      </c>
      <c r="AM13" s="44">
        <f t="shared" si="9"/>
        <v>4.6963054380014801E-2</v>
      </c>
      <c r="AO13" s="32"/>
      <c r="AP13" s="32"/>
      <c r="AQ13" s="32"/>
      <c r="AR13" s="32"/>
      <c r="AS13" s="32"/>
      <c r="AT13" s="32"/>
    </row>
    <row r="14" spans="1:46">
      <c r="A14" s="57" t="s">
        <v>60</v>
      </c>
      <c r="B14" s="49">
        <v>931140.95929229981</v>
      </c>
      <c r="D14" s="49">
        <v>18943.930197413443</v>
      </c>
      <c r="E14" s="49">
        <v>1059.7251240025878</v>
      </c>
      <c r="F14" s="44">
        <v>0.83469703894930436</v>
      </c>
      <c r="G14" s="43">
        <f t="shared" si="2"/>
        <v>16872.167565845899</v>
      </c>
      <c r="H14" s="49">
        <v>19271.9753769323</v>
      </c>
      <c r="I14" s="53">
        <v>0.10219668755332685</v>
      </c>
      <c r="J14" s="77">
        <v>4.1616255210911036E-2</v>
      </c>
      <c r="K14" s="49">
        <v>1075.1709706128499</v>
      </c>
      <c r="L14" s="53">
        <v>0.17428068482567402</v>
      </c>
      <c r="M14" s="77">
        <v>2.7007306355336606E-3</v>
      </c>
      <c r="N14" s="44">
        <v>0.82784500000000005</v>
      </c>
      <c r="O14" s="43">
        <f t="shared" si="3"/>
        <v>17029.379426529373</v>
      </c>
      <c r="Q14" s="49">
        <v>2178.4818</v>
      </c>
      <c r="R14" s="30">
        <v>604.33599903638333</v>
      </c>
      <c r="S14" s="43">
        <f t="shared" si="0"/>
        <v>1316534.9749855786</v>
      </c>
      <c r="T14" s="49">
        <v>2170.0852835935302</v>
      </c>
      <c r="U14" s="49">
        <v>6368.583333333333</v>
      </c>
      <c r="V14" s="30">
        <v>603.62061008858439</v>
      </c>
      <c r="W14" s="43">
        <f t="shared" si="4"/>
        <v>1309908.2028269854</v>
      </c>
      <c r="Y14" s="30">
        <v>38347.699999999997</v>
      </c>
      <c r="Z14" s="30">
        <v>25179.1</v>
      </c>
      <c r="AA14" s="44">
        <f t="shared" si="1"/>
        <v>0.34339999530610699</v>
      </c>
      <c r="AB14" s="35">
        <v>0.28820448310500402</v>
      </c>
      <c r="AD14" s="57" t="s">
        <v>60</v>
      </c>
      <c r="AE14" s="45">
        <f t="shared" si="5"/>
        <v>3.157807321724885</v>
      </c>
      <c r="AF14" s="54">
        <v>2.6774075464182499</v>
      </c>
      <c r="AG14" s="53">
        <f t="shared" si="10"/>
        <v>-6.2086709164573706E-2</v>
      </c>
      <c r="AI14" s="57" t="s">
        <v>60</v>
      </c>
      <c r="AJ14" s="42">
        <f t="shared" si="6"/>
        <v>931140.95929229981</v>
      </c>
      <c r="AK14" s="43">
        <f t="shared" si="7"/>
        <v>1003204.7359242873</v>
      </c>
      <c r="AL14" s="44">
        <f t="shared" si="8"/>
        <v>-7.183356901280244E-2</v>
      </c>
      <c r="AM14" s="44">
        <f t="shared" si="9"/>
        <v>4.1090048043307625E-2</v>
      </c>
      <c r="AO14" s="32"/>
      <c r="AP14" s="32"/>
      <c r="AQ14" s="32"/>
      <c r="AR14" s="32"/>
      <c r="AS14" s="32"/>
      <c r="AT14" s="32"/>
    </row>
    <row r="15" spans="1:46">
      <c r="A15" s="57" t="s">
        <v>61</v>
      </c>
      <c r="B15" s="49">
        <v>914515.97595756478</v>
      </c>
      <c r="D15" s="49">
        <v>20882.983261920435</v>
      </c>
      <c r="E15" s="49">
        <v>1126.511595140536</v>
      </c>
      <c r="F15" s="44">
        <v>0.82365230661915823</v>
      </c>
      <c r="G15" s="43">
        <f t="shared" si="2"/>
        <v>18326.828927910574</v>
      </c>
      <c r="H15" s="49">
        <v>20268.9552413038</v>
      </c>
      <c r="I15" s="53">
        <v>0.10635865326378077</v>
      </c>
      <c r="J15" s="77">
        <v>3.9724034575944853E-2</v>
      </c>
      <c r="K15" s="49">
        <v>1146.7795842764201</v>
      </c>
      <c r="L15" s="53">
        <v>0.1745801362210059</v>
      </c>
      <c r="M15" s="77">
        <v>3.3074310610391095E-3</v>
      </c>
      <c r="N15" s="44">
        <v>0.82784500000000005</v>
      </c>
      <c r="O15" s="43">
        <f t="shared" si="3"/>
        <v>17926.332836013567</v>
      </c>
      <c r="Q15" s="49">
        <v>2139.8433333333332</v>
      </c>
      <c r="R15" s="30">
        <v>618.86100882546657</v>
      </c>
      <c r="S15" s="43">
        <f t="shared" si="0"/>
        <v>1324265.6039951157</v>
      </c>
      <c r="T15" s="49">
        <v>2148.43725181434</v>
      </c>
      <c r="U15" s="49">
        <v>6436.25</v>
      </c>
      <c r="V15" s="30">
        <v>615.96835587990222</v>
      </c>
      <c r="W15" s="43">
        <f t="shared" si="4"/>
        <v>1323369.3617112145</v>
      </c>
      <c r="Y15" s="30">
        <v>37647.599999999999</v>
      </c>
      <c r="Z15" s="30">
        <v>26599.599999999999</v>
      </c>
      <c r="AA15" s="44">
        <f t="shared" si="1"/>
        <v>0.29345828153720288</v>
      </c>
      <c r="AB15" s="35">
        <v>0.26535982511103801</v>
      </c>
      <c r="AD15" s="57" t="s">
        <v>61</v>
      </c>
      <c r="AE15" s="45">
        <f t="shared" si="5"/>
        <v>2.4250584416824661</v>
      </c>
      <c r="AF15" s="54">
        <v>2.4481427006933698</v>
      </c>
      <c r="AG15" s="53">
        <f t="shared" si="10"/>
        <v>-8.5629416422458027E-2</v>
      </c>
      <c r="AI15" s="57" t="s">
        <v>61</v>
      </c>
      <c r="AJ15" s="42">
        <f t="shared" si="6"/>
        <v>914515.97595756478</v>
      </c>
      <c r="AK15" s="43">
        <f t="shared" si="7"/>
        <v>1034606.8127486181</v>
      </c>
      <c r="AL15" s="44">
        <f t="shared" si="8"/>
        <v>-0.11607388943439345</v>
      </c>
      <c r="AM15" s="44">
        <f t="shared" si="9"/>
        <v>3.1301762940142863E-2</v>
      </c>
      <c r="AO15" s="32"/>
      <c r="AP15" s="32"/>
      <c r="AQ15" s="32"/>
      <c r="AR15" s="32"/>
      <c r="AS15" s="32"/>
      <c r="AT15" s="32"/>
    </row>
    <row r="16" spans="1:46">
      <c r="A16" s="57" t="s">
        <v>62</v>
      </c>
      <c r="B16" s="49">
        <v>876340.72052990249</v>
      </c>
      <c r="D16" s="49">
        <v>22294.723710971728</v>
      </c>
      <c r="E16" s="49">
        <v>1232.3149018762131</v>
      </c>
      <c r="F16" s="44">
        <v>0.80982216605645885</v>
      </c>
      <c r="G16" s="43">
        <f t="shared" si="2"/>
        <v>19287.076349125629</v>
      </c>
      <c r="H16" s="49">
        <v>21196.571547539399</v>
      </c>
      <c r="I16" s="53">
        <v>0.10896493823100777</v>
      </c>
      <c r="J16" s="77">
        <v>3.729668912572056E-2</v>
      </c>
      <c r="K16" s="49">
        <v>1216.42764701653</v>
      </c>
      <c r="L16" s="53">
        <v>0.17536907717138378</v>
      </c>
      <c r="M16" s="77">
        <v>3.6029616831143247E-3</v>
      </c>
      <c r="N16" s="44">
        <v>0.82784500000000005</v>
      </c>
      <c r="O16" s="43">
        <f t="shared" si="3"/>
        <v>18763.903419789287</v>
      </c>
      <c r="Q16" s="49">
        <v>2091.8484666666668</v>
      </c>
      <c r="R16" s="30">
        <v>640.53298907340525</v>
      </c>
      <c r="S16" s="43">
        <f t="shared" si="0"/>
        <v>1339897.9510426195</v>
      </c>
      <c r="T16" s="49">
        <v>2127.1221606023701</v>
      </c>
      <c r="U16" s="49">
        <v>6450</v>
      </c>
      <c r="V16" s="30">
        <v>627.66488175266625</v>
      </c>
      <c r="W16" s="43">
        <f t="shared" si="4"/>
        <v>1335119.8794079626</v>
      </c>
      <c r="Y16" s="30">
        <v>37628</v>
      </c>
      <c r="Z16" s="30">
        <v>28010.3</v>
      </c>
      <c r="AA16" s="44">
        <f t="shared" si="1"/>
        <v>0.25559955352397157</v>
      </c>
      <c r="AB16" s="35">
        <v>0.23946962849062001</v>
      </c>
      <c r="AD16" s="57" t="s">
        <v>62</v>
      </c>
      <c r="AE16" s="45">
        <f t="shared" si="5"/>
        <v>1.933596661905062</v>
      </c>
      <c r="AF16" s="54">
        <v>2.1887314522421502</v>
      </c>
      <c r="AG16" s="53">
        <f t="shared" si="10"/>
        <v>-0.10596247039755835</v>
      </c>
      <c r="AI16" s="57" t="s">
        <v>62</v>
      </c>
      <c r="AJ16" s="42">
        <f t="shared" si="6"/>
        <v>876340.72052990249</v>
      </c>
      <c r="AK16" s="43">
        <f t="shared" si="7"/>
        <v>1052368.3935011725</v>
      </c>
      <c r="AL16" s="44">
        <f t="shared" si="8"/>
        <v>-0.16726811072844514</v>
      </c>
      <c r="AM16" s="44">
        <f t="shared" si="9"/>
        <v>1.7167469355211074E-2</v>
      </c>
      <c r="AO16" s="32"/>
      <c r="AP16" s="32"/>
      <c r="AQ16" s="32"/>
      <c r="AR16" s="32"/>
      <c r="AS16" s="32"/>
      <c r="AT16" s="32"/>
    </row>
    <row r="17" spans="1:46">
      <c r="A17" s="57" t="s">
        <v>63</v>
      </c>
      <c r="B17" s="43">
        <v>872986.73810545634</v>
      </c>
      <c r="D17" s="49">
        <v>23133.841261109683</v>
      </c>
      <c r="E17" s="49">
        <v>1331.947178491841</v>
      </c>
      <c r="F17" s="44">
        <v>0.80504109241560873</v>
      </c>
      <c r="G17" s="43">
        <f t="shared" si="2"/>
        <v>19955.640019104863</v>
      </c>
      <c r="H17" s="49">
        <v>22013.151846213801</v>
      </c>
      <c r="I17" s="44">
        <v>0.10970254496282243</v>
      </c>
      <c r="J17" s="77">
        <v>3.5312105733588034E-2</v>
      </c>
      <c r="K17" s="49">
        <v>1282.1740882086599</v>
      </c>
      <c r="L17" s="44">
        <v>0.17669407788252073</v>
      </c>
      <c r="M17" s="77">
        <v>3.2990191881381108E-3</v>
      </c>
      <c r="N17" s="44">
        <v>0.82784500000000005</v>
      </c>
      <c r="O17" s="43">
        <f>H17*N17+K17</f>
        <v>19505.651778337524</v>
      </c>
      <c r="Q17" s="43">
        <v>2063.0862000000006</v>
      </c>
      <c r="R17" s="43">
        <v>654.78691854150406</v>
      </c>
      <c r="S17" s="43">
        <f t="shared" si="0"/>
        <v>1350881.8555835015</v>
      </c>
      <c r="T17" s="43">
        <v>2107.1640872808898</v>
      </c>
      <c r="U17" s="43">
        <v>6453.666666666667</v>
      </c>
      <c r="V17" s="43">
        <v>637.98091429446617</v>
      </c>
      <c r="W17" s="43">
        <f t="shared" si="4"/>
        <v>1344330.4709719263</v>
      </c>
      <c r="Y17" s="43">
        <v>35240.300000000003</v>
      </c>
      <c r="Z17" s="43">
        <v>29892.3</v>
      </c>
      <c r="AA17" s="44">
        <f>1-Z17/Y17</f>
        <v>0.15175807243411676</v>
      </c>
      <c r="AB17" s="35">
        <v>0.212250054923974</v>
      </c>
      <c r="AD17" s="57" t="s">
        <v>63</v>
      </c>
      <c r="AE17" s="45">
        <f t="shared" si="5"/>
        <v>1.2251556758270181</v>
      </c>
      <c r="AF17" s="45">
        <v>1.9208260159916499</v>
      </c>
      <c r="AG17" s="53">
        <f t="shared" si="10"/>
        <v>-0.12240215033052881</v>
      </c>
      <c r="AI17" s="57" t="s">
        <v>63</v>
      </c>
      <c r="AJ17" s="42">
        <f t="shared" si="6"/>
        <v>872986.73810545634</v>
      </c>
      <c r="AK17" s="43">
        <f t="shared" si="7"/>
        <v>1051489.9409993226</v>
      </c>
      <c r="AL17" s="44">
        <f t="shared" si="8"/>
        <v>-0.1697621593262405</v>
      </c>
      <c r="AM17" s="44">
        <f t="shared" si="9"/>
        <v>-8.3473858325167072E-4</v>
      </c>
      <c r="AO17" s="37"/>
      <c r="AP17" s="37"/>
      <c r="AQ17" s="38"/>
      <c r="AR17" s="37"/>
      <c r="AS17" s="37"/>
      <c r="AT17" s="38"/>
    </row>
    <row r="18" spans="1:46">
      <c r="A18" s="57" t="s">
        <v>64</v>
      </c>
      <c r="B18" s="43">
        <v>883056.79709820484</v>
      </c>
      <c r="D18" s="43">
        <v>23678.7</v>
      </c>
      <c r="E18" s="43">
        <v>1384.6</v>
      </c>
      <c r="F18" s="44">
        <v>0.80543238015226171</v>
      </c>
      <c r="G18" s="43">
        <f t="shared" si="2"/>
        <v>20456.19169991136</v>
      </c>
      <c r="H18" s="43">
        <v>22688.005209536001</v>
      </c>
      <c r="I18" s="44">
        <v>0.10615447638595017</v>
      </c>
      <c r="J18" s="77">
        <v>3.6334016232516267E-2</v>
      </c>
      <c r="K18" s="43">
        <v>1342.2367097768699</v>
      </c>
      <c r="L18" s="44">
        <v>0.17745197168857432</v>
      </c>
      <c r="M18" s="77">
        <v>3.1730688322739778E-3</v>
      </c>
      <c r="N18" s="44">
        <v>0.82784500000000005</v>
      </c>
      <c r="O18" s="43">
        <f t="shared" ref="O18:O63" si="11">H18*N18+K18</f>
        <v>20124.3883824652</v>
      </c>
      <c r="Q18" s="43">
        <v>2065.6851999999999</v>
      </c>
      <c r="R18" s="43">
        <v>662.99189736161873</v>
      </c>
      <c r="S18" s="43">
        <f t="shared" si="0"/>
        <v>1369532.5500998148</v>
      </c>
      <c r="T18" s="43">
        <v>2089.2343722338201</v>
      </c>
      <c r="U18" s="43">
        <v>6457.333333333333</v>
      </c>
      <c r="V18" s="43">
        <v>646.23938937919286</v>
      </c>
      <c r="W18" s="43">
        <f t="shared" si="4"/>
        <v>1350145.5449824051</v>
      </c>
      <c r="Y18" s="43">
        <v>34426.699999999997</v>
      </c>
      <c r="Z18" s="43">
        <v>30074.5</v>
      </c>
      <c r="AA18" s="44">
        <f t="shared" ref="AA18:AA42" si="12">1-Z18/Y18</f>
        <v>0.12641931988834243</v>
      </c>
      <c r="AB18" s="35">
        <v>0.18557856534165501</v>
      </c>
      <c r="AD18" s="57" t="s">
        <v>64</v>
      </c>
      <c r="AE18" s="45">
        <f t="shared" si="5"/>
        <v>1.097049049768581</v>
      </c>
      <c r="AF18" s="45">
        <v>1.6635272589654799</v>
      </c>
      <c r="AG18" s="53">
        <f t="shared" si="10"/>
        <v>-0.13395214084152041</v>
      </c>
      <c r="AH18" s="43"/>
      <c r="AI18" s="57" t="s">
        <v>64</v>
      </c>
      <c r="AJ18" s="42">
        <f t="shared" si="6"/>
        <v>883056.79709820484</v>
      </c>
      <c r="AK18" s="43">
        <f t="shared" si="7"/>
        <v>1029015.5969107923</v>
      </c>
      <c r="AL18" s="44">
        <f t="shared" si="8"/>
        <v>-0.14184313653823163</v>
      </c>
      <c r="AM18" s="44">
        <f t="shared" si="9"/>
        <v>-2.1373807976870385E-2</v>
      </c>
      <c r="AO18" s="37"/>
      <c r="AP18" s="37"/>
      <c r="AQ18" s="38"/>
      <c r="AR18" s="37"/>
      <c r="AS18" s="37"/>
      <c r="AT18" s="38"/>
    </row>
    <row r="19" spans="1:46">
      <c r="A19" s="57" t="s">
        <v>65</v>
      </c>
      <c r="B19" s="43">
        <v>855111.95504074183</v>
      </c>
      <c r="D19" s="43">
        <v>24373.600000000002</v>
      </c>
      <c r="E19" s="43">
        <v>1419.1</v>
      </c>
      <c r="F19" s="44">
        <v>0.81356770739113005</v>
      </c>
      <c r="G19" s="43">
        <f t="shared" si="2"/>
        <v>21248.673872868447</v>
      </c>
      <c r="H19" s="43">
        <v>23201.647603863799</v>
      </c>
      <c r="I19" s="44">
        <v>0.10796927823546791</v>
      </c>
      <c r="J19" s="77">
        <v>3.2807400054023765E-2</v>
      </c>
      <c r="K19" s="43">
        <v>1395.3310445480699</v>
      </c>
      <c r="L19" s="44">
        <v>0.1782115425269537</v>
      </c>
      <c r="M19" s="77">
        <v>3.5539206089747707E-3</v>
      </c>
      <c r="N19" s="44">
        <v>0.82784500000000005</v>
      </c>
      <c r="O19" s="43">
        <f t="shared" si="11"/>
        <v>20602.699005168699</v>
      </c>
      <c r="Q19" s="43">
        <v>2088.7296666666671</v>
      </c>
      <c r="R19" s="43">
        <v>669.47482644485297</v>
      </c>
      <c r="S19" s="43">
        <f t="shared" si="0"/>
        <v>1398351.9310818824</v>
      </c>
      <c r="T19" s="43">
        <v>2073.5635769722398</v>
      </c>
      <c r="U19" s="43">
        <v>6486.25</v>
      </c>
      <c r="V19" s="43">
        <v>651.89082098768984</v>
      </c>
      <c r="W19" s="43">
        <f t="shared" si="4"/>
        <v>1351737.0625626042</v>
      </c>
      <c r="Y19" s="43">
        <v>35941.800000000003</v>
      </c>
      <c r="Z19" s="43">
        <v>30504.5</v>
      </c>
      <c r="AA19" s="44">
        <f t="shared" si="12"/>
        <v>0.15128068154627761</v>
      </c>
      <c r="AB19" s="35">
        <v>0.16072770084931801</v>
      </c>
      <c r="AD19" s="57" t="s">
        <v>65</v>
      </c>
      <c r="AE19" s="45">
        <f t="shared" si="5"/>
        <v>1.152067256899989</v>
      </c>
      <c r="AF19" s="45">
        <v>1.42897934478536</v>
      </c>
      <c r="AG19" s="53">
        <f t="shared" si="10"/>
        <v>-0.14099433172257203</v>
      </c>
      <c r="AH19" s="40"/>
      <c r="AI19" s="57" t="s">
        <v>65</v>
      </c>
      <c r="AJ19" s="42">
        <f t="shared" si="6"/>
        <v>855111.95504074183</v>
      </c>
      <c r="AK19" s="43">
        <f t="shared" si="7"/>
        <v>986009.42691667133</v>
      </c>
      <c r="AL19" s="44">
        <f t="shared" si="8"/>
        <v>-0.13275478743165381</v>
      </c>
      <c r="AM19" s="44">
        <f t="shared" si="9"/>
        <v>-4.1793506457268315E-2</v>
      </c>
      <c r="AO19" s="37"/>
      <c r="AP19" s="37"/>
      <c r="AQ19" s="38"/>
      <c r="AR19" s="37"/>
      <c r="AS19" s="37"/>
      <c r="AT19" s="38"/>
    </row>
    <row r="20" spans="1:46">
      <c r="A20" s="57" t="s">
        <v>66</v>
      </c>
      <c r="B20" s="43">
        <v>802443.59688947361</v>
      </c>
      <c r="D20" s="43">
        <v>24547.4</v>
      </c>
      <c r="E20" s="43">
        <v>1470.1</v>
      </c>
      <c r="F20" s="44">
        <v>0.81403646043855638</v>
      </c>
      <c r="G20" s="43">
        <f t="shared" si="2"/>
        <v>21452.578608969419</v>
      </c>
      <c r="H20" s="43">
        <v>23544.5019434598</v>
      </c>
      <c r="I20" s="44">
        <v>0.11098527746319375</v>
      </c>
      <c r="J20" s="77">
        <v>3.1837751711188383E-2</v>
      </c>
      <c r="K20" s="43">
        <v>1440.5962582514001</v>
      </c>
      <c r="L20" s="44">
        <v>0.17903543976600228</v>
      </c>
      <c r="M20" s="77">
        <v>3.9080628372587592E-3</v>
      </c>
      <c r="N20" s="44">
        <v>0.82784500000000005</v>
      </c>
      <c r="O20" s="43">
        <f t="shared" si="11"/>
        <v>20931.794469634879</v>
      </c>
      <c r="Q20" s="43">
        <v>2071.5762666666665</v>
      </c>
      <c r="R20" s="43">
        <v>684.60342112773708</v>
      </c>
      <c r="S20" s="43">
        <f t="shared" si="0"/>
        <v>1418208.1992870253</v>
      </c>
      <c r="T20" s="43">
        <v>2060.1467712849299</v>
      </c>
      <c r="U20" s="43">
        <v>6556.916666666667</v>
      </c>
      <c r="V20" s="43">
        <v>654.54113976425742</v>
      </c>
      <c r="W20" s="43">
        <f t="shared" si="4"/>
        <v>1348450.815758493</v>
      </c>
      <c r="Y20" s="43">
        <v>33721.699999999997</v>
      </c>
      <c r="Z20" s="43">
        <v>31412.3</v>
      </c>
      <c r="AA20" s="44">
        <f t="shared" si="12"/>
        <v>6.8484091845903317E-2</v>
      </c>
      <c r="AB20" s="35">
        <v>0.13837841009808199</v>
      </c>
      <c r="AD20" s="57" t="s">
        <v>66</v>
      </c>
      <c r="AE20" s="45">
        <f t="shared" si="5"/>
        <v>0.75393414162323458</v>
      </c>
      <c r="AF20" s="45">
        <v>1.2236616549813299</v>
      </c>
      <c r="AG20" s="53">
        <f t="shared" si="10"/>
        <v>-0.14368135589452469</v>
      </c>
      <c r="AH20" s="40"/>
      <c r="AI20" s="57" t="s">
        <v>66</v>
      </c>
      <c r="AJ20" s="42">
        <f t="shared" si="6"/>
        <v>802443.59688947361</v>
      </c>
      <c r="AK20" s="43">
        <f t="shared" si="7"/>
        <v>927184.05253481399</v>
      </c>
      <c r="AL20" s="44">
        <f t="shared" si="8"/>
        <v>-0.13453688650523529</v>
      </c>
      <c r="AM20" s="44">
        <f t="shared" si="9"/>
        <v>-5.9660052709444078E-2</v>
      </c>
      <c r="AO20" s="37"/>
      <c r="AP20" s="37"/>
      <c r="AQ20" s="38"/>
      <c r="AR20" s="37"/>
      <c r="AS20" s="37"/>
      <c r="AT20" s="38"/>
    </row>
    <row r="21" spans="1:46">
      <c r="A21" s="57" t="s">
        <v>67</v>
      </c>
      <c r="B21" s="43">
        <v>766874.02644940093</v>
      </c>
      <c r="D21" s="43">
        <v>24377.8</v>
      </c>
      <c r="E21" s="43">
        <v>1520.5</v>
      </c>
      <c r="F21" s="44">
        <v>0.79833957381538978</v>
      </c>
      <c r="G21" s="43">
        <f t="shared" si="2"/>
        <v>20982.26246255681</v>
      </c>
      <c r="H21" s="43">
        <v>23718.710666547799</v>
      </c>
      <c r="I21" s="44">
        <v>0.1121881383882056</v>
      </c>
      <c r="J21" s="77">
        <v>3.0360918738895678E-2</v>
      </c>
      <c r="K21" s="43">
        <v>1477.4092061705201</v>
      </c>
      <c r="L21" s="44">
        <v>0.18066425517921744</v>
      </c>
      <c r="M21" s="77">
        <v>3.785497878237949E-3</v>
      </c>
      <c r="N21" s="44">
        <v>0.82784500000000005</v>
      </c>
      <c r="O21" s="43">
        <f t="shared" si="11"/>
        <v>21112.825237918783</v>
      </c>
      <c r="Q21" s="43">
        <v>2050.7842666666666</v>
      </c>
      <c r="R21" s="43">
        <v>661.75412035202453</v>
      </c>
      <c r="S21" s="43">
        <f t="shared" si="0"/>
        <v>1357114.9384197716</v>
      </c>
      <c r="T21" s="43">
        <v>2049.1306858575799</v>
      </c>
      <c r="U21" s="43">
        <v>6514</v>
      </c>
      <c r="V21" s="43">
        <v>653.98243176224071</v>
      </c>
      <c r="W21" s="43">
        <f t="shared" si="4"/>
        <v>1340095.4689357684</v>
      </c>
      <c r="Y21" s="43">
        <v>32164.400000000001</v>
      </c>
      <c r="Z21" s="43">
        <v>29572.3</v>
      </c>
      <c r="AA21" s="44">
        <f t="shared" si="12"/>
        <v>8.0589098506423262E-2</v>
      </c>
      <c r="AB21" s="35">
        <v>0.119117171546034</v>
      </c>
      <c r="AD21" s="57" t="s">
        <v>67</v>
      </c>
      <c r="AE21" s="45">
        <f t="shared" si="5"/>
        <v>0.79074282793290251</v>
      </c>
      <c r="AF21" s="45">
        <v>1.0512844502046099</v>
      </c>
      <c r="AG21" s="53">
        <f t="shared" si="10"/>
        <v>-0.14086998973531628</v>
      </c>
      <c r="AH21" s="40"/>
      <c r="AI21" s="57" t="s">
        <v>67</v>
      </c>
      <c r="AJ21" s="42">
        <f t="shared" si="6"/>
        <v>766874.02644940093</v>
      </c>
      <c r="AK21" s="43">
        <f t="shared" si="7"/>
        <v>859283.81230793416</v>
      </c>
      <c r="AL21" s="44">
        <f t="shared" si="8"/>
        <v>-0.10754279847345376</v>
      </c>
      <c r="AM21" s="44">
        <f t="shared" si="9"/>
        <v>-7.3232752484523878E-2</v>
      </c>
      <c r="AO21" s="37"/>
      <c r="AP21" s="37"/>
      <c r="AQ21" s="38"/>
      <c r="AR21" s="37"/>
      <c r="AS21" s="37"/>
      <c r="AT21" s="38"/>
    </row>
    <row r="22" spans="1:46">
      <c r="A22" s="57" t="s">
        <v>68</v>
      </c>
      <c r="B22" s="43">
        <v>751604.13154859724</v>
      </c>
      <c r="D22" s="43">
        <v>23971.200000000001</v>
      </c>
      <c r="E22" s="43">
        <v>1536.1</v>
      </c>
      <c r="F22" s="44">
        <v>0.78839868222937881</v>
      </c>
      <c r="G22" s="43">
        <f t="shared" si="2"/>
        <v>20434.962491456885</v>
      </c>
      <c r="H22" s="43">
        <v>23736.445191917301</v>
      </c>
      <c r="I22" s="44">
        <v>0.11052012414897885</v>
      </c>
      <c r="J22" s="77">
        <v>3.0364388701506723E-2</v>
      </c>
      <c r="K22" s="43">
        <v>1505.4417810065399</v>
      </c>
      <c r="L22" s="44">
        <v>0.18293079877612128</v>
      </c>
      <c r="M22" s="77">
        <v>3.9568702128770922E-3</v>
      </c>
      <c r="N22" s="44">
        <v>0.82784500000000005</v>
      </c>
      <c r="O22" s="43">
        <f t="shared" si="11"/>
        <v>21155.539250909318</v>
      </c>
      <c r="Q22" s="43">
        <v>2026.5269333333335</v>
      </c>
      <c r="R22" s="43">
        <v>656.6112003019274</v>
      </c>
      <c r="S22" s="43">
        <f t="shared" si="0"/>
        <v>1330640.2821401842</v>
      </c>
      <c r="T22" s="43">
        <v>2040.7763463297299</v>
      </c>
      <c r="U22" s="43">
        <v>6461.833333333333</v>
      </c>
      <c r="V22" s="43">
        <v>650.3099776970821</v>
      </c>
      <c r="W22" s="43">
        <f t="shared" si="4"/>
        <v>1327137.2202664195</v>
      </c>
      <c r="Y22" s="43">
        <v>31273.200000000001</v>
      </c>
      <c r="Z22" s="43">
        <v>28939</v>
      </c>
      <c r="AA22" s="44">
        <f t="shared" si="12"/>
        <v>7.4638988015297447E-2</v>
      </c>
      <c r="AB22" s="35">
        <v>0.102831520468738</v>
      </c>
      <c r="AD22" s="57" t="s">
        <v>68</v>
      </c>
      <c r="AE22" s="45">
        <f t="shared" si="5"/>
        <v>0.77143660253485857</v>
      </c>
      <c r="AF22" s="45">
        <v>0.910860715972582</v>
      </c>
      <c r="AG22" s="53">
        <f t="shared" si="10"/>
        <v>-0.13357349117519757</v>
      </c>
      <c r="AH22" s="40"/>
      <c r="AI22" s="57" t="s">
        <v>68</v>
      </c>
      <c r="AJ22" s="42">
        <f t="shared" si="6"/>
        <v>751604.13154859724</v>
      </c>
      <c r="AK22" s="43">
        <f t="shared" si="7"/>
        <v>789821.57670227694</v>
      </c>
      <c r="AL22" s="44">
        <f t="shared" si="8"/>
        <v>-4.838744126647955E-2</v>
      </c>
      <c r="AM22" s="44">
        <f t="shared" si="9"/>
        <v>-8.083736084715698E-2</v>
      </c>
      <c r="AO22" s="37"/>
      <c r="AP22" s="37"/>
      <c r="AQ22" s="38"/>
      <c r="AR22" s="37"/>
      <c r="AS22" s="37"/>
      <c r="AT22" s="38"/>
    </row>
    <row r="23" spans="1:46">
      <c r="A23" s="57" t="s">
        <v>69</v>
      </c>
      <c r="B23" s="43">
        <v>696493.91938198661</v>
      </c>
      <c r="D23" s="43">
        <v>23604.1</v>
      </c>
      <c r="E23" s="43">
        <v>1552.5</v>
      </c>
      <c r="F23" s="44">
        <v>0.78321155603443193</v>
      </c>
      <c r="G23" s="43">
        <f t="shared" si="2"/>
        <v>20039.503889792333</v>
      </c>
      <c r="H23" s="43">
        <v>23616.467831692102</v>
      </c>
      <c r="I23" s="44">
        <v>0.10780754191009188</v>
      </c>
      <c r="J23" s="77">
        <v>3.6815827513257654E-2</v>
      </c>
      <c r="K23" s="43">
        <v>1524.7967833989201</v>
      </c>
      <c r="L23" s="44">
        <v>0.18595813204508851</v>
      </c>
      <c r="M23" s="77">
        <v>4.3130311929578807E-3</v>
      </c>
      <c r="N23" s="44">
        <v>0.82784500000000005</v>
      </c>
      <c r="O23" s="43">
        <f t="shared" si="11"/>
        <v>21075.571595526071</v>
      </c>
      <c r="Q23" s="43">
        <v>2017.1705333333337</v>
      </c>
      <c r="R23" s="43">
        <v>653.21341377324222</v>
      </c>
      <c r="S23" s="43">
        <f t="shared" si="0"/>
        <v>1317642.8502414585</v>
      </c>
      <c r="T23" s="43">
        <v>2035.36131414897</v>
      </c>
      <c r="U23" s="43">
        <v>6445.833333333333</v>
      </c>
      <c r="V23" s="43">
        <v>643.75636680403989</v>
      </c>
      <c r="W23" s="43">
        <f t="shared" si="4"/>
        <v>1310276.804730037</v>
      </c>
      <c r="Y23" s="43">
        <v>30501.599999999999</v>
      </c>
      <c r="Z23" s="43">
        <v>27540.7</v>
      </c>
      <c r="AA23" s="44">
        <f t="shared" si="12"/>
        <v>9.7073596139218843E-2</v>
      </c>
      <c r="AB23" s="35">
        <v>8.9023711411359702E-2</v>
      </c>
      <c r="AD23" s="57" t="s">
        <v>69</v>
      </c>
      <c r="AE23" s="45">
        <f t="shared" si="5"/>
        <v>0.79358007079018011</v>
      </c>
      <c r="AF23" s="45">
        <v>0.79879802157957802</v>
      </c>
      <c r="AG23" s="53">
        <f t="shared" si="10"/>
        <v>-0.12302945162515622</v>
      </c>
      <c r="AH23" s="40"/>
      <c r="AI23" s="57" t="s">
        <v>69</v>
      </c>
      <c r="AJ23" s="42">
        <f t="shared" si="6"/>
        <v>696493.91938198661</v>
      </c>
      <c r="AK23" s="43">
        <f t="shared" si="7"/>
        <v>724650.43397633045</v>
      </c>
      <c r="AL23" s="44">
        <f t="shared" si="8"/>
        <v>-3.8855306330035991E-2</v>
      </c>
      <c r="AM23" s="44">
        <f t="shared" si="9"/>
        <v>-8.2513753293565362E-2</v>
      </c>
      <c r="AO23" s="37"/>
      <c r="AP23" s="37"/>
      <c r="AQ23" s="38"/>
      <c r="AR23" s="37"/>
      <c r="AS23" s="37"/>
      <c r="AT23" s="38"/>
    </row>
    <row r="24" spans="1:46">
      <c r="A24" s="57" t="s">
        <v>70</v>
      </c>
      <c r="B24" s="43">
        <v>667741.27891964652</v>
      </c>
      <c r="D24" s="43">
        <v>23623.599999999999</v>
      </c>
      <c r="E24" s="43">
        <v>1564.2</v>
      </c>
      <c r="F24" s="44">
        <v>0.77738919617072988</v>
      </c>
      <c r="G24" s="43">
        <f t="shared" si="2"/>
        <v>19928.931414658855</v>
      </c>
      <c r="H24" s="43">
        <v>23379.8884460767</v>
      </c>
      <c r="I24" s="44">
        <v>0.10978428351309698</v>
      </c>
      <c r="J24" s="77">
        <v>3.4296217296992684E-2</v>
      </c>
      <c r="K24" s="43">
        <v>1535.8835961770201</v>
      </c>
      <c r="L24" s="44">
        <v>0.18948983505945541</v>
      </c>
      <c r="M24" s="77">
        <v>4.2426611764717825E-3</v>
      </c>
      <c r="N24" s="44">
        <v>0.82784500000000005</v>
      </c>
      <c r="O24" s="43">
        <f t="shared" si="11"/>
        <v>20890.807346819387</v>
      </c>
      <c r="Q24" s="43">
        <v>1999.3240666666668</v>
      </c>
      <c r="R24" s="43">
        <v>631.46406991096273</v>
      </c>
      <c r="S24" s="43">
        <f t="shared" si="0"/>
        <v>1262501.3122082704</v>
      </c>
      <c r="T24" s="43">
        <v>2033.02065663297</v>
      </c>
      <c r="U24" s="43">
        <v>6412.166666666667</v>
      </c>
      <c r="V24" s="43">
        <v>634.68318193500932</v>
      </c>
      <c r="W24" s="43">
        <f t="shared" si="4"/>
        <v>1290324.0192914153</v>
      </c>
      <c r="Y24" s="43">
        <v>28908.9</v>
      </c>
      <c r="Z24" s="43">
        <v>25793.9</v>
      </c>
      <c r="AA24" s="44">
        <f t="shared" si="12"/>
        <v>0.10775228389873015</v>
      </c>
      <c r="AB24" s="35">
        <v>7.6914073594525095E-2</v>
      </c>
      <c r="AD24" s="57" t="s">
        <v>70</v>
      </c>
      <c r="AE24" s="45">
        <f t="shared" si="5"/>
        <v>0.82702536499658752</v>
      </c>
      <c r="AF24" s="45">
        <v>0.71010969518521805</v>
      </c>
      <c r="AG24" s="53">
        <f t="shared" si="10"/>
        <v>-0.11102722340120952</v>
      </c>
      <c r="AH24" s="40"/>
      <c r="AI24" s="57" t="s">
        <v>70</v>
      </c>
      <c r="AJ24" s="42">
        <f t="shared" si="6"/>
        <v>667741.27891964652</v>
      </c>
      <c r="AK24" s="43">
        <f t="shared" si="7"/>
        <v>667253.47168293188</v>
      </c>
      <c r="AL24" s="44">
        <f t="shared" si="8"/>
        <v>7.3106736407725431E-4</v>
      </c>
      <c r="AM24" s="44">
        <f t="shared" si="9"/>
        <v>-7.9206414020133398E-2</v>
      </c>
      <c r="AO24" s="37"/>
      <c r="AP24" s="37"/>
      <c r="AQ24" s="38"/>
      <c r="AR24" s="37"/>
      <c r="AS24" s="37"/>
      <c r="AT24" s="38"/>
    </row>
    <row r="25" spans="1:46">
      <c r="A25" s="57" t="s">
        <v>71</v>
      </c>
      <c r="B25" s="43">
        <v>624622.83784950804</v>
      </c>
      <c r="D25" s="43">
        <v>23320.2</v>
      </c>
      <c r="E25" s="43">
        <v>1551.1</v>
      </c>
      <c r="F25" s="44">
        <v>0.76325161343582726</v>
      </c>
      <c r="G25" s="43">
        <f t="shared" si="2"/>
        <v>19350.280275646179</v>
      </c>
      <c r="H25" s="43">
        <v>23047.693216958902</v>
      </c>
      <c r="I25" s="44">
        <v>0.11052220821433778</v>
      </c>
      <c r="J25" s="77">
        <v>3.3674721328501564E-2</v>
      </c>
      <c r="K25" s="43">
        <v>1539.3886343362101</v>
      </c>
      <c r="L25" s="44">
        <v>0.19315324608342463</v>
      </c>
      <c r="M25" s="77">
        <v>4.5307341142749556E-3</v>
      </c>
      <c r="N25" s="44">
        <v>0.82784500000000005</v>
      </c>
      <c r="O25" s="43">
        <f t="shared" si="11"/>
        <v>20619.306225529552</v>
      </c>
      <c r="Q25" s="43">
        <v>2009.3735333333339</v>
      </c>
      <c r="R25" s="43">
        <v>617.89090719479759</v>
      </c>
      <c r="S25" s="43">
        <f t="shared" si="0"/>
        <v>1241573.6354045495</v>
      </c>
      <c r="T25" s="43">
        <v>2033.7075332912</v>
      </c>
      <c r="U25" s="43">
        <v>6331</v>
      </c>
      <c r="V25" s="43">
        <v>623.6206708162706</v>
      </c>
      <c r="W25" s="43">
        <f t="shared" si="4"/>
        <v>1268262.056155161</v>
      </c>
      <c r="Y25" s="43">
        <v>27034.400000000001</v>
      </c>
      <c r="Z25" s="43">
        <v>24337.8</v>
      </c>
      <c r="AA25" s="44">
        <f t="shared" si="12"/>
        <v>9.9746989021395005E-2</v>
      </c>
      <c r="AB25" s="35">
        <v>6.5803435086138604E-2</v>
      </c>
      <c r="AD25" s="57" t="s">
        <v>71</v>
      </c>
      <c r="AE25" s="45">
        <f t="shared" si="5"/>
        <v>0.76193274177995063</v>
      </c>
      <c r="AF25" s="45">
        <v>0.63975688544132103</v>
      </c>
      <c r="AG25" s="53">
        <f t="shared" si="10"/>
        <v>-9.9073157599329553E-2</v>
      </c>
      <c r="AH25" s="40"/>
      <c r="AI25" s="57" t="s">
        <v>71</v>
      </c>
      <c r="AJ25" s="42">
        <f t="shared" si="6"/>
        <v>624622.83784950804</v>
      </c>
      <c r="AK25" s="43">
        <f t="shared" si="7"/>
        <v>618736.73780149384</v>
      </c>
      <c r="AL25" s="44">
        <f t="shared" si="8"/>
        <v>9.5130928687518837E-3</v>
      </c>
      <c r="AM25" s="44">
        <f t="shared" si="9"/>
        <v>-7.2711099964860693E-2</v>
      </c>
      <c r="AO25" s="37"/>
      <c r="AP25" s="37"/>
      <c r="AQ25" s="38"/>
      <c r="AR25" s="37"/>
      <c r="AS25" s="37"/>
      <c r="AT25" s="38"/>
    </row>
    <row r="26" spans="1:46">
      <c r="A26" s="57" t="s">
        <v>72</v>
      </c>
      <c r="B26" s="43">
        <v>602368.81293877563</v>
      </c>
      <c r="D26" s="43">
        <v>22846.2</v>
      </c>
      <c r="E26" s="43">
        <v>1534.5</v>
      </c>
      <c r="F26" s="44">
        <v>0.76414698430996564</v>
      </c>
      <c r="G26" s="43">
        <f t="shared" si="2"/>
        <v>18992.354832942339</v>
      </c>
      <c r="H26" s="43">
        <v>22643.3054417657</v>
      </c>
      <c r="I26" s="44">
        <v>0.11190920153023266</v>
      </c>
      <c r="J26" s="77">
        <v>2.7513044573382436E-2</v>
      </c>
      <c r="K26" s="43">
        <v>1536.2814769101201</v>
      </c>
      <c r="L26" s="44">
        <v>0.19765395894428156</v>
      </c>
      <c r="M26" s="77">
        <v>4.890691444710351E-3</v>
      </c>
      <c r="N26" s="44">
        <v>0.82784500000000005</v>
      </c>
      <c r="O26" s="43">
        <f t="shared" si="11"/>
        <v>20281.428670348647</v>
      </c>
      <c r="Q26" s="43">
        <v>2019.4230000000002</v>
      </c>
      <c r="R26" s="43">
        <v>603.92237007481265</v>
      </c>
      <c r="S26" s="43">
        <f t="shared" si="0"/>
        <v>1219574.7243435886</v>
      </c>
      <c r="T26" s="43">
        <v>2037.03813773351</v>
      </c>
      <c r="U26" s="43">
        <v>6316.666666666667</v>
      </c>
      <c r="V26" s="43">
        <v>611.13671422354685</v>
      </c>
      <c r="W26" s="43">
        <f t="shared" si="4"/>
        <v>1244908.7942425101</v>
      </c>
      <c r="Y26" s="43">
        <v>26175.200000000001</v>
      </c>
      <c r="Z26" s="43">
        <v>23736.5</v>
      </c>
      <c r="AA26" s="44">
        <f t="shared" si="12"/>
        <v>9.3168342553256567E-2</v>
      </c>
      <c r="AB26" s="35">
        <v>5.5301006057148598E-2</v>
      </c>
      <c r="AD26" s="57" t="s">
        <v>72</v>
      </c>
      <c r="AE26" s="45">
        <f t="shared" si="5"/>
        <v>0.72789362752350906</v>
      </c>
      <c r="AF26" s="45">
        <v>0.58386989769785402</v>
      </c>
      <c r="AG26" s="53">
        <f t="shared" si="10"/>
        <v>-8.7356602195714839E-2</v>
      </c>
      <c r="AH26" s="40"/>
      <c r="AI26" s="57" t="s">
        <v>72</v>
      </c>
      <c r="AJ26" s="42">
        <f t="shared" si="6"/>
        <v>602368.81293877563</v>
      </c>
      <c r="AK26" s="43">
        <f t="shared" si="7"/>
        <v>578859.63303150493</v>
      </c>
      <c r="AL26" s="44">
        <f t="shared" si="8"/>
        <v>4.0612919895886404E-2</v>
      </c>
      <c r="AM26" s="44">
        <f t="shared" si="9"/>
        <v>-6.4449227488383776E-2</v>
      </c>
      <c r="AO26" s="37"/>
      <c r="AP26" s="37"/>
      <c r="AQ26" s="38"/>
      <c r="AR26" s="37"/>
      <c r="AS26" s="37"/>
      <c r="AT26" s="38"/>
    </row>
    <row r="27" spans="1:46">
      <c r="A27" s="57" t="s">
        <v>73</v>
      </c>
      <c r="B27" s="43">
        <v>578148.02609135176</v>
      </c>
      <c r="D27" s="43">
        <v>21946.799999999999</v>
      </c>
      <c r="E27" s="43">
        <v>1525.8</v>
      </c>
      <c r="F27" s="44">
        <v>0.77445351621134295</v>
      </c>
      <c r="G27" s="43">
        <f t="shared" si="2"/>
        <v>18522.576429587101</v>
      </c>
      <c r="H27" s="43">
        <v>22192.873485754499</v>
      </c>
      <c r="I27" s="44">
        <v>0.10971531157161858</v>
      </c>
      <c r="J27" s="77">
        <v>2.9374830032398234E-2</v>
      </c>
      <c r="K27" s="43">
        <v>1527.64881658897</v>
      </c>
      <c r="L27" s="44">
        <v>0.2023856337658933</v>
      </c>
      <c r="M27" s="77">
        <v>5.0039088078506801E-3</v>
      </c>
      <c r="N27" s="44">
        <v>0.82784500000000005</v>
      </c>
      <c r="O27" s="43">
        <f t="shared" si="11"/>
        <v>19899.908167403406</v>
      </c>
      <c r="Q27" s="43">
        <v>2042.6407333333334</v>
      </c>
      <c r="R27" s="43">
        <v>584.622960441141</v>
      </c>
      <c r="S27" s="43">
        <f t="shared" si="0"/>
        <v>1194174.6726389967</v>
      </c>
      <c r="T27" s="43">
        <v>2042.3853235701399</v>
      </c>
      <c r="U27" s="43">
        <v>6329.166666666667</v>
      </c>
      <c r="V27" s="43">
        <v>597.81337322575416</v>
      </c>
      <c r="W27" s="43">
        <f t="shared" si="4"/>
        <v>1220965.2597102388</v>
      </c>
      <c r="Y27" s="43">
        <v>25399.4</v>
      </c>
      <c r="Z27" s="43">
        <v>23539.200000000001</v>
      </c>
      <c r="AA27" s="44">
        <f t="shared" si="12"/>
        <v>7.3237950502767823E-2</v>
      </c>
      <c r="AB27" s="35">
        <v>4.5355432217852203E-2</v>
      </c>
      <c r="AD27" s="57" t="s">
        <v>73</v>
      </c>
      <c r="AE27" s="45">
        <f t="shared" si="5"/>
        <v>0.65687915815530362</v>
      </c>
      <c r="AF27" s="45">
        <v>0.53980079586837304</v>
      </c>
      <c r="AG27" s="53">
        <f t="shared" si="10"/>
        <v>-7.5477605547471183E-2</v>
      </c>
      <c r="AH27" s="40"/>
      <c r="AI27" s="57" t="s">
        <v>73</v>
      </c>
      <c r="AJ27" s="42">
        <f t="shared" si="6"/>
        <v>578148.02609135176</v>
      </c>
      <c r="AK27" s="43">
        <f t="shared" si="7"/>
        <v>546824.5657778125</v>
      </c>
      <c r="AL27" s="44">
        <f t="shared" si="8"/>
        <v>5.7282467310122091E-2</v>
      </c>
      <c r="AM27" s="44">
        <f t="shared" si="9"/>
        <v>-5.5341684625552223E-2</v>
      </c>
      <c r="AO27" s="37"/>
      <c r="AP27" s="37"/>
      <c r="AQ27" s="38"/>
      <c r="AR27" s="37"/>
      <c r="AS27" s="37"/>
      <c r="AT27" s="38"/>
    </row>
    <row r="28" spans="1:46">
      <c r="A28" s="57" t="s">
        <v>74</v>
      </c>
      <c r="B28" s="43">
        <v>562554.77681610198</v>
      </c>
      <c r="D28" s="43">
        <v>21237.200000000001</v>
      </c>
      <c r="E28" s="43">
        <v>1506.3</v>
      </c>
      <c r="F28" s="44">
        <v>0.77081095721737591</v>
      </c>
      <c r="G28" s="43">
        <f t="shared" si="2"/>
        <v>17876.166460616856</v>
      </c>
      <c r="H28" s="43">
        <v>21724.574659764799</v>
      </c>
      <c r="I28" s="44">
        <v>0.10874314881434458</v>
      </c>
      <c r="J28" s="77">
        <v>3.0642349350515012E-2</v>
      </c>
      <c r="K28" s="43">
        <v>1514.5595312939199</v>
      </c>
      <c r="L28" s="44">
        <v>0.20620062404567485</v>
      </c>
      <c r="M28" s="77">
        <v>5.3399244372286277E-3</v>
      </c>
      <c r="N28" s="44">
        <v>0.82784500000000005</v>
      </c>
      <c r="O28" s="43">
        <f t="shared" si="11"/>
        <v>19499.140040506911</v>
      </c>
      <c r="Q28" s="43">
        <v>2047.6654666666668</v>
      </c>
      <c r="R28" s="43">
        <v>568.38236275364181</v>
      </c>
      <c r="S28" s="43">
        <f t="shared" si="0"/>
        <v>1163856.9360730387</v>
      </c>
      <c r="T28" s="43">
        <v>2048.945793034</v>
      </c>
      <c r="U28" s="43">
        <v>6356.583333333333</v>
      </c>
      <c r="V28" s="43">
        <v>584.23467431787435</v>
      </c>
      <c r="W28" s="43">
        <f t="shared" si="4"/>
        <v>1197065.1780881977</v>
      </c>
      <c r="Y28" s="43">
        <v>24575.8</v>
      </c>
      <c r="Z28" s="43">
        <v>23198.9</v>
      </c>
      <c r="AA28" s="44">
        <f t="shared" si="12"/>
        <v>5.6026660373212578E-2</v>
      </c>
      <c r="AB28" s="35">
        <v>3.6294032643504802E-2</v>
      </c>
      <c r="AD28" s="57" t="s">
        <v>74</v>
      </c>
      <c r="AE28" s="45">
        <f t="shared" si="5"/>
        <v>0.61076843074587139</v>
      </c>
      <c r="AF28" s="45">
        <v>0.506341881164452</v>
      </c>
      <c r="AG28" s="53">
        <f t="shared" si="10"/>
        <v>-6.1983818771693344E-2</v>
      </c>
      <c r="AH28" s="40"/>
      <c r="AI28" s="57" t="s">
        <v>74</v>
      </c>
      <c r="AJ28" s="42">
        <f t="shared" si="6"/>
        <v>562554.77681610198</v>
      </c>
      <c r="AK28" s="43">
        <f t="shared" si="7"/>
        <v>521992.42862703791</v>
      </c>
      <c r="AL28" s="44">
        <f t="shared" si="8"/>
        <v>7.7706774973254927E-2</v>
      </c>
      <c r="AM28" s="44">
        <f t="shared" si="9"/>
        <v>-4.541152447211827E-2</v>
      </c>
      <c r="AO28" s="37"/>
      <c r="AP28" s="37"/>
      <c r="AQ28" s="38"/>
      <c r="AR28" s="37"/>
      <c r="AS28" s="37"/>
      <c r="AT28" s="38"/>
    </row>
    <row r="29" spans="1:46">
      <c r="A29" s="57" t="s">
        <v>75</v>
      </c>
      <c r="B29" s="43">
        <v>522523.59306057193</v>
      </c>
      <c r="D29" s="43">
        <v>20651.600000000002</v>
      </c>
      <c r="E29" s="43">
        <v>1496.1</v>
      </c>
      <c r="F29" s="44">
        <v>0.78114730346777916</v>
      </c>
      <c r="G29" s="43">
        <f t="shared" si="2"/>
        <v>17628.041652295189</v>
      </c>
      <c r="H29" s="43">
        <v>21264.125539779001</v>
      </c>
      <c r="I29" s="44">
        <v>0.10686823296984259</v>
      </c>
      <c r="J29" s="77">
        <v>3.2010037866483647E-2</v>
      </c>
      <c r="K29" s="43">
        <v>1498.0640107802201</v>
      </c>
      <c r="L29" s="44">
        <v>0.21034690194505712</v>
      </c>
      <c r="M29" s="77">
        <v>5.6858676612054843E-3</v>
      </c>
      <c r="N29" s="44">
        <v>0.82784500000000005</v>
      </c>
      <c r="O29" s="43">
        <f t="shared" si="11"/>
        <v>19101.464018258568</v>
      </c>
      <c r="Q29" s="43">
        <v>2085.6108666666669</v>
      </c>
      <c r="R29" s="43">
        <v>560.34188345800658</v>
      </c>
      <c r="S29" s="43">
        <f t="shared" si="0"/>
        <v>1168655.1211884855</v>
      </c>
      <c r="T29" s="43">
        <v>2055.9188024556502</v>
      </c>
      <c r="U29" s="43">
        <v>6389.5</v>
      </c>
      <c r="V29" s="43">
        <v>570.89819564757352</v>
      </c>
      <c r="W29" s="43">
        <f t="shared" si="4"/>
        <v>1173720.3347198509</v>
      </c>
      <c r="Y29" s="43">
        <v>24573.3</v>
      </c>
      <c r="Z29" s="43">
        <v>23219</v>
      </c>
      <c r="AA29" s="44">
        <f t="shared" si="12"/>
        <v>5.5112662930904666E-2</v>
      </c>
      <c r="AB29" s="35">
        <v>2.8722951592213601E-2</v>
      </c>
      <c r="AD29" s="57" t="s">
        <v>75</v>
      </c>
      <c r="AE29" s="45">
        <f t="shared" si="5"/>
        <v>0.56338629485197611</v>
      </c>
      <c r="AF29" s="45">
        <v>0.48345623842098401</v>
      </c>
      <c r="AG29" s="53">
        <f t="shared" si="10"/>
        <v>-4.5198004737109776E-2</v>
      </c>
      <c r="AH29" s="40"/>
      <c r="AI29" s="57" t="s">
        <v>75</v>
      </c>
      <c r="AJ29" s="42">
        <f t="shared" si="6"/>
        <v>522523.59306057193</v>
      </c>
      <c r="AK29" s="43">
        <f t="shared" si="7"/>
        <v>504139.65137549583</v>
      </c>
      <c r="AL29" s="44">
        <f t="shared" si="8"/>
        <v>3.646597055977905E-2</v>
      </c>
      <c r="AM29" s="44">
        <f t="shared" si="9"/>
        <v>-3.4201218777251352E-2</v>
      </c>
      <c r="AO29" s="37"/>
      <c r="AP29" s="37"/>
      <c r="AQ29" s="38"/>
      <c r="AR29" s="37"/>
      <c r="AS29" s="37"/>
      <c r="AT29" s="38"/>
    </row>
    <row r="30" spans="1:46">
      <c r="A30" s="57" t="s">
        <v>76</v>
      </c>
      <c r="B30" s="43">
        <v>501684.99681737344</v>
      </c>
      <c r="D30" s="43">
        <v>20117.2</v>
      </c>
      <c r="E30" s="43">
        <v>1478.5</v>
      </c>
      <c r="F30" s="44">
        <v>0.80269948234469124</v>
      </c>
      <c r="G30" s="43">
        <f t="shared" si="2"/>
        <v>17626.566026224624</v>
      </c>
      <c r="H30" s="43">
        <v>20832.368955181399</v>
      </c>
      <c r="I30" s="44">
        <v>0.10404032370309986</v>
      </c>
      <c r="J30" s="77">
        <v>4.9369624679081653E-2</v>
      </c>
      <c r="K30" s="43">
        <v>1479.13004949019</v>
      </c>
      <c r="L30" s="44">
        <v>0.21345958741968213</v>
      </c>
      <c r="M30" s="77">
        <v>5.9280226015660867E-3</v>
      </c>
      <c r="N30" s="44">
        <v>0.82784500000000005</v>
      </c>
      <c r="O30" s="43">
        <f t="shared" si="11"/>
        <v>18725.102527192339</v>
      </c>
      <c r="Q30" s="43">
        <v>2090.9821333333334</v>
      </c>
      <c r="R30" s="43">
        <v>554.40823842778673</v>
      </c>
      <c r="S30" s="43">
        <f t="shared" si="0"/>
        <v>1159257.7211253089</v>
      </c>
      <c r="T30" s="43">
        <v>2062.49080490195</v>
      </c>
      <c r="U30" s="43">
        <v>6428.166666666667</v>
      </c>
      <c r="V30" s="43">
        <v>558.16699999607943</v>
      </c>
      <c r="W30" s="43">
        <f t="shared" si="4"/>
        <v>1151214.3050916207</v>
      </c>
      <c r="Y30" s="43">
        <v>23078.7</v>
      </c>
      <c r="Z30" s="43">
        <v>23429.8</v>
      </c>
      <c r="AA30" s="44">
        <f t="shared" si="12"/>
        <v>-1.5213161919865437E-2</v>
      </c>
      <c r="AB30" s="35">
        <v>2.3445659599380601E-2</v>
      </c>
      <c r="AD30" s="57" t="s">
        <v>76</v>
      </c>
      <c r="AE30" s="45">
        <f t="shared" si="5"/>
        <v>0.40606298326444473</v>
      </c>
      <c r="AF30" s="45">
        <v>0.47215121796821502</v>
      </c>
      <c r="AG30" s="53">
        <f t="shared" si="10"/>
        <v>-2.3383751318821089E-2</v>
      </c>
      <c r="AH30" s="40"/>
      <c r="AI30" s="57" t="s">
        <v>76</v>
      </c>
      <c r="AJ30" s="42">
        <f t="shared" si="6"/>
        <v>501684.99681737344</v>
      </c>
      <c r="AK30" s="43">
        <f t="shared" si="7"/>
        <v>493513.78827308404</v>
      </c>
      <c r="AL30" s="44">
        <f t="shared" si="8"/>
        <v>1.6557204152050749E-2</v>
      </c>
      <c r="AM30" s="44">
        <f t="shared" si="9"/>
        <v>-2.1077221506818899E-2</v>
      </c>
      <c r="AO30" s="37"/>
      <c r="AP30" s="37"/>
      <c r="AQ30" s="38"/>
      <c r="AR30" s="37"/>
      <c r="AS30" s="37"/>
      <c r="AT30" s="38"/>
    </row>
    <row r="31" spans="1:46">
      <c r="A31" s="57" t="s">
        <v>77</v>
      </c>
      <c r="B31" s="43">
        <v>468658.16167911794</v>
      </c>
      <c r="D31" s="43">
        <v>20501</v>
      </c>
      <c r="E31" s="43">
        <v>1460.3</v>
      </c>
      <c r="F31" s="44">
        <v>0.82947020449778019</v>
      </c>
      <c r="G31" s="43">
        <f t="shared" si="2"/>
        <v>18465.268662408991</v>
      </c>
      <c r="H31" s="43">
        <v>20444.0224799588</v>
      </c>
      <c r="I31" s="44">
        <v>0.10844349056143607</v>
      </c>
      <c r="J31" s="77">
        <v>3.9303700449821358E-2</v>
      </c>
      <c r="K31" s="43">
        <v>1458.7058017583399</v>
      </c>
      <c r="L31" s="44">
        <v>0.21570910086968423</v>
      </c>
      <c r="M31" s="77">
        <v>6.3607128686708741E-3</v>
      </c>
      <c r="N31" s="44">
        <v>0.82784500000000005</v>
      </c>
      <c r="O31" s="43">
        <f t="shared" si="11"/>
        <v>18383.187591679834</v>
      </c>
      <c r="Q31" s="43">
        <v>2093.7543999999998</v>
      </c>
      <c r="R31" s="43">
        <v>540.66009748481758</v>
      </c>
      <c r="S31" s="43">
        <f t="shared" si="0"/>
        <v>1132009.4580132656</v>
      </c>
      <c r="T31" s="43">
        <v>2068.1451740819102</v>
      </c>
      <c r="U31" s="43">
        <v>6409.833333333333</v>
      </c>
      <c r="V31" s="43">
        <v>546.31359463342756</v>
      </c>
      <c r="W31" s="43">
        <f t="shared" si="4"/>
        <v>1129855.8242764641</v>
      </c>
      <c r="Y31" s="43">
        <v>21902</v>
      </c>
      <c r="Z31" s="43">
        <v>22724.6</v>
      </c>
      <c r="AA31" s="44">
        <f t="shared" si="12"/>
        <v>-3.7558213861747625E-2</v>
      </c>
      <c r="AB31" s="35">
        <v>2.1529524313795501E-2</v>
      </c>
      <c r="AD31" s="57" t="s">
        <v>77</v>
      </c>
      <c r="AE31" s="45">
        <f t="shared" si="5"/>
        <v>0.35470803904504344</v>
      </c>
      <c r="AF31" s="45">
        <v>0.47423347070118299</v>
      </c>
      <c r="AG31" s="53">
        <f t="shared" si="10"/>
        <v>4.4101394928692805E-3</v>
      </c>
      <c r="AH31" s="40"/>
      <c r="AI31" s="57" t="s">
        <v>77</v>
      </c>
      <c r="AJ31" s="42">
        <f t="shared" si="6"/>
        <v>468658.16167911794</v>
      </c>
      <c r="AK31" s="43">
        <f t="shared" si="7"/>
        <v>490351.46427722264</v>
      </c>
      <c r="AL31" s="44">
        <f t="shared" si="8"/>
        <v>-4.4240313690264176E-2</v>
      </c>
      <c r="AM31" s="44">
        <f t="shared" si="9"/>
        <v>-6.4077723277541354E-3</v>
      </c>
      <c r="AO31" s="37"/>
      <c r="AP31" s="37"/>
      <c r="AQ31" s="38"/>
      <c r="AR31" s="37"/>
      <c r="AS31" s="37"/>
      <c r="AT31" s="38"/>
    </row>
    <row r="32" spans="1:46">
      <c r="A32" s="57" t="s">
        <v>78</v>
      </c>
      <c r="B32" s="43">
        <v>445129.41915783682</v>
      </c>
      <c r="D32" s="43">
        <v>20119.8</v>
      </c>
      <c r="E32" s="43">
        <v>1443.4</v>
      </c>
      <c r="F32" s="44">
        <v>0.81524850440541596</v>
      </c>
      <c r="G32" s="43">
        <f t="shared" si="2"/>
        <v>17846.036858936088</v>
      </c>
      <c r="H32" s="43">
        <v>20106.651998546098</v>
      </c>
      <c r="I32" s="44">
        <v>0.11123371007664097</v>
      </c>
      <c r="J32" s="77">
        <v>3.5356009561838278E-2</v>
      </c>
      <c r="K32" s="43">
        <v>1437.7331214242699</v>
      </c>
      <c r="L32" s="44">
        <v>0.21809616184009975</v>
      </c>
      <c r="M32" s="77">
        <v>6.240881596313811E-3</v>
      </c>
      <c r="N32" s="44">
        <v>0.82784500000000005</v>
      </c>
      <c r="O32" s="43">
        <f t="shared" si="11"/>
        <v>18082.924445160665</v>
      </c>
      <c r="Q32" s="43">
        <v>2055.635733333334</v>
      </c>
      <c r="R32" s="43">
        <v>521.4729421695323</v>
      </c>
      <c r="S32" s="43">
        <f t="shared" si="0"/>
        <v>1071958.4138901578</v>
      </c>
      <c r="T32" s="43">
        <v>2072.65019698881</v>
      </c>
      <c r="U32" s="43">
        <v>6315.25</v>
      </c>
      <c r="V32" s="43">
        <v>535.57759675627949</v>
      </c>
      <c r="W32" s="43">
        <f t="shared" si="4"/>
        <v>1110065.011419696</v>
      </c>
      <c r="Y32" s="43">
        <v>21062.1</v>
      </c>
      <c r="Z32" s="43">
        <v>21646</v>
      </c>
      <c r="AA32" s="44">
        <f t="shared" si="12"/>
        <v>-2.7722781678940045E-2</v>
      </c>
      <c r="AB32" s="35">
        <v>2.36553251690544E-2</v>
      </c>
      <c r="AD32" s="57" t="s">
        <v>78</v>
      </c>
      <c r="AE32" s="45">
        <f t="shared" si="5"/>
        <v>0.37068039670380953</v>
      </c>
      <c r="AF32" s="45">
        <v>0.490848765168243</v>
      </c>
      <c r="AG32" s="53">
        <f t="shared" si="10"/>
        <v>3.5036106672296397E-2</v>
      </c>
      <c r="AH32" s="40"/>
      <c r="AI32" s="57" t="s">
        <v>78</v>
      </c>
      <c r="AJ32" s="42">
        <f t="shared" si="6"/>
        <v>445129.41915783682</v>
      </c>
      <c r="AK32" s="43">
        <f t="shared" si="7"/>
        <v>494308.99007273588</v>
      </c>
      <c r="AL32" s="44">
        <f t="shared" si="8"/>
        <v>-9.9491556703555917E-2</v>
      </c>
      <c r="AM32" s="44">
        <f t="shared" si="9"/>
        <v>8.070794284965821E-3</v>
      </c>
      <c r="AO32" s="37"/>
      <c r="AP32" s="37"/>
      <c r="AQ32" s="38"/>
      <c r="AR32" s="37"/>
      <c r="AS32" s="37"/>
      <c r="AT32" s="38"/>
    </row>
    <row r="33" spans="1:46">
      <c r="A33" s="57" t="s">
        <v>79</v>
      </c>
      <c r="B33" s="43">
        <v>441477.07590113312</v>
      </c>
      <c r="D33" s="43">
        <v>19455.599999999999</v>
      </c>
      <c r="E33" s="43">
        <v>1406.4</v>
      </c>
      <c r="F33" s="44">
        <v>0.82184488674126488</v>
      </c>
      <c r="G33" s="43">
        <f t="shared" si="2"/>
        <v>17395.885378483352</v>
      </c>
      <c r="H33" s="43">
        <v>19828.393170578602</v>
      </c>
      <c r="I33" s="44">
        <v>0.11020477394683277</v>
      </c>
      <c r="J33" s="77">
        <v>4.472032881820881E-2</v>
      </c>
      <c r="K33" s="43">
        <v>1417.16980431002</v>
      </c>
      <c r="L33" s="44">
        <v>0.21871444823663255</v>
      </c>
      <c r="M33" s="77">
        <v>6.321959060508575E-3</v>
      </c>
      <c r="N33" s="44">
        <v>0.82784500000000005</v>
      </c>
      <c r="O33" s="43">
        <f t="shared" si="11"/>
        <v>17832.005948607661</v>
      </c>
      <c r="Q33" s="43">
        <v>2088.5563999999999</v>
      </c>
      <c r="R33" s="43">
        <v>504.21138608240295</v>
      </c>
      <c r="S33" s="43">
        <f t="shared" si="0"/>
        <v>1053073.9173552736</v>
      </c>
      <c r="T33" s="43">
        <v>2076.0302528751399</v>
      </c>
      <c r="U33" s="43">
        <v>6298.416666666667</v>
      </c>
      <c r="V33" s="43">
        <v>526.1529486621663</v>
      </c>
      <c r="W33" s="43">
        <f t="shared" si="4"/>
        <v>1092309.4390621176</v>
      </c>
      <c r="Y33" s="43">
        <v>19803.2</v>
      </c>
      <c r="Z33" s="43">
        <v>20116.3</v>
      </c>
      <c r="AA33" s="44">
        <f t="shared" si="12"/>
        <v>-1.5810576068514104E-2</v>
      </c>
      <c r="AB33" s="35">
        <v>2.99129642169953E-2</v>
      </c>
      <c r="AD33" s="57" t="s">
        <v>79</v>
      </c>
      <c r="AE33" s="45">
        <f t="shared" si="5"/>
        <v>0.39289333340927424</v>
      </c>
      <c r="AF33" s="45">
        <v>0.52194761560073699</v>
      </c>
      <c r="AG33" s="53">
        <f t="shared" si="10"/>
        <v>6.3357295850249518E-2</v>
      </c>
      <c r="AH33" s="40"/>
      <c r="AI33" s="57" t="s">
        <v>79</v>
      </c>
      <c r="AJ33" s="42">
        <f t="shared" si="6"/>
        <v>441477.07590113312</v>
      </c>
      <c r="AK33" s="43">
        <f t="shared" si="7"/>
        <v>504096.62007949949</v>
      </c>
      <c r="AL33" s="44">
        <f t="shared" si="8"/>
        <v>-0.12422131330396709</v>
      </c>
      <c r="AM33" s="44">
        <f t="shared" si="9"/>
        <v>1.9800631190874052E-2</v>
      </c>
      <c r="AO33" s="37"/>
      <c r="AP33" s="37"/>
      <c r="AQ33" s="38"/>
      <c r="AR33" s="37"/>
      <c r="AS33" s="37"/>
      <c r="AT33" s="38"/>
    </row>
    <row r="34" spans="1:46">
      <c r="A34" s="57" t="s">
        <v>80</v>
      </c>
      <c r="B34" s="43">
        <v>449019.97389370791</v>
      </c>
      <c r="D34" s="43">
        <v>19285.8</v>
      </c>
      <c r="E34" s="43">
        <v>1377.9</v>
      </c>
      <c r="F34" s="44">
        <v>0.81732443470112026</v>
      </c>
      <c r="G34" s="43">
        <f t="shared" si="2"/>
        <v>17140.655582758864</v>
      </c>
      <c r="H34" s="43">
        <v>19617.513135706198</v>
      </c>
      <c r="I34" s="44">
        <v>0.1172261456615748</v>
      </c>
      <c r="J34" s="77">
        <v>4.2993633072924017E-2</v>
      </c>
      <c r="K34" s="43">
        <v>1398.0303150233599</v>
      </c>
      <c r="L34" s="44">
        <v>0.22040786704405257</v>
      </c>
      <c r="M34" s="77">
        <v>6.2023966903959277E-3</v>
      </c>
      <c r="N34" s="44">
        <v>0.82784500000000005</v>
      </c>
      <c r="O34" s="43">
        <f t="shared" si="11"/>
        <v>17638.29047685206</v>
      </c>
      <c r="Q34" s="43">
        <v>2090.4623333333334</v>
      </c>
      <c r="R34" s="43">
        <v>501.52420233814854</v>
      </c>
      <c r="S34" s="43">
        <f t="shared" si="0"/>
        <v>1048417.4542429448</v>
      </c>
      <c r="T34" s="43">
        <v>2078.1395763568298</v>
      </c>
      <c r="U34" s="43">
        <v>6302.833333333333</v>
      </c>
      <c r="V34" s="43">
        <v>518.14616247855122</v>
      </c>
      <c r="W34" s="43">
        <f t="shared" si="4"/>
        <v>1076780.0465840935</v>
      </c>
      <c r="Y34" s="43">
        <v>19963.8</v>
      </c>
      <c r="Z34" s="43">
        <v>19690.3</v>
      </c>
      <c r="AA34" s="44">
        <f t="shared" si="12"/>
        <v>1.3699796631903793E-2</v>
      </c>
      <c r="AB34" s="35">
        <v>3.9878562440975797E-2</v>
      </c>
      <c r="AD34" s="57" t="s">
        <v>80</v>
      </c>
      <c r="AE34" s="45">
        <f t="shared" si="5"/>
        <v>0.45311266125971622</v>
      </c>
      <c r="AF34" s="45">
        <v>0.56627885254532795</v>
      </c>
      <c r="AG34" s="53">
        <f t="shared" si="10"/>
        <v>8.4934264703111717E-2</v>
      </c>
      <c r="AH34" s="40"/>
      <c r="AI34" s="57" t="s">
        <v>80</v>
      </c>
      <c r="AJ34" s="42">
        <f t="shared" si="6"/>
        <v>449019.97389370791</v>
      </c>
      <c r="AK34" s="43">
        <f t="shared" si="7"/>
        <v>517544.10918316536</v>
      </c>
      <c r="AL34" s="44">
        <f t="shared" si="8"/>
        <v>-0.13240250265355819</v>
      </c>
      <c r="AM34" s="44">
        <f t="shared" si="9"/>
        <v>2.6676411957582857E-2</v>
      </c>
      <c r="AO34" s="37"/>
      <c r="AP34" s="37"/>
      <c r="AQ34" s="38"/>
      <c r="AR34" s="37"/>
      <c r="AS34" s="37"/>
      <c r="AT34" s="38"/>
    </row>
    <row r="35" spans="1:46">
      <c r="A35" s="57" t="s">
        <v>81</v>
      </c>
      <c r="B35" s="43">
        <v>486748.93760943471</v>
      </c>
      <c r="D35" s="43">
        <v>18955.5</v>
      </c>
      <c r="E35" s="43">
        <v>1352.7</v>
      </c>
      <c r="F35" s="44">
        <v>0.82828787227443701</v>
      </c>
      <c r="G35" s="43">
        <f t="shared" si="2"/>
        <v>17053.310762898091</v>
      </c>
      <c r="H35" s="43">
        <v>19478.551101872999</v>
      </c>
      <c r="I35" s="44">
        <v>0.11249505420590317</v>
      </c>
      <c r="J35" s="77">
        <v>4.0805430613876731E-2</v>
      </c>
      <c r="K35" s="43">
        <v>1381.2214201289901</v>
      </c>
      <c r="L35" s="44">
        <v>0.22155688622754502</v>
      </c>
      <c r="M35" s="77">
        <v>5.8983179585359027E-3</v>
      </c>
      <c r="N35" s="44">
        <v>0.82784500000000005</v>
      </c>
      <c r="O35" s="43">
        <f t="shared" si="11"/>
        <v>17506.442557059047</v>
      </c>
      <c r="Q35" s="43">
        <v>2092.7148000000002</v>
      </c>
      <c r="R35" s="43">
        <v>503.53490434140031</v>
      </c>
      <c r="S35" s="43">
        <f t="shared" si="0"/>
        <v>1053754.9466318327</v>
      </c>
      <c r="T35" s="43">
        <v>2078.9576635210501</v>
      </c>
      <c r="U35" s="43">
        <v>6279.333333333333</v>
      </c>
      <c r="V35" s="43">
        <v>511.51863517977591</v>
      </c>
      <c r="W35" s="43">
        <f t="shared" si="4"/>
        <v>1063425.5866408234</v>
      </c>
      <c r="Y35" s="43">
        <v>19822.8</v>
      </c>
      <c r="Z35" s="43">
        <v>19499.8</v>
      </c>
      <c r="AA35" s="44">
        <f t="shared" si="12"/>
        <v>1.6294368101378187E-2</v>
      </c>
      <c r="AB35" s="35">
        <v>5.2671005421493403E-2</v>
      </c>
      <c r="AD35" s="57" t="s">
        <v>81</v>
      </c>
      <c r="AE35" s="45">
        <f t="shared" si="5"/>
        <v>0.49402334690471178</v>
      </c>
      <c r="AF35" s="45">
        <v>0.62130076372666798</v>
      </c>
      <c r="AG35" s="53">
        <f t="shared" si="10"/>
        <v>9.716398720175734E-2</v>
      </c>
      <c r="AH35" s="40"/>
      <c r="AI35" s="57" t="s">
        <v>81</v>
      </c>
      <c r="AJ35" s="42">
        <f t="shared" si="6"/>
        <v>486748.93760943471</v>
      </c>
      <c r="AK35" s="43">
        <f t="shared" si="7"/>
        <v>532193.75014726561</v>
      </c>
      <c r="AL35" s="44">
        <f t="shared" si="8"/>
        <v>-8.5391481063533115E-2</v>
      </c>
      <c r="AM35" s="44">
        <f t="shared" si="9"/>
        <v>2.8306072282846761E-2</v>
      </c>
      <c r="AO35" s="37"/>
      <c r="AP35" s="37"/>
      <c r="AQ35" s="38"/>
      <c r="AR35" s="37"/>
      <c r="AS35" s="37"/>
      <c r="AT35" s="38"/>
    </row>
    <row r="36" spans="1:46">
      <c r="A36" s="57" t="s">
        <v>82</v>
      </c>
      <c r="B36" s="43">
        <v>483928.61031785968</v>
      </c>
      <c r="D36" s="43">
        <v>18809.300000000003</v>
      </c>
      <c r="E36" s="43">
        <v>1340.1</v>
      </c>
      <c r="F36" s="44">
        <v>0.82018173665614291</v>
      </c>
      <c r="G36" s="43">
        <f t="shared" si="2"/>
        <v>16767.144339286391</v>
      </c>
      <c r="H36" s="43">
        <v>19412.729145665999</v>
      </c>
      <c r="I36" s="44">
        <v>0.11375755610256649</v>
      </c>
      <c r="J36" s="77">
        <v>5.1639848248661663E-2</v>
      </c>
      <c r="K36" s="43">
        <v>1367.4485830413601</v>
      </c>
      <c r="L36" s="44">
        <v>0.22326692037907611</v>
      </c>
      <c r="M36" s="77">
        <v>5.9678223986448543E-3</v>
      </c>
      <c r="N36" s="44">
        <v>0.82784500000000005</v>
      </c>
      <c r="O36" s="43">
        <f t="shared" si="11"/>
        <v>17438.179342635231</v>
      </c>
      <c r="Q36" s="43">
        <v>2068.4574666666672</v>
      </c>
      <c r="R36" s="43">
        <v>500.09838364605929</v>
      </c>
      <c r="S36" s="43">
        <f t="shared" si="0"/>
        <v>1034432.2357206228</v>
      </c>
      <c r="T36" s="43">
        <v>2078.5872380247301</v>
      </c>
      <c r="U36" s="43">
        <v>6326.333333333333</v>
      </c>
      <c r="V36" s="43">
        <v>506.10828273030887</v>
      </c>
      <c r="W36" s="43">
        <f t="shared" si="4"/>
        <v>1051990.217541832</v>
      </c>
      <c r="Y36" s="43">
        <v>21651.599999999999</v>
      </c>
      <c r="Z36" s="43">
        <v>19274.8</v>
      </c>
      <c r="AA36" s="44">
        <f t="shared" si="12"/>
        <v>0.10977479724362171</v>
      </c>
      <c r="AB36" s="35">
        <v>6.7147391080955895E-2</v>
      </c>
      <c r="AD36" s="57" t="s">
        <v>82</v>
      </c>
      <c r="AE36" s="45">
        <f t="shared" si="5"/>
        <v>0.73553409519875002</v>
      </c>
      <c r="AF36" s="45">
        <v>0.68333997495695897</v>
      </c>
      <c r="AG36" s="53">
        <f t="shared" si="10"/>
        <v>9.9853750151809306E-2</v>
      </c>
      <c r="AH36" s="40"/>
      <c r="AI36" s="57" t="s">
        <v>82</v>
      </c>
      <c r="AJ36" s="42">
        <f t="shared" si="6"/>
        <v>483928.61031785968</v>
      </c>
      <c r="AK36" s="43">
        <f t="shared" si="7"/>
        <v>545873.34692796541</v>
      </c>
      <c r="AL36" s="44">
        <f t="shared" si="8"/>
        <v>-0.1134782215668062</v>
      </c>
      <c r="AM36" s="44">
        <f t="shared" si="9"/>
        <v>2.5704166531295147E-2</v>
      </c>
      <c r="AO36" s="37"/>
      <c r="AP36" s="37"/>
      <c r="AQ36" s="38"/>
      <c r="AR36" s="37"/>
      <c r="AS36" s="37"/>
      <c r="AT36" s="38"/>
    </row>
    <row r="37" spans="1:46">
      <c r="A37" s="57" t="s">
        <v>83</v>
      </c>
      <c r="B37" s="43">
        <v>545260.32700008084</v>
      </c>
      <c r="D37" s="43">
        <v>19168.599999999999</v>
      </c>
      <c r="E37" s="43">
        <v>1329.7</v>
      </c>
      <c r="F37" s="44">
        <v>0.8309276485655982</v>
      </c>
      <c r="G37" s="43">
        <f t="shared" si="2"/>
        <v>17257.419724294523</v>
      </c>
      <c r="H37" s="43">
        <v>19416.038832653499</v>
      </c>
      <c r="I37" s="44">
        <v>0.11732207881639745</v>
      </c>
      <c r="J37" s="77">
        <v>4.7199472849225259E-2</v>
      </c>
      <c r="K37" s="43">
        <v>1357.1320529736099</v>
      </c>
      <c r="L37" s="44">
        <v>0.22508836579679636</v>
      </c>
      <c r="M37" s="77">
        <v>5.0563003825502802E-3</v>
      </c>
      <c r="N37" s="44">
        <v>0.82784500000000005</v>
      </c>
      <c r="O37" s="43">
        <f t="shared" si="11"/>
        <v>17430.602720391649</v>
      </c>
      <c r="Q37" s="43">
        <v>2046.7991333333337</v>
      </c>
      <c r="R37" s="43">
        <v>506.82191189504192</v>
      </c>
      <c r="S37" s="43">
        <f t="shared" si="0"/>
        <v>1037362.650021115</v>
      </c>
      <c r="T37" s="43">
        <v>2077.2685948896201</v>
      </c>
      <c r="U37" s="43">
        <v>6371.166666666667</v>
      </c>
      <c r="V37" s="43">
        <v>501.70783432242024</v>
      </c>
      <c r="W37" s="43">
        <f t="shared" si="4"/>
        <v>1042181.9280480482</v>
      </c>
      <c r="Y37" s="43">
        <v>22199.3</v>
      </c>
      <c r="Z37" s="43">
        <v>19945.599999999999</v>
      </c>
      <c r="AA37" s="44">
        <f t="shared" si="12"/>
        <v>0.10152121913754042</v>
      </c>
      <c r="AB37" s="35">
        <v>8.18010509685662E-2</v>
      </c>
      <c r="AD37" s="57" t="s">
        <v>83</v>
      </c>
      <c r="AE37" s="45">
        <f t="shared" si="5"/>
        <v>0.7966635495283545</v>
      </c>
      <c r="AF37" s="45">
        <v>0.74745033788013504</v>
      </c>
      <c r="AG37" s="53">
        <f t="shared" si="10"/>
        <v>9.3819131431926106E-2</v>
      </c>
      <c r="AH37" s="40"/>
      <c r="AI37" s="57" t="s">
        <v>83</v>
      </c>
      <c r="AJ37" s="42">
        <f t="shared" si="6"/>
        <v>545260.32700008084</v>
      </c>
      <c r="AK37" s="43">
        <f t="shared" si="7"/>
        <v>557436.7367901362</v>
      </c>
      <c r="AL37" s="44">
        <f t="shared" si="8"/>
        <v>-2.1843572528373809E-2</v>
      </c>
      <c r="AM37" s="44">
        <f t="shared" si="9"/>
        <v>2.1183283498354744E-2</v>
      </c>
      <c r="AO37" s="37"/>
      <c r="AP37" s="37"/>
      <c r="AQ37" s="38"/>
      <c r="AR37" s="37"/>
      <c r="AS37" s="37"/>
      <c r="AT37" s="38"/>
    </row>
    <row r="38" spans="1:46">
      <c r="A38" s="57" t="s">
        <v>84</v>
      </c>
      <c r="B38" s="43">
        <v>576265.23792121804</v>
      </c>
      <c r="D38" s="43">
        <v>19493.300000000003</v>
      </c>
      <c r="E38" s="43">
        <v>1306.0999999999999</v>
      </c>
      <c r="F38" s="44">
        <v>0.86021596084353424</v>
      </c>
      <c r="G38" s="43">
        <f t="shared" si="2"/>
        <v>18074.547789511267</v>
      </c>
      <c r="H38" s="43">
        <v>19478.437436947199</v>
      </c>
      <c r="I38" s="44">
        <v>0.12007202474696448</v>
      </c>
      <c r="J38" s="77">
        <v>4.3978012783524305E-2</v>
      </c>
      <c r="K38" s="43">
        <v>1350.41859330851</v>
      </c>
      <c r="L38" s="44">
        <v>0.22670545900007652</v>
      </c>
      <c r="M38" s="77">
        <v>5.3968204141877675E-3</v>
      </c>
      <c r="N38" s="44">
        <v>0.82784500000000005</v>
      </c>
      <c r="O38" s="43">
        <f t="shared" si="11"/>
        <v>17475.545633298065</v>
      </c>
      <c r="Q38" s="43">
        <v>2078.8534666666669</v>
      </c>
      <c r="R38" s="43">
        <v>502.45036586146904</v>
      </c>
      <c r="S38" s="43">
        <f t="shared" si="0"/>
        <v>1044520.68489905</v>
      </c>
      <c r="T38" s="43">
        <v>2075.14073142385</v>
      </c>
      <c r="U38" s="43">
        <v>6401.916666666667</v>
      </c>
      <c r="V38" s="43">
        <v>498.06839522401111</v>
      </c>
      <c r="W38" s="43">
        <f t="shared" si="4"/>
        <v>1033562.0139642576</v>
      </c>
      <c r="Y38" s="43">
        <v>23189.5</v>
      </c>
      <c r="Z38" s="43">
        <v>19825.599999999999</v>
      </c>
      <c r="AA38" s="44">
        <f t="shared" si="12"/>
        <v>0.14506134241790469</v>
      </c>
      <c r="AB38" s="35">
        <v>9.5551590695157604E-2</v>
      </c>
      <c r="AD38" s="57" t="s">
        <v>84</v>
      </c>
      <c r="AE38" s="45">
        <f t="shared" si="5"/>
        <v>0.99376030757497147</v>
      </c>
      <c r="AF38" s="45">
        <v>0.80920764534255896</v>
      </c>
      <c r="AG38" s="53">
        <f t="shared" si="10"/>
        <v>8.2623960860831902E-2</v>
      </c>
      <c r="AH38" s="40"/>
      <c r="AI38" s="57" t="s">
        <v>84</v>
      </c>
      <c r="AJ38" s="42">
        <f t="shared" si="6"/>
        <v>576265.23792121804</v>
      </c>
      <c r="AK38" s="43">
        <f t="shared" si="7"/>
        <v>566354.16611887002</v>
      </c>
      <c r="AL38" s="44">
        <f t="shared" si="8"/>
        <v>1.7499777339446312E-2</v>
      </c>
      <c r="AM38" s="44">
        <f t="shared" si="9"/>
        <v>1.5997204238964668E-2</v>
      </c>
      <c r="AO38" s="37"/>
      <c r="AP38" s="37"/>
      <c r="AQ38" s="38"/>
      <c r="AR38" s="37"/>
      <c r="AS38" s="37"/>
      <c r="AT38" s="38"/>
    </row>
    <row r="39" spans="1:46">
      <c r="A39" s="57" t="s">
        <v>85</v>
      </c>
      <c r="B39" s="43">
        <v>597005.03327586385</v>
      </c>
      <c r="D39" s="43">
        <v>19687</v>
      </c>
      <c r="E39" s="43">
        <v>1321</v>
      </c>
      <c r="F39" s="44">
        <v>0.8636903548096978</v>
      </c>
      <c r="G39" s="43">
        <f t="shared" si="2"/>
        <v>18324.472015138519</v>
      </c>
      <c r="H39" s="43">
        <v>19587.407844332</v>
      </c>
      <c r="I39" s="44">
        <v>0.12267486158378625</v>
      </c>
      <c r="J39" s="77">
        <v>4.1081730693997412E-2</v>
      </c>
      <c r="K39" s="43">
        <v>1347.1806468990701</v>
      </c>
      <c r="L39" s="44">
        <v>0.22937168811506434</v>
      </c>
      <c r="M39" s="77">
        <v>5.4689656167292485E-3</v>
      </c>
      <c r="N39" s="44">
        <v>0.82784500000000005</v>
      </c>
      <c r="O39" s="43">
        <f t="shared" si="11"/>
        <v>17562.518293790094</v>
      </c>
      <c r="Q39" s="43">
        <v>2101.2048666666669</v>
      </c>
      <c r="R39" s="43">
        <v>494.74849043027524</v>
      </c>
      <c r="S39" s="43">
        <f t="shared" si="0"/>
        <v>1039567.9358680812</v>
      </c>
      <c r="T39" s="43">
        <v>2072.0379503200202</v>
      </c>
      <c r="U39" s="43">
        <v>6465.25</v>
      </c>
      <c r="V39" s="43">
        <v>494.993451469165</v>
      </c>
      <c r="W39" s="43">
        <f t="shared" si="4"/>
        <v>1025645.216604001</v>
      </c>
      <c r="Y39" s="43">
        <v>24385.4</v>
      </c>
      <c r="Z39" s="43">
        <v>19954.7</v>
      </c>
      <c r="AA39" s="44">
        <f t="shared" si="12"/>
        <v>0.18169478458421839</v>
      </c>
      <c r="AB39" s="35">
        <v>0.107515817553257</v>
      </c>
      <c r="AD39" s="57" t="s">
        <v>85</v>
      </c>
      <c r="AE39" s="45">
        <f t="shared" si="5"/>
        <v>1.1961491041505761</v>
      </c>
      <c r="AF39" s="45">
        <v>0.86467982230679696</v>
      </c>
      <c r="AG39" s="53">
        <f t="shared" si="10"/>
        <v>6.8551226973090573E-2</v>
      </c>
      <c r="AH39" s="40"/>
      <c r="AI39" s="57" t="s">
        <v>85</v>
      </c>
      <c r="AJ39" s="42">
        <f t="shared" si="6"/>
        <v>597005.03327586385</v>
      </c>
      <c r="AK39" s="43">
        <f t="shared" si="7"/>
        <v>572710.87328988232</v>
      </c>
      <c r="AL39" s="44">
        <f t="shared" si="8"/>
        <v>4.2419589218598341E-2</v>
      </c>
      <c r="AM39" s="44">
        <f t="shared" si="9"/>
        <v>1.1223908203189747E-2</v>
      </c>
      <c r="AO39" s="37"/>
      <c r="AP39" s="37"/>
      <c r="AQ39" s="38"/>
      <c r="AR39" s="37"/>
      <c r="AS39" s="37"/>
      <c r="AT39" s="38"/>
    </row>
    <row r="40" spans="1:46">
      <c r="A40" s="57" t="s">
        <v>86</v>
      </c>
      <c r="B40" s="43">
        <v>591954.65616563207</v>
      </c>
      <c r="D40" s="43">
        <v>19724.5</v>
      </c>
      <c r="E40" s="43">
        <v>1344.5</v>
      </c>
      <c r="F40" s="44">
        <v>0.8539268500491014</v>
      </c>
      <c r="G40" s="43">
        <f t="shared" si="2"/>
        <v>18187.780153793501</v>
      </c>
      <c r="H40" s="43">
        <v>19730.581566223798</v>
      </c>
      <c r="I40" s="44">
        <v>0.12411467971304722</v>
      </c>
      <c r="J40" s="77">
        <v>5.0571441052443968E-2</v>
      </c>
      <c r="K40" s="43">
        <v>1346.8474706652</v>
      </c>
      <c r="L40" s="44">
        <v>0.23004834510970626</v>
      </c>
      <c r="M40" s="77">
        <v>5.4835281151868363E-3</v>
      </c>
      <c r="N40" s="44">
        <v>0.82784500000000005</v>
      </c>
      <c r="O40" s="43">
        <f t="shared" si="11"/>
        <v>17680.71076735574</v>
      </c>
      <c r="Q40" s="43">
        <v>2078.6802000000002</v>
      </c>
      <c r="R40" s="43">
        <v>498.42111480473017</v>
      </c>
      <c r="S40" s="43">
        <f t="shared" si="0"/>
        <v>1036058.1026065196</v>
      </c>
      <c r="T40" s="43">
        <v>2067.83168162313</v>
      </c>
      <c r="U40" s="43">
        <v>6530.416666666667</v>
      </c>
      <c r="V40" s="43">
        <v>492.32077320968466</v>
      </c>
      <c r="W40" s="43">
        <f t="shared" si="4"/>
        <v>1018036.4923641818</v>
      </c>
      <c r="Y40" s="43">
        <v>25147.1</v>
      </c>
      <c r="Z40" s="43">
        <v>20513.099999999999</v>
      </c>
      <c r="AA40" s="44">
        <f t="shared" si="12"/>
        <v>0.18427572165378914</v>
      </c>
      <c r="AB40" s="35">
        <v>0.11730563635262201</v>
      </c>
      <c r="AD40" s="57" t="s">
        <v>86</v>
      </c>
      <c r="AE40" s="45">
        <f t="shared" si="5"/>
        <v>1.2034265815338534</v>
      </c>
      <c r="AF40" s="45">
        <v>0.91178032035798395</v>
      </c>
      <c r="AG40" s="53">
        <f t="shared" si="10"/>
        <v>5.4471605368946907E-2</v>
      </c>
      <c r="AH40" s="40"/>
      <c r="AI40" s="57" t="s">
        <v>86</v>
      </c>
      <c r="AJ40" s="42">
        <f t="shared" si="6"/>
        <v>591954.65616563207</v>
      </c>
      <c r="AK40" s="43">
        <f t="shared" si="7"/>
        <v>576985.25576283748</v>
      </c>
      <c r="AL40" s="44">
        <f t="shared" si="8"/>
        <v>2.5944164522893068E-2</v>
      </c>
      <c r="AM40" s="44">
        <f t="shared" si="9"/>
        <v>7.463421199603415E-3</v>
      </c>
      <c r="AO40" s="37"/>
      <c r="AP40" s="37"/>
      <c r="AQ40" s="38"/>
      <c r="AR40" s="37"/>
      <c r="AS40" s="37"/>
      <c r="AT40" s="38"/>
    </row>
    <row r="41" spans="1:46">
      <c r="A41" s="57" t="s">
        <v>87</v>
      </c>
      <c r="B41" s="43">
        <v>578817.48974194156</v>
      </c>
      <c r="D41" s="43">
        <v>20270</v>
      </c>
      <c r="E41" s="43">
        <v>1359.8</v>
      </c>
      <c r="F41" s="44">
        <v>0.85804502460534893</v>
      </c>
      <c r="G41" s="43">
        <f t="shared" si="2"/>
        <v>18752.372648750421</v>
      </c>
      <c r="H41" s="43">
        <v>19896.586035594701</v>
      </c>
      <c r="I41" s="44">
        <v>0.12743463246176623</v>
      </c>
      <c r="J41" s="77">
        <v>4.8153347979216006E-2</v>
      </c>
      <c r="K41" s="43">
        <v>1348.58651505785</v>
      </c>
      <c r="L41" s="44">
        <v>0.23003382850419171</v>
      </c>
      <c r="M41" s="77">
        <v>5.7306492267171164E-3</v>
      </c>
      <c r="N41" s="44">
        <v>0.82784500000000005</v>
      </c>
      <c r="O41" s="43">
        <f t="shared" si="11"/>
        <v>17819.875781694747</v>
      </c>
      <c r="Q41" s="43">
        <v>2074.3485333333338</v>
      </c>
      <c r="R41" s="43">
        <v>503.61086818734481</v>
      </c>
      <c r="S41" s="43">
        <f t="shared" si="0"/>
        <v>1044664.4657951456</v>
      </c>
      <c r="T41" s="43">
        <v>2062.6850245416799</v>
      </c>
      <c r="U41" s="43">
        <v>6663.333333333333</v>
      </c>
      <c r="V41" s="43">
        <v>489.86417456731556</v>
      </c>
      <c r="W41" s="43">
        <f t="shared" si="4"/>
        <v>1010435.4969394731</v>
      </c>
      <c r="Y41" s="43">
        <v>24761.599999999999</v>
      </c>
      <c r="Z41" s="43">
        <v>22219.4</v>
      </c>
      <c r="AA41" s="44">
        <f t="shared" si="12"/>
        <v>0.10266703282501932</v>
      </c>
      <c r="AB41" s="35">
        <v>0.125274741573316</v>
      </c>
      <c r="AD41" s="57" t="s">
        <v>87</v>
      </c>
      <c r="AE41" s="45">
        <f t="shared" si="5"/>
        <v>0.83716933167341079</v>
      </c>
      <c r="AF41" s="45">
        <v>0.95173728390019197</v>
      </c>
      <c r="AG41" s="53">
        <f t="shared" si="10"/>
        <v>4.3823015972224599E-2</v>
      </c>
      <c r="AH41" s="40"/>
      <c r="AI41" s="57" t="s">
        <v>87</v>
      </c>
      <c r="AJ41" s="42">
        <f t="shared" si="6"/>
        <v>578817.48974194156</v>
      </c>
      <c r="AK41" s="43">
        <f t="shared" si="7"/>
        <v>579887.03564993816</v>
      </c>
      <c r="AL41" s="44">
        <f t="shared" si="8"/>
        <v>-1.8444038963517204E-3</v>
      </c>
      <c r="AM41" s="44">
        <f t="shared" si="9"/>
        <v>5.0292097728983354E-3</v>
      </c>
      <c r="AO41" s="37"/>
      <c r="AP41" s="37"/>
      <c r="AQ41" s="38"/>
      <c r="AR41" s="37"/>
      <c r="AS41" s="37"/>
      <c r="AT41" s="38"/>
    </row>
    <row r="42" spans="1:46">
      <c r="A42" s="57" t="s">
        <v>88</v>
      </c>
      <c r="B42" s="43">
        <v>570532.1832492376</v>
      </c>
      <c r="D42" s="43">
        <v>20474.099999999999</v>
      </c>
      <c r="E42" s="43">
        <v>1378.7</v>
      </c>
      <c r="F42" s="44">
        <v>0.88227157290845415</v>
      </c>
      <c r="G42" s="43">
        <f t="shared" si="2"/>
        <v>19442.41641088498</v>
      </c>
      <c r="H42" s="43">
        <v>20073.987869754899</v>
      </c>
      <c r="I42" s="44">
        <v>0.13011072525776474</v>
      </c>
      <c r="J42" s="77">
        <v>4.9334640229583594E-2</v>
      </c>
      <c r="K42" s="43">
        <v>1351.5417558213001</v>
      </c>
      <c r="L42" s="44">
        <v>0.22905635743816638</v>
      </c>
      <c r="M42" s="77">
        <v>5.9470790598990008E-3</v>
      </c>
      <c r="N42" s="44">
        <v>0.82784500000000005</v>
      </c>
      <c r="O42" s="43">
        <f t="shared" si="11"/>
        <v>17969.692243858546</v>
      </c>
      <c r="Q42" s="43">
        <v>2046.1060666666669</v>
      </c>
      <c r="R42" s="43">
        <v>498.80678007050886</v>
      </c>
      <c r="S42" s="43">
        <f t="shared" si="0"/>
        <v>1020611.5787967341</v>
      </c>
      <c r="T42" s="43">
        <v>2056.8695634679102</v>
      </c>
      <c r="U42" s="43">
        <v>6724</v>
      </c>
      <c r="V42" s="43">
        <v>487.46262083239253</v>
      </c>
      <c r="W42" s="43">
        <f t="shared" si="4"/>
        <v>1002647.0281184467</v>
      </c>
      <c r="Y42" s="43">
        <v>24693.3</v>
      </c>
      <c r="Z42" s="43">
        <v>23391.599999999999</v>
      </c>
      <c r="AA42" s="44">
        <f t="shared" si="12"/>
        <v>5.2714703988531286E-2</v>
      </c>
      <c r="AB42" s="35">
        <v>0.13244652854841499</v>
      </c>
      <c r="AD42" s="57" t="s">
        <v>88</v>
      </c>
      <c r="AE42" s="45">
        <f t="shared" si="5"/>
        <v>0.6888025706336024</v>
      </c>
      <c r="AF42" s="45">
        <v>0.98869531994891002</v>
      </c>
      <c r="AG42" s="53">
        <f t="shared" si="10"/>
        <v>3.8832182655769376E-2</v>
      </c>
      <c r="AH42" s="40"/>
      <c r="AI42" s="57" t="s">
        <v>88</v>
      </c>
      <c r="AJ42" s="42">
        <f t="shared" si="6"/>
        <v>570532.1832492376</v>
      </c>
      <c r="AK42" s="43">
        <f t="shared" si="7"/>
        <v>581940.33300661133</v>
      </c>
      <c r="AL42" s="44">
        <f t="shared" si="8"/>
        <v>-1.9603641662768411E-2</v>
      </c>
      <c r="AM42" s="44">
        <f>AK42/AK41-1</f>
        <v>3.5408574954116645E-3</v>
      </c>
      <c r="AO42" s="37"/>
      <c r="AP42" s="37"/>
      <c r="AQ42" s="38"/>
      <c r="AR42" s="37"/>
      <c r="AS42" s="37"/>
      <c r="AT42" s="38"/>
    </row>
    <row r="43" spans="1:46">
      <c r="A43" s="57" t="s">
        <v>89</v>
      </c>
      <c r="B43" s="43">
        <v>576350.4384254975</v>
      </c>
      <c r="D43" s="43">
        <v>20624.899999999998</v>
      </c>
      <c r="E43" s="43">
        <v>1402.2</v>
      </c>
      <c r="F43" s="44">
        <v>0.85909212732457485</v>
      </c>
      <c r="G43" s="43">
        <f t="shared" si="2"/>
        <v>19120.889216856624</v>
      </c>
      <c r="H43" s="43">
        <v>20255.087825658498</v>
      </c>
      <c r="I43" s="76">
        <v>0.131035927043918</v>
      </c>
      <c r="J43" s="85">
        <f>AVERAGE(J3:J42)</f>
        <v>3.6188024831084561E-2</v>
      </c>
      <c r="K43" s="43">
        <v>1354.9693035492601</v>
      </c>
      <c r="L43" s="76">
        <v>0.228365893021061</v>
      </c>
      <c r="M43" s="85">
        <f>AVERAGE(M3:M42)</f>
        <v>4.1333517018701258E-3</v>
      </c>
      <c r="N43" s="44">
        <v>0.82784500000000005</v>
      </c>
      <c r="O43" s="43">
        <f>H43*N43+K43</f>
        <v>18123.042484581521</v>
      </c>
      <c r="Q43" s="43">
        <v>2022.7150666666671</v>
      </c>
      <c r="R43" s="43">
        <v>491.90102752179155</v>
      </c>
      <c r="S43" s="43">
        <f t="shared" si="0"/>
        <v>994975.61967714259</v>
      </c>
      <c r="T43" s="43">
        <v>2050.7735178819798</v>
      </c>
      <c r="U43" s="43">
        <v>6676.333333333333</v>
      </c>
      <c r="V43" s="43">
        <v>485.03628546980445</v>
      </c>
      <c r="W43" s="43">
        <f t="shared" si="4"/>
        <v>994699.56945331907</v>
      </c>
      <c r="Y43" s="46"/>
      <c r="Z43" s="46"/>
      <c r="AA43" s="44" t="e">
        <f>1-Z43/Y43</f>
        <v>#DIV/0!</v>
      </c>
      <c r="AB43" s="63">
        <f>AVERAGE(AB3:AB42)</f>
        <v>0.16348037336425186</v>
      </c>
      <c r="AD43" s="57" t="s">
        <v>89</v>
      </c>
      <c r="AE43" s="45" t="e">
        <f t="shared" si="5"/>
        <v>#DIV/0!</v>
      </c>
      <c r="AF43" s="45">
        <f>AF42*(1+AG43)</f>
        <v>1.009260387327755</v>
      </c>
      <c r="AG43" s="64">
        <f>AVERAGE(AG25:AG42)</f>
        <v>2.0800207064707959E-2</v>
      </c>
      <c r="AI43" s="57" t="s">
        <v>89</v>
      </c>
      <c r="AJ43" s="42">
        <f t="shared" si="6"/>
        <v>576350.4384254975</v>
      </c>
      <c r="AK43" s="43">
        <f>AF43*(O43^AB43)*(W43^(1-AB43))</f>
        <v>521587.83441032202</v>
      </c>
      <c r="AL43" s="44">
        <f t="shared" si="8"/>
        <v>0.10499210373088363</v>
      </c>
      <c r="AM43" s="44">
        <f>AK43/AK42-1</f>
        <v>-0.10370908351458719</v>
      </c>
    </row>
    <row r="44" spans="1:46">
      <c r="A44" s="57" t="s">
        <v>90</v>
      </c>
      <c r="H44" s="75">
        <f>H43*(1-I43)+AK43/10*J43</f>
        <v>19488.466965390595</v>
      </c>
      <c r="I44" s="76">
        <v>0.13196770782917799</v>
      </c>
      <c r="J44" s="86">
        <f>J43</f>
        <v>3.6188024831084561E-2</v>
      </c>
      <c r="K44" s="75">
        <f>K43*(1-L43)+AK43/10*M43</f>
        <v>1261.131124831574</v>
      </c>
      <c r="L44" s="76">
        <v>0.227923770604398</v>
      </c>
      <c r="M44" s="86">
        <f>M43</f>
        <v>4.1333517018701258E-3</v>
      </c>
      <c r="N44" s="62">
        <f>N43</f>
        <v>0.82784500000000005</v>
      </c>
      <c r="O44" s="43">
        <f>H44*N44+K44</f>
        <v>17394.561059795353</v>
      </c>
      <c r="R44" s="51"/>
      <c r="T44" s="75">
        <f>T43</f>
        <v>2050.7735178819798</v>
      </c>
      <c r="U44" s="43">
        <f t="shared" ref="U44:V47" si="13">(U$48-U$43)/5+U43</f>
        <v>6639.0666666666666</v>
      </c>
      <c r="V44" s="43">
        <f t="shared" si="13"/>
        <v>478.26222675641037</v>
      </c>
      <c r="W44" s="43">
        <f>T44*V44</f>
        <v>980807.50923531281</v>
      </c>
      <c r="AB44" s="62">
        <f>AB43</f>
        <v>0.16348037336425186</v>
      </c>
      <c r="AF44" s="45">
        <f>AF43*(1+AG44)</f>
        <v>1.0302532123663797</v>
      </c>
      <c r="AG44" s="62">
        <f>AG43</f>
        <v>2.0800207064707959E-2</v>
      </c>
      <c r="AI44" s="57" t="s">
        <v>90</v>
      </c>
      <c r="AK44" s="43">
        <f t="shared" ref="AK44:AK63" si="14">AF44*(O44^AB44)*(W44^(1-AB44))</f>
        <v>522691.91654922487</v>
      </c>
      <c r="AL44" s="44">
        <f t="shared" si="8"/>
        <v>-1</v>
      </c>
      <c r="AM44" s="44">
        <f>AK44/AK43-1</f>
        <v>2.1167712627943036E-3</v>
      </c>
    </row>
    <row r="45" spans="1:46">
      <c r="A45" s="57" t="s">
        <v>91</v>
      </c>
      <c r="H45" s="75">
        <f t="shared" ref="H45:H63" si="15">H44*(1-I44)+AK44/10*J44</f>
        <v>18808.137456372391</v>
      </c>
      <c r="I45" s="76">
        <v>0.13290611439601799</v>
      </c>
      <c r="J45" s="86">
        <f t="shared" ref="J45:J63" si="16">J44</f>
        <v>3.6188024831084561E-2</v>
      </c>
      <c r="K45" s="75">
        <f t="shared" ref="K45:K63" si="17">K44*(1-L44)+AK44/10*M44</f>
        <v>1189.7363159156455</v>
      </c>
      <c r="L45" s="76">
        <v>0.227696534321608</v>
      </c>
      <c r="M45" s="86">
        <f t="shared" ref="M45:M63" si="18">M44</f>
        <v>4.1333517018701258E-3</v>
      </c>
      <c r="N45" s="62">
        <f t="shared" ref="N45:N60" si="19">N44</f>
        <v>0.82784500000000005</v>
      </c>
      <c r="O45" s="43">
        <f t="shared" si="11"/>
        <v>16759.95886848625</v>
      </c>
      <c r="R45" s="51"/>
      <c r="T45" s="75">
        <f>T44</f>
        <v>2050.7735178819798</v>
      </c>
      <c r="U45" s="43">
        <f t="shared" si="13"/>
        <v>6601.8</v>
      </c>
      <c r="V45" s="43">
        <f t="shared" si="13"/>
        <v>471.48816804301629</v>
      </c>
      <c r="W45" s="43">
        <f>T45*V45</f>
        <v>966915.44901730656</v>
      </c>
      <c r="AB45" s="62">
        <f t="shared" ref="AB45:AB63" si="20">AB44</f>
        <v>0.16348037336425186</v>
      </c>
      <c r="AF45" s="45">
        <f t="shared" ref="AF45:AF63" si="21">AF44*(1+AG45)</f>
        <v>1.051682692512681</v>
      </c>
      <c r="AG45" s="62">
        <f t="shared" ref="AG45:AG63" si="22">AG44</f>
        <v>2.0800207064707959E-2</v>
      </c>
      <c r="AI45" s="57" t="s">
        <v>91</v>
      </c>
      <c r="AK45" s="43">
        <f t="shared" si="14"/>
        <v>524041.15880036633</v>
      </c>
      <c r="AL45" s="44">
        <f t="shared" si="8"/>
        <v>-1</v>
      </c>
      <c r="AM45" s="44">
        <f>AK45/AK44-1</f>
        <v>2.5813336851447932E-3</v>
      </c>
    </row>
    <row r="46" spans="1:46">
      <c r="A46" s="57" t="s">
        <v>92</v>
      </c>
      <c r="H46" s="75">
        <f t="shared" si="15"/>
        <v>18204.822434737529</v>
      </c>
      <c r="I46" s="76">
        <v>0.133851193859578</v>
      </c>
      <c r="J46" s="86">
        <f t="shared" si="16"/>
        <v>3.6188024831084561E-2</v>
      </c>
      <c r="K46" s="75">
        <f t="shared" si="17"/>
        <v>1135.442121582844</v>
      </c>
      <c r="L46" s="76">
        <v>0.22765523537704199</v>
      </c>
      <c r="M46" s="86">
        <f t="shared" si="18"/>
        <v>4.1333517018701258E-3</v>
      </c>
      <c r="N46" s="62">
        <f t="shared" si="19"/>
        <v>0.82784500000000005</v>
      </c>
      <c r="O46" s="43">
        <f t="shared" si="11"/>
        <v>16206.213350068136</v>
      </c>
      <c r="R46" s="51"/>
      <c r="T46" s="75">
        <f t="shared" ref="T46:T63" si="23">T45</f>
        <v>2050.7735178819798</v>
      </c>
      <c r="U46" s="43">
        <f t="shared" si="13"/>
        <v>6564.5333333333338</v>
      </c>
      <c r="V46" s="43">
        <f t="shared" si="13"/>
        <v>464.7141093296222</v>
      </c>
      <c r="W46" s="43">
        <f t="shared" si="4"/>
        <v>953023.3887993003</v>
      </c>
      <c r="AB46" s="62">
        <f t="shared" si="20"/>
        <v>0.16348037336425186</v>
      </c>
      <c r="AF46" s="45">
        <f t="shared" si="21"/>
        <v>1.0735579102833144</v>
      </c>
      <c r="AG46" s="62">
        <f t="shared" si="22"/>
        <v>2.0800207064707959E-2</v>
      </c>
      <c r="AI46" s="57" t="s">
        <v>92</v>
      </c>
      <c r="AK46" s="43">
        <f t="shared" si="14"/>
        <v>525609.57121277344</v>
      </c>
      <c r="AL46" s="44">
        <f t="shared" si="8"/>
        <v>-1</v>
      </c>
      <c r="AM46" s="44">
        <f>AK46/AK45-1</f>
        <v>2.992918373048159E-3</v>
      </c>
    </row>
    <row r="47" spans="1:46">
      <c r="A47" s="57" t="s">
        <v>93</v>
      </c>
      <c r="H47" s="75">
        <f t="shared" si="15"/>
        <v>17670.162439296637</v>
      </c>
      <c r="I47" s="76">
        <v>0.13480299367002699</v>
      </c>
      <c r="J47" s="86">
        <f t="shared" si="16"/>
        <v>3.6188024831084561E-2</v>
      </c>
      <c r="K47" s="75">
        <f t="shared" si="17"/>
        <v>1094.2056997060481</v>
      </c>
      <c r="L47" s="76">
        <v>0.22777482486730799</v>
      </c>
      <c r="M47" s="86">
        <f t="shared" si="18"/>
        <v>4.1333517018701258E-3</v>
      </c>
      <c r="N47" s="62">
        <f t="shared" si="19"/>
        <v>0.82784500000000005</v>
      </c>
      <c r="O47" s="43">
        <f t="shared" si="11"/>
        <v>15722.361324265574</v>
      </c>
      <c r="R47" s="51"/>
      <c r="T47" s="75">
        <f t="shared" si="23"/>
        <v>2050.7735178819798</v>
      </c>
      <c r="U47" s="43">
        <f t="shared" si="13"/>
        <v>6527.2666666666673</v>
      </c>
      <c r="V47" s="43">
        <f t="shared" si="13"/>
        <v>457.94005061622812</v>
      </c>
      <c r="W47" s="43">
        <f t="shared" si="4"/>
        <v>939131.32858129404</v>
      </c>
      <c r="AB47" s="62">
        <f t="shared" si="20"/>
        <v>0.16348037336425186</v>
      </c>
      <c r="AF47" s="45">
        <f t="shared" si="21"/>
        <v>1.0958881371131626</v>
      </c>
      <c r="AG47" s="62">
        <f t="shared" si="22"/>
        <v>2.0800207064707959E-2</v>
      </c>
      <c r="AI47" s="57" t="s">
        <v>93</v>
      </c>
      <c r="AK47" s="43">
        <f t="shared" si="14"/>
        <v>527372.30175538023</v>
      </c>
      <c r="AL47" s="44">
        <f t="shared" si="8"/>
        <v>-1</v>
      </c>
      <c r="AM47" s="44">
        <f t="shared" ref="AM47:AM63" si="24">AK47/AK46-1</f>
        <v>3.3536880588751483E-3</v>
      </c>
    </row>
    <row r="48" spans="1:46">
      <c r="A48" s="57" t="s">
        <v>94</v>
      </c>
      <c r="H48" s="75">
        <f t="shared" si="15"/>
        <v>17196.627838958775</v>
      </c>
      <c r="I48" s="76">
        <v>0.13576156161494701</v>
      </c>
      <c r="J48" s="86">
        <f t="shared" si="16"/>
        <v>3.6188024831084561E-2</v>
      </c>
      <c r="K48" s="75">
        <f t="shared" si="17"/>
        <v>1062.9547081846695</v>
      </c>
      <c r="L48" s="76">
        <v>0.22803362839984001</v>
      </c>
      <c r="M48" s="86">
        <f t="shared" si="18"/>
        <v>4.1333517018701258E-3</v>
      </c>
      <c r="N48" s="62">
        <f t="shared" si="19"/>
        <v>0.82784500000000005</v>
      </c>
      <c r="O48" s="43">
        <f t="shared" si="11"/>
        <v>15299.097081527496</v>
      </c>
      <c r="R48" s="51"/>
      <c r="T48" s="75">
        <f t="shared" si="23"/>
        <v>2050.7735178819798</v>
      </c>
      <c r="U48" s="61">
        <v>6490</v>
      </c>
      <c r="V48" s="75">
        <f>453/494*492</f>
        <v>451.16599190283404</v>
      </c>
      <c r="W48" s="43">
        <f t="shared" si="4"/>
        <v>925239.26836328779</v>
      </c>
      <c r="AB48" s="62">
        <f t="shared" si="20"/>
        <v>0.16348037336425186</v>
      </c>
      <c r="AF48" s="45">
        <f t="shared" si="21"/>
        <v>1.1186828372848734</v>
      </c>
      <c r="AG48" s="62">
        <f t="shared" si="22"/>
        <v>2.0800207064707959E-2</v>
      </c>
      <c r="AI48" s="57" t="s">
        <v>94</v>
      </c>
      <c r="AK48" s="43">
        <f t="shared" si="14"/>
        <v>529305.39239686751</v>
      </c>
      <c r="AL48" s="44">
        <f t="shared" si="8"/>
        <v>-1</v>
      </c>
      <c r="AM48" s="44">
        <f t="shared" si="24"/>
        <v>3.6655141634343025E-3</v>
      </c>
    </row>
    <row r="49" spans="1:41">
      <c r="A49" s="57" t="s">
        <v>95</v>
      </c>
      <c r="H49" s="75">
        <f t="shared" si="15"/>
        <v>16777.438457359138</v>
      </c>
      <c r="I49" s="76">
        <v>0.136726945821732</v>
      </c>
      <c r="J49" s="86">
        <f t="shared" si="16"/>
        <v>3.6188024831084561E-2</v>
      </c>
      <c r="K49" s="75">
        <f t="shared" si="17"/>
        <v>1039.345823699889</v>
      </c>
      <c r="L49" s="76">
        <v>0.22841289148923399</v>
      </c>
      <c r="M49" s="86">
        <f t="shared" si="18"/>
        <v>4.1333517018701258E-3</v>
      </c>
      <c r="N49" s="62">
        <f t="shared" si="19"/>
        <v>0.82784500000000005</v>
      </c>
      <c r="O49" s="43">
        <f t="shared" si="11"/>
        <v>14928.464363432366</v>
      </c>
      <c r="R49" s="51"/>
      <c r="T49" s="75">
        <f t="shared" si="23"/>
        <v>2050.7735178819798</v>
      </c>
      <c r="U49" s="43">
        <f>(U$53-U$48)/5+U48</f>
        <v>6465.2</v>
      </c>
      <c r="V49" s="43">
        <f>(V$53-V$48)/5+V48</f>
        <v>439.41376518218624</v>
      </c>
      <c r="W49" s="43">
        <f t="shared" si="4"/>
        <v>901138.1130284383</v>
      </c>
      <c r="AB49" s="62">
        <f t="shared" si="20"/>
        <v>0.16348037336425186</v>
      </c>
      <c r="AF49" s="45">
        <f t="shared" si="21"/>
        <v>1.1419516719401337</v>
      </c>
      <c r="AG49" s="62">
        <f t="shared" si="22"/>
        <v>2.0800207064707959E-2</v>
      </c>
      <c r="AI49" s="57" t="s">
        <v>95</v>
      </c>
      <c r="AK49" s="43">
        <f t="shared" si="14"/>
        <v>526401.50374552561</v>
      </c>
      <c r="AL49" s="44">
        <f t="shared" si="8"/>
        <v>-1</v>
      </c>
      <c r="AM49" s="44">
        <f t="shared" si="24"/>
        <v>-5.486225330507466E-3</v>
      </c>
    </row>
    <row r="50" spans="1:41">
      <c r="A50" s="57" t="s">
        <v>96</v>
      </c>
      <c r="H50" s="75">
        <f t="shared" si="15"/>
        <v>16388.453607238687</v>
      </c>
      <c r="I50" s="76">
        <v>0.137699194760004</v>
      </c>
      <c r="J50" s="86">
        <f t="shared" si="16"/>
        <v>3.6188024831084561E-2</v>
      </c>
      <c r="K50" s="75">
        <f t="shared" si="17"/>
        <v>1019.5260939886939</v>
      </c>
      <c r="L50" s="76">
        <v>0.228896386196384</v>
      </c>
      <c r="M50" s="86">
        <f t="shared" si="18"/>
        <v>4.1333517018701258E-3</v>
      </c>
      <c r="N50" s="62">
        <f t="shared" si="19"/>
        <v>0.82784500000000005</v>
      </c>
      <c r="O50" s="43">
        <f t="shared" si="11"/>
        <v>14586.625470473205</v>
      </c>
      <c r="R50" s="51"/>
      <c r="T50" s="75">
        <f t="shared" si="23"/>
        <v>2050.7735178819798</v>
      </c>
      <c r="U50" s="43">
        <f t="shared" ref="U50:V52" si="25">(U$53-U$48)/5+U49</f>
        <v>6440.4</v>
      </c>
      <c r="V50" s="43">
        <f t="shared" si="25"/>
        <v>427.66153846153844</v>
      </c>
      <c r="W50" s="43">
        <f t="shared" si="4"/>
        <v>877036.9576935888</v>
      </c>
      <c r="AB50" s="62">
        <f t="shared" si="20"/>
        <v>0.16348037336425186</v>
      </c>
      <c r="AF50" s="45">
        <f t="shared" si="21"/>
        <v>1.165704503174378</v>
      </c>
      <c r="AG50" s="62">
        <f t="shared" si="22"/>
        <v>2.0800207064707959E-2</v>
      </c>
      <c r="AI50" s="57" t="s">
        <v>96</v>
      </c>
      <c r="AK50" s="43">
        <f t="shared" si="14"/>
        <v>523316.55657782848</v>
      </c>
      <c r="AL50" s="44">
        <f t="shared" si="8"/>
        <v>-1</v>
      </c>
      <c r="AM50" s="44">
        <f t="shared" si="24"/>
        <v>-5.8604452034173304E-3</v>
      </c>
    </row>
    <row r="51" spans="1:41">
      <c r="A51" s="57" t="s">
        <v>97</v>
      </c>
      <c r="H51" s="75">
        <f t="shared" si="15"/>
        <v>16025.55599655585</v>
      </c>
      <c r="I51" s="76">
        <v>0.13867835724404601</v>
      </c>
      <c r="J51" s="86">
        <f t="shared" si="16"/>
        <v>3.6188024831084561E-2</v>
      </c>
      <c r="K51" s="75">
        <f t="shared" si="17"/>
        <v>1002.4653934165451</v>
      </c>
      <c r="L51" s="76">
        <v>0.229470070759969</v>
      </c>
      <c r="M51" s="86">
        <f t="shared" si="18"/>
        <v>4.1333517018701258E-3</v>
      </c>
      <c r="N51" s="62">
        <f t="shared" si="19"/>
        <v>0.82784500000000005</v>
      </c>
      <c r="O51" s="43">
        <f t="shared" si="11"/>
        <v>14269.141797385324</v>
      </c>
      <c r="R51" s="51"/>
      <c r="T51" s="75">
        <f t="shared" si="23"/>
        <v>2050.7735178819798</v>
      </c>
      <c r="U51" s="43">
        <f t="shared" si="25"/>
        <v>6415.5999999999995</v>
      </c>
      <c r="V51" s="43">
        <f t="shared" si="25"/>
        <v>415.90931174089064</v>
      </c>
      <c r="W51" s="43">
        <f t="shared" si="4"/>
        <v>852935.80235873931</v>
      </c>
      <c r="AB51" s="62">
        <f t="shared" si="20"/>
        <v>0.16348037336425186</v>
      </c>
      <c r="AF51" s="45">
        <f t="shared" si="21"/>
        <v>1.1899513982166676</v>
      </c>
      <c r="AG51" s="62">
        <f t="shared" si="22"/>
        <v>2.0800207064707959E-2</v>
      </c>
      <c r="AI51" s="57" t="s">
        <v>97</v>
      </c>
      <c r="AK51" s="43">
        <f t="shared" si="14"/>
        <v>520019.53904542385</v>
      </c>
      <c r="AL51" s="44">
        <f t="shared" si="8"/>
        <v>-1</v>
      </c>
      <c r="AM51" s="44">
        <f t="shared" si="24"/>
        <v>-6.3002354711746422E-3</v>
      </c>
    </row>
    <row r="52" spans="1:41">
      <c r="A52" s="57" t="s">
        <v>98</v>
      </c>
      <c r="H52" s="75">
        <f t="shared" si="15"/>
        <v>15685.006216193509</v>
      </c>
      <c r="I52" s="76">
        <v>0.13966448243525401</v>
      </c>
      <c r="J52" s="86">
        <f t="shared" si="16"/>
        <v>3.6188024831084561E-2</v>
      </c>
      <c r="K52" s="75">
        <f t="shared" si="17"/>
        <v>987.37195332674241</v>
      </c>
      <c r="L52" s="76">
        <v>0.230121795081348</v>
      </c>
      <c r="M52" s="86">
        <f t="shared" si="18"/>
        <v>4.1333517018701258E-3</v>
      </c>
      <c r="N52" s="62">
        <f t="shared" si="19"/>
        <v>0.82784500000000005</v>
      </c>
      <c r="O52" s="43">
        <f t="shared" si="11"/>
        <v>13972.125924371459</v>
      </c>
      <c r="R52" s="51"/>
      <c r="T52" s="75">
        <f t="shared" si="23"/>
        <v>2050.7735178819798</v>
      </c>
      <c r="U52" s="43">
        <f t="shared" si="25"/>
        <v>6390.7999999999993</v>
      </c>
      <c r="V52" s="43">
        <f t="shared" si="25"/>
        <v>404.15708502024285</v>
      </c>
      <c r="W52" s="43">
        <f t="shared" si="4"/>
        <v>828834.64702388982</v>
      </c>
      <c r="AB52" s="62">
        <f t="shared" si="20"/>
        <v>0.16348037336425186</v>
      </c>
      <c r="AF52" s="45">
        <f t="shared" si="21"/>
        <v>1.214702633696513</v>
      </c>
      <c r="AG52" s="62">
        <f t="shared" si="22"/>
        <v>2.0800207064707959E-2</v>
      </c>
      <c r="AI52" s="57" t="s">
        <v>98</v>
      </c>
      <c r="AK52" s="43">
        <f t="shared" si="14"/>
        <v>516480.09486352192</v>
      </c>
      <c r="AL52" s="44">
        <f t="shared" si="8"/>
        <v>-1</v>
      </c>
      <c r="AM52" s="44">
        <f t="shared" si="24"/>
        <v>-6.8063676768744807E-3</v>
      </c>
    </row>
    <row r="53" spans="1:41">
      <c r="A53" s="57" t="s">
        <v>99</v>
      </c>
      <c r="H53" s="75">
        <f t="shared" si="15"/>
        <v>15363.407390783306</v>
      </c>
      <c r="I53" s="76">
        <v>0.14065761984460601</v>
      </c>
      <c r="J53" s="86">
        <f t="shared" si="16"/>
        <v>3.6188024831084561E-2</v>
      </c>
      <c r="K53" s="75">
        <f t="shared" si="17"/>
        <v>973.63553492283381</v>
      </c>
      <c r="L53" s="76">
        <v>0.230841045885603</v>
      </c>
      <c r="M53" s="86">
        <f t="shared" si="18"/>
        <v>4.1333517018701258E-3</v>
      </c>
      <c r="N53" s="62">
        <f t="shared" si="19"/>
        <v>0.82784500000000005</v>
      </c>
      <c r="O53" s="43">
        <f t="shared" si="11"/>
        <v>13692.155526345841</v>
      </c>
      <c r="R53" s="51"/>
      <c r="T53" s="75">
        <f t="shared" si="23"/>
        <v>2050.7735178819798</v>
      </c>
      <c r="U53" s="61">
        <v>6366</v>
      </c>
      <c r="V53" s="75">
        <f>394/494*492</f>
        <v>392.40485829959511</v>
      </c>
      <c r="W53" s="43">
        <f t="shared" si="4"/>
        <v>804733.49168904044</v>
      </c>
      <c r="AB53" s="62">
        <f t="shared" si="20"/>
        <v>0.16348037336425186</v>
      </c>
      <c r="AF53" s="45">
        <f t="shared" si="21"/>
        <v>1.2399686999994466</v>
      </c>
      <c r="AG53" s="62">
        <f t="shared" si="22"/>
        <v>2.0800207064707959E-2</v>
      </c>
      <c r="AI53" s="57" t="s">
        <v>99</v>
      </c>
      <c r="AK53" s="43">
        <f t="shared" si="14"/>
        <v>512668.40182606282</v>
      </c>
      <c r="AL53" s="44">
        <f t="shared" si="8"/>
        <v>-1</v>
      </c>
      <c r="AM53" s="44">
        <f t="shared" si="24"/>
        <v>-7.3801354115424767E-3</v>
      </c>
      <c r="AO53" s="38"/>
    </row>
    <row r="54" spans="1:41">
      <c r="A54" s="57" t="s">
        <v>100</v>
      </c>
      <c r="H54" s="75">
        <f t="shared" si="15"/>
        <v>15057.672760032097</v>
      </c>
      <c r="I54" s="76">
        <v>0.14165781933514399</v>
      </c>
      <c r="J54" s="86">
        <f t="shared" si="16"/>
        <v>3.6188024831084561E-2</v>
      </c>
      <c r="K54" s="75">
        <f t="shared" si="17"/>
        <v>960.78437084813777</v>
      </c>
      <c r="L54" s="76">
        <v>0.23161872621371701</v>
      </c>
      <c r="M54" s="86">
        <f t="shared" si="18"/>
        <v>4.1333517018701258E-3</v>
      </c>
      <c r="N54" s="62">
        <f t="shared" si="19"/>
        <v>0.82784500000000005</v>
      </c>
      <c r="O54" s="43">
        <f t="shared" si="11"/>
        <v>13426.20347687691</v>
      </c>
      <c r="R54" s="51"/>
      <c r="T54" s="75">
        <f t="shared" si="23"/>
        <v>2050.7735178819798</v>
      </c>
      <c r="U54" s="43">
        <f>(U$58-U$53)/5+U53</f>
        <v>6334.6</v>
      </c>
      <c r="V54" s="43">
        <f>(V$58-V$53)/5+V53</f>
        <v>382.04696356275298</v>
      </c>
      <c r="W54" s="43">
        <f t="shared" si="4"/>
        <v>783491.79546171555</v>
      </c>
      <c r="AB54" s="62">
        <f t="shared" si="20"/>
        <v>0.16348037336425186</v>
      </c>
      <c r="AF54" s="45">
        <f t="shared" si="21"/>
        <v>1.2657603057131919</v>
      </c>
      <c r="AG54" s="62">
        <f t="shared" si="22"/>
        <v>2.0800207064707959E-2</v>
      </c>
      <c r="AI54" s="57" t="s">
        <v>100</v>
      </c>
      <c r="AK54" s="43">
        <f t="shared" si="14"/>
        <v>510112.9001616094</v>
      </c>
      <c r="AL54" s="44">
        <f t="shared" si="8"/>
        <v>-1</v>
      </c>
      <c r="AM54" s="44">
        <f t="shared" si="24"/>
        <v>-4.9847067916630738E-3</v>
      </c>
    </row>
    <row r="55" spans="1:41">
      <c r="A55" s="57" t="s">
        <v>101</v>
      </c>
      <c r="H55" s="75">
        <f t="shared" si="15"/>
        <v>14770.63350235424</v>
      </c>
      <c r="I55" s="76">
        <v>0.14266513112448301</v>
      </c>
      <c r="J55" s="86">
        <f t="shared" si="16"/>
        <v>3.6188024831084561E-2</v>
      </c>
      <c r="K55" s="75">
        <f t="shared" si="17"/>
        <v>949.0963211091339</v>
      </c>
      <c r="L55" s="76">
        <v>0.232446964620865</v>
      </c>
      <c r="M55" s="86">
        <f t="shared" si="18"/>
        <v>4.1333517018701258E-3</v>
      </c>
      <c r="N55" s="62">
        <f t="shared" si="19"/>
        <v>0.82784500000000005</v>
      </c>
      <c r="O55" s="43">
        <f t="shared" si="11"/>
        <v>13176.891412865582</v>
      </c>
      <c r="R55" s="51"/>
      <c r="T55" s="75">
        <f t="shared" si="23"/>
        <v>2050.7735178819798</v>
      </c>
      <c r="U55" s="43">
        <f t="shared" ref="U55:V57" si="26">(U$58-U$53)/5+U54</f>
        <v>6303.2000000000007</v>
      </c>
      <c r="V55" s="43">
        <f t="shared" si="26"/>
        <v>371.68906882591085</v>
      </c>
      <c r="W55" s="43">
        <f t="shared" si="4"/>
        <v>762250.09923439054</v>
      </c>
      <c r="AB55" s="62">
        <f t="shared" si="20"/>
        <v>0.16348037336425186</v>
      </c>
      <c r="AF55" s="45">
        <f t="shared" si="21"/>
        <v>1.2920883821663143</v>
      </c>
      <c r="AG55" s="62">
        <f t="shared" si="22"/>
        <v>2.0800207064707959E-2</v>
      </c>
      <c r="AI55" s="57" t="s">
        <v>101</v>
      </c>
      <c r="AK55" s="43">
        <f t="shared" si="14"/>
        <v>507330.2746771283</v>
      </c>
      <c r="AL55" s="44">
        <f t="shared" si="8"/>
        <v>-1</v>
      </c>
      <c r="AM55" s="44">
        <f t="shared" si="24"/>
        <v>-5.4549208294860652E-3</v>
      </c>
    </row>
    <row r="56" spans="1:41">
      <c r="A56" s="57" t="s">
        <v>102</v>
      </c>
      <c r="H56" s="75">
        <f t="shared" si="15"/>
        <v>14499.307194706877</v>
      </c>
      <c r="I56" s="76">
        <v>0.143679605787327</v>
      </c>
      <c r="J56" s="86">
        <f t="shared" si="16"/>
        <v>3.6188024831084561E-2</v>
      </c>
      <c r="K56" s="75">
        <f t="shared" si="17"/>
        <v>938.17920755918067</v>
      </c>
      <c r="L56" s="76">
        <v>0.23331895007893599</v>
      </c>
      <c r="M56" s="86">
        <f t="shared" si="18"/>
        <v>4.1333517018701258E-3</v>
      </c>
      <c r="N56" s="62">
        <f t="shared" si="19"/>
        <v>0.82784500000000005</v>
      </c>
      <c r="O56" s="43">
        <f t="shared" si="11"/>
        <v>12941.358172161295</v>
      </c>
      <c r="R56" s="51"/>
      <c r="T56" s="75">
        <f t="shared" si="23"/>
        <v>2050.7735178819798</v>
      </c>
      <c r="U56" s="43">
        <f t="shared" si="26"/>
        <v>6271.8000000000011</v>
      </c>
      <c r="V56" s="43">
        <f t="shared" si="26"/>
        <v>361.33117408906872</v>
      </c>
      <c r="W56" s="43">
        <f t="shared" si="4"/>
        <v>741008.40300706553</v>
      </c>
      <c r="AB56" s="62">
        <f t="shared" si="20"/>
        <v>0.16348037336425186</v>
      </c>
      <c r="AF56" s="45">
        <f t="shared" si="21"/>
        <v>1.3189640880612772</v>
      </c>
      <c r="AG56" s="62">
        <f t="shared" si="22"/>
        <v>2.0800207064707959E-2</v>
      </c>
      <c r="AI56" s="57" t="s">
        <v>102</v>
      </c>
      <c r="AK56" s="43">
        <f t="shared" si="14"/>
        <v>504293.33560778236</v>
      </c>
      <c r="AL56" s="44">
        <f t="shared" si="8"/>
        <v>-1</v>
      </c>
      <c r="AM56" s="44">
        <f t="shared" si="24"/>
        <v>-5.986118355106429E-3</v>
      </c>
    </row>
    <row r="57" spans="1:41">
      <c r="A57" s="57" t="s">
        <v>103</v>
      </c>
      <c r="H57" s="75">
        <f t="shared" si="15"/>
        <v>14240.990427894527</v>
      </c>
      <c r="I57" s="76">
        <v>0.14470129425801201</v>
      </c>
      <c r="J57" s="86">
        <f t="shared" si="16"/>
        <v>3.6188024831084561E-2</v>
      </c>
      <c r="K57" s="75">
        <f t="shared" si="17"/>
        <v>927.72639156320338</v>
      </c>
      <c r="L57" s="76">
        <v>0.23422878912047199</v>
      </c>
      <c r="M57" s="86">
        <f t="shared" si="18"/>
        <v>4.1333517018701258E-3</v>
      </c>
      <c r="N57" s="62">
        <f t="shared" si="19"/>
        <v>0.82784500000000005</v>
      </c>
      <c r="O57" s="43">
        <f t="shared" si="11"/>
        <v>12717.059112343548</v>
      </c>
      <c r="R57" s="51"/>
      <c r="T57" s="75">
        <f t="shared" si="23"/>
        <v>2050.7735178819798</v>
      </c>
      <c r="U57" s="43">
        <f t="shared" si="26"/>
        <v>6240.4000000000015</v>
      </c>
      <c r="V57" s="43">
        <f t="shared" si="26"/>
        <v>350.9732793522266</v>
      </c>
      <c r="W57" s="43">
        <f t="shared" si="4"/>
        <v>719766.70677974063</v>
      </c>
      <c r="AB57" s="62">
        <f t="shared" si="20"/>
        <v>0.16348037336425186</v>
      </c>
      <c r="AF57" s="45">
        <f t="shared" si="21"/>
        <v>1.3463988142038654</v>
      </c>
      <c r="AG57" s="62">
        <f t="shared" si="22"/>
        <v>2.0800207064707959E-2</v>
      </c>
      <c r="AI57" s="57" t="s">
        <v>103</v>
      </c>
      <c r="AK57" s="43">
        <f t="shared" si="14"/>
        <v>500975.22429291438</v>
      </c>
      <c r="AL57" s="44">
        <f t="shared" si="8"/>
        <v>-1</v>
      </c>
      <c r="AM57" s="44">
        <f t="shared" si="24"/>
        <v>-6.5797246970732415E-3</v>
      </c>
    </row>
    <row r="58" spans="1:41">
      <c r="A58" s="57" t="s">
        <v>104</v>
      </c>
      <c r="H58" s="75">
        <f t="shared" si="15"/>
        <v>13993.231067109242</v>
      </c>
      <c r="I58" s="76">
        <v>0.14573024783306199</v>
      </c>
      <c r="J58" s="86">
        <f t="shared" si="16"/>
        <v>3.6188024831084561E-2</v>
      </c>
      <c r="K58" s="75">
        <f t="shared" si="17"/>
        <v>917.49684182483804</v>
      </c>
      <c r="L58" s="76">
        <v>0.23517138222773001</v>
      </c>
      <c r="M58" s="86">
        <f t="shared" si="18"/>
        <v>4.1333517018701258E-3</v>
      </c>
      <c r="N58" s="62">
        <f t="shared" si="19"/>
        <v>0.82784500000000005</v>
      </c>
      <c r="O58" s="43">
        <f t="shared" si="11"/>
        <v>12501.723214575888</v>
      </c>
      <c r="R58" s="51"/>
      <c r="T58" s="75">
        <f t="shared" si="23"/>
        <v>2050.7735178819798</v>
      </c>
      <c r="U58" s="61">
        <v>6209</v>
      </c>
      <c r="V58" s="75">
        <f>342/494*492</f>
        <v>340.61538461538458</v>
      </c>
      <c r="W58" s="43">
        <f t="shared" si="4"/>
        <v>698525.01055241586</v>
      </c>
      <c r="AB58" s="62">
        <f t="shared" si="20"/>
        <v>0.16348037336425186</v>
      </c>
      <c r="AF58" s="45">
        <f t="shared" si="21"/>
        <v>1.3744041883309832</v>
      </c>
      <c r="AG58" s="62">
        <f t="shared" si="22"/>
        <v>2.0800207064707959E-2</v>
      </c>
      <c r="AI58" s="57" t="s">
        <v>104</v>
      </c>
      <c r="AK58" s="43">
        <f t="shared" si="14"/>
        <v>497349.34136672312</v>
      </c>
      <c r="AL58" s="44">
        <f t="shared" si="8"/>
        <v>-1</v>
      </c>
      <c r="AM58" s="44">
        <f t="shared" si="24"/>
        <v>-7.2376491897556683E-3</v>
      </c>
    </row>
    <row r="59" spans="1:41">
      <c r="A59" s="57" t="s">
        <v>105</v>
      </c>
      <c r="H59" s="75">
        <f t="shared" si="15"/>
        <v>13753.803067224362</v>
      </c>
      <c r="I59" s="76">
        <v>0.14676651817376299</v>
      </c>
      <c r="J59" s="86">
        <f t="shared" si="16"/>
        <v>3.6188024831084561E-2</v>
      </c>
      <c r="K59" s="75">
        <f t="shared" si="17"/>
        <v>907.29981599952703</v>
      </c>
      <c r="L59" s="76">
        <v>0.23614231687423301</v>
      </c>
      <c r="M59" s="86">
        <f t="shared" si="18"/>
        <v>4.1333517018701258E-3</v>
      </c>
      <c r="N59" s="62">
        <f t="shared" si="19"/>
        <v>0.82784500000000005</v>
      </c>
      <c r="O59" s="43">
        <f t="shared" si="11"/>
        <v>12293.31691618588</v>
      </c>
      <c r="R59" s="51"/>
      <c r="T59" s="75">
        <f t="shared" si="23"/>
        <v>2050.7735178819798</v>
      </c>
      <c r="U59" s="43">
        <f>(U$63-U$58)/5+U58</f>
        <v>6172</v>
      </c>
      <c r="V59" s="43">
        <f>(V$63-V$58)/5+V58</f>
        <v>331.85101214574894</v>
      </c>
      <c r="W59" s="43">
        <f t="shared" si="4"/>
        <v>680551.26759083313</v>
      </c>
      <c r="AB59" s="62">
        <f t="shared" si="20"/>
        <v>0.16348037336425186</v>
      </c>
      <c r="AF59" s="45">
        <f t="shared" si="21"/>
        <v>1.4029920800388695</v>
      </c>
      <c r="AG59" s="62">
        <f t="shared" si="22"/>
        <v>2.0800207064707959E-2</v>
      </c>
      <c r="AI59" s="57" t="s">
        <v>105</v>
      </c>
      <c r="AK59" s="43">
        <f t="shared" si="14"/>
        <v>495379.95039674296</v>
      </c>
      <c r="AL59" s="44">
        <f t="shared" si="8"/>
        <v>-1</v>
      </c>
      <c r="AM59" s="44">
        <f t="shared" si="24"/>
        <v>-3.9597739580156111E-3</v>
      </c>
    </row>
    <row r="60" spans="1:41">
      <c r="A60" s="57" t="s">
        <v>106</v>
      </c>
      <c r="H60" s="75">
        <f t="shared" si="15"/>
        <v>13527.887473978099</v>
      </c>
      <c r="I60" s="76">
        <v>0.14781015730876099</v>
      </c>
      <c r="J60" s="86">
        <f t="shared" si="16"/>
        <v>3.6188024831084561E-2</v>
      </c>
      <c r="K60" s="75">
        <f t="shared" si="17"/>
        <v>897.80589145430508</v>
      </c>
      <c r="L60" s="76">
        <v>0.23713777497542901</v>
      </c>
      <c r="M60" s="86">
        <f t="shared" si="18"/>
        <v>4.1333517018701258E-3</v>
      </c>
      <c r="N60" s="62">
        <f t="shared" si="19"/>
        <v>0.82784500000000005</v>
      </c>
      <c r="O60" s="43">
        <f t="shared" si="11"/>
        <v>12096.799897349705</v>
      </c>
      <c r="R60" s="51"/>
      <c r="T60" s="75">
        <f t="shared" si="23"/>
        <v>2050.7735178819798</v>
      </c>
      <c r="U60" s="43">
        <f t="shared" ref="U60:V62" si="27">(U$63-U$58)/5+U59</f>
        <v>6135</v>
      </c>
      <c r="V60" s="43">
        <f t="shared" si="27"/>
        <v>323.08663967611329</v>
      </c>
      <c r="W60" s="43">
        <f t="shared" si="4"/>
        <v>662577.52462925052</v>
      </c>
      <c r="AB60" s="62">
        <f t="shared" si="20"/>
        <v>0.16348037336425186</v>
      </c>
      <c r="AF60" s="45">
        <f t="shared" si="21"/>
        <v>1.4321746058138234</v>
      </c>
      <c r="AG60" s="62">
        <f t="shared" si="22"/>
        <v>2.0800207064707959E-2</v>
      </c>
      <c r="AI60" s="57" t="s">
        <v>106</v>
      </c>
      <c r="AK60" s="43">
        <f t="shared" si="14"/>
        <v>493186.54173945839</v>
      </c>
      <c r="AL60" s="44">
        <f t="shared" si="8"/>
        <v>-1</v>
      </c>
      <c r="AM60" s="44">
        <f t="shared" si="24"/>
        <v>-4.4277299788332281E-3</v>
      </c>
    </row>
    <row r="61" spans="1:41">
      <c r="A61" s="57" t="s">
        <v>107</v>
      </c>
      <c r="H61" s="75">
        <f t="shared" si="15"/>
        <v>13313.072980276604</v>
      </c>
      <c r="I61" s="76">
        <v>0.14886121763666901</v>
      </c>
      <c r="J61" s="86">
        <f t="shared" si="16"/>
        <v>3.6188024831084561E-2</v>
      </c>
      <c r="K61" s="75">
        <f t="shared" si="17"/>
        <v>888.75354315882294</v>
      </c>
      <c r="L61" s="76">
        <v>0.23815445280731601</v>
      </c>
      <c r="M61" s="86">
        <f t="shared" si="18"/>
        <v>4.1333517018701258E-3</v>
      </c>
      <c r="N61" s="62">
        <f>N60</f>
        <v>0.82784500000000005</v>
      </c>
      <c r="O61" s="43">
        <f t="shared" si="11"/>
        <v>11909.914444515907</v>
      </c>
      <c r="R61" s="51"/>
      <c r="T61" s="75">
        <f t="shared" si="23"/>
        <v>2050.7735178819798</v>
      </c>
      <c r="U61" s="43">
        <f t="shared" si="27"/>
        <v>6098</v>
      </c>
      <c r="V61" s="43">
        <f t="shared" si="27"/>
        <v>314.32226720647765</v>
      </c>
      <c r="W61" s="43">
        <f t="shared" si="4"/>
        <v>644603.78166766779</v>
      </c>
      <c r="AB61" s="62">
        <f t="shared" si="20"/>
        <v>0.16348037336425186</v>
      </c>
      <c r="AF61" s="45">
        <f t="shared" si="21"/>
        <v>1.4619641341675675</v>
      </c>
      <c r="AG61" s="62">
        <f t="shared" si="22"/>
        <v>2.0800207064707959E-2</v>
      </c>
      <c r="AI61" s="57" t="s">
        <v>107</v>
      </c>
      <c r="AK61" s="43">
        <f t="shared" si="14"/>
        <v>490744.3068258866</v>
      </c>
      <c r="AL61" s="44">
        <f t="shared" si="8"/>
        <v>-1</v>
      </c>
      <c r="AM61" s="44">
        <f t="shared" si="24"/>
        <v>-4.9519496313871203E-3</v>
      </c>
    </row>
    <row r="62" spans="1:41">
      <c r="A62" s="57" t="s">
        <v>108</v>
      </c>
      <c r="H62" s="75">
        <f t="shared" si="15"/>
        <v>13107.179442059647</v>
      </c>
      <c r="I62" s="76">
        <v>0.14991975192870099</v>
      </c>
      <c r="J62" s="86">
        <f t="shared" si="16"/>
        <v>3.6188024831084561E-2</v>
      </c>
      <c r="K62" s="75">
        <f t="shared" si="17"/>
        <v>879.93481098745542</v>
      </c>
      <c r="L62" s="76">
        <v>0.239189491713373</v>
      </c>
      <c r="M62" s="86">
        <f t="shared" si="18"/>
        <v>4.1333517018701258E-3</v>
      </c>
      <c r="N62" s="62">
        <f>N61</f>
        <v>0.82784500000000005</v>
      </c>
      <c r="O62" s="43">
        <f t="shared" si="11"/>
        <v>11730.647776199325</v>
      </c>
      <c r="R62" s="51"/>
      <c r="T62" s="75">
        <f t="shared" si="23"/>
        <v>2050.7735178819798</v>
      </c>
      <c r="U62" s="43">
        <f t="shared" si="27"/>
        <v>6061</v>
      </c>
      <c r="V62" s="43">
        <f t="shared" si="27"/>
        <v>305.557894736842</v>
      </c>
      <c r="W62" s="43">
        <f t="shared" si="4"/>
        <v>626630.03870608518</v>
      </c>
      <c r="AB62" s="62">
        <f t="shared" si="20"/>
        <v>0.16348037336425186</v>
      </c>
      <c r="AF62" s="45">
        <f t="shared" si="21"/>
        <v>1.4923732908794294</v>
      </c>
      <c r="AG62" s="62">
        <f t="shared" si="22"/>
        <v>2.0800207064707959E-2</v>
      </c>
      <c r="AI62" s="57" t="s">
        <v>108</v>
      </c>
      <c r="AK62" s="43">
        <f t="shared" si="14"/>
        <v>488028.7415282572</v>
      </c>
      <c r="AL62" s="44">
        <f t="shared" si="8"/>
        <v>-1</v>
      </c>
      <c r="AM62" s="44">
        <f t="shared" si="24"/>
        <v>-5.5335645464611449E-3</v>
      </c>
    </row>
    <row r="63" spans="1:41">
      <c r="A63" s="57" t="s">
        <v>109</v>
      </c>
      <c r="H63" s="75">
        <f t="shared" si="15"/>
        <v>12908.233973291848</v>
      </c>
      <c r="I63" s="76">
        <v>0.15098581333132099</v>
      </c>
      <c r="J63" s="86">
        <f t="shared" si="16"/>
        <v>3.6188024831084561E-2</v>
      </c>
      <c r="K63" s="75">
        <f t="shared" si="17"/>
        <v>871.18309374219871</v>
      </c>
      <c r="L63" s="76">
        <v>0.24024041814645</v>
      </c>
      <c r="M63" s="86">
        <f t="shared" si="18"/>
        <v>4.1333517018701258E-3</v>
      </c>
      <c r="N63" s="62">
        <f>N62</f>
        <v>0.82784500000000005</v>
      </c>
      <c r="O63" s="43">
        <f t="shared" si="11"/>
        <v>11557.200047361988</v>
      </c>
      <c r="R63" s="51"/>
      <c r="T63" s="75">
        <f t="shared" si="23"/>
        <v>2050.7735178819798</v>
      </c>
      <c r="U63" s="61">
        <v>6024</v>
      </c>
      <c r="V63" s="75">
        <f>298/494*492</f>
        <v>296.79352226720647</v>
      </c>
      <c r="W63" s="43">
        <f t="shared" si="4"/>
        <v>608656.29574450268</v>
      </c>
      <c r="AB63" s="62">
        <f t="shared" si="20"/>
        <v>0.16348037336425186</v>
      </c>
      <c r="AF63" s="45">
        <f t="shared" si="21"/>
        <v>1.5234149643475612</v>
      </c>
      <c r="AG63" s="62">
        <f t="shared" si="22"/>
        <v>2.0800207064707959E-2</v>
      </c>
      <c r="AI63" s="57" t="s">
        <v>109</v>
      </c>
      <c r="AK63" s="43">
        <f t="shared" si="14"/>
        <v>485015.57745755347</v>
      </c>
      <c r="AL63" s="44">
        <f t="shared" si="8"/>
        <v>-1</v>
      </c>
      <c r="AM63" s="44">
        <f t="shared" si="24"/>
        <v>-6.1741529018721764E-3</v>
      </c>
    </row>
    <row r="64" spans="1:41" ht="165.9">
      <c r="A64" s="57" t="s">
        <v>110</v>
      </c>
      <c r="H64" s="73" t="s">
        <v>111</v>
      </c>
      <c r="I64" s="74" t="s">
        <v>112</v>
      </c>
      <c r="J64" s="44" t="s">
        <v>113</v>
      </c>
      <c r="K64" s="73" t="s">
        <v>111</v>
      </c>
      <c r="L64" s="74" t="s">
        <v>112</v>
      </c>
      <c r="M64" s="44" t="s">
        <v>113</v>
      </c>
      <c r="N64" s="72" t="s">
        <v>114</v>
      </c>
      <c r="R64" s="51"/>
      <c r="T64" s="24" t="s">
        <v>394</v>
      </c>
      <c r="U64" s="32"/>
      <c r="V64" s="49" t="s">
        <v>395</v>
      </c>
      <c r="AB64" s="44" t="s">
        <v>113</v>
      </c>
      <c r="AG64" s="53" t="s">
        <v>426</v>
      </c>
    </row>
    <row r="65" spans="10:18" ht="239.6">
      <c r="J65" s="84" t="s">
        <v>427</v>
      </c>
      <c r="M65" s="84" t="s">
        <v>427</v>
      </c>
      <c r="R65" s="51"/>
    </row>
    <row r="66" spans="10:18">
      <c r="R66" s="51"/>
    </row>
    <row r="67" spans="10:18">
      <c r="R67" s="51"/>
    </row>
    <row r="68" spans="10:18">
      <c r="R68" s="51"/>
    </row>
    <row r="69" spans="10:18">
      <c r="R69" s="52"/>
    </row>
  </sheetData>
  <mergeCells count="5">
    <mergeCell ref="D1:O1"/>
    <mergeCell ref="Q1:W1"/>
    <mergeCell ref="Y1:AB1"/>
    <mergeCell ref="AE1:AG1"/>
    <mergeCell ref="AJ1:AM1"/>
  </mergeCells>
  <phoneticPr fontId="1"/>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795B8-5E73-4F71-91E5-C34C59A6ED44}">
  <sheetPr>
    <pageSetUpPr fitToPage="1"/>
  </sheetPr>
  <dimension ref="A1"/>
  <sheetViews>
    <sheetView showGridLines="0" zoomScale="70" zoomScaleNormal="70" workbookViewId="0">
      <selection activeCell="J29" sqref="A1:N29"/>
    </sheetView>
  </sheetViews>
  <sheetFormatPr defaultColWidth="8.84375" defaultRowHeight="13.3"/>
  <cols>
    <col min="1" max="7" width="8.84375" style="141"/>
    <col min="8" max="8" width="10.4609375" style="141" customWidth="1"/>
    <col min="9" max="16384" width="8.84375" style="141"/>
  </cols>
  <sheetData/>
  <phoneticPr fontId="1"/>
  <pageMargins left="0.25" right="0.25" top="0.75" bottom="0.75" header="0.3" footer="0.3"/>
  <pageSetup paperSize="9" scale="71"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8FF1D-49BD-4DB3-AA1F-E80E5C608CB6}">
  <dimension ref="A1:GL88"/>
  <sheetViews>
    <sheetView topLeftCell="CC42" zoomScale="55" zoomScaleNormal="55" workbookViewId="0">
      <selection activeCell="J29" sqref="A1:N29"/>
    </sheetView>
  </sheetViews>
  <sheetFormatPr defaultColWidth="8.84375" defaultRowHeight="18.45" outlineLevelCol="1"/>
  <cols>
    <col min="1" max="1" width="6.3046875" style="24" hidden="1" customWidth="1" outlineLevel="1"/>
    <col min="2" max="3" width="10.07421875" style="37" hidden="1" customWidth="1" outlineLevel="1"/>
    <col min="4" max="5" width="12.3046875" style="37" hidden="1" customWidth="1" outlineLevel="1"/>
    <col min="6" max="7" width="10.07421875" style="37" hidden="1" customWidth="1" outlineLevel="1"/>
    <col min="8" max="8" width="8.84375" style="37" hidden="1" customWidth="1" outlineLevel="1"/>
    <col min="9" max="9" width="6.3046875" style="24" hidden="1" customWidth="1" outlineLevel="1" collapsed="1"/>
    <col min="10" max="11" width="10.07421875" style="37" hidden="1" customWidth="1" outlineLevel="1"/>
    <col min="12" max="13" width="12.3046875" style="37" hidden="1" customWidth="1" outlineLevel="1"/>
    <col min="14" max="15" width="10.07421875" style="37" hidden="1" customWidth="1" outlineLevel="1"/>
    <col min="16" max="16" width="8.84375" style="37" hidden="1" customWidth="1" outlineLevel="1"/>
    <col min="17" max="17" width="6.3046875" style="24" bestFit="1" customWidth="1" collapsed="1"/>
    <col min="18" max="19" width="10.07421875" style="37" bestFit="1" customWidth="1"/>
    <col min="20" max="21" width="12.3046875" style="37" bestFit="1" customWidth="1"/>
    <col min="22" max="23" width="10.07421875" style="37" bestFit="1" customWidth="1"/>
    <col min="24" max="24" width="8.84375" style="37"/>
    <col min="25" max="25" width="6.3046875" style="24" bestFit="1" customWidth="1"/>
    <col min="26" max="27" width="10.07421875" style="37" bestFit="1" customWidth="1"/>
    <col min="28" max="29" width="12.3046875" style="37" bestFit="1" customWidth="1"/>
    <col min="30" max="31" width="10.07421875" style="37" bestFit="1" customWidth="1"/>
    <col min="32" max="32" width="8.84375" style="24" hidden="1" customWidth="1" outlineLevel="1"/>
    <col min="33" max="33" width="6.3046875" style="24" hidden="1" customWidth="1" outlineLevel="1" collapsed="1"/>
    <col min="34" max="35" width="10.07421875" style="37" hidden="1" customWidth="1" outlineLevel="1"/>
    <col min="36" max="37" width="12.3046875" style="37" hidden="1" customWidth="1" outlineLevel="1"/>
    <col min="38" max="39" width="10.07421875" style="37" hidden="1" customWidth="1" outlineLevel="1"/>
    <col min="40" max="40" width="8.84375" style="37" hidden="1" customWidth="1" outlineLevel="1"/>
    <col min="41" max="41" width="6.3046875" style="24" hidden="1" customWidth="1" outlineLevel="1"/>
    <col min="42" max="43" width="10.07421875" style="37" hidden="1" customWidth="1" outlineLevel="1"/>
    <col min="44" max="45" width="12.3046875" style="37" hidden="1" customWidth="1" outlineLevel="1"/>
    <col min="46" max="47" width="10.07421875" style="37" hidden="1" customWidth="1" outlineLevel="1"/>
    <col min="48" max="48" width="8.84375" style="24" collapsed="1"/>
    <col min="49" max="49" width="6.3046875" style="24" hidden="1" customWidth="1" outlineLevel="1"/>
    <col min="50" max="51" width="10.07421875" style="37" hidden="1" customWidth="1" outlineLevel="1"/>
    <col min="52" max="53" width="12.3046875" style="37" hidden="1" customWidth="1" outlineLevel="1"/>
    <col min="54" max="55" width="10.07421875" style="37" hidden="1" customWidth="1" outlineLevel="1"/>
    <col min="56" max="56" width="8.84375" style="37" hidden="1" customWidth="1" outlineLevel="1"/>
    <col min="57" max="57" width="6.3046875" style="24" hidden="1" customWidth="1" outlineLevel="1"/>
    <col min="58" max="59" width="10.07421875" style="37" hidden="1" customWidth="1" outlineLevel="1"/>
    <col min="60" max="61" width="12.3046875" style="37" hidden="1" customWidth="1" outlineLevel="1"/>
    <col min="62" max="63" width="10.07421875" style="37" hidden="1" customWidth="1" outlineLevel="1"/>
    <col min="64" max="64" width="8.84375" style="37" hidden="1" customWidth="1" outlineLevel="1"/>
    <col min="65" max="65" width="6.3046875" style="24" bestFit="1" customWidth="1" collapsed="1"/>
    <col min="66" max="67" width="10.07421875" style="37" bestFit="1" customWidth="1"/>
    <col min="68" max="69" width="12.3046875" style="37" bestFit="1" customWidth="1"/>
    <col min="70" max="71" width="10.07421875" style="37" bestFit="1" customWidth="1"/>
    <col min="72" max="72" width="8.84375" style="37"/>
    <col min="73" max="73" width="6.3046875" style="24" bestFit="1" customWidth="1"/>
    <col min="74" max="75" width="10.07421875" style="37" bestFit="1" customWidth="1"/>
    <col min="76" max="77" width="12.3046875" style="37" bestFit="1" customWidth="1"/>
    <col min="78" max="79" width="10.07421875" style="37" bestFit="1" customWidth="1"/>
    <col min="80" max="80" width="8.84375" style="24" customWidth="1" outlineLevel="1"/>
    <col min="81" max="81" width="6.3046875" style="24" customWidth="1" outlineLevel="1" collapsed="1"/>
    <col min="82" max="83" width="10.07421875" style="37" customWidth="1" outlineLevel="1"/>
    <col min="84" max="85" width="12.3046875" style="37" customWidth="1" outlineLevel="1"/>
    <col min="86" max="87" width="10.07421875" style="37" customWidth="1" outlineLevel="1"/>
    <col min="88" max="88" width="8.84375" style="37" customWidth="1" outlineLevel="1"/>
    <col min="89" max="89" width="6.3046875" style="24" customWidth="1" outlineLevel="1"/>
    <col min="90" max="91" width="10.07421875" style="37" customWidth="1" outlineLevel="1"/>
    <col min="92" max="93" width="12.3046875" style="37" customWidth="1" outlineLevel="1"/>
    <col min="94" max="95" width="10.07421875" style="37" customWidth="1" outlineLevel="1"/>
    <col min="96" max="96" width="8.84375" style="24"/>
    <col min="97" max="97" width="6.3046875" style="24" bestFit="1" customWidth="1"/>
    <col min="98" max="99" width="10.07421875" style="24" bestFit="1" customWidth="1"/>
    <col min="100" max="101" width="12.3046875" style="24" bestFit="1" customWidth="1"/>
    <col min="102" max="103" width="10.07421875" style="24" bestFit="1" customWidth="1"/>
    <col min="104" max="104" width="8.84375" style="24"/>
    <col min="105" max="105" width="6.3046875" style="24" bestFit="1" customWidth="1"/>
    <col min="106" max="107" width="10.07421875" style="24" bestFit="1" customWidth="1"/>
    <col min="108" max="109" width="12.3046875" style="24" bestFit="1" customWidth="1"/>
    <col min="110" max="111" width="10.07421875" style="24" bestFit="1" customWidth="1"/>
    <col min="112" max="112" width="8.84375" style="24"/>
    <col min="113" max="113" width="6.3046875" style="24" bestFit="1" customWidth="1"/>
    <col min="114" max="115" width="10.07421875" style="24" bestFit="1" customWidth="1"/>
    <col min="116" max="117" width="12.3046875" style="24" bestFit="1" customWidth="1"/>
    <col min="118" max="119" width="10.07421875" style="24" bestFit="1" customWidth="1"/>
    <col min="120" max="120" width="8.84375" style="24"/>
    <col min="121" max="121" width="6.3046875" style="24" bestFit="1" customWidth="1"/>
    <col min="122" max="123" width="10.07421875" style="24" bestFit="1" customWidth="1"/>
    <col min="124" max="125" width="12.3046875" style="24" bestFit="1" customWidth="1"/>
    <col min="126" max="127" width="10.07421875" style="24" bestFit="1" customWidth="1"/>
    <col min="128" max="128" width="8.84375" style="24"/>
    <col min="129" max="129" width="6.3046875" style="24" bestFit="1" customWidth="1"/>
    <col min="130" max="130" width="9" style="24" bestFit="1" customWidth="1"/>
    <col min="131" max="131" width="19.69140625" style="24" bestFit="1" customWidth="1"/>
    <col min="132" max="132" width="15" style="24" customWidth="1"/>
    <col min="133" max="134" width="12.3046875" style="24" bestFit="1" customWidth="1"/>
    <col min="135" max="135" width="8.84375" style="24"/>
    <col min="136" max="136" width="6.3046875" style="24" bestFit="1" customWidth="1"/>
    <col min="137" max="138" width="10.07421875" style="38" bestFit="1" customWidth="1"/>
    <col min="139" max="140" width="12.3046875" style="38" bestFit="1" customWidth="1"/>
    <col min="141" max="142" width="10.07421875" style="38" bestFit="1" customWidth="1"/>
    <col min="143" max="143" width="8.84375" style="38" customWidth="1"/>
    <col min="144" max="144" width="6.3046875" style="24" bestFit="1" customWidth="1"/>
    <col min="145" max="146" width="10.07421875" style="38" bestFit="1" customWidth="1"/>
    <col min="147" max="148" width="12.3046875" style="38" bestFit="1" customWidth="1"/>
    <col min="149" max="150" width="10.07421875" style="38" bestFit="1" customWidth="1"/>
    <col min="151" max="151" width="8.84375" style="38" customWidth="1"/>
    <col min="152" max="152" width="6.3046875" style="24" bestFit="1" customWidth="1"/>
    <col min="153" max="154" width="10.07421875" style="38" bestFit="1" customWidth="1"/>
    <col min="155" max="156" width="12.3046875" style="38" bestFit="1" customWidth="1"/>
    <col min="157" max="158" width="10.07421875" style="38" bestFit="1" customWidth="1"/>
    <col min="159" max="159" width="8.84375" style="38" customWidth="1"/>
    <col min="160" max="160" width="6.3046875" style="24" bestFit="1" customWidth="1"/>
    <col min="161" max="162" width="10.07421875" style="38" bestFit="1" customWidth="1"/>
    <col min="163" max="164" width="12.3046875" style="38" bestFit="1" customWidth="1"/>
    <col min="165" max="166" width="10.07421875" style="38" bestFit="1" customWidth="1"/>
    <col min="167" max="167" width="8.84375" style="24"/>
    <col min="168" max="168" width="6.3046875" style="24" bestFit="1" customWidth="1"/>
    <col min="169" max="169" width="10.4609375" style="24" bestFit="1" customWidth="1"/>
    <col min="170" max="170" width="10.69140625" style="24" bestFit="1" customWidth="1"/>
    <col min="171" max="171" width="11.07421875" style="24" bestFit="1" customWidth="1"/>
    <col min="172" max="172" width="10.69140625" style="24" bestFit="1" customWidth="1"/>
    <col min="173" max="175" width="10.69140625" style="24" customWidth="1"/>
    <col min="176" max="178" width="12.3046875" style="24" bestFit="1" customWidth="1"/>
    <col min="179" max="179" width="8.84375" style="24"/>
    <col min="180" max="180" width="6.3046875" style="24" bestFit="1" customWidth="1"/>
    <col min="181" max="181" width="14.4609375" style="24" bestFit="1" customWidth="1"/>
    <col min="182" max="182" width="12.3046875" style="24" bestFit="1" customWidth="1"/>
    <col min="183" max="183" width="15.4609375" style="24" customWidth="1"/>
    <col min="184" max="184" width="8.84375" style="24"/>
    <col min="185" max="185" width="19.3046875" style="24" bestFit="1" customWidth="1"/>
    <col min="186" max="186" width="16.84375" style="24" bestFit="1" customWidth="1"/>
    <col min="187" max="187" width="28.84375" style="24" bestFit="1" customWidth="1"/>
    <col min="188" max="16384" width="8.84375" style="24"/>
  </cols>
  <sheetData>
    <row r="1" spans="1:194">
      <c r="EG1" s="38" t="s">
        <v>428</v>
      </c>
      <c r="EH1" s="38" t="s">
        <v>429</v>
      </c>
      <c r="EI1" s="38" t="s">
        <v>430</v>
      </c>
      <c r="EJ1" s="38" t="s">
        <v>431</v>
      </c>
      <c r="EK1" s="38" t="s">
        <v>432</v>
      </c>
      <c r="EL1" s="38" t="s">
        <v>433</v>
      </c>
      <c r="EO1" s="38" t="s">
        <v>434</v>
      </c>
      <c r="EP1" s="38" t="s">
        <v>435</v>
      </c>
      <c r="EQ1" s="38" t="s">
        <v>436</v>
      </c>
      <c r="ER1" s="38" t="s">
        <v>437</v>
      </c>
      <c r="ES1" s="38" t="s">
        <v>438</v>
      </c>
      <c r="ET1" s="38" t="s">
        <v>439</v>
      </c>
      <c r="EW1" s="38" t="s">
        <v>440</v>
      </c>
      <c r="EX1" s="38" t="s">
        <v>441</v>
      </c>
      <c r="EY1" s="38" t="s">
        <v>442</v>
      </c>
      <c r="EZ1" s="38" t="s">
        <v>443</v>
      </c>
      <c r="FA1" s="38" t="s">
        <v>444</v>
      </c>
      <c r="FB1" s="38" t="s">
        <v>445</v>
      </c>
      <c r="FE1" s="38" t="s">
        <v>446</v>
      </c>
      <c r="FF1" s="38" t="s">
        <v>447</v>
      </c>
      <c r="FG1" s="38" t="s">
        <v>448</v>
      </c>
      <c r="FH1" s="38" t="s">
        <v>449</v>
      </c>
      <c r="FI1" s="38" t="s">
        <v>450</v>
      </c>
      <c r="FJ1" s="38" t="s">
        <v>451</v>
      </c>
      <c r="FQ1" s="24" t="s">
        <v>452</v>
      </c>
      <c r="FR1" s="24" t="s">
        <v>453</v>
      </c>
      <c r="FS1" s="24" t="s">
        <v>454</v>
      </c>
      <c r="FY1" s="24" t="s">
        <v>455</v>
      </c>
      <c r="FZ1" s="24" t="s">
        <v>456</v>
      </c>
      <c r="GA1" s="24" t="s">
        <v>457</v>
      </c>
      <c r="GC1" s="24" t="s">
        <v>458</v>
      </c>
      <c r="GD1" s="24" t="s">
        <v>459</v>
      </c>
      <c r="GE1" s="24" t="s">
        <v>460</v>
      </c>
    </row>
    <row r="2" spans="1:194">
      <c r="EG2" s="38" t="s">
        <v>461</v>
      </c>
      <c r="EH2" s="38" t="s">
        <v>461</v>
      </c>
      <c r="EI2" s="38" t="s">
        <v>461</v>
      </c>
      <c r="EJ2" s="38" t="s">
        <v>461</v>
      </c>
      <c r="EK2" s="38" t="s">
        <v>461</v>
      </c>
      <c r="EL2" s="38" t="s">
        <v>461</v>
      </c>
      <c r="EO2" s="38" t="s">
        <v>461</v>
      </c>
      <c r="EP2" s="38" t="s">
        <v>461</v>
      </c>
      <c r="EQ2" s="38" t="s">
        <v>461</v>
      </c>
      <c r="ER2" s="38" t="s">
        <v>461</v>
      </c>
      <c r="ES2" s="38" t="s">
        <v>461</v>
      </c>
      <c r="ET2" s="38" t="s">
        <v>461</v>
      </c>
      <c r="EW2" s="38" t="s">
        <v>461</v>
      </c>
      <c r="EX2" s="38" t="s">
        <v>461</v>
      </c>
      <c r="EY2" s="38" t="s">
        <v>461</v>
      </c>
      <c r="EZ2" s="38" t="s">
        <v>461</v>
      </c>
      <c r="FA2" s="38" t="s">
        <v>461</v>
      </c>
      <c r="FB2" s="38" t="s">
        <v>461</v>
      </c>
      <c r="FE2" s="38" t="s">
        <v>462</v>
      </c>
      <c r="FF2" s="38" t="s">
        <v>462</v>
      </c>
      <c r="FG2" s="38" t="s">
        <v>462</v>
      </c>
      <c r="FH2" s="38" t="s">
        <v>462</v>
      </c>
      <c r="FI2" s="38" t="s">
        <v>462</v>
      </c>
      <c r="FJ2" s="38" t="s">
        <v>462</v>
      </c>
      <c r="FQ2" s="38" t="s">
        <v>462</v>
      </c>
      <c r="FR2" s="38" t="s">
        <v>462</v>
      </c>
      <c r="FS2" s="38" t="s">
        <v>462</v>
      </c>
      <c r="FY2" s="38" t="s">
        <v>461</v>
      </c>
      <c r="FZ2" s="38" t="s">
        <v>462</v>
      </c>
      <c r="GA2" s="38" t="s">
        <v>461</v>
      </c>
    </row>
    <row r="3" spans="1:194" ht="35.4" customHeight="1">
      <c r="A3" s="316"/>
      <c r="B3" s="431" t="s">
        <v>463</v>
      </c>
      <c r="C3" s="431"/>
      <c r="D3" s="431"/>
      <c r="E3" s="431"/>
      <c r="F3" s="431"/>
      <c r="G3" s="431"/>
      <c r="I3" s="316"/>
      <c r="J3" s="431" t="s">
        <v>464</v>
      </c>
      <c r="K3" s="431"/>
      <c r="L3" s="431"/>
      <c r="M3" s="431"/>
      <c r="N3" s="431"/>
      <c r="O3" s="431"/>
      <c r="P3" s="87"/>
      <c r="Q3" s="316"/>
      <c r="R3" s="431" t="s">
        <v>465</v>
      </c>
      <c r="S3" s="431"/>
      <c r="T3" s="431"/>
      <c r="U3" s="431"/>
      <c r="V3" s="431"/>
      <c r="W3" s="431"/>
      <c r="Y3" s="316"/>
      <c r="Z3" s="431" t="s">
        <v>466</v>
      </c>
      <c r="AA3" s="431"/>
      <c r="AB3" s="431"/>
      <c r="AC3" s="431"/>
      <c r="AD3" s="431"/>
      <c r="AE3" s="431"/>
      <c r="AG3" s="316"/>
      <c r="AH3" s="431" t="s">
        <v>467</v>
      </c>
      <c r="AI3" s="431"/>
      <c r="AJ3" s="431"/>
      <c r="AK3" s="431"/>
      <c r="AL3" s="431"/>
      <c r="AM3" s="431"/>
      <c r="AN3" s="87"/>
      <c r="AO3" s="316"/>
      <c r="AP3" s="431" t="s">
        <v>468</v>
      </c>
      <c r="AQ3" s="431"/>
      <c r="AR3" s="431"/>
      <c r="AS3" s="431"/>
      <c r="AT3" s="431"/>
      <c r="AU3" s="431"/>
      <c r="AW3" s="316"/>
      <c r="AX3" s="431" t="s">
        <v>469</v>
      </c>
      <c r="AY3" s="431"/>
      <c r="AZ3" s="431"/>
      <c r="BA3" s="431"/>
      <c r="BB3" s="431"/>
      <c r="BC3" s="431"/>
      <c r="BE3" s="316"/>
      <c r="BF3" s="431" t="s">
        <v>470</v>
      </c>
      <c r="BG3" s="431"/>
      <c r="BH3" s="431"/>
      <c r="BI3" s="431"/>
      <c r="BJ3" s="431"/>
      <c r="BK3" s="431"/>
      <c r="BL3" s="87"/>
      <c r="BM3" s="316"/>
      <c r="BN3" s="431" t="s">
        <v>471</v>
      </c>
      <c r="BO3" s="431"/>
      <c r="BP3" s="431"/>
      <c r="BQ3" s="431"/>
      <c r="BR3" s="431"/>
      <c r="BS3" s="431"/>
      <c r="BU3" s="316"/>
      <c r="BV3" s="431" t="s">
        <v>472</v>
      </c>
      <c r="BW3" s="431"/>
      <c r="BX3" s="431"/>
      <c r="BY3" s="431"/>
      <c r="BZ3" s="431"/>
      <c r="CA3" s="431"/>
      <c r="CC3" s="316"/>
      <c r="CD3" s="431" t="s">
        <v>473</v>
      </c>
      <c r="CE3" s="431"/>
      <c r="CF3" s="431"/>
      <c r="CG3" s="431"/>
      <c r="CH3" s="431"/>
      <c r="CI3" s="431"/>
      <c r="CJ3" s="87"/>
      <c r="CK3" s="316"/>
      <c r="CL3" s="431" t="s">
        <v>474</v>
      </c>
      <c r="CM3" s="431"/>
      <c r="CN3" s="431"/>
      <c r="CO3" s="431"/>
      <c r="CP3" s="431"/>
      <c r="CQ3" s="431"/>
      <c r="CS3" s="316"/>
      <c r="CT3" s="431" t="s">
        <v>475</v>
      </c>
      <c r="CU3" s="431"/>
      <c r="CV3" s="431"/>
      <c r="CW3" s="431"/>
      <c r="CX3" s="431"/>
      <c r="CY3" s="431"/>
      <c r="CZ3" s="37"/>
      <c r="DA3" s="316"/>
      <c r="DB3" s="431" t="s">
        <v>476</v>
      </c>
      <c r="DC3" s="431"/>
      <c r="DD3" s="431"/>
      <c r="DE3" s="431"/>
      <c r="DF3" s="431"/>
      <c r="DG3" s="431"/>
      <c r="DI3" s="316"/>
      <c r="DJ3" s="431" t="s">
        <v>477</v>
      </c>
      <c r="DK3" s="431"/>
      <c r="DL3" s="431"/>
      <c r="DM3" s="431"/>
      <c r="DN3" s="431"/>
      <c r="DO3" s="431"/>
      <c r="DP3" s="37"/>
      <c r="DQ3" s="316"/>
      <c r="DR3" s="431" t="s">
        <v>478</v>
      </c>
      <c r="DS3" s="431"/>
      <c r="DT3" s="431"/>
      <c r="DU3" s="431"/>
      <c r="DV3" s="431"/>
      <c r="DW3" s="431"/>
      <c r="DY3" s="316"/>
      <c r="DZ3" s="432" t="s">
        <v>479</v>
      </c>
      <c r="EA3" s="432"/>
      <c r="EB3" s="432"/>
      <c r="EC3" s="432"/>
      <c r="ED3" s="432"/>
      <c r="EF3" s="316"/>
      <c r="EG3" s="417" t="s">
        <v>480</v>
      </c>
      <c r="EH3" s="417"/>
      <c r="EI3" s="417"/>
      <c r="EJ3" s="417"/>
      <c r="EK3" s="417"/>
      <c r="EL3" s="417"/>
      <c r="EN3" s="316"/>
      <c r="EO3" s="417" t="s">
        <v>481</v>
      </c>
      <c r="EP3" s="417"/>
      <c r="EQ3" s="417"/>
      <c r="ER3" s="417"/>
      <c r="ES3" s="417"/>
      <c r="ET3" s="417"/>
      <c r="EV3" s="316"/>
      <c r="EW3" s="417" t="s">
        <v>482</v>
      </c>
      <c r="EX3" s="417"/>
      <c r="EY3" s="417"/>
      <c r="EZ3" s="417"/>
      <c r="FA3" s="417"/>
      <c r="FB3" s="417"/>
      <c r="FD3" s="316"/>
      <c r="FE3" s="417" t="s">
        <v>483</v>
      </c>
      <c r="FF3" s="417"/>
      <c r="FG3" s="417"/>
      <c r="FH3" s="417"/>
      <c r="FI3" s="417"/>
      <c r="FJ3" s="417"/>
      <c r="FL3" s="316"/>
      <c r="FM3" s="432" t="s">
        <v>484</v>
      </c>
      <c r="FN3" s="432"/>
      <c r="FO3" s="432"/>
      <c r="FP3" s="432"/>
      <c r="FQ3" s="432"/>
      <c r="FR3" s="432"/>
      <c r="FS3" s="432"/>
      <c r="FT3" s="432"/>
      <c r="FU3" s="432"/>
      <c r="FV3" s="432"/>
      <c r="FX3" s="316"/>
      <c r="FY3" s="24" t="s">
        <v>485</v>
      </c>
      <c r="FZ3" s="24" t="s">
        <v>486</v>
      </c>
      <c r="GC3" s="430" t="s">
        <v>487</v>
      </c>
      <c r="GD3" s="430"/>
      <c r="GE3" s="32" t="s">
        <v>488</v>
      </c>
    </row>
    <row r="4" spans="1:194" ht="36.9">
      <c r="A4" s="316"/>
      <c r="B4" s="37" t="s">
        <v>489</v>
      </c>
      <c r="C4" s="37" t="s">
        <v>490</v>
      </c>
      <c r="D4" s="37" t="s">
        <v>177</v>
      </c>
      <c r="E4" s="37" t="s">
        <v>491</v>
      </c>
      <c r="F4" s="37" t="s">
        <v>492</v>
      </c>
      <c r="G4" s="37" t="s">
        <v>493</v>
      </c>
      <c r="I4" s="316"/>
      <c r="J4" s="37" t="s">
        <v>489</v>
      </c>
      <c r="K4" s="37" t="s">
        <v>490</v>
      </c>
      <c r="L4" s="37" t="s">
        <v>177</v>
      </c>
      <c r="M4" s="37" t="s">
        <v>491</v>
      </c>
      <c r="N4" s="37" t="s">
        <v>492</v>
      </c>
      <c r="O4" s="37" t="s">
        <v>493</v>
      </c>
      <c r="P4" s="67"/>
      <c r="Q4" s="316"/>
      <c r="R4" s="37" t="s">
        <v>489</v>
      </c>
      <c r="S4" s="37" t="s">
        <v>490</v>
      </c>
      <c r="T4" s="37" t="s">
        <v>177</v>
      </c>
      <c r="U4" s="37" t="s">
        <v>491</v>
      </c>
      <c r="V4" s="37" t="s">
        <v>492</v>
      </c>
      <c r="W4" s="37" t="s">
        <v>493</v>
      </c>
      <c r="Y4" s="316"/>
      <c r="Z4" s="37" t="s">
        <v>489</v>
      </c>
      <c r="AA4" s="37" t="s">
        <v>490</v>
      </c>
      <c r="AB4" s="37" t="s">
        <v>177</v>
      </c>
      <c r="AC4" s="37" t="s">
        <v>491</v>
      </c>
      <c r="AD4" s="37" t="s">
        <v>492</v>
      </c>
      <c r="AE4" s="37" t="s">
        <v>493</v>
      </c>
      <c r="AG4" s="316"/>
      <c r="AH4" s="37" t="s">
        <v>489</v>
      </c>
      <c r="AI4" s="37" t="s">
        <v>490</v>
      </c>
      <c r="AJ4" s="37" t="s">
        <v>177</v>
      </c>
      <c r="AK4" s="37" t="s">
        <v>491</v>
      </c>
      <c r="AL4" s="37" t="s">
        <v>492</v>
      </c>
      <c r="AM4" s="37" t="s">
        <v>493</v>
      </c>
      <c r="AN4" s="67"/>
      <c r="AO4" s="316"/>
      <c r="AP4" s="37" t="s">
        <v>489</v>
      </c>
      <c r="AQ4" s="37" t="s">
        <v>490</v>
      </c>
      <c r="AR4" s="37" t="s">
        <v>177</v>
      </c>
      <c r="AS4" s="37" t="s">
        <v>491</v>
      </c>
      <c r="AT4" s="37" t="s">
        <v>492</v>
      </c>
      <c r="AU4" s="37" t="s">
        <v>493</v>
      </c>
      <c r="AW4" s="316"/>
      <c r="AX4" s="37" t="s">
        <v>489</v>
      </c>
      <c r="AY4" s="37" t="s">
        <v>490</v>
      </c>
      <c r="AZ4" s="37" t="s">
        <v>177</v>
      </c>
      <c r="BA4" s="37" t="s">
        <v>491</v>
      </c>
      <c r="BB4" s="37" t="s">
        <v>492</v>
      </c>
      <c r="BC4" s="37" t="s">
        <v>493</v>
      </c>
      <c r="BE4" s="316"/>
      <c r="BF4" s="37" t="s">
        <v>489</v>
      </c>
      <c r="BG4" s="37" t="s">
        <v>490</v>
      </c>
      <c r="BH4" s="37" t="s">
        <v>177</v>
      </c>
      <c r="BI4" s="37" t="s">
        <v>491</v>
      </c>
      <c r="BJ4" s="37" t="s">
        <v>492</v>
      </c>
      <c r="BK4" s="37" t="s">
        <v>493</v>
      </c>
      <c r="BL4" s="67"/>
      <c r="BM4" s="316"/>
      <c r="BN4" s="37" t="s">
        <v>489</v>
      </c>
      <c r="BO4" s="37" t="s">
        <v>490</v>
      </c>
      <c r="BP4" s="37" t="s">
        <v>177</v>
      </c>
      <c r="BQ4" s="37" t="s">
        <v>491</v>
      </c>
      <c r="BR4" s="37" t="s">
        <v>492</v>
      </c>
      <c r="BS4" s="37" t="s">
        <v>493</v>
      </c>
      <c r="BU4" s="316"/>
      <c r="BV4" s="37" t="s">
        <v>489</v>
      </c>
      <c r="BW4" s="37" t="s">
        <v>490</v>
      </c>
      <c r="BX4" s="37" t="s">
        <v>177</v>
      </c>
      <c r="BY4" s="37" t="s">
        <v>491</v>
      </c>
      <c r="BZ4" s="37" t="s">
        <v>492</v>
      </c>
      <c r="CA4" s="37" t="s">
        <v>493</v>
      </c>
      <c r="CC4" s="316"/>
      <c r="CD4" s="37" t="s">
        <v>489</v>
      </c>
      <c r="CE4" s="37" t="s">
        <v>490</v>
      </c>
      <c r="CF4" s="37" t="s">
        <v>177</v>
      </c>
      <c r="CG4" s="37" t="s">
        <v>491</v>
      </c>
      <c r="CH4" s="37" t="s">
        <v>492</v>
      </c>
      <c r="CI4" s="37" t="s">
        <v>493</v>
      </c>
      <c r="CJ4" s="67"/>
      <c r="CK4" s="316"/>
      <c r="CL4" s="37" t="s">
        <v>489</v>
      </c>
      <c r="CM4" s="37" t="s">
        <v>490</v>
      </c>
      <c r="CN4" s="37" t="s">
        <v>177</v>
      </c>
      <c r="CO4" s="37" t="s">
        <v>491</v>
      </c>
      <c r="CP4" s="37" t="s">
        <v>492</v>
      </c>
      <c r="CQ4" s="37" t="s">
        <v>493</v>
      </c>
      <c r="CS4" s="316"/>
      <c r="CT4" s="37" t="s">
        <v>489</v>
      </c>
      <c r="CU4" s="37" t="s">
        <v>490</v>
      </c>
      <c r="CV4" s="37" t="s">
        <v>177</v>
      </c>
      <c r="CW4" s="37" t="s">
        <v>491</v>
      </c>
      <c r="CX4" s="37" t="s">
        <v>492</v>
      </c>
      <c r="CY4" s="37" t="s">
        <v>493</v>
      </c>
      <c r="CZ4" s="37"/>
      <c r="DA4" s="316"/>
      <c r="DB4" s="37" t="s">
        <v>489</v>
      </c>
      <c r="DC4" s="37" t="s">
        <v>490</v>
      </c>
      <c r="DD4" s="37" t="s">
        <v>177</v>
      </c>
      <c r="DE4" s="37" t="s">
        <v>491</v>
      </c>
      <c r="DF4" s="37" t="s">
        <v>492</v>
      </c>
      <c r="DG4" s="37" t="s">
        <v>493</v>
      </c>
      <c r="DI4" s="316"/>
      <c r="DJ4" s="37" t="s">
        <v>489</v>
      </c>
      <c r="DK4" s="37" t="s">
        <v>490</v>
      </c>
      <c r="DL4" s="37" t="s">
        <v>177</v>
      </c>
      <c r="DM4" s="37" t="s">
        <v>491</v>
      </c>
      <c r="DN4" s="37" t="s">
        <v>492</v>
      </c>
      <c r="DO4" s="37" t="s">
        <v>493</v>
      </c>
      <c r="DP4" s="37"/>
      <c r="DQ4" s="316"/>
      <c r="DR4" s="37" t="s">
        <v>489</v>
      </c>
      <c r="DS4" s="37" t="s">
        <v>490</v>
      </c>
      <c r="DT4" s="37" t="s">
        <v>177</v>
      </c>
      <c r="DU4" s="37" t="s">
        <v>491</v>
      </c>
      <c r="DV4" s="37" t="s">
        <v>492</v>
      </c>
      <c r="DW4" s="37" t="s">
        <v>493</v>
      </c>
      <c r="DY4" s="316"/>
      <c r="DZ4" s="24" t="s">
        <v>494</v>
      </c>
      <c r="EA4" s="32" t="s">
        <v>495</v>
      </c>
      <c r="EB4" s="32" t="s">
        <v>138</v>
      </c>
      <c r="EC4" s="32" t="s">
        <v>496</v>
      </c>
      <c r="ED4" s="32" t="s">
        <v>497</v>
      </c>
      <c r="EF4" s="316"/>
      <c r="EG4" s="37" t="s">
        <v>489</v>
      </c>
      <c r="EH4" s="37" t="s">
        <v>490</v>
      </c>
      <c r="EI4" s="37" t="s">
        <v>177</v>
      </c>
      <c r="EJ4" s="37" t="s">
        <v>491</v>
      </c>
      <c r="EK4" s="37" t="s">
        <v>492</v>
      </c>
      <c r="EL4" s="37" t="s">
        <v>493</v>
      </c>
      <c r="EN4" s="316"/>
      <c r="EO4" s="37" t="s">
        <v>489</v>
      </c>
      <c r="EP4" s="37" t="s">
        <v>490</v>
      </c>
      <c r="EQ4" s="37" t="s">
        <v>177</v>
      </c>
      <c r="ER4" s="37" t="s">
        <v>491</v>
      </c>
      <c r="ES4" s="37" t="s">
        <v>492</v>
      </c>
      <c r="ET4" s="37" t="s">
        <v>493</v>
      </c>
      <c r="EV4" s="316"/>
      <c r="EW4" s="37" t="s">
        <v>489</v>
      </c>
      <c r="EX4" s="37" t="s">
        <v>490</v>
      </c>
      <c r="EY4" s="37" t="s">
        <v>177</v>
      </c>
      <c r="EZ4" s="37" t="s">
        <v>491</v>
      </c>
      <c r="FA4" s="37" t="s">
        <v>492</v>
      </c>
      <c r="FB4" s="37" t="s">
        <v>493</v>
      </c>
      <c r="FD4" s="316"/>
      <c r="FE4" s="37" t="s">
        <v>489</v>
      </c>
      <c r="FF4" s="37" t="s">
        <v>490</v>
      </c>
      <c r="FG4" s="37" t="s">
        <v>177</v>
      </c>
      <c r="FH4" s="37" t="s">
        <v>491</v>
      </c>
      <c r="FI4" s="37" t="s">
        <v>492</v>
      </c>
      <c r="FJ4" s="37" t="s">
        <v>493</v>
      </c>
      <c r="FL4" s="316"/>
      <c r="FM4" s="24" t="s">
        <v>498</v>
      </c>
      <c r="FN4" s="24" t="s">
        <v>499</v>
      </c>
      <c r="FO4" s="24" t="s">
        <v>500</v>
      </c>
      <c r="FP4" s="24" t="s">
        <v>501</v>
      </c>
      <c r="FQ4" s="32" t="s">
        <v>502</v>
      </c>
      <c r="FR4" s="32" t="s">
        <v>503</v>
      </c>
      <c r="FS4" s="32" t="s">
        <v>504</v>
      </c>
      <c r="FT4" s="32" t="s">
        <v>505</v>
      </c>
      <c r="FU4" s="32" t="s">
        <v>506</v>
      </c>
      <c r="FV4" s="32" t="s">
        <v>507</v>
      </c>
      <c r="FX4" s="316"/>
      <c r="FY4" s="24" t="s">
        <v>21</v>
      </c>
      <c r="FZ4" s="24" t="s">
        <v>24</v>
      </c>
      <c r="GA4" s="24" t="s">
        <v>25</v>
      </c>
      <c r="GC4" s="66" t="s">
        <v>508</v>
      </c>
      <c r="GD4" s="66" t="s">
        <v>509</v>
      </c>
      <c r="GE4" s="32" t="s">
        <v>510</v>
      </c>
    </row>
    <row r="5" spans="1:194">
      <c r="A5" s="316"/>
      <c r="B5" s="37" t="s">
        <v>511</v>
      </c>
      <c r="C5" s="37" t="s">
        <v>511</v>
      </c>
      <c r="D5" s="37" t="s">
        <v>511</v>
      </c>
      <c r="E5" s="37" t="s">
        <v>511</v>
      </c>
      <c r="F5" s="37" t="s">
        <v>511</v>
      </c>
      <c r="G5" s="37" t="s">
        <v>511</v>
      </c>
      <c r="I5" s="316"/>
      <c r="J5" s="37" t="s">
        <v>511</v>
      </c>
      <c r="K5" s="37" t="s">
        <v>511</v>
      </c>
      <c r="L5" s="37" t="s">
        <v>511</v>
      </c>
      <c r="M5" s="37" t="s">
        <v>511</v>
      </c>
      <c r="N5" s="37" t="s">
        <v>511</v>
      </c>
      <c r="O5" s="37" t="s">
        <v>511</v>
      </c>
      <c r="P5" s="67"/>
      <c r="Q5" s="316"/>
      <c r="R5" s="37" t="s">
        <v>511</v>
      </c>
      <c r="S5" s="37" t="s">
        <v>511</v>
      </c>
      <c r="T5" s="37" t="s">
        <v>511</v>
      </c>
      <c r="U5" s="37" t="s">
        <v>511</v>
      </c>
      <c r="V5" s="37" t="s">
        <v>511</v>
      </c>
      <c r="W5" s="37" t="s">
        <v>511</v>
      </c>
      <c r="Y5" s="316"/>
      <c r="Z5" s="37" t="s">
        <v>511</v>
      </c>
      <c r="AA5" s="37" t="s">
        <v>511</v>
      </c>
      <c r="AB5" s="37" t="s">
        <v>511</v>
      </c>
      <c r="AC5" s="37" t="s">
        <v>511</v>
      </c>
      <c r="AD5" s="37" t="s">
        <v>511</v>
      </c>
      <c r="AE5" s="37" t="s">
        <v>511</v>
      </c>
      <c r="AG5" s="316"/>
      <c r="AN5" s="67"/>
      <c r="AO5" s="316"/>
      <c r="AW5" s="316"/>
      <c r="AX5" s="37" t="s">
        <v>511</v>
      </c>
      <c r="AY5" s="37" t="s">
        <v>511</v>
      </c>
      <c r="AZ5" s="37" t="s">
        <v>511</v>
      </c>
      <c r="BA5" s="37" t="s">
        <v>511</v>
      </c>
      <c r="BB5" s="37" t="s">
        <v>511</v>
      </c>
      <c r="BC5" s="37" t="s">
        <v>511</v>
      </c>
      <c r="BE5" s="316"/>
      <c r="BF5" s="37" t="s">
        <v>511</v>
      </c>
      <c r="BG5" s="37" t="s">
        <v>511</v>
      </c>
      <c r="BH5" s="37" t="s">
        <v>511</v>
      </c>
      <c r="BI5" s="37" t="s">
        <v>511</v>
      </c>
      <c r="BJ5" s="37" t="s">
        <v>511</v>
      </c>
      <c r="BK5" s="37" t="s">
        <v>511</v>
      </c>
      <c r="BL5" s="67"/>
      <c r="BM5" s="316"/>
      <c r="BN5" s="37" t="s">
        <v>511</v>
      </c>
      <c r="BO5" s="37" t="s">
        <v>511</v>
      </c>
      <c r="BP5" s="37" t="s">
        <v>511</v>
      </c>
      <c r="BQ5" s="37" t="s">
        <v>511</v>
      </c>
      <c r="BR5" s="37" t="s">
        <v>511</v>
      </c>
      <c r="BS5" s="37" t="s">
        <v>511</v>
      </c>
      <c r="BU5" s="316"/>
      <c r="BV5" s="37" t="s">
        <v>511</v>
      </c>
      <c r="BW5" s="37" t="s">
        <v>511</v>
      </c>
      <c r="BX5" s="37" t="s">
        <v>511</v>
      </c>
      <c r="BY5" s="37" t="s">
        <v>511</v>
      </c>
      <c r="BZ5" s="37" t="s">
        <v>511</v>
      </c>
      <c r="CA5" s="37" t="s">
        <v>511</v>
      </c>
      <c r="CC5" s="316"/>
      <c r="CJ5" s="67"/>
      <c r="CK5" s="316"/>
      <c r="CS5" s="316"/>
      <c r="CT5" s="37" t="s">
        <v>511</v>
      </c>
      <c r="CU5" s="37" t="s">
        <v>511</v>
      </c>
      <c r="CV5" s="37" t="s">
        <v>511</v>
      </c>
      <c r="CW5" s="37" t="s">
        <v>511</v>
      </c>
      <c r="CX5" s="37" t="s">
        <v>511</v>
      </c>
      <c r="CY5" s="37" t="s">
        <v>511</v>
      </c>
      <c r="CZ5" s="37"/>
      <c r="DA5" s="316"/>
      <c r="DB5" s="37" t="s">
        <v>511</v>
      </c>
      <c r="DC5" s="37" t="s">
        <v>511</v>
      </c>
      <c r="DD5" s="37" t="s">
        <v>511</v>
      </c>
      <c r="DE5" s="37" t="s">
        <v>511</v>
      </c>
      <c r="DF5" s="37" t="s">
        <v>511</v>
      </c>
      <c r="DG5" s="37" t="s">
        <v>511</v>
      </c>
      <c r="DI5" s="316"/>
      <c r="DJ5" s="38" t="s">
        <v>512</v>
      </c>
      <c r="DK5" s="38" t="s">
        <v>512</v>
      </c>
      <c r="DL5" s="38" t="s">
        <v>512</v>
      </c>
      <c r="DM5" s="38" t="s">
        <v>512</v>
      </c>
      <c r="DN5" s="38" t="s">
        <v>512</v>
      </c>
      <c r="DO5" s="38" t="s">
        <v>512</v>
      </c>
      <c r="DP5" s="37"/>
      <c r="DQ5" s="316"/>
      <c r="DR5" s="38" t="s">
        <v>512</v>
      </c>
      <c r="DS5" s="38" t="s">
        <v>512</v>
      </c>
      <c r="DT5" s="38" t="s">
        <v>512</v>
      </c>
      <c r="DU5" s="38" t="s">
        <v>512</v>
      </c>
      <c r="DV5" s="38" t="s">
        <v>512</v>
      </c>
      <c r="DW5" s="38" t="s">
        <v>512</v>
      </c>
      <c r="DY5" s="316"/>
      <c r="DZ5" s="37" t="s">
        <v>511</v>
      </c>
      <c r="EA5" s="37" t="s">
        <v>511</v>
      </c>
      <c r="EB5" s="38" t="s">
        <v>512</v>
      </c>
      <c r="EC5" s="37" t="s">
        <v>511</v>
      </c>
      <c r="ED5" s="37" t="s">
        <v>511</v>
      </c>
      <c r="EF5" s="316"/>
      <c r="EG5" s="38" t="s">
        <v>512</v>
      </c>
      <c r="EH5" s="38" t="s">
        <v>512</v>
      </c>
      <c r="EI5" s="38" t="s">
        <v>512</v>
      </c>
      <c r="EJ5" s="38" t="s">
        <v>512</v>
      </c>
      <c r="EK5" s="38" t="s">
        <v>512</v>
      </c>
      <c r="EL5" s="38" t="s">
        <v>512</v>
      </c>
      <c r="EN5" s="316"/>
      <c r="EO5" s="38" t="s">
        <v>512</v>
      </c>
      <c r="EP5" s="38" t="s">
        <v>512</v>
      </c>
      <c r="EQ5" s="38" t="s">
        <v>512</v>
      </c>
      <c r="ER5" s="38" t="s">
        <v>512</v>
      </c>
      <c r="ES5" s="38" t="s">
        <v>512</v>
      </c>
      <c r="ET5" s="38" t="s">
        <v>512</v>
      </c>
      <c r="EV5" s="316"/>
      <c r="EW5" s="38" t="s">
        <v>512</v>
      </c>
      <c r="EX5" s="38" t="s">
        <v>512</v>
      </c>
      <c r="EY5" s="38" t="s">
        <v>512</v>
      </c>
      <c r="EZ5" s="38" t="s">
        <v>512</v>
      </c>
      <c r="FA5" s="38" t="s">
        <v>512</v>
      </c>
      <c r="FB5" s="38" t="s">
        <v>512</v>
      </c>
      <c r="FD5" s="316"/>
      <c r="FE5" s="38" t="s">
        <v>512</v>
      </c>
      <c r="FF5" s="38" t="s">
        <v>512</v>
      </c>
      <c r="FG5" s="38" t="s">
        <v>512</v>
      </c>
      <c r="FH5" s="38" t="s">
        <v>512</v>
      </c>
      <c r="FI5" s="38" t="s">
        <v>512</v>
      </c>
      <c r="FJ5" s="38" t="s">
        <v>512</v>
      </c>
      <c r="FL5" s="316"/>
      <c r="FM5" s="38" t="s">
        <v>513</v>
      </c>
      <c r="FN5" s="38" t="s">
        <v>513</v>
      </c>
      <c r="FO5" s="38" t="s">
        <v>513</v>
      </c>
      <c r="FP5" s="38" t="s">
        <v>513</v>
      </c>
      <c r="FQ5" s="24" t="s">
        <v>514</v>
      </c>
      <c r="FR5" s="24" t="s">
        <v>514</v>
      </c>
      <c r="FS5" s="24" t="s">
        <v>514</v>
      </c>
      <c r="FT5" s="24" t="s">
        <v>514</v>
      </c>
      <c r="FU5" s="24" t="s">
        <v>514</v>
      </c>
      <c r="FV5" s="24" t="s">
        <v>514</v>
      </c>
      <c r="FX5" s="316"/>
      <c r="FY5" s="24" t="s">
        <v>514</v>
      </c>
      <c r="FZ5" s="24" t="s">
        <v>514</v>
      </c>
    </row>
    <row r="6" spans="1:194">
      <c r="A6" s="316">
        <v>1980</v>
      </c>
      <c r="B6" s="61">
        <v>156565.4</v>
      </c>
      <c r="C6" s="61">
        <v>11183</v>
      </c>
      <c r="D6" s="61">
        <v>88439.1</v>
      </c>
      <c r="E6" s="61">
        <v>24271.1</v>
      </c>
      <c r="F6" s="61">
        <v>83324.899999999994</v>
      </c>
      <c r="G6" s="61">
        <v>178336</v>
      </c>
      <c r="I6" s="316">
        <v>1980</v>
      </c>
      <c r="J6" s="61">
        <v>197430.1</v>
      </c>
      <c r="K6" s="61">
        <v>14150.3</v>
      </c>
      <c r="L6" s="61">
        <v>105433.3</v>
      </c>
      <c r="M6" s="61">
        <v>30067.200000000001</v>
      </c>
      <c r="N6" s="61">
        <v>100291.3</v>
      </c>
      <c r="O6" s="61">
        <v>229343.9</v>
      </c>
      <c r="Q6" s="316">
        <v>1980</v>
      </c>
      <c r="R6" s="46">
        <f t="shared" ref="R6:R18" si="0">B6/B$20*R$20</f>
        <v>177527.28272116708</v>
      </c>
      <c r="S6" s="46">
        <f t="shared" ref="S6:S18" si="1">C6/C$20*S$20</f>
        <v>10426.971661664134</v>
      </c>
      <c r="T6" s="46">
        <f t="shared" ref="T6:T18" si="2">D6/D$20*T$20</f>
        <v>100162.53411091551</v>
      </c>
      <c r="U6" s="46">
        <f t="shared" ref="U6:U18" si="3">E6/E$20*U$20</f>
        <v>26366.23704940977</v>
      </c>
      <c r="V6" s="46">
        <f t="shared" ref="V6:V18" si="4">F6/F$20*V$20</f>
        <v>82566.007793900644</v>
      </c>
      <c r="W6" s="46">
        <f t="shared" ref="W6:W18" si="5">G6/G$20*W$20</f>
        <v>185477.15843367641</v>
      </c>
      <c r="Y6" s="316">
        <v>1980</v>
      </c>
      <c r="Z6" s="46">
        <f t="shared" ref="Z6:Z18" si="6">J6/J$20*Z$20</f>
        <v>234420.88495401439</v>
      </c>
      <c r="AA6" s="46">
        <f t="shared" ref="AA6:AA18" si="7">K6/K$20*AA$20</f>
        <v>13930.632549786942</v>
      </c>
      <c r="AB6" s="46">
        <f t="shared" ref="AB6:AB18" si="8">L6/L$20*AB$20</f>
        <v>124030.9630262401</v>
      </c>
      <c r="AC6" s="46">
        <f t="shared" ref="AC6:AC18" si="9">M6/M$20*AC$20</f>
        <v>34460.212835240585</v>
      </c>
      <c r="AD6" s="46">
        <f t="shared" ref="AD6:AD18" si="10">N6/N$20*AD$20</f>
        <v>102536.56069559009</v>
      </c>
      <c r="AE6" s="46">
        <f t="shared" ref="AE6:AE18" si="11">O6/O$20*AE$20</f>
        <v>252177.91824812553</v>
      </c>
      <c r="AG6" s="316">
        <v>1980</v>
      </c>
      <c r="AH6" s="48">
        <f t="shared" ref="AH6:AH19" si="12">R6/Z6</f>
        <v>0.75730147830468286</v>
      </c>
      <c r="AI6" s="48">
        <f t="shared" ref="AI6:AI19" si="13">S6/AA6</f>
        <v>0.74849233330927289</v>
      </c>
      <c r="AJ6" s="48">
        <f t="shared" ref="AJ6:AJ19" si="14">T6/AB6</f>
        <v>0.80756072247641131</v>
      </c>
      <c r="AK6" s="48">
        <f t="shared" ref="AK6:AK19" si="15">U6/AC6</f>
        <v>0.76512113188246056</v>
      </c>
      <c r="AL6" s="48">
        <f t="shared" ref="AL6:AL19" si="16">V6/AD6</f>
        <v>0.80523480828484295</v>
      </c>
      <c r="AM6" s="48">
        <f t="shared" ref="AM6:AM19" si="17">W6/AE6</f>
        <v>0.73550118790012287</v>
      </c>
      <c r="AO6" s="316">
        <v>1980</v>
      </c>
      <c r="AW6" s="316">
        <v>1980</v>
      </c>
      <c r="AX6" s="61">
        <v>16179.3</v>
      </c>
      <c r="AY6" s="61">
        <v>892.6</v>
      </c>
      <c r="AZ6" s="61">
        <v>10403.700000000001</v>
      </c>
      <c r="BA6" s="61">
        <v>2954.4</v>
      </c>
      <c r="BB6" s="61">
        <v>6281.2</v>
      </c>
      <c r="BC6" s="61">
        <v>14504.7</v>
      </c>
      <c r="BE6" s="316">
        <v>1980</v>
      </c>
      <c r="BF6" s="61">
        <v>20757.8</v>
      </c>
      <c r="BG6" s="61">
        <v>1158.8</v>
      </c>
      <c r="BH6" s="61">
        <v>12713.7</v>
      </c>
      <c r="BI6" s="61">
        <v>4290.8999999999996</v>
      </c>
      <c r="BJ6" s="61">
        <v>7740</v>
      </c>
      <c r="BK6" s="61">
        <v>19247.400000000001</v>
      </c>
      <c r="BM6" s="316">
        <v>1980</v>
      </c>
      <c r="BN6" s="46">
        <f>AX6/AX$20*BN$20</f>
        <v>18532.920977638012</v>
      </c>
      <c r="BO6" s="46">
        <f t="shared" ref="BO6:BO19" si="18">AY6/AY$20*BO$20</f>
        <v>885.53040096174254</v>
      </c>
      <c r="BP6" s="46">
        <f t="shared" ref="BP6:BP19" si="19">AZ6/AZ$20*BP$20</f>
        <v>12992.532461173214</v>
      </c>
      <c r="BQ6" s="46">
        <f t="shared" ref="BQ6:BQ19" si="20">BA6/BA$20*BQ$20</f>
        <v>3237.8996475752765</v>
      </c>
      <c r="BR6" s="46">
        <f t="shared" ref="BR6:BR19" si="21">BB6/BB$20*BR$20</f>
        <v>6439.5705119909826</v>
      </c>
      <c r="BS6" s="46">
        <f t="shared" ref="BS6:BS19" si="22">BC6/BC$20*BS$20</f>
        <v>14377.4020322822</v>
      </c>
      <c r="BU6" s="316">
        <v>1980</v>
      </c>
      <c r="BV6" s="46">
        <f t="shared" ref="BV6:BV18" si="23">BF6/BF$20*BV$20</f>
        <v>24749.738610848097</v>
      </c>
      <c r="BW6" s="46">
        <f t="shared" ref="BW6:BW19" si="24">BG6/BG$20*BW$20</f>
        <v>1215.8924096052995</v>
      </c>
      <c r="BX6" s="46">
        <f t="shared" ref="BX6:BX19" si="25">BH6/BH$20*BX$20</f>
        <v>16493.459966896415</v>
      </c>
      <c r="BY6" s="46">
        <f t="shared" ref="BY6:BY19" si="26">BI6/BI$20*BY$20</f>
        <v>5013.9204338624331</v>
      </c>
      <c r="BZ6" s="46">
        <f t="shared" ref="BZ6:BZ19" si="27">BJ6/BJ$20*BZ$20</f>
        <v>8195.4705972356805</v>
      </c>
      <c r="CA6" s="46">
        <f t="shared" ref="CA6:CA19" si="28">BK6/BK$20*CA$20</f>
        <v>20272.2554747289</v>
      </c>
      <c r="CC6" s="316">
        <v>1980</v>
      </c>
      <c r="CD6" s="48">
        <f t="shared" ref="CD6:CD19" si="29">BN6/BV6</f>
        <v>0.74881279633049613</v>
      </c>
      <c r="CE6" s="48">
        <f t="shared" ref="CE6:CE19" si="30">BO6/BW6</f>
        <v>0.72829667655315133</v>
      </c>
      <c r="CF6" s="48">
        <f t="shared" ref="CF6:CF19" si="31">BP6/BX6</f>
        <v>0.78773844222195832</v>
      </c>
      <c r="CG6" s="48">
        <f t="shared" ref="CG6:CG19" si="32">BQ6/BY6</f>
        <v>0.64578201634543819</v>
      </c>
      <c r="CH6" s="48">
        <f t="shared" ref="CH6:CH19" si="33">BR6/BZ6</f>
        <v>0.78574749742413075</v>
      </c>
      <c r="CI6" s="48">
        <f t="shared" ref="CI6:CI19" si="34">BS6/CA6</f>
        <v>0.70921570864203354</v>
      </c>
      <c r="CK6" s="316">
        <v>1980</v>
      </c>
      <c r="CS6" s="316">
        <v>1980</v>
      </c>
      <c r="CT6" s="43"/>
      <c r="CU6" s="43"/>
      <c r="CV6" s="43"/>
      <c r="CW6" s="43"/>
      <c r="CX6" s="43"/>
      <c r="CY6" s="43"/>
      <c r="CZ6" s="37"/>
      <c r="DA6" s="316">
        <v>1980</v>
      </c>
      <c r="DB6" s="43"/>
      <c r="DC6" s="43"/>
      <c r="DD6" s="43"/>
      <c r="DE6" s="43"/>
      <c r="DF6" s="43"/>
      <c r="DG6" s="43"/>
      <c r="DI6" s="316">
        <v>1980</v>
      </c>
      <c r="DJ6" s="43"/>
      <c r="DK6" s="43"/>
      <c r="DL6" s="43"/>
      <c r="DM6" s="43"/>
      <c r="DN6" s="43"/>
      <c r="DO6" s="43"/>
      <c r="DP6" s="37"/>
      <c r="DQ6" s="316">
        <v>1980</v>
      </c>
      <c r="DR6" s="43"/>
      <c r="DS6" s="43"/>
      <c r="DT6" s="43"/>
      <c r="DU6" s="43"/>
      <c r="DV6" s="43"/>
      <c r="DW6" s="43"/>
      <c r="DY6" s="316">
        <v>1980</v>
      </c>
      <c r="DZ6" s="61">
        <v>256075.9</v>
      </c>
      <c r="EA6" s="61">
        <v>273389.5</v>
      </c>
      <c r="EB6" s="89">
        <v>-1</v>
      </c>
      <c r="EC6" s="46">
        <f t="shared" ref="EC6:EC46" si="35">DZ6/(1+EB6/100)</f>
        <v>258662.52525252526</v>
      </c>
      <c r="ED6" s="46">
        <f t="shared" ref="ED6:ED46" si="36">EA6/(1+EB6/100)</f>
        <v>276151.01010101009</v>
      </c>
      <c r="EF6" s="316">
        <v>1980</v>
      </c>
      <c r="EG6" s="88">
        <f t="shared" ref="EG6:EL6" si="37">BN6/$DZ6</f>
        <v>7.23727651748486E-2</v>
      </c>
      <c r="EH6" s="88">
        <f t="shared" si="37"/>
        <v>3.4580778627029819E-3</v>
      </c>
      <c r="EI6" s="88">
        <f t="shared" si="37"/>
        <v>5.0737037187697918E-2</v>
      </c>
      <c r="EJ6" s="88">
        <f t="shared" si="37"/>
        <v>1.2644296661947793E-2</v>
      </c>
      <c r="EK6" s="88">
        <f t="shared" si="37"/>
        <v>2.5147116585320924E-2</v>
      </c>
      <c r="EL6" s="88">
        <f t="shared" si="37"/>
        <v>5.6145080549486304E-2</v>
      </c>
      <c r="EM6" s="140"/>
      <c r="EN6" s="316">
        <v>1980</v>
      </c>
      <c r="EO6" s="88">
        <f t="shared" ref="EO6:ET6" si="38">BV6/$EA6</f>
        <v>9.0529221535019078E-2</v>
      </c>
      <c r="EP6" s="88">
        <f t="shared" si="38"/>
        <v>4.4474729629532207E-3</v>
      </c>
      <c r="EQ6" s="88">
        <f t="shared" si="38"/>
        <v>6.0329529725524994E-2</v>
      </c>
      <c r="ER6" s="88">
        <f t="shared" si="38"/>
        <v>1.8339842729374878E-2</v>
      </c>
      <c r="ES6" s="88">
        <f t="shared" si="38"/>
        <v>2.9977269051063338E-2</v>
      </c>
      <c r="ET6" s="88">
        <f t="shared" si="38"/>
        <v>7.4151551082718606E-2</v>
      </c>
      <c r="EV6" s="316">
        <v>1980</v>
      </c>
      <c r="EW6" s="88">
        <f t="shared" ref="EW6:FB6" si="39">R6/$EC6</f>
        <v>0.68632780317849285</v>
      </c>
      <c r="EX6" s="88">
        <f t="shared" si="39"/>
        <v>4.0311102860704551E-2</v>
      </c>
      <c r="EY6" s="88">
        <f t="shared" si="39"/>
        <v>0.38723249149883437</v>
      </c>
      <c r="EZ6" s="88">
        <f t="shared" si="39"/>
        <v>0.10193296080933689</v>
      </c>
      <c r="FA6" s="88">
        <f t="shared" si="39"/>
        <v>0.31920359438729545</v>
      </c>
      <c r="FB6" s="88">
        <f t="shared" si="39"/>
        <v>0.71706235084730596</v>
      </c>
      <c r="FD6" s="316">
        <v>1980</v>
      </c>
      <c r="FE6" s="88">
        <f t="shared" ref="FE6:FJ6" si="40">Z6/$ED6</f>
        <v>0.84888657429957715</v>
      </c>
      <c r="FF6" s="88">
        <f t="shared" si="40"/>
        <v>5.0445705574972972E-2</v>
      </c>
      <c r="FG6" s="88">
        <f t="shared" si="40"/>
        <v>0.44914180462665065</v>
      </c>
      <c r="FH6" s="88">
        <f t="shared" si="40"/>
        <v>0.12478756757991137</v>
      </c>
      <c r="FI6" s="88">
        <f t="shared" si="40"/>
        <v>0.37130612217599501</v>
      </c>
      <c r="FJ6" s="88">
        <f t="shared" si="40"/>
        <v>0.91318846943882004</v>
      </c>
      <c r="FL6" s="316">
        <v>1980</v>
      </c>
      <c r="FM6" s="317">
        <f>SUM(FN6:FP6)</f>
        <v>117061</v>
      </c>
      <c r="FN6" s="61">
        <v>27524</v>
      </c>
      <c r="FO6" s="61">
        <v>78884</v>
      </c>
      <c r="FP6" s="61">
        <v>10653</v>
      </c>
      <c r="FQ6" s="88">
        <f>FN6/$FM6</f>
        <v>0.2351252765652096</v>
      </c>
      <c r="FR6" s="88">
        <f>FO6/$FM6</f>
        <v>0.67387088782771376</v>
      </c>
      <c r="FS6" s="88">
        <f>FP6/$FM6</f>
        <v>9.1003835607076658E-2</v>
      </c>
      <c r="FT6" s="38"/>
      <c r="FU6" s="38"/>
      <c r="FX6" s="316">
        <v>1980</v>
      </c>
    </row>
    <row r="7" spans="1:194">
      <c r="A7" s="316">
        <v>1981</v>
      </c>
      <c r="B7" s="61">
        <v>163912.4</v>
      </c>
      <c r="C7" s="61">
        <v>11670.9</v>
      </c>
      <c r="D7" s="61">
        <v>93040.7</v>
      </c>
      <c r="E7" s="61">
        <v>26055.7</v>
      </c>
      <c r="F7" s="61">
        <v>89082.4</v>
      </c>
      <c r="G7" s="61">
        <v>193128.5</v>
      </c>
      <c r="I7" s="316">
        <v>1981</v>
      </c>
      <c r="J7" s="61">
        <v>204438.7</v>
      </c>
      <c r="K7" s="61">
        <v>14583.3</v>
      </c>
      <c r="L7" s="61">
        <v>109278.39999999999</v>
      </c>
      <c r="M7" s="61">
        <v>31791.4</v>
      </c>
      <c r="N7" s="61">
        <v>104749.9</v>
      </c>
      <c r="O7" s="61">
        <v>242393.1</v>
      </c>
      <c r="Q7" s="316">
        <v>1981</v>
      </c>
      <c r="R7" s="46">
        <f t="shared" si="0"/>
        <v>185857.94164167196</v>
      </c>
      <c r="S7" s="46">
        <f t="shared" si="1"/>
        <v>10881.887111340064</v>
      </c>
      <c r="T7" s="46">
        <f t="shared" si="2"/>
        <v>105374.11945003347</v>
      </c>
      <c r="U7" s="46">
        <f t="shared" si="3"/>
        <v>28304.887816716433</v>
      </c>
      <c r="V7" s="46">
        <f t="shared" si="4"/>
        <v>88271.070624739717</v>
      </c>
      <c r="W7" s="46">
        <f t="shared" si="5"/>
        <v>200861.99865735619</v>
      </c>
      <c r="Y7" s="316">
        <v>1981</v>
      </c>
      <c r="Z7" s="46">
        <f t="shared" si="6"/>
        <v>242742.62624011363</v>
      </c>
      <c r="AA7" s="46">
        <f t="shared" si="7"/>
        <v>14356.910713080848</v>
      </c>
      <c r="AB7" s="46">
        <f t="shared" si="8"/>
        <v>128554.31054483428</v>
      </c>
      <c r="AC7" s="46">
        <f t="shared" si="9"/>
        <v>36436.329632631823</v>
      </c>
      <c r="AD7" s="46">
        <f t="shared" si="10"/>
        <v>107094.97712370855</v>
      </c>
      <c r="AE7" s="46">
        <f t="shared" si="11"/>
        <v>266526.32730022341</v>
      </c>
      <c r="AG7" s="316">
        <v>1981</v>
      </c>
      <c r="AH7" s="48">
        <f t="shared" si="12"/>
        <v>0.7656584445857767</v>
      </c>
      <c r="AI7" s="48">
        <f t="shared" si="13"/>
        <v>0.75795464141358593</v>
      </c>
      <c r="AJ7" s="48">
        <f t="shared" si="14"/>
        <v>0.81968561772406268</v>
      </c>
      <c r="AK7" s="48">
        <f t="shared" si="15"/>
        <v>0.77683147842001643</v>
      </c>
      <c r="AL7" s="48">
        <f t="shared" si="16"/>
        <v>0.8242316586218158</v>
      </c>
      <c r="AM7" s="48">
        <f t="shared" si="17"/>
        <v>0.75362910933409999</v>
      </c>
      <c r="AO7" s="316">
        <v>1981</v>
      </c>
      <c r="AP7" s="48">
        <f t="shared" ref="AP7:AP20" si="41">AH7/AH6</f>
        <v>1.0110351907668291</v>
      </c>
      <c r="AQ7" s="48">
        <f t="shared" ref="AQ7:AQ46" si="42">AI7/AI6</f>
        <v>1.0126418236810493</v>
      </c>
      <c r="AR7" s="48">
        <f t="shared" ref="AR7:AR46" si="43">AJ7/AJ6</f>
        <v>1.0150142211107915</v>
      </c>
      <c r="AS7" s="48">
        <f t="shared" ref="AS7:AS46" si="44">AK7/AK6</f>
        <v>1.015305219068704</v>
      </c>
      <c r="AT7" s="48">
        <f t="shared" ref="AT7:AT46" si="45">AL7/AL6</f>
        <v>1.0235916904504367</v>
      </c>
      <c r="AU7" s="48">
        <f t="shared" ref="AU7:AU46" si="46">AM7/AM6</f>
        <v>1.0246470321628343</v>
      </c>
      <c r="AW7" s="316">
        <v>1981</v>
      </c>
      <c r="AX7" s="61">
        <v>15655.6</v>
      </c>
      <c r="AY7" s="61">
        <v>892.7</v>
      </c>
      <c r="AZ7" s="61">
        <v>10182</v>
      </c>
      <c r="BA7" s="61">
        <v>3236.2</v>
      </c>
      <c r="BB7" s="61">
        <v>6097</v>
      </c>
      <c r="BC7" s="61">
        <v>14910.9</v>
      </c>
      <c r="BE7" s="316">
        <v>1981</v>
      </c>
      <c r="BF7" s="61">
        <v>20187.099999999999</v>
      </c>
      <c r="BG7" s="61">
        <v>1146.4000000000001</v>
      </c>
      <c r="BH7" s="61">
        <v>12212.5</v>
      </c>
      <c r="BI7" s="61">
        <v>4599.3999999999996</v>
      </c>
      <c r="BJ7" s="61">
        <v>7295.4</v>
      </c>
      <c r="BK7" s="61">
        <v>19214</v>
      </c>
      <c r="BM7" s="316">
        <v>1981</v>
      </c>
      <c r="BN7" s="46">
        <f t="shared" ref="BN7:BN18" si="47">AX7/AX$20*BN$20</f>
        <v>17933.037749316081</v>
      </c>
      <c r="BO7" s="46">
        <f t="shared" si="18"/>
        <v>885.62960893854768</v>
      </c>
      <c r="BP7" s="46">
        <f t="shared" si="19"/>
        <v>12715.665149866456</v>
      </c>
      <c r="BQ7" s="46">
        <f t="shared" si="20"/>
        <v>3546.7407390614367</v>
      </c>
      <c r="BR7" s="46">
        <f t="shared" si="21"/>
        <v>6250.7262006637293</v>
      </c>
      <c r="BS7" s="46">
        <f t="shared" si="22"/>
        <v>14780.03708888544</v>
      </c>
      <c r="BU7" s="316">
        <v>1981</v>
      </c>
      <c r="BV7" s="46">
        <f t="shared" si="23"/>
        <v>24069.287126335723</v>
      </c>
      <c r="BW7" s="46">
        <f t="shared" si="24"/>
        <v>1202.8814794369307</v>
      </c>
      <c r="BX7" s="46">
        <f t="shared" si="25"/>
        <v>15843.254115302583</v>
      </c>
      <c r="BY7" s="46">
        <f t="shared" si="26"/>
        <v>5374.4029559082883</v>
      </c>
      <c r="BZ7" s="46">
        <f t="shared" si="27"/>
        <v>7724.7075187433056</v>
      </c>
      <c r="CA7" s="46">
        <f t="shared" si="28"/>
        <v>20237.077043727521</v>
      </c>
      <c r="CC7" s="316">
        <v>1981</v>
      </c>
      <c r="CD7" s="48">
        <f t="shared" si="29"/>
        <v>0.74505894816030571</v>
      </c>
      <c r="CE7" s="48">
        <f t="shared" si="30"/>
        <v>0.73625675021042913</v>
      </c>
      <c r="CF7" s="48">
        <f t="shared" si="31"/>
        <v>0.80259175654985737</v>
      </c>
      <c r="CG7" s="48">
        <f t="shared" si="32"/>
        <v>0.65993204606334321</v>
      </c>
      <c r="CH7" s="48">
        <f t="shared" si="33"/>
        <v>0.80918613235477288</v>
      </c>
      <c r="CI7" s="48">
        <f t="shared" si="34"/>
        <v>0.73034445918001334</v>
      </c>
      <c r="CK7" s="316">
        <v>1981</v>
      </c>
      <c r="CL7" s="48">
        <f t="shared" ref="CL7:CL20" si="48">CD7/CD6</f>
        <v>0.99498693373218794</v>
      </c>
      <c r="CM7" s="48">
        <f t="shared" ref="CM7:CM20" si="49">CE7/CE6</f>
        <v>1.0109297130050776</v>
      </c>
      <c r="CN7" s="48">
        <f t="shared" ref="CN7:CN20" si="50">CF7/CF6</f>
        <v>1.018855642344942</v>
      </c>
      <c r="CO7" s="48">
        <f t="shared" ref="CO7:CO20" si="51">CG7/CG6</f>
        <v>1.0219114644876328</v>
      </c>
      <c r="CP7" s="48">
        <f t="shared" ref="CP7:CP20" si="52">CH7/CH6</f>
        <v>1.0298297290255198</v>
      </c>
      <c r="CQ7" s="48">
        <f t="shared" ref="CQ7:CQ20" si="53">CI7/CI6</f>
        <v>1.0297917125643423</v>
      </c>
      <c r="CS7" s="316">
        <v>1981</v>
      </c>
      <c r="CT7" s="46">
        <f t="shared" ref="CT7:CY7" si="54">-(R7-R6-BN7)</f>
        <v>9602.3788288112009</v>
      </c>
      <c r="CU7" s="46">
        <f t="shared" si="54"/>
        <v>430.71415926261841</v>
      </c>
      <c r="CV7" s="46">
        <f t="shared" si="54"/>
        <v>7504.0798107485007</v>
      </c>
      <c r="CW7" s="46">
        <f t="shared" si="54"/>
        <v>1608.0899717547741</v>
      </c>
      <c r="CX7" s="46">
        <f t="shared" si="54"/>
        <v>545.663369824656</v>
      </c>
      <c r="CY7" s="46">
        <f t="shared" si="54"/>
        <v>-604.80313479434517</v>
      </c>
      <c r="CZ7" s="37"/>
      <c r="DA7" s="316">
        <v>1981</v>
      </c>
      <c r="DB7" s="46">
        <f t="shared" ref="DB7:DG7" si="55">-(Z7-Z6-BV7)</f>
        <v>15747.545840236475</v>
      </c>
      <c r="DC7" s="46">
        <f t="shared" si="55"/>
        <v>776.60331614302481</v>
      </c>
      <c r="DD7" s="46">
        <f t="shared" si="55"/>
        <v>11319.906596708404</v>
      </c>
      <c r="DE7" s="46">
        <f t="shared" si="55"/>
        <v>3398.2861585170504</v>
      </c>
      <c r="DF7" s="46">
        <f t="shared" si="55"/>
        <v>3166.2910906248417</v>
      </c>
      <c r="DG7" s="46">
        <f t="shared" si="55"/>
        <v>5888.6679916296416</v>
      </c>
      <c r="DI7" s="316">
        <v>1981</v>
      </c>
      <c r="DJ7" s="88">
        <f t="shared" ref="DJ7:DJ46" si="56">CT7/R6</f>
        <v>5.4089595028011334E-2</v>
      </c>
      <c r="DK7" s="88">
        <f t="shared" ref="DK7:DK46" si="57">CU7/S6</f>
        <v>4.1307694433100325E-2</v>
      </c>
      <c r="DL7" s="88">
        <f t="shared" ref="DL7:DL46" si="58">CV7/T6</f>
        <v>7.4919029129582704E-2</v>
      </c>
      <c r="DM7" s="88">
        <f t="shared" ref="DM7:DM46" si="59">CW7/U6</f>
        <v>6.0990499658379292E-2</v>
      </c>
      <c r="DN7" s="88">
        <f t="shared" ref="DN7:DN46" si="60">CX7/V6</f>
        <v>6.6088137770537276E-3</v>
      </c>
      <c r="DO7" s="88">
        <f t="shared" ref="DO7:DO46" si="61">CY7/W6</f>
        <v>-3.2607957761581347E-3</v>
      </c>
      <c r="DP7" s="37"/>
      <c r="DQ7" s="316">
        <v>1981</v>
      </c>
      <c r="DR7" s="88">
        <f t="shared" ref="DR7:DR46" si="62">DB7/Z6</f>
        <v>6.7176377409059018E-2</v>
      </c>
      <c r="DS7" s="88">
        <f t="shared" ref="DS7:DS46" si="63">DC7/AA6</f>
        <v>5.5747886060988835E-2</v>
      </c>
      <c r="DT7" s="88">
        <f t="shared" ref="DT7:DT46" si="64">DD7/AB6</f>
        <v>9.1266779846848042E-2</v>
      </c>
      <c r="DU7" s="88">
        <f t="shared" ref="DU7:DU46" si="65">DE7/AC6</f>
        <v>9.8614775676655372E-2</v>
      </c>
      <c r="DV7" s="88">
        <f t="shared" ref="DV7:DV46" si="66">DF7/AD6</f>
        <v>3.0879630340097979E-2</v>
      </c>
      <c r="DW7" s="88">
        <f t="shared" ref="DW7:DW46" si="67">DG7/AE6</f>
        <v>2.3351243568580822E-2</v>
      </c>
      <c r="DY7" s="316">
        <v>1981</v>
      </c>
      <c r="DZ7" s="61">
        <v>274615.90000000002</v>
      </c>
      <c r="EA7" s="61">
        <v>285037.59999999998</v>
      </c>
      <c r="EB7" s="89">
        <v>-0.5</v>
      </c>
      <c r="EC7" s="46">
        <f t="shared" si="35"/>
        <v>275995.87939698494</v>
      </c>
      <c r="ED7" s="46">
        <f t="shared" si="36"/>
        <v>286469.94974874367</v>
      </c>
      <c r="EF7" s="316">
        <v>1981</v>
      </c>
      <c r="EG7" s="88">
        <f t="shared" ref="EG7:EG45" si="68">BN7/$DZ7</f>
        <v>6.5302255802799761E-2</v>
      </c>
      <c r="EH7" s="88">
        <f t="shared" ref="EH7:EH46" si="69">BO7/$DZ7</f>
        <v>3.2249757167685761E-3</v>
      </c>
      <c r="EI7" s="88">
        <f t="shared" ref="EI7:EI46" si="70">BP7/$DZ7</f>
        <v>4.6303455662496072E-2</v>
      </c>
      <c r="EJ7" s="88">
        <f t="shared" ref="EJ7:EJ46" si="71">BQ7/$DZ7</f>
        <v>1.2915278172390732E-2</v>
      </c>
      <c r="EK7" s="88">
        <f t="shared" ref="EK7:EK46" si="72">BR7/$DZ7</f>
        <v>2.2761705351597373E-2</v>
      </c>
      <c r="EL7" s="88">
        <f t="shared" ref="EL7:EL46" si="73">BS7/$DZ7</f>
        <v>5.3820762340729134E-2</v>
      </c>
      <c r="EM7" s="140"/>
      <c r="EN7" s="316">
        <v>1981</v>
      </c>
      <c r="EO7" s="88">
        <f t="shared" ref="EO7:EO45" si="74">BV7/$EA7</f>
        <v>8.4442498555754489E-2</v>
      </c>
      <c r="EP7" s="88">
        <f t="shared" ref="EP7:EP46" si="75">BW7/$EA7</f>
        <v>4.220080015538058E-3</v>
      </c>
      <c r="EQ7" s="88">
        <f t="shared" ref="EQ7:EQ46" si="76">BX7/$EA7</f>
        <v>5.5583032257156897E-2</v>
      </c>
      <c r="ER7" s="88">
        <f t="shared" ref="ER7:ER46" si="77">BY7/$EA7</f>
        <v>1.8855066685617226E-2</v>
      </c>
      <c r="ES7" s="88">
        <f t="shared" ref="ES7:ES46" si="78">BZ7/$EA7</f>
        <v>2.7100661522351108E-2</v>
      </c>
      <c r="ET7" s="88">
        <f t="shared" ref="ET7:ET46" si="79">CA7/$EA7</f>
        <v>7.0997921129449318E-2</v>
      </c>
      <c r="EV7" s="316">
        <v>1981</v>
      </c>
      <c r="EW7" s="88">
        <f t="shared" ref="EW7:EW45" si="80">R7/$EC7</f>
        <v>0.6734083930808944</v>
      </c>
      <c r="EX7" s="88">
        <f t="shared" ref="EX7:EX46" si="81">S7/$EC7</f>
        <v>3.9427715859800407E-2</v>
      </c>
      <c r="EY7" s="88">
        <f t="shared" ref="EY7:EY46" si="82">T7/$EC7</f>
        <v>0.38179598797004577</v>
      </c>
      <c r="EZ7" s="88">
        <f t="shared" ref="EZ7:EZ46" si="83">U7/$EC7</f>
        <v>0.10255547248951299</v>
      </c>
      <c r="FA7" s="88">
        <f t="shared" ref="FA7:FA46" si="84">V7/$EC7</f>
        <v>0.31982749459013848</v>
      </c>
      <c r="FB7" s="88">
        <f t="shared" ref="FB7:FB46" si="85">W7/$EC7</f>
        <v>0.7277717301294987</v>
      </c>
      <c r="FD7" s="316">
        <v>1981</v>
      </c>
      <c r="FE7" s="88">
        <f t="shared" ref="FE7:FE45" si="86">Z7/$ED7</f>
        <v>0.84735807875491898</v>
      </c>
      <c r="FF7" s="88">
        <f t="shared" ref="FF7:FF46" si="87">AA7/$ED7</f>
        <v>5.0116637803277346E-2</v>
      </c>
      <c r="FG7" s="88">
        <f t="shared" ref="FG7:FG46" si="88">AB7/$ED7</f>
        <v>0.44875321358343645</v>
      </c>
      <c r="FH7" s="88">
        <f t="shared" ref="FH7:FH46" si="89">AC7/$ED7</f>
        <v>0.12719075653341408</v>
      </c>
      <c r="FI7" s="88">
        <f t="shared" ref="FI7:FI46" si="90">AD7/$ED7</f>
        <v>0.3738436691793996</v>
      </c>
      <c r="FJ7" s="88">
        <f t="shared" ref="FJ7:FJ45" si="91">AE7/$ED7</f>
        <v>0.93038145024979979</v>
      </c>
      <c r="FL7" s="316">
        <v>1981</v>
      </c>
      <c r="FM7" s="317">
        <f t="shared" ref="FM7:FM45" si="92">SUM(FN7:FP7)</f>
        <v>117884</v>
      </c>
      <c r="FN7" s="61">
        <v>27603</v>
      </c>
      <c r="FO7" s="61">
        <v>79272</v>
      </c>
      <c r="FP7" s="61">
        <v>11009</v>
      </c>
      <c r="FQ7" s="88">
        <f t="shared" ref="FQ7:FQ45" si="93">FN7/$FM7</f>
        <v>0.23415391401716942</v>
      </c>
      <c r="FR7" s="88">
        <f t="shared" ref="FR7:FR45" si="94">FO7/$FM7</f>
        <v>0.67245767025211223</v>
      </c>
      <c r="FS7" s="88">
        <f t="shared" ref="FS7:FS45" si="95">FP7/$FM7</f>
        <v>9.3388415730718335E-2</v>
      </c>
      <c r="FT7" s="88">
        <f>FQ7-FQ6</f>
        <v>-9.7136254804017219E-4</v>
      </c>
      <c r="FU7" s="88">
        <f t="shared" ref="FU7:FV7" si="96">FR7-FR6</f>
        <v>-1.413217575601533E-3</v>
      </c>
      <c r="FV7" s="88">
        <f t="shared" si="96"/>
        <v>2.3845801236416775E-3</v>
      </c>
      <c r="FX7" s="316">
        <v>1981</v>
      </c>
      <c r="FZ7" s="62">
        <v>3.7000000000000005E-2</v>
      </c>
    </row>
    <row r="8" spans="1:194">
      <c r="A8" s="316">
        <v>1982</v>
      </c>
      <c r="B8" s="61">
        <v>172651.5</v>
      </c>
      <c r="C8" s="61">
        <v>12242.6</v>
      </c>
      <c r="D8" s="61">
        <v>97509.1</v>
      </c>
      <c r="E8" s="61">
        <v>27619.599999999999</v>
      </c>
      <c r="F8" s="61">
        <v>94009.9</v>
      </c>
      <c r="G8" s="61">
        <v>207890.4</v>
      </c>
      <c r="I8" s="316">
        <v>1982</v>
      </c>
      <c r="J8" s="61">
        <v>210844.7</v>
      </c>
      <c r="K8" s="61">
        <v>14955.2</v>
      </c>
      <c r="L8" s="61">
        <v>111969.7</v>
      </c>
      <c r="M8" s="61">
        <v>32939.4</v>
      </c>
      <c r="N8" s="61">
        <v>108181.6</v>
      </c>
      <c r="O8" s="61">
        <v>255247.7</v>
      </c>
      <c r="Q8" s="316">
        <v>1982</v>
      </c>
      <c r="R8" s="46">
        <f t="shared" si="0"/>
        <v>195767.08297448594</v>
      </c>
      <c r="S8" s="46">
        <f t="shared" si="1"/>
        <v>11414.9372498515</v>
      </c>
      <c r="T8" s="46">
        <f t="shared" si="2"/>
        <v>110434.84787695341</v>
      </c>
      <c r="U8" s="46">
        <f t="shared" si="3"/>
        <v>30003.787253559916</v>
      </c>
      <c r="V8" s="46">
        <f t="shared" si="4"/>
        <v>93153.692786955871</v>
      </c>
      <c r="W8" s="46">
        <f t="shared" si="5"/>
        <v>216215.01355665911</v>
      </c>
      <c r="Y8" s="316">
        <v>1982</v>
      </c>
      <c r="Z8" s="46">
        <f t="shared" si="6"/>
        <v>250348.86353126334</v>
      </c>
      <c r="AA8" s="46">
        <f t="shared" si="7"/>
        <v>14723.037384972313</v>
      </c>
      <c r="AB8" s="46">
        <f t="shared" si="8"/>
        <v>131720.33618182488</v>
      </c>
      <c r="AC8" s="46">
        <f t="shared" si="9"/>
        <v>37752.059874718092</v>
      </c>
      <c r="AD8" s="46">
        <f t="shared" si="10"/>
        <v>110603.50393848766</v>
      </c>
      <c r="AE8" s="46">
        <f t="shared" si="11"/>
        <v>280660.76151849719</v>
      </c>
      <c r="AG8" s="316">
        <v>1982</v>
      </c>
      <c r="AH8" s="48">
        <f t="shared" si="12"/>
        <v>0.78197711870195374</v>
      </c>
      <c r="AI8" s="48">
        <f t="shared" si="13"/>
        <v>0.77531129965768042</v>
      </c>
      <c r="AJ8" s="48">
        <f t="shared" si="14"/>
        <v>0.83840393274209923</v>
      </c>
      <c r="AK8" s="48">
        <f t="shared" si="15"/>
        <v>0.7947589443630052</v>
      </c>
      <c r="AL8" s="48">
        <f t="shared" si="16"/>
        <v>0.84223093726545473</v>
      </c>
      <c r="AM8" s="48">
        <f t="shared" si="17"/>
        <v>0.7703784896286946</v>
      </c>
      <c r="AO8" s="316">
        <v>1982</v>
      </c>
      <c r="AP8" s="48">
        <f t="shared" si="41"/>
        <v>1.021313255579654</v>
      </c>
      <c r="AQ8" s="48">
        <f t="shared" si="42"/>
        <v>1.0228993363134822</v>
      </c>
      <c r="AR8" s="48">
        <f t="shared" si="43"/>
        <v>1.0228359685875785</v>
      </c>
      <c r="AS8" s="48">
        <f t="shared" si="44"/>
        <v>1.0230776770007455</v>
      </c>
      <c r="AT8" s="48">
        <f t="shared" si="45"/>
        <v>1.0218376453456486</v>
      </c>
      <c r="AU8" s="48">
        <f t="shared" si="46"/>
        <v>1.0222249646240367</v>
      </c>
      <c r="AW8" s="316">
        <v>1982</v>
      </c>
      <c r="AX8" s="61">
        <v>15824.8</v>
      </c>
      <c r="AY8" s="61">
        <v>879.5</v>
      </c>
      <c r="AZ8" s="61">
        <v>9676.5</v>
      </c>
      <c r="BA8" s="61">
        <v>2944.8</v>
      </c>
      <c r="BB8" s="61">
        <v>5487.1</v>
      </c>
      <c r="BC8" s="61">
        <v>15415.1</v>
      </c>
      <c r="BE8" s="316">
        <v>1982</v>
      </c>
      <c r="BF8" s="61">
        <v>19916.900000000001</v>
      </c>
      <c r="BG8" s="61">
        <v>1104.0999999999999</v>
      </c>
      <c r="BH8" s="61">
        <v>11352.6</v>
      </c>
      <c r="BI8" s="61">
        <v>4094.7</v>
      </c>
      <c r="BJ8" s="61">
        <v>6400.3</v>
      </c>
      <c r="BK8" s="61">
        <v>19326.2</v>
      </c>
      <c r="BM8" s="316">
        <v>1982</v>
      </c>
      <c r="BN8" s="46">
        <f t="shared" si="47"/>
        <v>18126.85146371759</v>
      </c>
      <c r="BO8" s="46">
        <f t="shared" si="18"/>
        <v>872.53415600028302</v>
      </c>
      <c r="BP8" s="46">
        <f t="shared" si="19"/>
        <v>12084.377707982985</v>
      </c>
      <c r="BQ8" s="46">
        <f t="shared" si="20"/>
        <v>3227.3784464458686</v>
      </c>
      <c r="BR8" s="46">
        <f t="shared" si="21"/>
        <v>5625.4485379140488</v>
      </c>
      <c r="BS8" s="46">
        <f t="shared" si="22"/>
        <v>15279.81206559483</v>
      </c>
      <c r="BU8" s="316">
        <v>1982</v>
      </c>
      <c r="BV8" s="46">
        <f t="shared" si="23"/>
        <v>23747.124885026376</v>
      </c>
      <c r="BW8" s="46">
        <f t="shared" si="24"/>
        <v>1158.4974192658017</v>
      </c>
      <c r="BX8" s="46">
        <f t="shared" si="25"/>
        <v>14727.707403839027</v>
      </c>
      <c r="BY8" s="46">
        <f t="shared" si="26"/>
        <v>4784.6605608465607</v>
      </c>
      <c r="BZ8" s="46">
        <f t="shared" si="27"/>
        <v>6776.9341684092424</v>
      </c>
      <c r="CA8" s="46">
        <f t="shared" si="28"/>
        <v>20355.251293977664</v>
      </c>
      <c r="CC8" s="316">
        <v>1982</v>
      </c>
      <c r="CD8" s="48">
        <f t="shared" si="29"/>
        <v>0.76332825769351897</v>
      </c>
      <c r="CE8" s="48">
        <f t="shared" si="30"/>
        <v>0.75316020691116603</v>
      </c>
      <c r="CF8" s="48">
        <f t="shared" si="31"/>
        <v>0.82051994764867386</v>
      </c>
      <c r="CG8" s="48">
        <f t="shared" si="32"/>
        <v>0.67452610386949607</v>
      </c>
      <c r="CH8" s="48">
        <f t="shared" si="33"/>
        <v>0.83008752897986571</v>
      </c>
      <c r="CI8" s="48">
        <f t="shared" si="34"/>
        <v>0.75065700958039949</v>
      </c>
      <c r="CK8" s="316">
        <v>1982</v>
      </c>
      <c r="CL8" s="48">
        <f t="shared" si="48"/>
        <v>1.0245206229363779</v>
      </c>
      <c r="CM8" s="48">
        <f t="shared" si="49"/>
        <v>1.0229586441087375</v>
      </c>
      <c r="CN8" s="48">
        <f t="shared" si="50"/>
        <v>1.0223378709692774</v>
      </c>
      <c r="CO8" s="48">
        <f t="shared" si="51"/>
        <v>1.022114485715931</v>
      </c>
      <c r="CP8" s="48">
        <f t="shared" si="52"/>
        <v>1.025830146846769</v>
      </c>
      <c r="CQ8" s="48">
        <f t="shared" si="53"/>
        <v>1.0278122879486098</v>
      </c>
      <c r="CS8" s="316">
        <v>1982</v>
      </c>
      <c r="CT8" s="46">
        <f t="shared" ref="CT8:CT46" si="97">-(R8-R7-BN8)</f>
        <v>8217.7101309036152</v>
      </c>
      <c r="CU8" s="46">
        <f t="shared" ref="CU8:CU46" si="98">-(S8-S7-BO8)</f>
        <v>339.48401748884635</v>
      </c>
      <c r="CV8" s="46">
        <f t="shared" ref="CV8:CV46" si="99">-(T8-T7-BP8)</f>
        <v>7023.6492810630407</v>
      </c>
      <c r="CW8" s="46">
        <f t="shared" ref="CW8:CW46" si="100">-(U8-U7-BQ8)</f>
        <v>1528.4790096023853</v>
      </c>
      <c r="CX8" s="46">
        <f t="shared" ref="CX8:CX46" si="101">-(V8-V7-BR8)</f>
        <v>742.82637569789495</v>
      </c>
      <c r="CY8" s="46">
        <f t="shared" ref="CY8:CY46" si="102">-(W8-W7-BS8)</f>
        <v>-73.202833708084654</v>
      </c>
      <c r="CZ8" s="37"/>
      <c r="DA8" s="316">
        <v>1982</v>
      </c>
      <c r="DB8" s="46">
        <f t="shared" ref="DB8:DB45" si="103">-(Z8-Z7-BV8)</f>
        <v>16140.887593876669</v>
      </c>
      <c r="DC8" s="46">
        <f t="shared" ref="DC8:DC46" si="104">-(AA8-AA7-BW8)</f>
        <v>792.37074737433682</v>
      </c>
      <c r="DD8" s="46">
        <f t="shared" ref="DD8:DD46" si="105">-(AB8-AB7-BX8)</f>
        <v>11561.681766848429</v>
      </c>
      <c r="DE8" s="46">
        <f t="shared" ref="DE8:DE46" si="106">-(AC8-AC7-BY8)</f>
        <v>3468.9303187602918</v>
      </c>
      <c r="DF8" s="46">
        <f t="shared" ref="DF8:DF46" si="107">-(AD8-AD7-BZ8)</f>
        <v>3268.4073536301357</v>
      </c>
      <c r="DG8" s="46">
        <f t="shared" ref="DG8:DG46" si="108">-(AE8-AE7-CA8)</f>
        <v>6220.8170757038752</v>
      </c>
      <c r="DI8" s="316">
        <v>1982</v>
      </c>
      <c r="DJ8" s="88">
        <f t="shared" si="56"/>
        <v>4.4215006678310749E-2</v>
      </c>
      <c r="DK8" s="88">
        <f t="shared" si="57"/>
        <v>3.1197164059445951E-2</v>
      </c>
      <c r="DL8" s="88">
        <f t="shared" si="58"/>
        <v>6.6654405443392864E-2</v>
      </c>
      <c r="DM8" s="88">
        <f t="shared" si="59"/>
        <v>5.4000532328543238E-2</v>
      </c>
      <c r="DN8" s="88">
        <f t="shared" si="60"/>
        <v>8.4152868028056198E-3</v>
      </c>
      <c r="DO8" s="88">
        <f t="shared" si="61"/>
        <v>-3.6444341984746918E-4</v>
      </c>
      <c r="DP8" s="37"/>
      <c r="DQ8" s="316">
        <v>1982</v>
      </c>
      <c r="DR8" s="88">
        <f t="shared" si="62"/>
        <v>6.6493832763886276E-2</v>
      </c>
      <c r="DS8" s="88">
        <f t="shared" si="63"/>
        <v>5.5190894699400278E-2</v>
      </c>
      <c r="DT8" s="88">
        <f t="shared" si="64"/>
        <v>8.9936165639628279E-2</v>
      </c>
      <c r="DU8" s="88">
        <f t="shared" si="65"/>
        <v>9.5205262268062543E-2</v>
      </c>
      <c r="DV8" s="88">
        <f t="shared" si="66"/>
        <v>3.0518773535519808E-2</v>
      </c>
      <c r="DW8" s="88">
        <f t="shared" si="67"/>
        <v>2.3340347419774993E-2</v>
      </c>
      <c r="DY8" s="316">
        <v>1982</v>
      </c>
      <c r="DZ8" s="61">
        <v>288613</v>
      </c>
      <c r="EA8" s="61">
        <v>294386.09999999998</v>
      </c>
      <c r="EB8" s="89">
        <v>-0.9</v>
      </c>
      <c r="EC8" s="46">
        <f t="shared" si="35"/>
        <v>291234.10696266399</v>
      </c>
      <c r="ED8" s="46">
        <f t="shared" si="36"/>
        <v>297059.63673057518</v>
      </c>
      <c r="EF8" s="316">
        <v>1982</v>
      </c>
      <c r="EG8" s="88">
        <f t="shared" si="68"/>
        <v>6.280677399742074E-2</v>
      </c>
      <c r="EH8" s="88">
        <f t="shared" si="69"/>
        <v>3.0231976937985573E-3</v>
      </c>
      <c r="EI8" s="88">
        <f t="shared" si="70"/>
        <v>4.1870524570906321E-2</v>
      </c>
      <c r="EJ8" s="88">
        <f t="shared" si="71"/>
        <v>1.1182373789281386E-2</v>
      </c>
      <c r="EK8" s="88">
        <f t="shared" si="72"/>
        <v>1.9491320688652447E-2</v>
      </c>
      <c r="EL8" s="88">
        <f t="shared" si="73"/>
        <v>5.2942216967339757E-2</v>
      </c>
      <c r="EM8" s="140"/>
      <c r="EN8" s="316">
        <v>1982</v>
      </c>
      <c r="EO8" s="88">
        <f t="shared" si="74"/>
        <v>8.0666596979362737E-2</v>
      </c>
      <c r="EP8" s="88">
        <f t="shared" si="75"/>
        <v>3.9352993204020224E-3</v>
      </c>
      <c r="EQ8" s="88">
        <f t="shared" si="76"/>
        <v>5.0028542121516702E-2</v>
      </c>
      <c r="ER8" s="88">
        <f t="shared" si="77"/>
        <v>1.6253011133496319E-2</v>
      </c>
      <c r="ES8" s="88">
        <f t="shared" si="78"/>
        <v>2.3020564382656799E-2</v>
      </c>
      <c r="ET8" s="88">
        <f t="shared" si="79"/>
        <v>6.9144743226591421E-2</v>
      </c>
      <c r="EV8" s="316">
        <v>1982</v>
      </c>
      <c r="EW8" s="88">
        <f t="shared" si="80"/>
        <v>0.67219833904819104</v>
      </c>
      <c r="EX8" s="88">
        <f t="shared" si="81"/>
        <v>3.9195056406339412E-2</v>
      </c>
      <c r="EY8" s="88">
        <f t="shared" si="82"/>
        <v>0.37919613546881403</v>
      </c>
      <c r="EZ8" s="88">
        <f t="shared" si="83"/>
        <v>0.10302291708369989</v>
      </c>
      <c r="FA8" s="88">
        <f t="shared" si="84"/>
        <v>0.31985845943139518</v>
      </c>
      <c r="FB8" s="88">
        <f t="shared" si="85"/>
        <v>0.7424096573427017</v>
      </c>
      <c r="FD8" s="316">
        <v>1982</v>
      </c>
      <c r="FE8" s="88">
        <f t="shared" si="86"/>
        <v>0.84275624344859346</v>
      </c>
      <c r="FF8" s="88">
        <f t="shared" si="87"/>
        <v>4.9562564429867992E-2</v>
      </c>
      <c r="FG8" s="88">
        <f t="shared" si="88"/>
        <v>0.44341377923817887</v>
      </c>
      <c r="FH8" s="88">
        <f t="shared" si="89"/>
        <v>0.12708579425402772</v>
      </c>
      <c r="FI8" s="88">
        <f t="shared" si="90"/>
        <v>0.37232760786953345</v>
      </c>
      <c r="FJ8" s="88">
        <f t="shared" si="91"/>
        <v>0.94479601674410141</v>
      </c>
      <c r="FL8" s="316">
        <v>1982</v>
      </c>
      <c r="FM8" s="317">
        <f t="shared" si="92"/>
        <v>118693</v>
      </c>
      <c r="FN8" s="61">
        <v>27254</v>
      </c>
      <c r="FO8" s="61">
        <v>80089</v>
      </c>
      <c r="FP8" s="61">
        <v>11350</v>
      </c>
      <c r="FQ8" s="88">
        <f t="shared" si="93"/>
        <v>0.22961758486178629</v>
      </c>
      <c r="FR8" s="88">
        <f t="shared" si="94"/>
        <v>0.67475756784309104</v>
      </c>
      <c r="FS8" s="88">
        <f t="shared" si="95"/>
        <v>9.5624847295122717E-2</v>
      </c>
      <c r="FT8" s="88">
        <f t="shared" ref="FT8:FT45" si="109">FQ8-FQ7</f>
        <v>-4.5363291553831286E-3</v>
      </c>
      <c r="FU8" s="88">
        <f t="shared" ref="FU8:FU45" si="110">FR8-FR7</f>
        <v>2.2998975909788166E-3</v>
      </c>
      <c r="FV8" s="88">
        <f t="shared" ref="FV8:FV45" si="111">FS8-FS7</f>
        <v>2.2364315644043814E-3</v>
      </c>
      <c r="FX8" s="316">
        <v>1982</v>
      </c>
      <c r="FZ8" s="62">
        <v>3.7999999999999999E-2</v>
      </c>
    </row>
    <row r="9" spans="1:194">
      <c r="A9" s="316">
        <v>1983</v>
      </c>
      <c r="B9" s="61">
        <v>175788.7</v>
      </c>
      <c r="C9" s="61">
        <v>12551.4</v>
      </c>
      <c r="D9" s="61">
        <v>99792.2</v>
      </c>
      <c r="E9" s="61">
        <v>28221.599999999999</v>
      </c>
      <c r="F9" s="61">
        <v>94812.7</v>
      </c>
      <c r="G9" s="61">
        <v>218120.9</v>
      </c>
      <c r="I9" s="316">
        <v>1983</v>
      </c>
      <c r="J9" s="61">
        <v>216135.1</v>
      </c>
      <c r="K9" s="61">
        <v>15352.8</v>
      </c>
      <c r="L9" s="61">
        <v>114953.2</v>
      </c>
      <c r="M9" s="61">
        <v>33733.5</v>
      </c>
      <c r="N9" s="61">
        <v>109501.9</v>
      </c>
      <c r="O9" s="61">
        <v>268134.40000000002</v>
      </c>
      <c r="Q9" s="316">
        <v>1983</v>
      </c>
      <c r="R9" s="46">
        <f t="shared" si="0"/>
        <v>199324.3094840011</v>
      </c>
      <c r="S9" s="46">
        <f t="shared" si="1"/>
        <v>11702.860781025773</v>
      </c>
      <c r="T9" s="46">
        <f t="shared" si="2"/>
        <v>113020.59424511671</v>
      </c>
      <c r="U9" s="46">
        <f t="shared" si="3"/>
        <v>30657.753275031733</v>
      </c>
      <c r="V9" s="46">
        <f t="shared" si="4"/>
        <v>93949.181183064895</v>
      </c>
      <c r="W9" s="46">
        <f t="shared" si="5"/>
        <v>226855.17633565899</v>
      </c>
      <c r="Y9" s="316">
        <v>1983</v>
      </c>
      <c r="Z9" s="46">
        <f t="shared" si="6"/>
        <v>256630.48041623033</v>
      </c>
      <c r="AA9" s="46">
        <f t="shared" si="7"/>
        <v>15114.465093345651</v>
      </c>
      <c r="AB9" s="46">
        <f t="shared" si="8"/>
        <v>135230.10376179047</v>
      </c>
      <c r="AC9" s="46">
        <f t="shared" si="9"/>
        <v>38662.183032593268</v>
      </c>
      <c r="AD9" s="46">
        <f t="shared" si="10"/>
        <v>111953.36201278112</v>
      </c>
      <c r="AE9" s="46">
        <f t="shared" si="11"/>
        <v>294830.49168829073</v>
      </c>
      <c r="AG9" s="316">
        <v>1983</v>
      </c>
      <c r="AH9" s="48">
        <f t="shared" si="12"/>
        <v>0.77669772180107344</v>
      </c>
      <c r="AI9" s="48">
        <f t="shared" si="13"/>
        <v>0.77428216670255279</v>
      </c>
      <c r="AJ9" s="48">
        <f t="shared" si="14"/>
        <v>0.83576504861819756</v>
      </c>
      <c r="AK9" s="48">
        <f t="shared" si="15"/>
        <v>0.79296487860466691</v>
      </c>
      <c r="AL9" s="48">
        <f t="shared" si="16"/>
        <v>0.83918141888708286</v>
      </c>
      <c r="AM9" s="48">
        <f t="shared" si="17"/>
        <v>0.76944272295791383</v>
      </c>
      <c r="AO9" s="316">
        <v>1983</v>
      </c>
      <c r="AP9" s="48">
        <f t="shared" si="41"/>
        <v>0.99324865552377817</v>
      </c>
      <c r="AQ9" s="48">
        <f t="shared" si="42"/>
        <v>0.99867261968762477</v>
      </c>
      <c r="AR9" s="48">
        <f t="shared" si="43"/>
        <v>0.99685249076149862</v>
      </c>
      <c r="AS9" s="48">
        <f t="shared" si="44"/>
        <v>0.99774262904360744</v>
      </c>
      <c r="AT9" s="48">
        <f t="shared" si="45"/>
        <v>0.99637923728107991</v>
      </c>
      <c r="AU9" s="48">
        <f t="shared" si="46"/>
        <v>0.99878531568134543</v>
      </c>
      <c r="AW9" s="316">
        <v>1983</v>
      </c>
      <c r="AX9" s="61">
        <v>15146.3</v>
      </c>
      <c r="AY9" s="61">
        <v>912.3</v>
      </c>
      <c r="AZ9" s="61">
        <v>10073.1</v>
      </c>
      <c r="BA9" s="61">
        <v>2723.3</v>
      </c>
      <c r="BB9" s="61">
        <v>3761.3</v>
      </c>
      <c r="BC9" s="61">
        <v>15657.9</v>
      </c>
      <c r="BE9" s="316">
        <v>1983</v>
      </c>
      <c r="BF9" s="61">
        <v>19093.900000000001</v>
      </c>
      <c r="BG9" s="61">
        <v>1145.7</v>
      </c>
      <c r="BH9" s="61">
        <v>11839.9</v>
      </c>
      <c r="BI9" s="61">
        <v>3792.3</v>
      </c>
      <c r="BJ9" s="61">
        <v>4391.2</v>
      </c>
      <c r="BK9" s="61">
        <v>19642.099999999999</v>
      </c>
      <c r="BM9" s="316">
        <v>1983</v>
      </c>
      <c r="BN9" s="46">
        <f t="shared" si="47"/>
        <v>17349.649305198531</v>
      </c>
      <c r="BO9" s="46">
        <f t="shared" si="18"/>
        <v>905.07437239233445</v>
      </c>
      <c r="BP9" s="46">
        <f t="shared" si="19"/>
        <v>12579.666727668415</v>
      </c>
      <c r="BQ9" s="46">
        <f t="shared" si="20"/>
        <v>2984.6236495538014</v>
      </c>
      <c r="BR9" s="46">
        <f t="shared" si="21"/>
        <v>3856.1352236438393</v>
      </c>
      <c r="BS9" s="46">
        <f t="shared" si="22"/>
        <v>15520.481173776185</v>
      </c>
      <c r="BU9" s="316">
        <v>1983</v>
      </c>
      <c r="BV9" s="46">
        <f t="shared" si="23"/>
        <v>22765.853513458678</v>
      </c>
      <c r="BW9" s="46">
        <f t="shared" si="24"/>
        <v>1202.146991443555</v>
      </c>
      <c r="BX9" s="46">
        <f t="shared" si="25"/>
        <v>15359.880810626084</v>
      </c>
      <c r="BY9" s="46">
        <f t="shared" si="26"/>
        <v>4431.3058941798945</v>
      </c>
      <c r="BZ9" s="46">
        <f t="shared" si="27"/>
        <v>4649.606006018259</v>
      </c>
      <c r="CA9" s="46">
        <f t="shared" si="28"/>
        <v>20687.971843478732</v>
      </c>
      <c r="CC9" s="316">
        <v>1983</v>
      </c>
      <c r="CD9" s="48">
        <f t="shared" si="29"/>
        <v>0.76209087855817903</v>
      </c>
      <c r="CE9" s="48">
        <f t="shared" si="30"/>
        <v>0.75288161833313616</v>
      </c>
      <c r="CF9" s="48">
        <f t="shared" si="31"/>
        <v>0.81899507442568853</v>
      </c>
      <c r="CG9" s="48">
        <f t="shared" si="32"/>
        <v>0.67353139702538367</v>
      </c>
      <c r="CH9" s="48">
        <f t="shared" si="33"/>
        <v>0.82934666263176193</v>
      </c>
      <c r="CI9" s="48">
        <f t="shared" si="34"/>
        <v>0.75021762844619078</v>
      </c>
      <c r="CK9" s="316">
        <v>1983</v>
      </c>
      <c r="CL9" s="48">
        <f t="shared" si="48"/>
        <v>0.99837896851994079</v>
      </c>
      <c r="CM9" s="48">
        <f t="shared" si="49"/>
        <v>0.99963010714656264</v>
      </c>
      <c r="CN9" s="48">
        <f t="shared" si="50"/>
        <v>0.99814157690211547</v>
      </c>
      <c r="CO9" s="48">
        <f t="shared" si="51"/>
        <v>0.99852532490824863</v>
      </c>
      <c r="CP9" s="48">
        <f t="shared" si="52"/>
        <v>0.99910748406374172</v>
      </c>
      <c r="CQ9" s="48">
        <f t="shared" si="53"/>
        <v>0.99941467124318961</v>
      </c>
      <c r="CS9" s="316">
        <v>1983</v>
      </c>
      <c r="CT9" s="46">
        <f t="shared" si="97"/>
        <v>13792.422795683364</v>
      </c>
      <c r="CU9" s="46">
        <f t="shared" si="98"/>
        <v>617.15084121806217</v>
      </c>
      <c r="CV9" s="46">
        <f t="shared" si="99"/>
        <v>9993.9203595051204</v>
      </c>
      <c r="CW9" s="46">
        <f t="shared" si="100"/>
        <v>2330.6576280819845</v>
      </c>
      <c r="CX9" s="46">
        <f t="shared" si="101"/>
        <v>3060.6468275348157</v>
      </c>
      <c r="CY9" s="46">
        <f t="shared" si="102"/>
        <v>4880.3183947762955</v>
      </c>
      <c r="CZ9" s="37"/>
      <c r="DA9" s="316">
        <v>1983</v>
      </c>
      <c r="DB9" s="46">
        <f t="shared" si="103"/>
        <v>16484.236628491686</v>
      </c>
      <c r="DC9" s="46">
        <f t="shared" si="104"/>
        <v>810.71928307021722</v>
      </c>
      <c r="DD9" s="46">
        <f t="shared" si="105"/>
        <v>11850.1132306605</v>
      </c>
      <c r="DE9" s="46">
        <f t="shared" si="106"/>
        <v>3521.1827363047187</v>
      </c>
      <c r="DF9" s="46">
        <f t="shared" si="107"/>
        <v>3299.7479317248017</v>
      </c>
      <c r="DG9" s="46">
        <f t="shared" si="108"/>
        <v>6518.2416736851992</v>
      </c>
      <c r="DI9" s="316">
        <v>1983</v>
      </c>
      <c r="DJ9" s="88">
        <f t="shared" si="56"/>
        <v>7.0453227305230431E-2</v>
      </c>
      <c r="DK9" s="88">
        <f t="shared" si="57"/>
        <v>5.4065197881494338E-2</v>
      </c>
      <c r="DL9" s="88">
        <f t="shared" si="58"/>
        <v>9.0496075755366223E-2</v>
      </c>
      <c r="DM9" s="88">
        <f t="shared" si="59"/>
        <v>7.7678781294699878E-2</v>
      </c>
      <c r="DN9" s="88">
        <f t="shared" si="60"/>
        <v>3.2855882960373547E-2</v>
      </c>
      <c r="DO9" s="88">
        <f t="shared" si="61"/>
        <v>2.2571598125850818E-2</v>
      </c>
      <c r="DP9" s="37"/>
      <c r="DQ9" s="316">
        <v>1983</v>
      </c>
      <c r="DR9" s="88">
        <f t="shared" si="62"/>
        <v>6.5845062749538497E-2</v>
      </c>
      <c r="DS9" s="88">
        <f t="shared" si="63"/>
        <v>5.5064675981717735E-2</v>
      </c>
      <c r="DT9" s="88">
        <f t="shared" si="64"/>
        <v>8.9964189085448218E-2</v>
      </c>
      <c r="DU9" s="88">
        <f t="shared" si="65"/>
        <v>9.3271274414957014E-2</v>
      </c>
      <c r="DV9" s="88">
        <f t="shared" si="66"/>
        <v>2.9834027080733017E-2</v>
      </c>
      <c r="DW9" s="88">
        <f t="shared" si="67"/>
        <v>2.3224627619545631E-2</v>
      </c>
      <c r="DY9" s="316">
        <v>1983</v>
      </c>
      <c r="DZ9" s="61">
        <v>301844.09999999998</v>
      </c>
      <c r="EA9" s="61">
        <v>305072.90000000002</v>
      </c>
      <c r="EB9" s="89">
        <v>-1.2</v>
      </c>
      <c r="EC9" s="46">
        <f t="shared" si="35"/>
        <v>305510.22267206473</v>
      </c>
      <c r="ED9" s="46">
        <f t="shared" si="36"/>
        <v>308778.23886639677</v>
      </c>
      <c r="EF9" s="316">
        <v>1983</v>
      </c>
      <c r="EG9" s="88">
        <f t="shared" si="68"/>
        <v>5.7478841909444418E-2</v>
      </c>
      <c r="EH9" s="88">
        <f t="shared" si="69"/>
        <v>2.9984829002532585E-3</v>
      </c>
      <c r="EI9" s="88">
        <f t="shared" si="70"/>
        <v>4.1676039808856348E-2</v>
      </c>
      <c r="EJ9" s="88">
        <f t="shared" si="71"/>
        <v>9.8879641826817282E-3</v>
      </c>
      <c r="EK9" s="88">
        <f t="shared" si="72"/>
        <v>1.2775254588855107E-2</v>
      </c>
      <c r="EL9" s="88">
        <f t="shared" si="73"/>
        <v>5.1418865479816188E-2</v>
      </c>
      <c r="EM9" s="140"/>
      <c r="EN9" s="316">
        <v>1983</v>
      </c>
      <c r="EO9" s="88">
        <f t="shared" si="74"/>
        <v>7.4624306234538293E-2</v>
      </c>
      <c r="EP9" s="88">
        <f t="shared" si="75"/>
        <v>3.9405236959544907E-3</v>
      </c>
      <c r="EQ9" s="88">
        <f t="shared" si="76"/>
        <v>5.0348230900306393E-2</v>
      </c>
      <c r="ER9" s="88">
        <f t="shared" si="77"/>
        <v>1.4525399975480923E-2</v>
      </c>
      <c r="ES9" s="88">
        <f t="shared" si="78"/>
        <v>1.5240967014829106E-2</v>
      </c>
      <c r="ET9" s="88">
        <f t="shared" si="79"/>
        <v>6.7813207411994744E-2</v>
      </c>
      <c r="EV9" s="316">
        <v>1983</v>
      </c>
      <c r="EW9" s="88">
        <f t="shared" si="80"/>
        <v>0.65243089982607949</v>
      </c>
      <c r="EX9" s="88">
        <f t="shared" si="81"/>
        <v>3.8305954801347665E-2</v>
      </c>
      <c r="EY9" s="88">
        <f t="shared" si="82"/>
        <v>0.36994046633402916</v>
      </c>
      <c r="EZ9" s="88">
        <f t="shared" si="83"/>
        <v>0.10034935331096867</v>
      </c>
      <c r="FA9" s="88">
        <f t="shared" si="84"/>
        <v>0.30751567119870199</v>
      </c>
      <c r="FB9" s="88">
        <f t="shared" si="85"/>
        <v>0.74254528817900078</v>
      </c>
      <c r="FD9" s="316">
        <v>1983</v>
      </c>
      <c r="FE9" s="88">
        <f t="shared" si="86"/>
        <v>0.83111582395957018</v>
      </c>
      <c r="FF9" s="88">
        <f t="shared" si="87"/>
        <v>4.8949256103133061E-2</v>
      </c>
      <c r="FG9" s="88">
        <f t="shared" si="88"/>
        <v>0.4379521829590533</v>
      </c>
      <c r="FH9" s="88">
        <f t="shared" si="89"/>
        <v>0.12521019348556409</v>
      </c>
      <c r="FI9" s="88">
        <f t="shared" si="90"/>
        <v>0.36256882098877918</v>
      </c>
      <c r="FJ9" s="88">
        <f t="shared" si="91"/>
        <v>0.9548292417583838</v>
      </c>
      <c r="FL9" s="316">
        <v>1983</v>
      </c>
      <c r="FM9" s="317">
        <f t="shared" si="92"/>
        <v>119483</v>
      </c>
      <c r="FN9" s="61">
        <v>26907</v>
      </c>
      <c r="FO9" s="61">
        <v>80904</v>
      </c>
      <c r="FP9" s="61">
        <v>11672</v>
      </c>
      <c r="FQ9" s="88">
        <f t="shared" si="93"/>
        <v>0.22519521605584059</v>
      </c>
      <c r="FR9" s="88">
        <f t="shared" si="94"/>
        <v>0.67711724680498486</v>
      </c>
      <c r="FS9" s="88">
        <f t="shared" si="95"/>
        <v>9.7687537139174607E-2</v>
      </c>
      <c r="FT9" s="88">
        <f t="shared" si="109"/>
        <v>-4.4223688059457089E-3</v>
      </c>
      <c r="FU9" s="88">
        <f t="shared" si="110"/>
        <v>2.3596789618938185E-3</v>
      </c>
      <c r="FV9" s="88">
        <f t="shared" si="111"/>
        <v>2.0626898440518904E-3</v>
      </c>
      <c r="FX9" s="316">
        <v>1983</v>
      </c>
      <c r="FZ9" s="62">
        <v>3.9E-2</v>
      </c>
    </row>
    <row r="10" spans="1:194">
      <c r="A10" s="316">
        <v>1984</v>
      </c>
      <c r="B10" s="61">
        <v>182887.3</v>
      </c>
      <c r="C10" s="61">
        <v>13027.3</v>
      </c>
      <c r="D10" s="61">
        <v>104642.2</v>
      </c>
      <c r="E10" s="61">
        <v>29470.3</v>
      </c>
      <c r="F10" s="61">
        <v>97650.3</v>
      </c>
      <c r="G10" s="61">
        <v>231281.7</v>
      </c>
      <c r="I10" s="316">
        <v>1984</v>
      </c>
      <c r="J10" s="61">
        <v>220855.5</v>
      </c>
      <c r="K10" s="61">
        <v>15663.3</v>
      </c>
      <c r="L10" s="61">
        <v>118405.7</v>
      </c>
      <c r="M10" s="61">
        <v>34599.9</v>
      </c>
      <c r="N10" s="61">
        <v>110731.2</v>
      </c>
      <c r="O10" s="61">
        <v>279948.5</v>
      </c>
      <c r="Q10" s="316">
        <v>1984</v>
      </c>
      <c r="R10" s="46">
        <f t="shared" si="0"/>
        <v>207373.31117354729</v>
      </c>
      <c r="S10" s="46">
        <f t="shared" si="1"/>
        <v>12146.587492443634</v>
      </c>
      <c r="T10" s="46">
        <f t="shared" si="2"/>
        <v>118513.50733941483</v>
      </c>
      <c r="U10" s="46">
        <f t="shared" si="3"/>
        <v>32014.243924553099</v>
      </c>
      <c r="V10" s="46">
        <f t="shared" si="4"/>
        <v>96760.937377383423</v>
      </c>
      <c r="W10" s="46">
        <f t="shared" si="5"/>
        <v>240542.97793889075</v>
      </c>
      <c r="Y10" s="316">
        <v>1984</v>
      </c>
      <c r="Z10" s="46">
        <f t="shared" si="6"/>
        <v>262235.30128871597</v>
      </c>
      <c r="AA10" s="46">
        <f t="shared" si="7"/>
        <v>15420.144930996363</v>
      </c>
      <c r="AB10" s="46">
        <f t="shared" si="8"/>
        <v>139291.59951169201</v>
      </c>
      <c r="AC10" s="46">
        <f t="shared" si="9"/>
        <v>39655.169689164301</v>
      </c>
      <c r="AD10" s="46">
        <f t="shared" si="10"/>
        <v>113210.18283435875</v>
      </c>
      <c r="AE10" s="46">
        <f t="shared" si="11"/>
        <v>307820.83127864031</v>
      </c>
      <c r="AG10" s="316">
        <v>1984</v>
      </c>
      <c r="AH10" s="48">
        <f t="shared" si="12"/>
        <v>0.79079098105572487</v>
      </c>
      <c r="AI10" s="48">
        <f t="shared" si="13"/>
        <v>0.7877090356023515</v>
      </c>
      <c r="AJ10" s="48">
        <f t="shared" si="14"/>
        <v>0.85083025648985333</v>
      </c>
      <c r="AK10" s="48">
        <f t="shared" si="15"/>
        <v>0.80731577182737235</v>
      </c>
      <c r="AL10" s="48">
        <f t="shared" si="16"/>
        <v>0.85470171458831823</v>
      </c>
      <c r="AM10" s="48">
        <f t="shared" si="17"/>
        <v>0.78143827024218038</v>
      </c>
      <c r="AO10" s="316">
        <v>1984</v>
      </c>
      <c r="AP10" s="48">
        <f t="shared" si="41"/>
        <v>1.0181451018318566</v>
      </c>
      <c r="AQ10" s="48">
        <f t="shared" si="42"/>
        <v>1.0173410540462011</v>
      </c>
      <c r="AR10" s="48">
        <f t="shared" si="43"/>
        <v>1.0180256495489535</v>
      </c>
      <c r="AS10" s="48">
        <f t="shared" si="44"/>
        <v>1.0180977665088495</v>
      </c>
      <c r="AT10" s="48">
        <f t="shared" si="45"/>
        <v>1.0184945654800344</v>
      </c>
      <c r="AU10" s="48">
        <f t="shared" si="46"/>
        <v>1.0155899158265516</v>
      </c>
      <c r="AW10" s="316">
        <v>1984</v>
      </c>
      <c r="AX10" s="61">
        <v>15096</v>
      </c>
      <c r="AY10" s="61">
        <v>872.5</v>
      </c>
      <c r="AZ10" s="61">
        <v>10849.7</v>
      </c>
      <c r="BA10" s="61">
        <v>2885.4</v>
      </c>
      <c r="BB10" s="61">
        <v>3791.8</v>
      </c>
      <c r="BC10" s="61">
        <v>15279.8</v>
      </c>
      <c r="BE10" s="316">
        <v>1984</v>
      </c>
      <c r="BF10" s="61">
        <v>18716.900000000001</v>
      </c>
      <c r="BG10" s="61">
        <v>1075</v>
      </c>
      <c r="BH10" s="61">
        <v>12521.8</v>
      </c>
      <c r="BI10" s="61">
        <v>3943.5</v>
      </c>
      <c r="BJ10" s="61">
        <v>4362.8</v>
      </c>
      <c r="BK10" s="61">
        <v>18852.900000000001</v>
      </c>
      <c r="BM10" s="316">
        <v>1984</v>
      </c>
      <c r="BN10" s="46">
        <f t="shared" si="47"/>
        <v>17292.032107595718</v>
      </c>
      <c r="BO10" s="46">
        <f t="shared" si="18"/>
        <v>865.58959762393044</v>
      </c>
      <c r="BP10" s="46">
        <f t="shared" si="19"/>
        <v>13549.514061727175</v>
      </c>
      <c r="BQ10" s="46">
        <f t="shared" si="20"/>
        <v>3162.2785144576574</v>
      </c>
      <c r="BR10" s="46">
        <f t="shared" si="21"/>
        <v>3887.4042328484061</v>
      </c>
      <c r="BS10" s="46">
        <f t="shared" si="22"/>
        <v>15145.699502427869</v>
      </c>
      <c r="BU10" s="316">
        <v>1984</v>
      </c>
      <c r="BV10" s="46">
        <f t="shared" si="23"/>
        <v>22316.352532801302</v>
      </c>
      <c r="BW10" s="46">
        <f t="shared" si="24"/>
        <v>1127.9637041126136</v>
      </c>
      <c r="BX10" s="46">
        <f t="shared" si="25"/>
        <v>16244.508444707952</v>
      </c>
      <c r="BY10" s="46">
        <f t="shared" si="26"/>
        <v>4607.9832275132276</v>
      </c>
      <c r="BZ10" s="46">
        <f t="shared" si="27"/>
        <v>4619.53477023512</v>
      </c>
      <c r="CA10" s="46">
        <f t="shared" si="28"/>
        <v>19856.749755266505</v>
      </c>
      <c r="CC10" s="316">
        <v>1984</v>
      </c>
      <c r="CD10" s="48">
        <f t="shared" si="29"/>
        <v>0.77485924647315574</v>
      </c>
      <c r="CE10" s="48">
        <f t="shared" si="30"/>
        <v>0.76739135706933326</v>
      </c>
      <c r="CF10" s="48">
        <f t="shared" si="31"/>
        <v>0.83409812662821836</v>
      </c>
      <c r="CG10" s="48">
        <f t="shared" si="32"/>
        <v>0.68626085606744536</v>
      </c>
      <c r="CH10" s="48">
        <f t="shared" si="33"/>
        <v>0.84151422734080839</v>
      </c>
      <c r="CI10" s="48">
        <f t="shared" si="34"/>
        <v>0.76274816820969671</v>
      </c>
      <c r="CK10" s="316">
        <v>1984</v>
      </c>
      <c r="CL10" s="48">
        <f t="shared" si="48"/>
        <v>1.016754390157685</v>
      </c>
      <c r="CM10" s="48">
        <f t="shared" si="49"/>
        <v>1.0192722712082165</v>
      </c>
      <c r="CN10" s="48">
        <f t="shared" si="50"/>
        <v>1.0184409560864829</v>
      </c>
      <c r="CO10" s="48">
        <f t="shared" si="51"/>
        <v>1.0188995778048071</v>
      </c>
      <c r="CP10" s="48">
        <f t="shared" si="52"/>
        <v>1.0146712650539103</v>
      </c>
      <c r="CQ10" s="48">
        <f t="shared" si="53"/>
        <v>1.016702539754309</v>
      </c>
      <c r="CS10" s="316">
        <v>1984</v>
      </c>
      <c r="CT10" s="46">
        <f t="shared" si="97"/>
        <v>9243.0304180495295</v>
      </c>
      <c r="CU10" s="46">
        <f t="shared" si="98"/>
        <v>421.86288620606922</v>
      </c>
      <c r="CV10" s="46">
        <f t="shared" si="99"/>
        <v>8056.6009674290472</v>
      </c>
      <c r="CW10" s="46">
        <f t="shared" si="100"/>
        <v>1805.787864936292</v>
      </c>
      <c r="CX10" s="46">
        <f t="shared" si="101"/>
        <v>1075.6480385298778</v>
      </c>
      <c r="CY10" s="46">
        <f t="shared" si="102"/>
        <v>1457.8978991961158</v>
      </c>
      <c r="CZ10" s="37"/>
      <c r="DA10" s="316">
        <v>1984</v>
      </c>
      <c r="DB10" s="46">
        <f t="shared" si="103"/>
        <v>16711.531660315664</v>
      </c>
      <c r="DC10" s="46">
        <f t="shared" si="104"/>
        <v>822.28386646190143</v>
      </c>
      <c r="DD10" s="46">
        <f t="shared" si="105"/>
        <v>12183.012694806408</v>
      </c>
      <c r="DE10" s="46">
        <f t="shared" si="106"/>
        <v>3614.9965709421949</v>
      </c>
      <c r="DF10" s="46">
        <f t="shared" si="107"/>
        <v>3362.7139486574806</v>
      </c>
      <c r="DG10" s="46">
        <f t="shared" si="108"/>
        <v>6866.4101649169206</v>
      </c>
      <c r="DI10" s="316">
        <v>1984</v>
      </c>
      <c r="DJ10" s="88">
        <f t="shared" si="56"/>
        <v>4.6371817075284677E-2</v>
      </c>
      <c r="DK10" s="88">
        <f t="shared" si="57"/>
        <v>3.604784283942343E-2</v>
      </c>
      <c r="DL10" s="88">
        <f t="shared" si="58"/>
        <v>7.1284362122146158E-2</v>
      </c>
      <c r="DM10" s="88">
        <f t="shared" si="59"/>
        <v>5.8901506863092951E-2</v>
      </c>
      <c r="DN10" s="88">
        <f t="shared" si="60"/>
        <v>1.1449254000776454E-2</v>
      </c>
      <c r="DO10" s="88">
        <f t="shared" si="61"/>
        <v>6.4265577834511645E-3</v>
      </c>
      <c r="DP10" s="37"/>
      <c r="DQ10" s="316">
        <v>1984</v>
      </c>
      <c r="DR10" s="88">
        <f t="shared" si="62"/>
        <v>6.5119044445582391E-2</v>
      </c>
      <c r="DS10" s="88">
        <f t="shared" si="63"/>
        <v>5.4403768931519984E-2</v>
      </c>
      <c r="DT10" s="88">
        <f t="shared" si="64"/>
        <v>9.009098089776621E-2</v>
      </c>
      <c r="DU10" s="88">
        <f t="shared" si="65"/>
        <v>9.3502132766136226E-2</v>
      </c>
      <c r="DV10" s="88">
        <f t="shared" si="66"/>
        <v>3.0036739301081264E-2</v>
      </c>
      <c r="DW10" s="88">
        <f t="shared" si="67"/>
        <v>2.3289348824125106E-2</v>
      </c>
      <c r="DY10" s="316">
        <v>1984</v>
      </c>
      <c r="DZ10" s="61">
        <v>319663.59999999998</v>
      </c>
      <c r="EA10" s="61">
        <v>318529.3</v>
      </c>
      <c r="EB10" s="89">
        <v>-0.7</v>
      </c>
      <c r="EC10" s="46">
        <f t="shared" si="35"/>
        <v>321917.01913393755</v>
      </c>
      <c r="ED10" s="46">
        <f t="shared" si="36"/>
        <v>320774.72306142998</v>
      </c>
      <c r="EF10" s="316">
        <v>1984</v>
      </c>
      <c r="EG10" s="88">
        <f t="shared" si="68"/>
        <v>5.4094467144822619E-2</v>
      </c>
      <c r="EH10" s="88">
        <f t="shared" si="69"/>
        <v>2.7078140821286205E-3</v>
      </c>
      <c r="EI10" s="88">
        <f t="shared" si="70"/>
        <v>4.2386790556469912E-2</v>
      </c>
      <c r="EJ10" s="88">
        <f t="shared" si="71"/>
        <v>9.8925198691926682E-3</v>
      </c>
      <c r="EK10" s="88">
        <f t="shared" si="72"/>
        <v>1.2160922397321455E-2</v>
      </c>
      <c r="EL10" s="88">
        <f t="shared" si="73"/>
        <v>4.7380119295496487E-2</v>
      </c>
      <c r="EM10" s="140"/>
      <c r="EN10" s="316">
        <v>1984</v>
      </c>
      <c r="EO10" s="88">
        <f t="shared" si="74"/>
        <v>7.0060595784442126E-2</v>
      </c>
      <c r="EP10" s="88">
        <f t="shared" si="75"/>
        <v>3.5411615324323813E-3</v>
      </c>
      <c r="EQ10" s="88">
        <f t="shared" si="76"/>
        <v>5.0998474691992077E-2</v>
      </c>
      <c r="ER10" s="88">
        <f t="shared" si="77"/>
        <v>1.4466434414395246E-2</v>
      </c>
      <c r="ES10" s="88">
        <f t="shared" si="78"/>
        <v>1.4502699658195086E-2</v>
      </c>
      <c r="ET10" s="88">
        <f t="shared" si="79"/>
        <v>6.2338848436443696E-2</v>
      </c>
      <c r="EV10" s="316">
        <v>1984</v>
      </c>
      <c r="EW10" s="88">
        <f t="shared" si="80"/>
        <v>0.64418250309178926</v>
      </c>
      <c r="EX10" s="88">
        <f t="shared" si="81"/>
        <v>3.7732045124926734E-2</v>
      </c>
      <c r="EY10" s="88">
        <f t="shared" si="82"/>
        <v>0.36814924435575064</v>
      </c>
      <c r="EZ10" s="88">
        <f t="shared" si="83"/>
        <v>9.9448746172792993E-2</v>
      </c>
      <c r="FA10" s="88">
        <f t="shared" si="84"/>
        <v>0.30057726564970721</v>
      </c>
      <c r="FB10" s="88">
        <f t="shared" si="85"/>
        <v>0.74722044390827902</v>
      </c>
      <c r="FD10" s="316">
        <v>1984</v>
      </c>
      <c r="FE10" s="88">
        <f t="shared" si="86"/>
        <v>0.81750612637422992</v>
      </c>
      <c r="FF10" s="88">
        <f t="shared" si="87"/>
        <v>4.8071571175648177E-2</v>
      </c>
      <c r="FG10" s="88">
        <f t="shared" si="88"/>
        <v>0.43423496147798707</v>
      </c>
      <c r="FH10" s="88">
        <f t="shared" si="89"/>
        <v>0.12362311254047949</v>
      </c>
      <c r="FI10" s="88">
        <f t="shared" si="90"/>
        <v>0.3529273807920284</v>
      </c>
      <c r="FJ10" s="88">
        <f t="shared" si="91"/>
        <v>0.95961685615637204</v>
      </c>
      <c r="FL10" s="316">
        <v>1984</v>
      </c>
      <c r="FM10" s="317">
        <f t="shared" si="92"/>
        <v>120236</v>
      </c>
      <c r="FN10" s="61">
        <v>26504</v>
      </c>
      <c r="FO10" s="61">
        <v>81776</v>
      </c>
      <c r="FP10" s="61">
        <v>11956</v>
      </c>
      <c r="FQ10" s="88">
        <f t="shared" si="93"/>
        <v>0.22043314814198742</v>
      </c>
      <c r="FR10" s="88">
        <f t="shared" si="94"/>
        <v>0.6801290794770285</v>
      </c>
      <c r="FS10" s="88">
        <f t="shared" si="95"/>
        <v>9.9437772380984071E-2</v>
      </c>
      <c r="FT10" s="88">
        <f t="shared" si="109"/>
        <v>-4.7620679138531685E-3</v>
      </c>
      <c r="FU10" s="88">
        <f t="shared" si="110"/>
        <v>3.011832672043635E-3</v>
      </c>
      <c r="FV10" s="88">
        <f t="shared" si="111"/>
        <v>1.7502352418094641E-3</v>
      </c>
      <c r="FX10" s="316">
        <v>1984</v>
      </c>
      <c r="FZ10" s="62">
        <v>0.04</v>
      </c>
    </row>
    <row r="11" spans="1:194">
      <c r="A11" s="316">
        <v>1985</v>
      </c>
      <c r="B11" s="61">
        <v>187832.8</v>
      </c>
      <c r="C11" s="61">
        <v>13257</v>
      </c>
      <c r="D11" s="61">
        <v>108033.7</v>
      </c>
      <c r="E11" s="61">
        <v>29886.5</v>
      </c>
      <c r="F11" s="61">
        <v>99596.800000000003</v>
      </c>
      <c r="G11" s="61">
        <v>240210.4</v>
      </c>
      <c r="I11" s="316">
        <v>1985</v>
      </c>
      <c r="J11" s="61">
        <v>226068.2</v>
      </c>
      <c r="K11" s="61">
        <v>15906.5</v>
      </c>
      <c r="L11" s="61">
        <v>122068.6</v>
      </c>
      <c r="M11" s="61">
        <v>35033.800000000003</v>
      </c>
      <c r="N11" s="61">
        <v>112699</v>
      </c>
      <c r="O11" s="61">
        <v>291324.2</v>
      </c>
      <c r="Q11" s="316">
        <v>1985</v>
      </c>
      <c r="R11" s="46">
        <f t="shared" si="0"/>
        <v>212980.94336238041</v>
      </c>
      <c r="S11" s="46">
        <f t="shared" si="1"/>
        <v>12360.758590600144</v>
      </c>
      <c r="T11" s="46">
        <f t="shared" si="2"/>
        <v>122354.58254752042</v>
      </c>
      <c r="U11" s="46">
        <f t="shared" si="3"/>
        <v>32466.371263650395</v>
      </c>
      <c r="V11" s="46">
        <f t="shared" si="4"/>
        <v>98689.709379159947</v>
      </c>
      <c r="W11" s="46">
        <f t="shared" si="5"/>
        <v>249829.21237560999</v>
      </c>
      <c r="Y11" s="316">
        <v>1985</v>
      </c>
      <c r="Z11" s="46">
        <f t="shared" si="6"/>
        <v>268424.6601909289</v>
      </c>
      <c r="AA11" s="46">
        <f t="shared" si="7"/>
        <v>15659.569525252895</v>
      </c>
      <c r="AB11" s="46">
        <f t="shared" si="8"/>
        <v>143600.60828281855</v>
      </c>
      <c r="AC11" s="46">
        <f t="shared" si="9"/>
        <v>40152.465291987668</v>
      </c>
      <c r="AD11" s="46">
        <f t="shared" si="10"/>
        <v>115222.03674528404</v>
      </c>
      <c r="AE11" s="46">
        <f t="shared" si="11"/>
        <v>320329.12273359165</v>
      </c>
      <c r="AG11" s="316">
        <v>1985</v>
      </c>
      <c r="AH11" s="48">
        <f t="shared" si="12"/>
        <v>0.79344775256821898</v>
      </c>
      <c r="AI11" s="48">
        <f t="shared" si="13"/>
        <v>0.78934217001731555</v>
      </c>
      <c r="AJ11" s="48">
        <f t="shared" si="14"/>
        <v>0.85204780126380453</v>
      </c>
      <c r="AK11" s="48">
        <f t="shared" si="15"/>
        <v>0.8085772823052283</v>
      </c>
      <c r="AL11" s="48">
        <f t="shared" si="16"/>
        <v>0.85651766074339286</v>
      </c>
      <c r="AM11" s="48">
        <f t="shared" si="17"/>
        <v>0.77991414031806794</v>
      </c>
      <c r="AO11" s="316">
        <v>1985</v>
      </c>
      <c r="AP11" s="48">
        <f t="shared" si="41"/>
        <v>1.0033596381043033</v>
      </c>
      <c r="AQ11" s="48">
        <f t="shared" si="42"/>
        <v>1.0020732711460079</v>
      </c>
      <c r="AR11" s="48">
        <f t="shared" si="43"/>
        <v>1.0014310078475279</v>
      </c>
      <c r="AS11" s="48">
        <f t="shared" si="44"/>
        <v>1.0015625985789929</v>
      </c>
      <c r="AT11" s="48">
        <f t="shared" si="45"/>
        <v>1.0021246548638894</v>
      </c>
      <c r="AU11" s="48">
        <f t="shared" si="46"/>
        <v>0.99804958371997821</v>
      </c>
      <c r="AW11" s="316">
        <v>1985</v>
      </c>
      <c r="AX11" s="61">
        <v>15768.9</v>
      </c>
      <c r="AY11" s="61">
        <v>832.7</v>
      </c>
      <c r="AZ11" s="61">
        <v>11330.8</v>
      </c>
      <c r="BA11" s="61">
        <v>2598.6</v>
      </c>
      <c r="BB11" s="61">
        <v>4534.5</v>
      </c>
      <c r="BC11" s="61">
        <v>15146.7</v>
      </c>
      <c r="BE11" s="316">
        <v>1985</v>
      </c>
      <c r="BF11" s="61">
        <v>19390.2</v>
      </c>
      <c r="BG11" s="61">
        <v>1019.9</v>
      </c>
      <c r="BH11" s="61">
        <v>12982.5</v>
      </c>
      <c r="BI11" s="61">
        <v>3525.7</v>
      </c>
      <c r="BJ11" s="61">
        <v>5164.6000000000004</v>
      </c>
      <c r="BK11" s="61">
        <v>18682.5</v>
      </c>
      <c r="BM11" s="316">
        <v>1985</v>
      </c>
      <c r="BN11" s="46">
        <f t="shared" si="47"/>
        <v>18062.819627813074</v>
      </c>
      <c r="BO11" s="46">
        <f t="shared" si="18"/>
        <v>826.10482285552666</v>
      </c>
      <c r="BP11" s="46">
        <f t="shared" si="19"/>
        <v>14150.329864477198</v>
      </c>
      <c r="BQ11" s="46">
        <f t="shared" si="20"/>
        <v>2847.9576307165967</v>
      </c>
      <c r="BR11" s="46">
        <f t="shared" si="21"/>
        <v>4648.8302373150209</v>
      </c>
      <c r="BS11" s="46">
        <f t="shared" si="22"/>
        <v>15013.76763134493</v>
      </c>
      <c r="BU11" s="316">
        <v>1985</v>
      </c>
      <c r="BV11" s="46">
        <f t="shared" si="23"/>
        <v>23119.135053428919</v>
      </c>
      <c r="BW11" s="46">
        <f t="shared" si="24"/>
        <v>1070.14900634833</v>
      </c>
      <c r="BX11" s="46">
        <f t="shared" si="25"/>
        <v>16842.173719706516</v>
      </c>
      <c r="BY11" s="46">
        <f t="shared" si="26"/>
        <v>4119.7835590828918</v>
      </c>
      <c r="BZ11" s="46">
        <f t="shared" si="27"/>
        <v>5468.5177579435913</v>
      </c>
      <c r="CA11" s="46">
        <f t="shared" si="28"/>
        <v>19677.276562373241</v>
      </c>
      <c r="CC11" s="316">
        <v>1985</v>
      </c>
      <c r="CD11" s="48">
        <f t="shared" si="29"/>
        <v>0.78129305383049286</v>
      </c>
      <c r="CE11" s="48">
        <f t="shared" si="30"/>
        <v>0.77195308125776296</v>
      </c>
      <c r="CF11" s="48">
        <f t="shared" si="31"/>
        <v>0.84017242073214859</v>
      </c>
      <c r="CG11" s="48">
        <f t="shared" si="32"/>
        <v>0.69128816838877394</v>
      </c>
      <c r="CH11" s="48">
        <f t="shared" si="33"/>
        <v>0.85010791645727235</v>
      </c>
      <c r="CI11" s="48">
        <f t="shared" si="34"/>
        <v>0.76300028531662545</v>
      </c>
      <c r="CK11" s="316">
        <v>1985</v>
      </c>
      <c r="CL11" s="48">
        <f t="shared" si="48"/>
        <v>1.0083031949178141</v>
      </c>
      <c r="CM11" s="48">
        <f t="shared" si="49"/>
        <v>1.0059444560411144</v>
      </c>
      <c r="CN11" s="48">
        <f t="shared" si="50"/>
        <v>1.0072824694241733</v>
      </c>
      <c r="CO11" s="48">
        <f t="shared" si="51"/>
        <v>1.0073256579868728</v>
      </c>
      <c r="CP11" s="48">
        <f t="shared" si="52"/>
        <v>1.010212173291021</v>
      </c>
      <c r="CQ11" s="48">
        <f t="shared" si="53"/>
        <v>1.0003305378071514</v>
      </c>
      <c r="CS11" s="316">
        <v>1985</v>
      </c>
      <c r="CT11" s="46">
        <f t="shared" si="97"/>
        <v>12455.18743897996</v>
      </c>
      <c r="CU11" s="46">
        <f t="shared" si="98"/>
        <v>611.93372469901647</v>
      </c>
      <c r="CV11" s="46">
        <f t="shared" si="99"/>
        <v>10309.254656371615</v>
      </c>
      <c r="CW11" s="46">
        <f t="shared" si="100"/>
        <v>2395.8302916193002</v>
      </c>
      <c r="CX11" s="46">
        <f t="shared" si="101"/>
        <v>2720.0582355384968</v>
      </c>
      <c r="CY11" s="46">
        <f t="shared" si="102"/>
        <v>5727.5331946256883</v>
      </c>
      <c r="CZ11" s="37"/>
      <c r="DA11" s="316">
        <v>1985</v>
      </c>
      <c r="DB11" s="46">
        <f t="shared" si="103"/>
        <v>16929.776151215989</v>
      </c>
      <c r="DC11" s="46">
        <f t="shared" si="104"/>
        <v>830.72441209179783</v>
      </c>
      <c r="DD11" s="46">
        <f t="shared" si="105"/>
        <v>12533.164948579979</v>
      </c>
      <c r="DE11" s="46">
        <f t="shared" si="106"/>
        <v>3622.4879562595243</v>
      </c>
      <c r="DF11" s="46">
        <f t="shared" si="107"/>
        <v>3456.6638470183025</v>
      </c>
      <c r="DG11" s="46">
        <f t="shared" si="108"/>
        <v>7168.9851074219041</v>
      </c>
      <c r="DI11" s="316">
        <v>1985</v>
      </c>
      <c r="DJ11" s="88">
        <f t="shared" si="56"/>
        <v>6.0061670272296606E-2</v>
      </c>
      <c r="DK11" s="88">
        <f t="shared" si="57"/>
        <v>5.0379065320173187E-2</v>
      </c>
      <c r="DL11" s="88">
        <f t="shared" si="58"/>
        <v>8.6988014175013756E-2</v>
      </c>
      <c r="DM11" s="88">
        <f t="shared" si="59"/>
        <v>7.4836385243564507E-2</v>
      </c>
      <c r="DN11" s="88">
        <f t="shared" si="60"/>
        <v>2.8111119107185025E-2</v>
      </c>
      <c r="DO11" s="88">
        <f t="shared" si="61"/>
        <v>2.381085178084372E-2</v>
      </c>
      <c r="DP11" s="37"/>
      <c r="DQ11" s="316">
        <v>1985</v>
      </c>
      <c r="DR11" s="88">
        <f t="shared" si="62"/>
        <v>6.455948557656864E-2</v>
      </c>
      <c r="DS11" s="88">
        <f t="shared" si="63"/>
        <v>5.3872672131760641E-2</v>
      </c>
      <c r="DT11" s="88">
        <f t="shared" si="64"/>
        <v>8.9977895239317401E-2</v>
      </c>
      <c r="DU11" s="88">
        <f t="shared" si="65"/>
        <v>9.1349702564741828E-2</v>
      </c>
      <c r="DV11" s="88">
        <f t="shared" si="66"/>
        <v>3.0533153118177118E-2</v>
      </c>
      <c r="DW11" s="88">
        <f t="shared" si="67"/>
        <v>2.3289473547462802E-2</v>
      </c>
      <c r="DY11" s="316">
        <v>1985</v>
      </c>
      <c r="DZ11" s="61">
        <v>340395.3</v>
      </c>
      <c r="EA11" s="61">
        <v>334964.8</v>
      </c>
      <c r="EB11" s="89">
        <v>0.1</v>
      </c>
      <c r="EC11" s="46">
        <f t="shared" si="35"/>
        <v>340055.24475524476</v>
      </c>
      <c r="ED11" s="46">
        <f t="shared" si="36"/>
        <v>334630.16983016988</v>
      </c>
      <c r="EF11" s="316">
        <v>1985</v>
      </c>
      <c r="EG11" s="88">
        <f t="shared" si="68"/>
        <v>5.3064245093316725E-2</v>
      </c>
      <c r="EH11" s="88">
        <f t="shared" si="69"/>
        <v>2.4268984408877758E-3</v>
      </c>
      <c r="EI11" s="88">
        <f t="shared" si="70"/>
        <v>4.1570285678084275E-2</v>
      </c>
      <c r="EJ11" s="88">
        <f t="shared" si="71"/>
        <v>8.3666185482484529E-3</v>
      </c>
      <c r="EK11" s="88">
        <f t="shared" si="72"/>
        <v>1.3657151662537706E-2</v>
      </c>
      <c r="EL11" s="88">
        <f t="shared" si="73"/>
        <v>4.4106859381856711E-2</v>
      </c>
      <c r="EM11" s="140"/>
      <c r="EN11" s="316">
        <v>1985</v>
      </c>
      <c r="EO11" s="88">
        <f t="shared" si="74"/>
        <v>6.9019595651330881E-2</v>
      </c>
      <c r="EP11" s="88">
        <f t="shared" si="75"/>
        <v>3.194810339320221E-3</v>
      </c>
      <c r="EQ11" s="88">
        <f t="shared" si="76"/>
        <v>5.0280428629236616E-2</v>
      </c>
      <c r="ER11" s="88">
        <f t="shared" si="77"/>
        <v>1.2299153699382418E-2</v>
      </c>
      <c r="ES11" s="88">
        <f t="shared" si="78"/>
        <v>1.6325649017280595E-2</v>
      </c>
      <c r="ET11" s="88">
        <f t="shared" si="79"/>
        <v>5.8744311528773296E-2</v>
      </c>
      <c r="EV11" s="316">
        <v>1985</v>
      </c>
      <c r="EW11" s="88">
        <f t="shared" si="80"/>
        <v>0.62631277313682887</v>
      </c>
      <c r="EX11" s="88">
        <f t="shared" si="81"/>
        <v>3.634926613026309E-2</v>
      </c>
      <c r="EY11" s="88">
        <f t="shared" si="82"/>
        <v>0.35980795601486842</v>
      </c>
      <c r="EZ11" s="88">
        <f t="shared" si="83"/>
        <v>9.547381422397444E-2</v>
      </c>
      <c r="FA11" s="88">
        <f t="shared" si="84"/>
        <v>0.29021669537898764</v>
      </c>
      <c r="FB11" s="88">
        <f t="shared" si="85"/>
        <v>0.73467242816803169</v>
      </c>
      <c r="FD11" s="316">
        <v>1985</v>
      </c>
      <c r="FE11" s="88">
        <f t="shared" si="86"/>
        <v>0.80215319595109635</v>
      </c>
      <c r="FF11" s="88">
        <f t="shared" si="87"/>
        <v>4.679664578122282E-2</v>
      </c>
      <c r="FG11" s="88">
        <f t="shared" si="88"/>
        <v>0.42913228163407424</v>
      </c>
      <c r="FH11" s="88">
        <f t="shared" si="89"/>
        <v>0.11999057141908538</v>
      </c>
      <c r="FI11" s="88">
        <f t="shared" si="90"/>
        <v>0.34432650470147702</v>
      </c>
      <c r="FJ11" s="88">
        <f t="shared" si="91"/>
        <v>0.95726312692057547</v>
      </c>
      <c r="FL11" s="316">
        <v>1985</v>
      </c>
      <c r="FM11" s="317">
        <f t="shared" si="92"/>
        <v>121049</v>
      </c>
      <c r="FN11" s="61">
        <v>26042</v>
      </c>
      <c r="FO11" s="61">
        <v>82535</v>
      </c>
      <c r="FP11" s="61">
        <v>12472</v>
      </c>
      <c r="FQ11" s="88">
        <f t="shared" si="93"/>
        <v>0.21513601929797024</v>
      </c>
      <c r="FR11" s="88">
        <f t="shared" si="94"/>
        <v>0.68183132450495254</v>
      </c>
      <c r="FS11" s="88">
        <f t="shared" si="95"/>
        <v>0.10303265619707722</v>
      </c>
      <c r="FT11" s="88">
        <f t="shared" si="109"/>
        <v>-5.2971288440171738E-3</v>
      </c>
      <c r="FU11" s="88">
        <f t="shared" si="110"/>
        <v>1.7022450279240431E-3</v>
      </c>
      <c r="FV11" s="88">
        <f t="shared" si="111"/>
        <v>3.5948838160931446E-3</v>
      </c>
      <c r="FX11" s="316">
        <v>1985</v>
      </c>
      <c r="FY11" s="130"/>
      <c r="FZ11" s="62">
        <v>4.2999999999999997E-2</v>
      </c>
      <c r="GB11" s="130"/>
      <c r="GC11" s="130"/>
      <c r="GD11" s="130"/>
      <c r="GE11" s="130"/>
      <c r="GF11" s="130"/>
      <c r="GG11" s="130"/>
      <c r="GH11" s="130"/>
      <c r="GI11" s="130"/>
      <c r="GJ11" s="130"/>
      <c r="GK11" s="130"/>
      <c r="GL11" s="130"/>
    </row>
    <row r="12" spans="1:194">
      <c r="A12" s="316">
        <v>1986</v>
      </c>
      <c r="B12" s="61">
        <v>190496.9</v>
      </c>
      <c r="C12" s="61">
        <v>13216.2</v>
      </c>
      <c r="D12" s="61">
        <v>109794.9</v>
      </c>
      <c r="E12" s="61">
        <v>29576.5</v>
      </c>
      <c r="F12" s="61">
        <v>100219.1</v>
      </c>
      <c r="G12" s="61">
        <v>246865.2</v>
      </c>
      <c r="I12" s="316">
        <v>1986</v>
      </c>
      <c r="J12" s="61">
        <v>232471.2</v>
      </c>
      <c r="K12" s="61">
        <v>16178.4</v>
      </c>
      <c r="L12" s="61">
        <v>126622</v>
      </c>
      <c r="M12" s="61">
        <v>35393.699999999997</v>
      </c>
      <c r="N12" s="61">
        <v>115410.4</v>
      </c>
      <c r="O12" s="61">
        <v>303944</v>
      </c>
      <c r="Q12" s="316">
        <v>1986</v>
      </c>
      <c r="R12" s="46">
        <f t="shared" si="0"/>
        <v>216001.72850327013</v>
      </c>
      <c r="S12" s="46">
        <f t="shared" si="1"/>
        <v>12322.716880522716</v>
      </c>
      <c r="T12" s="46">
        <f t="shared" si="2"/>
        <v>124349.24616436119</v>
      </c>
      <c r="U12" s="46">
        <f t="shared" si="3"/>
        <v>32129.61135226125</v>
      </c>
      <c r="V12" s="46">
        <f t="shared" si="4"/>
        <v>99306.341702152771</v>
      </c>
      <c r="W12" s="46">
        <f t="shared" si="5"/>
        <v>256750.49239727939</v>
      </c>
      <c r="Y12" s="316">
        <v>1986</v>
      </c>
      <c r="Z12" s="46">
        <f t="shared" si="6"/>
        <v>276027.33539780241</v>
      </c>
      <c r="AA12" s="46">
        <f t="shared" si="7"/>
        <v>15927.248584374402</v>
      </c>
      <c r="AB12" s="46">
        <f t="shared" si="8"/>
        <v>148957.19474121148</v>
      </c>
      <c r="AC12" s="46">
        <f t="shared" si="9"/>
        <v>40564.94901509468</v>
      </c>
      <c r="AD12" s="46">
        <f t="shared" si="10"/>
        <v>117994.13792125866</v>
      </c>
      <c r="AE12" s="46">
        <f t="shared" si="11"/>
        <v>334205.37971146504</v>
      </c>
      <c r="AG12" s="316">
        <v>1986</v>
      </c>
      <c r="AH12" s="48">
        <f t="shared" si="12"/>
        <v>0.78253745482118586</v>
      </c>
      <c r="AI12" s="48">
        <f t="shared" si="13"/>
        <v>0.77368773490557874</v>
      </c>
      <c r="AJ12" s="48">
        <f t="shared" si="14"/>
        <v>0.83479852302802471</v>
      </c>
      <c r="AK12" s="48">
        <f t="shared" si="15"/>
        <v>0.79205353716346238</v>
      </c>
      <c r="AL12" s="48">
        <f t="shared" si="16"/>
        <v>0.84162097754740273</v>
      </c>
      <c r="AM12" s="48">
        <f t="shared" si="17"/>
        <v>0.76824165014621837</v>
      </c>
      <c r="AO12" s="316">
        <v>1986</v>
      </c>
      <c r="AP12" s="48">
        <f t="shared" si="41"/>
        <v>0.98624950702586422</v>
      </c>
      <c r="AQ12" s="48">
        <f t="shared" si="42"/>
        <v>0.98016774510933147</v>
      </c>
      <c r="AR12" s="48">
        <f t="shared" si="43"/>
        <v>0.97975550408064582</v>
      </c>
      <c r="AS12" s="48">
        <f t="shared" si="44"/>
        <v>0.97956442073829075</v>
      </c>
      <c r="AT12" s="48">
        <f t="shared" si="45"/>
        <v>0.9826078505105651</v>
      </c>
      <c r="AU12" s="48">
        <f t="shared" si="46"/>
        <v>0.98503362156366436</v>
      </c>
      <c r="AW12" s="316">
        <v>1986</v>
      </c>
      <c r="AX12" s="61">
        <v>16729</v>
      </c>
      <c r="AY12" s="61">
        <v>852.5</v>
      </c>
      <c r="AZ12" s="61">
        <v>12179.5</v>
      </c>
      <c r="BA12" s="61">
        <v>2531.4</v>
      </c>
      <c r="BB12" s="61">
        <v>5182</v>
      </c>
      <c r="BC12" s="61">
        <v>16180.7</v>
      </c>
      <c r="BE12" s="316">
        <v>1986</v>
      </c>
      <c r="BF12" s="61">
        <v>20770.8</v>
      </c>
      <c r="BG12" s="61">
        <v>1057.5</v>
      </c>
      <c r="BH12" s="61">
        <v>14134.9</v>
      </c>
      <c r="BI12" s="61">
        <v>3478</v>
      </c>
      <c r="BJ12" s="61">
        <v>5964</v>
      </c>
      <c r="BK12" s="61">
        <v>20155.599999999999</v>
      </c>
      <c r="BM12" s="316">
        <v>1986</v>
      </c>
      <c r="BN12" s="46">
        <f t="shared" si="47"/>
        <v>19162.586455217861</v>
      </c>
      <c r="BO12" s="46">
        <f t="shared" si="18"/>
        <v>845.74800226292359</v>
      </c>
      <c r="BP12" s="46">
        <f t="shared" si="19"/>
        <v>15210.218394499949</v>
      </c>
      <c r="BQ12" s="46">
        <f t="shared" si="20"/>
        <v>2774.3092228107412</v>
      </c>
      <c r="BR12" s="46">
        <f t="shared" si="21"/>
        <v>5312.6559245267263</v>
      </c>
      <c r="BS12" s="46">
        <f t="shared" si="22"/>
        <v>16038.692910832255</v>
      </c>
      <c r="BU12" s="316">
        <v>1986</v>
      </c>
      <c r="BV12" s="46">
        <f t="shared" si="23"/>
        <v>24765.23864466387</v>
      </c>
      <c r="BW12" s="46">
        <f t="shared" si="24"/>
        <v>1109.6015042782224</v>
      </c>
      <c r="BX12" s="46">
        <f t="shared" si="25"/>
        <v>18337.180151024811</v>
      </c>
      <c r="BY12" s="46">
        <f t="shared" si="26"/>
        <v>4064.0460670193997</v>
      </c>
      <c r="BZ12" s="46">
        <f t="shared" si="27"/>
        <v>6314.9595144591212</v>
      </c>
      <c r="CA12" s="46">
        <f t="shared" si="28"/>
        <v>21228.813888964007</v>
      </c>
      <c r="CC12" s="316">
        <v>1986</v>
      </c>
      <c r="CD12" s="48">
        <f t="shared" si="29"/>
        <v>0.77376950532018374</v>
      </c>
      <c r="CE12" s="48">
        <f t="shared" si="30"/>
        <v>0.76220877405268916</v>
      </c>
      <c r="CF12" s="48">
        <f t="shared" si="31"/>
        <v>0.8294742304557603</v>
      </c>
      <c r="CG12" s="48">
        <f t="shared" si="32"/>
        <v>0.68264709037745708</v>
      </c>
      <c r="CH12" s="48">
        <f t="shared" si="33"/>
        <v>0.84128107430657972</v>
      </c>
      <c r="CI12" s="48">
        <f t="shared" si="34"/>
        <v>0.75551526310992423</v>
      </c>
      <c r="CK12" s="316">
        <v>1986</v>
      </c>
      <c r="CL12" s="48">
        <f>CD12/CD11</f>
        <v>0.99037038858412607</v>
      </c>
      <c r="CM12" s="48">
        <f t="shared" si="49"/>
        <v>0.98737707324233082</v>
      </c>
      <c r="CN12" s="48">
        <f t="shared" si="50"/>
        <v>0.9872666728728543</v>
      </c>
      <c r="CO12" s="48">
        <f t="shared" si="51"/>
        <v>0.98750003485311033</v>
      </c>
      <c r="CP12" s="48">
        <f t="shared" si="52"/>
        <v>0.98961679807961622</v>
      </c>
      <c r="CQ12" s="48">
        <f t="shared" si="53"/>
        <v>0.99019001388237338</v>
      </c>
      <c r="CS12" s="316">
        <v>1986</v>
      </c>
      <c r="CT12" s="46">
        <f t="shared" si="97"/>
        <v>16141.801314328135</v>
      </c>
      <c r="CU12" s="46">
        <f t="shared" si="98"/>
        <v>883.78971234035203</v>
      </c>
      <c r="CV12" s="46">
        <f t="shared" si="99"/>
        <v>13215.554777659177</v>
      </c>
      <c r="CW12" s="46">
        <f t="shared" si="100"/>
        <v>3111.0691341998859</v>
      </c>
      <c r="CX12" s="46">
        <f t="shared" si="101"/>
        <v>4696.0236015339024</v>
      </c>
      <c r="CY12" s="46">
        <f t="shared" si="102"/>
        <v>9117.4128891628534</v>
      </c>
      <c r="CZ12" s="37"/>
      <c r="DA12" s="316">
        <v>1986</v>
      </c>
      <c r="DB12" s="46">
        <f t="shared" si="103"/>
        <v>17162.563437790363</v>
      </c>
      <c r="DC12" s="46">
        <f t="shared" si="104"/>
        <v>841.92244515671564</v>
      </c>
      <c r="DD12" s="46">
        <f t="shared" si="105"/>
        <v>12980.593692631875</v>
      </c>
      <c r="DE12" s="46">
        <f t="shared" si="106"/>
        <v>3651.5623439123874</v>
      </c>
      <c r="DF12" s="46">
        <f t="shared" si="107"/>
        <v>3542.8583384845033</v>
      </c>
      <c r="DG12" s="46">
        <f t="shared" si="108"/>
        <v>7352.5569110906181</v>
      </c>
      <c r="DI12" s="316">
        <v>1986</v>
      </c>
      <c r="DJ12" s="88">
        <f t="shared" si="56"/>
        <v>7.5789885515078065E-2</v>
      </c>
      <c r="DK12" s="88">
        <f t="shared" si="57"/>
        <v>7.1499633769438575E-2</v>
      </c>
      <c r="DL12" s="88">
        <f t="shared" si="58"/>
        <v>0.10801029681521314</v>
      </c>
      <c r="DM12" s="88">
        <f t="shared" si="59"/>
        <v>9.5824356499091212E-2</v>
      </c>
      <c r="DN12" s="88">
        <f t="shared" si="60"/>
        <v>4.7583721049294626E-2</v>
      </c>
      <c r="DO12" s="88">
        <f t="shared" si="61"/>
        <v>3.649458284908301E-2</v>
      </c>
      <c r="DP12" s="37"/>
      <c r="DQ12" s="316">
        <v>1986</v>
      </c>
      <c r="DR12" s="88">
        <f t="shared" si="62"/>
        <v>6.3938102503632605E-2</v>
      </c>
      <c r="DS12" s="88">
        <f t="shared" si="63"/>
        <v>5.3764086158244441E-2</v>
      </c>
      <c r="DT12" s="88">
        <f t="shared" si="64"/>
        <v>9.0393723591106617E-2</v>
      </c>
      <c r="DU12" s="88">
        <f t="shared" si="65"/>
        <v>9.0942419534101385E-2</v>
      </c>
      <c r="DV12" s="88">
        <f t="shared" si="66"/>
        <v>3.0748096792599964E-2</v>
      </c>
      <c r="DW12" s="88">
        <f t="shared" si="67"/>
        <v>2.2953132853941363E-2</v>
      </c>
      <c r="DY12" s="316">
        <v>1986</v>
      </c>
      <c r="DZ12" s="61">
        <v>357276.1</v>
      </c>
      <c r="EA12" s="61">
        <v>345998.7</v>
      </c>
      <c r="EB12" s="89">
        <v>-1</v>
      </c>
      <c r="EC12" s="46">
        <f t="shared" si="35"/>
        <v>360884.94949494948</v>
      </c>
      <c r="ED12" s="46">
        <f t="shared" si="36"/>
        <v>349493.63636363635</v>
      </c>
      <c r="EF12" s="316">
        <v>1986</v>
      </c>
      <c r="EG12" s="88">
        <f t="shared" si="68"/>
        <v>5.3635231842314286E-2</v>
      </c>
      <c r="EH12" s="88">
        <f t="shared" si="69"/>
        <v>2.367211247164094E-3</v>
      </c>
      <c r="EI12" s="88">
        <f t="shared" si="70"/>
        <v>4.2572728471061874E-2</v>
      </c>
      <c r="EJ12" s="88">
        <f t="shared" si="71"/>
        <v>7.7651687946961503E-3</v>
      </c>
      <c r="EK12" s="88">
        <f t="shared" si="72"/>
        <v>1.4869888930512639E-2</v>
      </c>
      <c r="EL12" s="88">
        <f t="shared" si="73"/>
        <v>4.4891591995188752E-2</v>
      </c>
      <c r="EM12" s="140"/>
      <c r="EN12" s="316">
        <v>1986</v>
      </c>
      <c r="EO12" s="88">
        <f t="shared" si="74"/>
        <v>7.1576103160687798E-2</v>
      </c>
      <c r="EP12" s="88">
        <f t="shared" si="75"/>
        <v>3.2069528130545645E-3</v>
      </c>
      <c r="EQ12" s="88">
        <f t="shared" si="76"/>
        <v>5.2997829619084724E-2</v>
      </c>
      <c r="ER12" s="88">
        <f t="shared" si="77"/>
        <v>1.174584201333531E-2</v>
      </c>
      <c r="ES12" s="88">
        <f t="shared" si="78"/>
        <v>1.8251396651083142E-2</v>
      </c>
      <c r="ET12" s="88">
        <f t="shared" si="79"/>
        <v>6.1355183961569817E-2</v>
      </c>
      <c r="EV12" s="316">
        <v>1986</v>
      </c>
      <c r="EW12" s="88">
        <f t="shared" si="80"/>
        <v>0.59853349053641547</v>
      </c>
      <c r="EX12" s="88">
        <f t="shared" si="81"/>
        <v>3.4145832065781867E-2</v>
      </c>
      <c r="EY12" s="88">
        <f t="shared" si="82"/>
        <v>0.34456755910265918</v>
      </c>
      <c r="EZ12" s="88">
        <f t="shared" si="83"/>
        <v>8.9030067330948356E-2</v>
      </c>
      <c r="FA12" s="88">
        <f t="shared" si="84"/>
        <v>0.27517451708953172</v>
      </c>
      <c r="FB12" s="88">
        <f t="shared" si="85"/>
        <v>0.71144693830151695</v>
      </c>
      <c r="FD12" s="316">
        <v>1986</v>
      </c>
      <c r="FE12" s="88">
        <f t="shared" si="86"/>
        <v>0.78979216408565811</v>
      </c>
      <c r="FF12" s="88">
        <f t="shared" si="87"/>
        <v>4.557235648148579E-2</v>
      </c>
      <c r="FG12" s="88">
        <f t="shared" si="88"/>
        <v>0.42620860365602348</v>
      </c>
      <c r="FH12" s="88">
        <f t="shared" si="89"/>
        <v>0.11606777576026654</v>
      </c>
      <c r="FI12" s="88">
        <f t="shared" si="90"/>
        <v>0.33761455329758777</v>
      </c>
      <c r="FJ12" s="88">
        <f t="shared" si="91"/>
        <v>0.95625597990498346</v>
      </c>
      <c r="FL12" s="316">
        <v>1986</v>
      </c>
      <c r="FM12" s="317">
        <f t="shared" si="92"/>
        <v>121672</v>
      </c>
      <c r="FN12" s="61">
        <v>25434</v>
      </c>
      <c r="FO12" s="61">
        <v>83368</v>
      </c>
      <c r="FP12" s="61">
        <v>12870</v>
      </c>
      <c r="FQ12" s="88">
        <f t="shared" si="93"/>
        <v>0.20903741205864948</v>
      </c>
      <c r="FR12" s="88">
        <f t="shared" si="94"/>
        <v>0.68518640278782295</v>
      </c>
      <c r="FS12" s="88">
        <f t="shared" si="95"/>
        <v>0.10577618515352752</v>
      </c>
      <c r="FT12" s="88">
        <f t="shared" si="109"/>
        <v>-6.0986072393207635E-3</v>
      </c>
      <c r="FU12" s="88">
        <f t="shared" si="110"/>
        <v>3.3550782828704051E-3</v>
      </c>
      <c r="FV12" s="88">
        <f t="shared" si="111"/>
        <v>2.7435289564503029E-3</v>
      </c>
      <c r="FX12" s="316">
        <v>1986</v>
      </c>
      <c r="FY12" s="130"/>
      <c r="FZ12" s="62">
        <v>4.4999999999999998E-2</v>
      </c>
      <c r="GB12" s="130"/>
      <c r="GC12" s="130"/>
      <c r="GD12" s="130"/>
      <c r="GE12" s="130"/>
      <c r="GF12" s="130"/>
      <c r="GG12" s="130"/>
      <c r="GH12" s="130"/>
      <c r="GI12" s="130"/>
      <c r="GJ12" s="130"/>
      <c r="GK12" s="130"/>
      <c r="GL12" s="130"/>
    </row>
    <row r="13" spans="1:194">
      <c r="A13" s="316">
        <v>1987</v>
      </c>
      <c r="B13" s="61">
        <v>205383.4</v>
      </c>
      <c r="C13" s="61">
        <v>13678.4</v>
      </c>
      <c r="D13" s="61">
        <v>116731.5</v>
      </c>
      <c r="E13" s="61">
        <v>30490.7</v>
      </c>
      <c r="F13" s="61">
        <v>105054.9</v>
      </c>
      <c r="G13" s="61">
        <v>263341.59999999998</v>
      </c>
      <c r="I13" s="316">
        <v>1987</v>
      </c>
      <c r="J13" s="61">
        <v>243148.1</v>
      </c>
      <c r="K13" s="61">
        <v>16355.1</v>
      </c>
      <c r="L13" s="61">
        <v>132085.79999999999</v>
      </c>
      <c r="M13" s="61">
        <v>35831.9</v>
      </c>
      <c r="N13" s="61">
        <v>118875.7</v>
      </c>
      <c r="O13" s="61">
        <v>318040.8</v>
      </c>
      <c r="Q13" s="316">
        <v>1987</v>
      </c>
      <c r="R13" s="46">
        <f t="shared" si="0"/>
        <v>232881.31935941498</v>
      </c>
      <c r="S13" s="46">
        <f t="shared" si="1"/>
        <v>12753.669782429284</v>
      </c>
      <c r="T13" s="46">
        <f t="shared" si="2"/>
        <v>132205.35770454846</v>
      </c>
      <c r="U13" s="46">
        <f t="shared" si="3"/>
        <v>33122.72719417078</v>
      </c>
      <c r="V13" s="46">
        <f t="shared" si="4"/>
        <v>104098.09903387165</v>
      </c>
      <c r="W13" s="46">
        <f t="shared" si="5"/>
        <v>273886.66150063829</v>
      </c>
      <c r="Y13" s="316">
        <v>1987</v>
      </c>
      <c r="Z13" s="46">
        <f t="shared" si="6"/>
        <v>288704.67460071784</v>
      </c>
      <c r="AA13" s="46">
        <f t="shared" si="7"/>
        <v>16101.205516138911</v>
      </c>
      <c r="AB13" s="46">
        <f t="shared" si="8"/>
        <v>155384.76910133084</v>
      </c>
      <c r="AC13" s="46">
        <f t="shared" si="9"/>
        <v>41067.172875793462</v>
      </c>
      <c r="AD13" s="46">
        <f t="shared" si="10"/>
        <v>121537.01695242515</v>
      </c>
      <c r="AE13" s="46">
        <f t="shared" si="11"/>
        <v>349705.69028419082</v>
      </c>
      <c r="AG13" s="316">
        <v>1987</v>
      </c>
      <c r="AH13" s="48">
        <f t="shared" si="12"/>
        <v>0.80664201118839773</v>
      </c>
      <c r="AI13" s="48">
        <f t="shared" si="13"/>
        <v>0.79209409318114399</v>
      </c>
      <c r="AJ13" s="48">
        <f t="shared" si="14"/>
        <v>0.8508257177917713</v>
      </c>
      <c r="AK13" s="48">
        <f t="shared" si="15"/>
        <v>0.80654997348732915</v>
      </c>
      <c r="AL13" s="48">
        <f t="shared" si="16"/>
        <v>0.85651352685922966</v>
      </c>
      <c r="AM13" s="48">
        <f t="shared" si="17"/>
        <v>0.78319189281153057</v>
      </c>
      <c r="AO13" s="316">
        <v>1987</v>
      </c>
      <c r="AP13" s="48">
        <f t="shared" si="41"/>
        <v>1.0308030704712017</v>
      </c>
      <c r="AQ13" s="48">
        <f t="shared" si="42"/>
        <v>1.0237904227314805</v>
      </c>
      <c r="AR13" s="48">
        <f t="shared" si="43"/>
        <v>1.0191988777191554</v>
      </c>
      <c r="AS13" s="48">
        <f t="shared" si="44"/>
        <v>1.0183023440256098</v>
      </c>
      <c r="AT13" s="48">
        <f t="shared" si="45"/>
        <v>1.0176950785557006</v>
      </c>
      <c r="AU13" s="48">
        <f t="shared" si="46"/>
        <v>1.0194603386349421</v>
      </c>
      <c r="AW13" s="316">
        <v>1987</v>
      </c>
      <c r="AX13" s="61">
        <v>20685.400000000001</v>
      </c>
      <c r="AY13" s="61">
        <v>788.1</v>
      </c>
      <c r="AZ13" s="61">
        <v>13271.2</v>
      </c>
      <c r="BA13" s="61">
        <v>2620.1999999999998</v>
      </c>
      <c r="BB13" s="61">
        <v>5912.5</v>
      </c>
      <c r="BC13" s="61">
        <v>17642</v>
      </c>
      <c r="BE13" s="316">
        <v>1987</v>
      </c>
      <c r="BF13" s="61">
        <v>25302.3</v>
      </c>
      <c r="BG13" s="61">
        <v>972</v>
      </c>
      <c r="BH13" s="61">
        <v>15380.2</v>
      </c>
      <c r="BI13" s="61">
        <v>3597.7</v>
      </c>
      <c r="BJ13" s="61">
        <v>6801.3</v>
      </c>
      <c r="BK13" s="61">
        <v>21902.6</v>
      </c>
      <c r="BM13" s="316">
        <v>1987</v>
      </c>
      <c r="BN13" s="46">
        <f t="shared" si="47"/>
        <v>23694.528415372319</v>
      </c>
      <c r="BO13" s="46">
        <f t="shared" si="18"/>
        <v>781.85806520048095</v>
      </c>
      <c r="BP13" s="46">
        <f t="shared" si="19"/>
        <v>16573.574478187755</v>
      </c>
      <c r="BQ13" s="46">
        <f t="shared" si="20"/>
        <v>2871.6303332577645</v>
      </c>
      <c r="BR13" s="46">
        <f t="shared" si="21"/>
        <v>6061.5743253115143</v>
      </c>
      <c r="BS13" s="46">
        <f t="shared" si="22"/>
        <v>17487.168066455877</v>
      </c>
      <c r="BU13" s="316">
        <v>1987</v>
      </c>
      <c r="BV13" s="46">
        <f t="shared" si="23"/>
        <v>30168.19273975382</v>
      </c>
      <c r="BW13" s="46">
        <f t="shared" si="24"/>
        <v>1019.8890422301959</v>
      </c>
      <c r="BX13" s="46">
        <f t="shared" si="25"/>
        <v>19952.705583965348</v>
      </c>
      <c r="BY13" s="46">
        <f t="shared" si="26"/>
        <v>4203.9156225749548</v>
      </c>
      <c r="BZ13" s="46">
        <f t="shared" si="27"/>
        <v>7201.5315468965164</v>
      </c>
      <c r="CA13" s="46">
        <f t="shared" si="28"/>
        <v>23068.835414694826</v>
      </c>
      <c r="CC13" s="316">
        <v>1987</v>
      </c>
      <c r="CD13" s="48">
        <f t="shared" si="29"/>
        <v>0.78541424803843496</v>
      </c>
      <c r="CE13" s="48">
        <f t="shared" si="30"/>
        <v>0.76661090846783542</v>
      </c>
      <c r="CF13" s="48">
        <f t="shared" si="31"/>
        <v>0.83064296260186521</v>
      </c>
      <c r="CG13" s="48">
        <f t="shared" si="32"/>
        <v>0.68308467416357233</v>
      </c>
      <c r="CH13" s="48">
        <f t="shared" si="33"/>
        <v>0.84170627953768196</v>
      </c>
      <c r="CI13" s="48">
        <f t="shared" si="34"/>
        <v>0.75804295067780347</v>
      </c>
      <c r="CK13" s="316">
        <v>1987</v>
      </c>
      <c r="CL13" s="48">
        <f t="shared" si="48"/>
        <v>1.0150493688859354</v>
      </c>
      <c r="CM13" s="48">
        <f t="shared" si="49"/>
        <v>1.0057754969045292</v>
      </c>
      <c r="CN13" s="48">
        <f t="shared" si="50"/>
        <v>1.0014090035629712</v>
      </c>
      <c r="CO13" s="48">
        <f t="shared" si="51"/>
        <v>1.0006410102559338</v>
      </c>
      <c r="CP13" s="48">
        <f t="shared" si="52"/>
        <v>1.0005054258845092</v>
      </c>
      <c r="CQ13" s="48">
        <f t="shared" si="53"/>
        <v>1.0033456472573097</v>
      </c>
      <c r="CS13" s="316">
        <v>1987</v>
      </c>
      <c r="CT13" s="46">
        <f t="shared" si="97"/>
        <v>6814.9375592274737</v>
      </c>
      <c r="CU13" s="46">
        <f t="shared" si="98"/>
        <v>350.90516329391244</v>
      </c>
      <c r="CV13" s="46">
        <f t="shared" si="99"/>
        <v>8717.4629380004881</v>
      </c>
      <c r="CW13" s="46">
        <f t="shared" si="100"/>
        <v>1878.5144913482345</v>
      </c>
      <c r="CX13" s="46">
        <f t="shared" si="101"/>
        <v>1269.8169935926344</v>
      </c>
      <c r="CY13" s="46">
        <f t="shared" si="102"/>
        <v>350.99896309697579</v>
      </c>
      <c r="CZ13" s="37"/>
      <c r="DA13" s="316">
        <v>1987</v>
      </c>
      <c r="DB13" s="46">
        <f t="shared" si="103"/>
        <v>17490.853536838385</v>
      </c>
      <c r="DC13" s="46">
        <f t="shared" si="104"/>
        <v>845.93211046568672</v>
      </c>
      <c r="DD13" s="46">
        <f t="shared" si="105"/>
        <v>13525.131223845994</v>
      </c>
      <c r="DE13" s="46">
        <f t="shared" si="106"/>
        <v>3701.6917618761736</v>
      </c>
      <c r="DF13" s="46">
        <f t="shared" si="107"/>
        <v>3658.6525157300239</v>
      </c>
      <c r="DG13" s="46">
        <f t="shared" si="108"/>
        <v>7568.524841969047</v>
      </c>
      <c r="DI13" s="316">
        <v>1987</v>
      </c>
      <c r="DJ13" s="88">
        <f t="shared" si="56"/>
        <v>3.1550384371689416E-2</v>
      </c>
      <c r="DK13" s="88">
        <f t="shared" si="57"/>
        <v>2.8476282194598912E-2</v>
      </c>
      <c r="DL13" s="88">
        <f t="shared" si="58"/>
        <v>7.0104670570161731E-2</v>
      </c>
      <c r="DM13" s="88">
        <f t="shared" si="59"/>
        <v>5.8466766707902504E-2</v>
      </c>
      <c r="DN13" s="88">
        <f t="shared" si="60"/>
        <v>1.2786867100604383E-2</v>
      </c>
      <c r="DO13" s="88">
        <f t="shared" si="61"/>
        <v>1.3670819472231519E-3</v>
      </c>
      <c r="DP13" s="37"/>
      <c r="DQ13" s="316">
        <v>1987</v>
      </c>
      <c r="DR13" s="88">
        <f t="shared" si="62"/>
        <v>6.3366381853562026E-2</v>
      </c>
      <c r="DS13" s="88">
        <f t="shared" si="63"/>
        <v>5.3112256394089154E-2</v>
      </c>
      <c r="DT13" s="88">
        <f t="shared" si="64"/>
        <v>9.0798777778701295E-2</v>
      </c>
      <c r="DU13" s="88">
        <f t="shared" si="65"/>
        <v>9.1253455304448478E-2</v>
      </c>
      <c r="DV13" s="88">
        <f t="shared" si="66"/>
        <v>3.1007070183194711E-2</v>
      </c>
      <c r="DW13" s="88">
        <f t="shared" si="67"/>
        <v>2.2646328579460046E-2</v>
      </c>
      <c r="DY13" s="316">
        <v>1987</v>
      </c>
      <c r="DZ13" s="61">
        <v>373273</v>
      </c>
      <c r="EA13" s="61">
        <v>362083.7</v>
      </c>
      <c r="EB13" s="89">
        <v>-1</v>
      </c>
      <c r="EC13" s="46">
        <f t="shared" si="35"/>
        <v>377043.43434343435</v>
      </c>
      <c r="ED13" s="46">
        <f t="shared" si="36"/>
        <v>365741.11111111112</v>
      </c>
      <c r="EF13" s="316">
        <v>1987</v>
      </c>
      <c r="EG13" s="88">
        <f t="shared" si="68"/>
        <v>6.3477745283940484E-2</v>
      </c>
      <c r="EH13" s="88">
        <f t="shared" si="69"/>
        <v>2.0946011771558106E-3</v>
      </c>
      <c r="EI13" s="88">
        <f t="shared" si="70"/>
        <v>4.4400678533373039E-2</v>
      </c>
      <c r="EJ13" s="88">
        <f t="shared" si="71"/>
        <v>7.6931102256465496E-3</v>
      </c>
      <c r="EK13" s="88">
        <f t="shared" si="72"/>
        <v>1.6238984135770639E-2</v>
      </c>
      <c r="EL13" s="88">
        <f t="shared" si="73"/>
        <v>4.6848199753145491E-2</v>
      </c>
      <c r="EM13" s="140"/>
      <c r="EN13" s="316">
        <v>1987</v>
      </c>
      <c r="EO13" s="88">
        <f t="shared" si="74"/>
        <v>8.331828452856016E-2</v>
      </c>
      <c r="EP13" s="88">
        <f t="shared" si="75"/>
        <v>2.8167217751867753E-3</v>
      </c>
      <c r="EQ13" s="88">
        <f t="shared" si="76"/>
        <v>5.5105230044780656E-2</v>
      </c>
      <c r="ER13" s="88">
        <f t="shared" si="77"/>
        <v>1.1610342090999828E-2</v>
      </c>
      <c r="ES13" s="88">
        <f t="shared" si="78"/>
        <v>1.9889134879301433E-2</v>
      </c>
      <c r="ET13" s="88">
        <f t="shared" si="79"/>
        <v>6.371133363555119E-2</v>
      </c>
      <c r="EV13" s="316">
        <v>1987</v>
      </c>
      <c r="EW13" s="88">
        <f t="shared" si="80"/>
        <v>0.61765117264259894</v>
      </c>
      <c r="EX13" s="88">
        <f t="shared" si="81"/>
        <v>3.3825465770642375E-2</v>
      </c>
      <c r="EY13" s="88">
        <f t="shared" si="82"/>
        <v>0.35063694434771059</v>
      </c>
      <c r="EZ13" s="88">
        <f t="shared" si="83"/>
        <v>8.7848571748369353E-2</v>
      </c>
      <c r="FA13" s="88">
        <f t="shared" si="84"/>
        <v>0.27609047009436238</v>
      </c>
      <c r="FB13" s="88">
        <f t="shared" si="85"/>
        <v>0.72640612871981602</v>
      </c>
      <c r="FD13" s="316">
        <v>1987</v>
      </c>
      <c r="FE13" s="88">
        <f t="shared" si="86"/>
        <v>0.78936894385113343</v>
      </c>
      <c r="FF13" s="88">
        <f t="shared" si="87"/>
        <v>4.4023504678552282E-2</v>
      </c>
      <c r="FG13" s="88">
        <f t="shared" si="88"/>
        <v>0.42484906503749692</v>
      </c>
      <c r="FH13" s="88">
        <f t="shared" si="89"/>
        <v>0.11228481466311664</v>
      </c>
      <c r="FI13" s="88">
        <f t="shared" si="90"/>
        <v>0.33230340604368797</v>
      </c>
      <c r="FJ13" s="88">
        <f t="shared" si="91"/>
        <v>0.95615636213767397</v>
      </c>
      <c r="FL13" s="316">
        <v>1987</v>
      </c>
      <c r="FM13" s="317">
        <f t="shared" si="92"/>
        <v>122264</v>
      </c>
      <c r="FN13" s="61">
        <v>24753</v>
      </c>
      <c r="FO13" s="61">
        <v>84189</v>
      </c>
      <c r="FP13" s="61">
        <v>13322</v>
      </c>
      <c r="FQ13" s="88">
        <f t="shared" si="93"/>
        <v>0.20245534253745992</v>
      </c>
      <c r="FR13" s="88">
        <f t="shared" si="94"/>
        <v>0.68858372047372896</v>
      </c>
      <c r="FS13" s="88">
        <f t="shared" si="95"/>
        <v>0.1089609369888111</v>
      </c>
      <c r="FT13" s="88">
        <f t="shared" si="109"/>
        <v>-6.5820695211895597E-3</v>
      </c>
      <c r="FU13" s="88">
        <f t="shared" si="110"/>
        <v>3.3973176859060095E-3</v>
      </c>
      <c r="FV13" s="88">
        <f t="shared" si="111"/>
        <v>3.184751835283578E-3</v>
      </c>
      <c r="FX13" s="316">
        <v>1987</v>
      </c>
      <c r="FY13" s="159">
        <v>5.0023503649634996E-2</v>
      </c>
      <c r="FZ13" s="62">
        <v>4.7E-2</v>
      </c>
      <c r="GA13" s="319">
        <f>FY13-FZ13</f>
        <v>3.0235036496349954E-3</v>
      </c>
      <c r="GB13" s="130"/>
      <c r="GC13" s="302">
        <f>SUM(EW13:EX13)-(24.0959475629*(FQ13-FQ12)+0.793461523015+0.837029275127*FY13)</f>
        <v>-2.525481956297948E-2</v>
      </c>
      <c r="GD13" s="302">
        <f>EY13-(4.79228258068*(FQ13-FQ12) + 0.334886759052 + 1.54914698576*FY13)</f>
        <v>-3.0200437489054321E-2</v>
      </c>
      <c r="GE13" s="302">
        <f>EK13-(-1.26996838471*(FQ13-FQ12) + 0.0104066687 + 0.130732498683*(FY13-GA13))</f>
        <v>-8.6711322002043893E-3</v>
      </c>
      <c r="GF13" s="130"/>
      <c r="GG13" s="130"/>
      <c r="GH13" s="130"/>
      <c r="GI13" s="130"/>
      <c r="GJ13" s="130"/>
      <c r="GK13" s="130"/>
      <c r="GL13" s="130"/>
    </row>
    <row r="14" spans="1:194">
      <c r="A14" s="316">
        <v>1988</v>
      </c>
      <c r="B14" s="61">
        <v>218530.8</v>
      </c>
      <c r="C14" s="61">
        <v>14009.8</v>
      </c>
      <c r="D14" s="61">
        <v>126032.5</v>
      </c>
      <c r="E14" s="61">
        <v>30960.400000000001</v>
      </c>
      <c r="F14" s="61">
        <v>110060.8</v>
      </c>
      <c r="G14" s="61">
        <v>280527</v>
      </c>
      <c r="I14" s="316">
        <v>1988</v>
      </c>
      <c r="J14" s="61">
        <v>256381.5</v>
      </c>
      <c r="K14" s="61">
        <v>16538.7</v>
      </c>
      <c r="L14" s="61">
        <v>140383.79999999999</v>
      </c>
      <c r="M14" s="61">
        <v>35783.199999999997</v>
      </c>
      <c r="N14" s="61">
        <v>122213.2</v>
      </c>
      <c r="O14" s="61">
        <v>333456.5</v>
      </c>
      <c r="Q14" s="316">
        <v>1988</v>
      </c>
      <c r="R14" s="46">
        <f t="shared" si="0"/>
        <v>247788.96943311117</v>
      </c>
      <c r="S14" s="46">
        <f t="shared" si="1"/>
        <v>13062.665437322918</v>
      </c>
      <c r="T14" s="46">
        <f t="shared" si="2"/>
        <v>142739.29269219111</v>
      </c>
      <c r="U14" s="46">
        <f t="shared" si="3"/>
        <v>33632.972776040078</v>
      </c>
      <c r="V14" s="46">
        <f t="shared" si="4"/>
        <v>109058.40715803968</v>
      </c>
      <c r="W14" s="46">
        <f t="shared" si="5"/>
        <v>291760.22128972242</v>
      </c>
      <c r="Y14" s="316">
        <v>1988</v>
      </c>
      <c r="Z14" s="46">
        <f t="shared" si="6"/>
        <v>304417.50328768324</v>
      </c>
      <c r="AA14" s="46">
        <f t="shared" si="7"/>
        <v>16281.955333184549</v>
      </c>
      <c r="AB14" s="46">
        <f t="shared" si="8"/>
        <v>165146.47561333168</v>
      </c>
      <c r="AC14" s="46">
        <f t="shared" si="9"/>
        <v>41011.35749008823</v>
      </c>
      <c r="AD14" s="46">
        <f t="shared" si="10"/>
        <v>124949.2348748325</v>
      </c>
      <c r="AE14" s="46">
        <f t="shared" si="11"/>
        <v>366656.21364381642</v>
      </c>
      <c r="AG14" s="316">
        <v>1988</v>
      </c>
      <c r="AH14" s="48">
        <f t="shared" si="12"/>
        <v>0.81397740523133955</v>
      </c>
      <c r="AI14" s="48">
        <f t="shared" si="13"/>
        <v>0.80227866801106262</v>
      </c>
      <c r="AJ14" s="48">
        <f t="shared" si="14"/>
        <v>0.8643193393142462</v>
      </c>
      <c r="AK14" s="48">
        <f t="shared" si="15"/>
        <v>0.82008923465087968</v>
      </c>
      <c r="AL14" s="48">
        <f t="shared" si="16"/>
        <v>0.87282172849868667</v>
      </c>
      <c r="AM14" s="48">
        <f t="shared" si="17"/>
        <v>0.79573237935945418</v>
      </c>
      <c r="AO14" s="316">
        <v>1988</v>
      </c>
      <c r="AP14" s="48">
        <f t="shared" si="41"/>
        <v>1.0090937416365593</v>
      </c>
      <c r="AQ14" s="48">
        <f t="shared" si="42"/>
        <v>1.0128577840910493</v>
      </c>
      <c r="AR14" s="48">
        <f t="shared" si="43"/>
        <v>1.0158594424690126</v>
      </c>
      <c r="AS14" s="48">
        <f t="shared" si="44"/>
        <v>1.0167866364250315</v>
      </c>
      <c r="AT14" s="48">
        <f t="shared" si="45"/>
        <v>1.0190402149272038</v>
      </c>
      <c r="AU14" s="48">
        <f t="shared" si="46"/>
        <v>1.0160120229320879</v>
      </c>
      <c r="AW14" s="316">
        <v>1988</v>
      </c>
      <c r="AX14" s="61">
        <v>23763.3</v>
      </c>
      <c r="AY14" s="61">
        <v>817.4</v>
      </c>
      <c r="AZ14" s="61">
        <v>16428.099999999999</v>
      </c>
      <c r="BA14" s="61">
        <v>2298.8000000000002</v>
      </c>
      <c r="BB14" s="61">
        <v>5967.4</v>
      </c>
      <c r="BC14" s="61">
        <v>19433.400000000001</v>
      </c>
      <c r="BE14" s="316">
        <v>1988</v>
      </c>
      <c r="BF14" s="61">
        <v>28378.799999999999</v>
      </c>
      <c r="BG14" s="61">
        <v>984.3</v>
      </c>
      <c r="BH14" s="61">
        <v>18614.400000000001</v>
      </c>
      <c r="BI14" s="61">
        <v>3085.5</v>
      </c>
      <c r="BJ14" s="61">
        <v>6715.7</v>
      </c>
      <c r="BK14" s="61">
        <v>23595</v>
      </c>
      <c r="BM14" s="316">
        <v>1988</v>
      </c>
      <c r="BN14" s="46">
        <f t="shared" si="47"/>
        <v>27220.173991946831</v>
      </c>
      <c r="BO14" s="46">
        <f t="shared" si="18"/>
        <v>810.92600240435615</v>
      </c>
      <c r="BP14" s="46">
        <f t="shared" si="19"/>
        <v>20516.030116727667</v>
      </c>
      <c r="BQ14" s="46">
        <f t="shared" si="20"/>
        <v>2519.3892871127964</v>
      </c>
      <c r="BR14" s="46">
        <f t="shared" si="21"/>
        <v>6117.8585418797338</v>
      </c>
      <c r="BS14" s="46">
        <f t="shared" si="22"/>
        <v>19262.846157049295</v>
      </c>
      <c r="BU14" s="316">
        <v>1988</v>
      </c>
      <c r="BV14" s="46">
        <f t="shared" si="23"/>
        <v>33836.335357770862</v>
      </c>
      <c r="BW14" s="46">
        <f t="shared" si="24"/>
        <v>1032.7950455423681</v>
      </c>
      <c r="BX14" s="46">
        <f t="shared" si="25"/>
        <v>24148.427382099362</v>
      </c>
      <c r="BY14" s="46">
        <f t="shared" si="26"/>
        <v>3605.4094708994708</v>
      </c>
      <c r="BZ14" s="46">
        <f t="shared" si="27"/>
        <v>7110.8943010149433</v>
      </c>
      <c r="CA14" s="46">
        <f t="shared" si="28"/>
        <v>24851.349684956327</v>
      </c>
      <c r="CC14" s="316">
        <v>1988</v>
      </c>
      <c r="CD14" s="48">
        <f t="shared" si="29"/>
        <v>0.80446578224658238</v>
      </c>
      <c r="CE14" s="48">
        <f t="shared" si="30"/>
        <v>0.78517611592385361</v>
      </c>
      <c r="CF14" s="48">
        <f t="shared" si="31"/>
        <v>0.84958038020876248</v>
      </c>
      <c r="CG14" s="48">
        <f t="shared" si="32"/>
        <v>0.69878034865323191</v>
      </c>
      <c r="CH14" s="48">
        <f t="shared" si="33"/>
        <v>0.86035008859666595</v>
      </c>
      <c r="CI14" s="48">
        <f t="shared" si="34"/>
        <v>0.77512273583716007</v>
      </c>
      <c r="CK14" s="316">
        <v>1988</v>
      </c>
      <c r="CL14" s="48">
        <f t="shared" si="48"/>
        <v>1.0242566699747662</v>
      </c>
      <c r="CM14" s="48">
        <f t="shared" si="49"/>
        <v>1.0242172492602839</v>
      </c>
      <c r="CN14" s="48">
        <f t="shared" si="50"/>
        <v>1.0227985048444626</v>
      </c>
      <c r="CO14" s="48">
        <f t="shared" si="51"/>
        <v>1.0229776411085181</v>
      </c>
      <c r="CP14" s="48">
        <f t="shared" si="52"/>
        <v>1.022150017782004</v>
      </c>
      <c r="CQ14" s="48">
        <f t="shared" si="53"/>
        <v>1.0225314213978043</v>
      </c>
      <c r="CS14" s="316">
        <v>1988</v>
      </c>
      <c r="CT14" s="46">
        <f t="shared" si="97"/>
        <v>12312.523918250641</v>
      </c>
      <c r="CU14" s="46">
        <f t="shared" si="98"/>
        <v>501.93034751072275</v>
      </c>
      <c r="CV14" s="46">
        <f t="shared" si="99"/>
        <v>9982.0951290850098</v>
      </c>
      <c r="CW14" s="46">
        <f t="shared" si="100"/>
        <v>2009.1437052434985</v>
      </c>
      <c r="CX14" s="46">
        <f t="shared" si="101"/>
        <v>1157.5504177117</v>
      </c>
      <c r="CY14" s="46">
        <f t="shared" si="102"/>
        <v>1389.2863679651637</v>
      </c>
      <c r="CZ14" s="37"/>
      <c r="DA14" s="316">
        <v>1988</v>
      </c>
      <c r="DB14" s="46">
        <f t="shared" si="103"/>
        <v>18123.506670805466</v>
      </c>
      <c r="DC14" s="46">
        <f t="shared" si="104"/>
        <v>852.04522849672981</v>
      </c>
      <c r="DD14" s="46">
        <f t="shared" si="105"/>
        <v>14386.720870098514</v>
      </c>
      <c r="DE14" s="46">
        <f t="shared" si="106"/>
        <v>3661.2248566047019</v>
      </c>
      <c r="DF14" s="46">
        <f t="shared" si="107"/>
        <v>3698.6763786075953</v>
      </c>
      <c r="DG14" s="46">
        <f t="shared" si="108"/>
        <v>7900.8263253307268</v>
      </c>
      <c r="DI14" s="316">
        <v>1988</v>
      </c>
      <c r="DJ14" s="88">
        <f t="shared" si="56"/>
        <v>5.2870380295502513E-2</v>
      </c>
      <c r="DK14" s="88">
        <f t="shared" si="57"/>
        <v>3.9355758465867731E-2</v>
      </c>
      <c r="DL14" s="88">
        <f t="shared" si="58"/>
        <v>7.5504467461847663E-2</v>
      </c>
      <c r="DM14" s="88">
        <f t="shared" si="59"/>
        <v>6.0657556772592228E-2</v>
      </c>
      <c r="DN14" s="88">
        <f t="shared" si="60"/>
        <v>1.1119803612696653E-2</v>
      </c>
      <c r="DO14" s="88">
        <f t="shared" si="61"/>
        <v>5.0724864086231737E-3</v>
      </c>
      <c r="DP14" s="37"/>
      <c r="DQ14" s="316">
        <v>1988</v>
      </c>
      <c r="DR14" s="88">
        <f t="shared" si="62"/>
        <v>6.277524496570934E-2</v>
      </c>
      <c r="DS14" s="88">
        <f t="shared" si="63"/>
        <v>5.2918101544799818E-2</v>
      </c>
      <c r="DT14" s="88">
        <f t="shared" si="64"/>
        <v>9.2587715985963354E-2</v>
      </c>
      <c r="DU14" s="88">
        <f t="shared" si="65"/>
        <v>8.9152103741788516E-2</v>
      </c>
      <c r="DV14" s="88">
        <f t="shared" si="66"/>
        <v>3.0432509134689534E-2</v>
      </c>
      <c r="DW14" s="88">
        <f t="shared" si="67"/>
        <v>2.2592787434800001E-2</v>
      </c>
      <c r="DY14" s="316">
        <v>1988</v>
      </c>
      <c r="DZ14" s="61">
        <v>400566.9</v>
      </c>
      <c r="EA14" s="61">
        <v>386204.4</v>
      </c>
      <c r="EB14" s="89">
        <v>1.1000000000000001</v>
      </c>
      <c r="EC14" s="46">
        <f t="shared" si="35"/>
        <v>396208.60534124635</v>
      </c>
      <c r="ED14" s="46">
        <f t="shared" si="36"/>
        <v>382002.37388724042</v>
      </c>
      <c r="EF14" s="316">
        <v>1988</v>
      </c>
      <c r="EG14" s="88">
        <f t="shared" si="68"/>
        <v>6.7954126993385697E-2</v>
      </c>
      <c r="EH14" s="88">
        <f t="shared" si="69"/>
        <v>2.0244458601156412E-3</v>
      </c>
      <c r="EI14" s="88">
        <f t="shared" si="70"/>
        <v>5.1217487307931998E-2</v>
      </c>
      <c r="EJ14" s="88">
        <f t="shared" si="71"/>
        <v>6.2895593398076483E-3</v>
      </c>
      <c r="EK14" s="88">
        <f t="shared" si="72"/>
        <v>1.5273000694465104E-2</v>
      </c>
      <c r="EL14" s="88">
        <f t="shared" si="73"/>
        <v>4.8088961312203513E-2</v>
      </c>
      <c r="EM14" s="140"/>
      <c r="EN14" s="316">
        <v>1988</v>
      </c>
      <c r="EO14" s="88">
        <f t="shared" si="74"/>
        <v>8.7612506117928382E-2</v>
      </c>
      <c r="EP14" s="88">
        <f t="shared" si="75"/>
        <v>2.6742187441219419E-3</v>
      </c>
      <c r="EQ14" s="88">
        <f t="shared" si="76"/>
        <v>6.2527582239092466E-2</v>
      </c>
      <c r="ER14" s="88">
        <f t="shared" si="77"/>
        <v>9.3354955844611575E-3</v>
      </c>
      <c r="ES14" s="88">
        <f t="shared" si="78"/>
        <v>1.8412256051497454E-2</v>
      </c>
      <c r="ET14" s="88">
        <f t="shared" si="79"/>
        <v>6.4347660681639898E-2</v>
      </c>
      <c r="EV14" s="316">
        <v>1988</v>
      </c>
      <c r="EW14" s="88">
        <f t="shared" si="80"/>
        <v>0.62540027170711143</v>
      </c>
      <c r="EX14" s="88">
        <f t="shared" si="81"/>
        <v>3.2969161348911924E-2</v>
      </c>
      <c r="EY14" s="88">
        <f t="shared" si="82"/>
        <v>0.36026297957171499</v>
      </c>
      <c r="EZ14" s="88">
        <f t="shared" si="83"/>
        <v>8.4887032544567503E-2</v>
      </c>
      <c r="FA14" s="88">
        <f t="shared" si="84"/>
        <v>0.27525501891638604</v>
      </c>
      <c r="FB14" s="88">
        <f t="shared" si="85"/>
        <v>0.73638032429516598</v>
      </c>
      <c r="FD14" s="316">
        <v>1988</v>
      </c>
      <c r="FE14" s="88">
        <f t="shared" si="86"/>
        <v>0.79689950664427356</v>
      </c>
      <c r="FF14" s="88">
        <f t="shared" si="87"/>
        <v>4.2622654847665059E-2</v>
      </c>
      <c r="FG14" s="88">
        <f t="shared" si="88"/>
        <v>0.4323179302076266</v>
      </c>
      <c r="FH14" s="88">
        <f t="shared" si="89"/>
        <v>0.10735890741399941</v>
      </c>
      <c r="FI14" s="88">
        <f t="shared" si="90"/>
        <v>0.32709020523447074</v>
      </c>
      <c r="FJ14" s="88">
        <f t="shared" si="91"/>
        <v>0.9598270552948085</v>
      </c>
      <c r="FL14" s="316">
        <v>1988</v>
      </c>
      <c r="FM14" s="317">
        <f t="shared" si="92"/>
        <v>122783</v>
      </c>
      <c r="FN14" s="61">
        <v>23985</v>
      </c>
      <c r="FO14" s="61">
        <v>85013</v>
      </c>
      <c r="FP14" s="61">
        <v>13785</v>
      </c>
      <c r="FQ14" s="88">
        <f t="shared" si="93"/>
        <v>0.19534463240025085</v>
      </c>
      <c r="FR14" s="88">
        <f t="shared" si="94"/>
        <v>0.69238412483812906</v>
      </c>
      <c r="FS14" s="88">
        <f t="shared" si="95"/>
        <v>0.11227124276162009</v>
      </c>
      <c r="FT14" s="88">
        <f t="shared" si="109"/>
        <v>-7.1107101372090697E-3</v>
      </c>
      <c r="FU14" s="88">
        <f t="shared" si="110"/>
        <v>3.8004043644001007E-3</v>
      </c>
      <c r="FV14" s="88">
        <f t="shared" si="111"/>
        <v>3.3103057728089968E-3</v>
      </c>
      <c r="FX14" s="316">
        <v>1988</v>
      </c>
      <c r="FY14" s="159">
        <v>4.9711391941391937E-2</v>
      </c>
      <c r="FZ14" s="62">
        <v>4.7E-2</v>
      </c>
      <c r="GA14" s="319">
        <f t="shared" ref="GA14:GA46" si="112">FY14-FZ14</f>
        <v>2.7113919413919371E-3</v>
      </c>
      <c r="GC14" s="302">
        <f t="shared" ref="GC14:GC46" si="113">SUM(EW14:EX14)-(24.0959475629*(FQ14-FQ13)+0.793461523015+0.837029275127*FY14)</f>
        <v>-5.362681720062823E-3</v>
      </c>
      <c r="GD14" s="302">
        <f t="shared" ref="GD14:GD46" si="114">EY14-(4.79228258068*(FQ14-FQ13) + 0.334886759052 + 1.54914698576*FY14)</f>
        <v>-1.7557500137414528E-2</v>
      </c>
      <c r="GE14" s="302">
        <f t="shared" ref="GE14:GE46" si="115">EK14-(-1.26996838471*(FQ14-FQ13) + 0.0104066687 + 0.130732498683*(FY14-GA14))</f>
        <v>-1.0308472510728322E-2</v>
      </c>
    </row>
    <row r="15" spans="1:194">
      <c r="A15" s="316">
        <v>1989</v>
      </c>
      <c r="B15" s="61">
        <v>245675.9</v>
      </c>
      <c r="C15" s="61">
        <v>15189.1</v>
      </c>
      <c r="D15" s="61">
        <v>139923.29999999999</v>
      </c>
      <c r="E15" s="61">
        <v>32989.1</v>
      </c>
      <c r="F15" s="61">
        <v>118030.1</v>
      </c>
      <c r="G15" s="61">
        <v>306996.2</v>
      </c>
      <c r="I15" s="316">
        <v>1989</v>
      </c>
      <c r="J15" s="61">
        <v>268830.40000000002</v>
      </c>
      <c r="K15" s="61">
        <v>16815.099999999999</v>
      </c>
      <c r="L15" s="61">
        <v>149821.4</v>
      </c>
      <c r="M15" s="61">
        <v>36101.199999999997</v>
      </c>
      <c r="N15" s="61">
        <v>127589.6</v>
      </c>
      <c r="O15" s="61">
        <v>347683.2</v>
      </c>
      <c r="Q15" s="316">
        <v>1989</v>
      </c>
      <c r="R15" s="46">
        <f t="shared" si="0"/>
        <v>278568.41267021431</v>
      </c>
      <c r="S15" s="46">
        <f t="shared" si="1"/>
        <v>14162.238689634509</v>
      </c>
      <c r="T15" s="46">
        <f t="shared" si="2"/>
        <v>158471.44881802122</v>
      </c>
      <c r="U15" s="46">
        <f t="shared" si="3"/>
        <v>35836.794815508314</v>
      </c>
      <c r="V15" s="46">
        <f t="shared" si="4"/>
        <v>116955.12573690305</v>
      </c>
      <c r="W15" s="46">
        <f t="shared" si="5"/>
        <v>319289.33488435659</v>
      </c>
      <c r="Y15" s="316">
        <v>1989</v>
      </c>
      <c r="Z15" s="46">
        <f t="shared" si="6"/>
        <v>319198.84693641786</v>
      </c>
      <c r="AA15" s="46">
        <f t="shared" si="7"/>
        <v>16554.064534880705</v>
      </c>
      <c r="AB15" s="46">
        <f t="shared" si="8"/>
        <v>176248.79923078883</v>
      </c>
      <c r="AC15" s="46">
        <f t="shared" si="9"/>
        <v>41375.819351572056</v>
      </c>
      <c r="AD15" s="46">
        <f t="shared" si="10"/>
        <v>130445.9984517706</v>
      </c>
      <c r="AE15" s="46">
        <f t="shared" si="11"/>
        <v>382299.35736615048</v>
      </c>
      <c r="AG15" s="316">
        <v>1989</v>
      </c>
      <c r="AH15" s="48">
        <f t="shared" si="12"/>
        <v>0.87271121228612447</v>
      </c>
      <c r="AI15" s="48">
        <f t="shared" si="13"/>
        <v>0.85551428531606644</v>
      </c>
      <c r="AJ15" s="48">
        <f t="shared" si="14"/>
        <v>0.89913491331371242</v>
      </c>
      <c r="AK15" s="48">
        <f t="shared" si="15"/>
        <v>0.86612894625727122</v>
      </c>
      <c r="AL15" s="48">
        <f t="shared" si="16"/>
        <v>0.89657886884237781</v>
      </c>
      <c r="AM15" s="48">
        <f t="shared" si="17"/>
        <v>0.83518145854102099</v>
      </c>
      <c r="AO15" s="316">
        <v>1989</v>
      </c>
      <c r="AP15" s="48">
        <f t="shared" si="41"/>
        <v>1.0721565570214966</v>
      </c>
      <c r="AQ15" s="48">
        <f t="shared" si="42"/>
        <v>1.0663555188834584</v>
      </c>
      <c r="AR15" s="48">
        <f t="shared" si="43"/>
        <v>1.0402809151847614</v>
      </c>
      <c r="AS15" s="48">
        <f t="shared" si="44"/>
        <v>1.0561398804679969</v>
      </c>
      <c r="AT15" s="48">
        <f t="shared" si="45"/>
        <v>1.0272187774066477</v>
      </c>
      <c r="AU15" s="48">
        <f t="shared" si="46"/>
        <v>1.0495758124274426</v>
      </c>
      <c r="AW15" s="316">
        <v>1989</v>
      </c>
      <c r="AX15" s="61">
        <v>24901.9</v>
      </c>
      <c r="AY15" s="61">
        <v>947.6</v>
      </c>
      <c r="AZ15" s="61">
        <v>18614.400000000001</v>
      </c>
      <c r="BA15" s="61">
        <v>2729</v>
      </c>
      <c r="BB15" s="61">
        <v>8175.9</v>
      </c>
      <c r="BC15" s="61">
        <v>19503.599999999999</v>
      </c>
      <c r="BE15" s="316">
        <v>1989</v>
      </c>
      <c r="BF15" s="61">
        <v>28148.7</v>
      </c>
      <c r="BG15" s="61">
        <v>1082.8</v>
      </c>
      <c r="BH15" s="61">
        <v>20364.099999999999</v>
      </c>
      <c r="BI15" s="61">
        <v>3493.2</v>
      </c>
      <c r="BJ15" s="61">
        <v>8936.2000000000007</v>
      </c>
      <c r="BK15" s="61">
        <v>22674.6</v>
      </c>
      <c r="BM15" s="316">
        <v>1989</v>
      </c>
      <c r="BN15" s="46">
        <f t="shared" si="47"/>
        <v>28524.407415218462</v>
      </c>
      <c r="BO15" s="46">
        <f t="shared" si="18"/>
        <v>940.09478820451181</v>
      </c>
      <c r="BP15" s="46">
        <f t="shared" si="19"/>
        <v>23246.363913344547</v>
      </c>
      <c r="BQ15" s="46">
        <f t="shared" si="20"/>
        <v>2990.8706127243872</v>
      </c>
      <c r="BR15" s="46">
        <f t="shared" si="21"/>
        <v>8382.0423723153344</v>
      </c>
      <c r="BS15" s="46">
        <f t="shared" si="22"/>
        <v>19332.43005900288</v>
      </c>
      <c r="BU15" s="316">
        <v>1989</v>
      </c>
      <c r="BV15" s="46">
        <f t="shared" si="23"/>
        <v>33561.984759231709</v>
      </c>
      <c r="BW15" s="46">
        <f t="shared" si="24"/>
        <v>1136.1479988959425</v>
      </c>
      <c r="BX15" s="46">
        <f t="shared" si="25"/>
        <v>26418.310020833844</v>
      </c>
      <c r="BY15" s="46">
        <f t="shared" si="26"/>
        <v>4081.8072804232797</v>
      </c>
      <c r="BZ15" s="46">
        <f t="shared" si="27"/>
        <v>9462.0625776508386</v>
      </c>
      <c r="CA15" s="46">
        <f t="shared" si="28"/>
        <v>23881.94166418778</v>
      </c>
      <c r="CC15" s="316">
        <v>1989</v>
      </c>
      <c r="CD15" s="48">
        <f t="shared" si="29"/>
        <v>0.84990228140105484</v>
      </c>
      <c r="CE15" s="48">
        <f t="shared" si="30"/>
        <v>0.82744042951979291</v>
      </c>
      <c r="CF15" s="48">
        <f t="shared" si="31"/>
        <v>0.87993379951299466</v>
      </c>
      <c r="CG15" s="48">
        <f t="shared" si="32"/>
        <v>0.7327319511307836</v>
      </c>
      <c r="CH15" s="48">
        <f t="shared" si="33"/>
        <v>0.88585784584785077</v>
      </c>
      <c r="CI15" s="48">
        <f t="shared" si="34"/>
        <v>0.80949992805622117</v>
      </c>
      <c r="CK15" s="316">
        <v>1989</v>
      </c>
      <c r="CL15" s="48">
        <f t="shared" si="48"/>
        <v>1.0564803378306342</v>
      </c>
      <c r="CM15" s="48">
        <f t="shared" si="49"/>
        <v>1.0538278135806645</v>
      </c>
      <c r="CN15" s="48">
        <f t="shared" si="50"/>
        <v>1.0357275426920447</v>
      </c>
      <c r="CO15" s="48">
        <f t="shared" si="51"/>
        <v>1.04858694515807</v>
      </c>
      <c r="CP15" s="48">
        <f t="shared" si="52"/>
        <v>1.0296481137030984</v>
      </c>
      <c r="CQ15" s="48">
        <f t="shared" si="53"/>
        <v>1.0443506436202423</v>
      </c>
      <c r="CS15" s="316">
        <v>1989</v>
      </c>
      <c r="CT15" s="46">
        <f t="shared" si="97"/>
        <v>-2255.0358218846814</v>
      </c>
      <c r="CU15" s="46">
        <f t="shared" si="98"/>
        <v>-159.47846410707939</v>
      </c>
      <c r="CV15" s="46">
        <f t="shared" si="99"/>
        <v>7514.2077875144387</v>
      </c>
      <c r="CW15" s="46">
        <f t="shared" si="100"/>
        <v>787.04857325615149</v>
      </c>
      <c r="CX15" s="46">
        <f t="shared" si="101"/>
        <v>485.32379345196932</v>
      </c>
      <c r="CY15" s="46">
        <f t="shared" si="102"/>
        <v>-8196.6835356312877</v>
      </c>
      <c r="CZ15" s="37"/>
      <c r="DA15" s="316">
        <v>1989</v>
      </c>
      <c r="DB15" s="46">
        <f t="shared" si="103"/>
        <v>18780.64111049709</v>
      </c>
      <c r="DC15" s="46">
        <f t="shared" si="104"/>
        <v>864.03879719978681</v>
      </c>
      <c r="DD15" s="46">
        <f t="shared" si="105"/>
        <v>15315.986403376693</v>
      </c>
      <c r="DE15" s="46">
        <f t="shared" si="106"/>
        <v>3717.3454189394542</v>
      </c>
      <c r="DF15" s="46">
        <f t="shared" si="107"/>
        <v>3965.2990007127373</v>
      </c>
      <c r="DG15" s="46">
        <f t="shared" si="108"/>
        <v>8238.7979418537179</v>
      </c>
      <c r="DI15" s="316">
        <v>1989</v>
      </c>
      <c r="DJ15" s="88">
        <f t="shared" si="56"/>
        <v>-9.1006303752896155E-3</v>
      </c>
      <c r="DK15" s="88">
        <f t="shared" si="57"/>
        <v>-1.2208723010804076E-2</v>
      </c>
      <c r="DL15" s="88">
        <f t="shared" si="58"/>
        <v>5.2642882319155003E-2</v>
      </c>
      <c r="DM15" s="88">
        <f t="shared" si="59"/>
        <v>2.3401100417053827E-2</v>
      </c>
      <c r="DN15" s="88">
        <f t="shared" si="60"/>
        <v>4.4501272859108661E-3</v>
      </c>
      <c r="DO15" s="88">
        <f t="shared" si="61"/>
        <v>-2.8093903615091703E-2</v>
      </c>
      <c r="DP15" s="37"/>
      <c r="DQ15" s="316">
        <v>1989</v>
      </c>
      <c r="DR15" s="88">
        <f t="shared" si="62"/>
        <v>6.1693696675348027E-2</v>
      </c>
      <c r="DS15" s="88">
        <f t="shared" si="63"/>
        <v>5.3067262470544531E-2</v>
      </c>
      <c r="DT15" s="88">
        <f t="shared" si="64"/>
        <v>9.2741830223716196E-2</v>
      </c>
      <c r="DU15" s="88">
        <f t="shared" si="65"/>
        <v>9.0641852560912561E-2</v>
      </c>
      <c r="DV15" s="88">
        <f t="shared" si="66"/>
        <v>3.173528036954338E-2</v>
      </c>
      <c r="DW15" s="88">
        <f t="shared" si="67"/>
        <v>2.2470089515126E-2</v>
      </c>
      <c r="DY15" s="316">
        <v>1989</v>
      </c>
      <c r="DZ15" s="61">
        <v>428994.1</v>
      </c>
      <c r="EA15" s="61">
        <v>405228</v>
      </c>
      <c r="EB15" s="89">
        <v>1.4</v>
      </c>
      <c r="EC15" s="46">
        <f t="shared" si="35"/>
        <v>423071.10453648912</v>
      </c>
      <c r="ED15" s="46">
        <f t="shared" si="36"/>
        <v>399633.13609467453</v>
      </c>
      <c r="EF15" s="316">
        <v>1989</v>
      </c>
      <c r="EG15" s="88">
        <f t="shared" si="68"/>
        <v>6.6491374625474955E-2</v>
      </c>
      <c r="EH15" s="88">
        <f t="shared" si="69"/>
        <v>2.1913932807106481E-3</v>
      </c>
      <c r="EI15" s="88">
        <f t="shared" si="70"/>
        <v>5.4188073713238825E-2</v>
      </c>
      <c r="EJ15" s="88">
        <f t="shared" si="71"/>
        <v>6.9718222528570616E-3</v>
      </c>
      <c r="EK15" s="88">
        <f t="shared" si="72"/>
        <v>1.9538829024257756E-2</v>
      </c>
      <c r="EL15" s="88">
        <f t="shared" si="73"/>
        <v>4.5064559300472616E-2</v>
      </c>
      <c r="EM15" s="140"/>
      <c r="EN15" s="316">
        <v>1989</v>
      </c>
      <c r="EO15" s="88">
        <f t="shared" si="74"/>
        <v>8.282247218660041E-2</v>
      </c>
      <c r="EP15" s="88">
        <f t="shared" si="75"/>
        <v>2.8037253074712073E-3</v>
      </c>
      <c r="EQ15" s="88">
        <f t="shared" si="76"/>
        <v>6.5193693478322934E-2</v>
      </c>
      <c r="ER15" s="88">
        <f t="shared" si="77"/>
        <v>1.0072865844470964E-2</v>
      </c>
      <c r="ES15" s="88">
        <f t="shared" si="78"/>
        <v>2.3349972306086545E-2</v>
      </c>
      <c r="ET15" s="88">
        <f t="shared" si="79"/>
        <v>5.8934579210192239E-2</v>
      </c>
      <c r="EV15" s="316">
        <v>1989</v>
      </c>
      <c r="EW15" s="88">
        <f t="shared" si="80"/>
        <v>0.65844348546424614</v>
      </c>
      <c r="EX15" s="88">
        <f t="shared" si="81"/>
        <v>3.3474842733942946E-2</v>
      </c>
      <c r="EY15" s="88">
        <f t="shared" si="82"/>
        <v>0.37457403050874949</v>
      </c>
      <c r="EZ15" s="88">
        <f t="shared" si="83"/>
        <v>8.4706316340773524E-2</v>
      </c>
      <c r="FA15" s="88">
        <f t="shared" si="84"/>
        <v>0.27644319000475692</v>
      </c>
      <c r="FB15" s="88">
        <f t="shared" si="85"/>
        <v>0.75469426169902476</v>
      </c>
      <c r="FD15" s="316">
        <v>1989</v>
      </c>
      <c r="FE15" s="88">
        <f t="shared" si="86"/>
        <v>0.79872968006536504</v>
      </c>
      <c r="FF15" s="88">
        <f t="shared" si="87"/>
        <v>4.1423152986390467E-2</v>
      </c>
      <c r="FG15" s="88">
        <f t="shared" si="88"/>
        <v>0.4410264898279978</v>
      </c>
      <c r="FH15" s="88">
        <f t="shared" si="89"/>
        <v>0.10353450606200476</v>
      </c>
      <c r="FI15" s="88">
        <f t="shared" si="90"/>
        <v>0.32641437025599268</v>
      </c>
      <c r="FJ15" s="88">
        <f t="shared" si="91"/>
        <v>0.95662577208207877</v>
      </c>
      <c r="FL15" s="316">
        <v>1989</v>
      </c>
      <c r="FM15" s="317">
        <f t="shared" si="92"/>
        <v>123255</v>
      </c>
      <c r="FN15" s="61">
        <v>23201</v>
      </c>
      <c r="FO15" s="61">
        <v>85745</v>
      </c>
      <c r="FP15" s="61">
        <v>14309</v>
      </c>
      <c r="FQ15" s="88">
        <f t="shared" si="93"/>
        <v>0.1882357713683015</v>
      </c>
      <c r="FR15" s="88">
        <f t="shared" si="94"/>
        <v>0.69567157518964751</v>
      </c>
      <c r="FS15" s="88">
        <f t="shared" si="95"/>
        <v>0.11609265344205104</v>
      </c>
      <c r="FT15" s="88">
        <f t="shared" si="109"/>
        <v>-7.1088610319493539E-3</v>
      </c>
      <c r="FU15" s="88">
        <f t="shared" si="110"/>
        <v>3.2874503515184506E-3</v>
      </c>
      <c r="FV15" s="88">
        <f t="shared" si="111"/>
        <v>3.821410680430945E-3</v>
      </c>
      <c r="FX15" s="316">
        <v>1989</v>
      </c>
      <c r="FY15" s="159">
        <v>5.1545140562248966E-2</v>
      </c>
      <c r="FZ15" s="62">
        <v>4.4999999999999998E-2</v>
      </c>
      <c r="GA15" s="319">
        <f t="shared" si="112"/>
        <v>6.5451405622489675E-3</v>
      </c>
      <c r="GC15" s="302">
        <f t="shared" si="113"/>
        <v>2.6606756199845427E-2</v>
      </c>
      <c r="GD15" s="302">
        <f t="shared" si="114"/>
        <v>-6.096056783948256E-3</v>
      </c>
      <c r="GE15" s="302">
        <f t="shared" si="115"/>
        <v>-5.7788308783498256E-3</v>
      </c>
    </row>
    <row r="16" spans="1:194">
      <c r="A16" s="316">
        <v>1990</v>
      </c>
      <c r="B16" s="61">
        <v>269745.2</v>
      </c>
      <c r="C16" s="61">
        <v>16478.400000000001</v>
      </c>
      <c r="D16" s="61">
        <v>158781.1</v>
      </c>
      <c r="E16" s="61">
        <v>35087</v>
      </c>
      <c r="F16" s="61">
        <v>130789.8</v>
      </c>
      <c r="G16" s="61">
        <v>340265.8</v>
      </c>
      <c r="I16" s="316">
        <v>1990</v>
      </c>
      <c r="J16" s="61">
        <v>280611</v>
      </c>
      <c r="K16" s="61">
        <v>17298.7</v>
      </c>
      <c r="L16" s="61">
        <v>160798.5</v>
      </c>
      <c r="M16" s="61">
        <v>36290.400000000001</v>
      </c>
      <c r="N16" s="61">
        <v>133502.39999999999</v>
      </c>
      <c r="O16" s="61">
        <v>362833.1</v>
      </c>
      <c r="Q16" s="316">
        <v>1990</v>
      </c>
      <c r="R16" s="46">
        <f t="shared" si="0"/>
        <v>305860.24998548697</v>
      </c>
      <c r="S16" s="46">
        <f t="shared" si="1"/>
        <v>15364.375375978385</v>
      </c>
      <c r="T16" s="46">
        <f t="shared" si="2"/>
        <v>179829.02748805322</v>
      </c>
      <c r="U16" s="46">
        <f t="shared" si="3"/>
        <v>38115.790357776968</v>
      </c>
      <c r="V16" s="46">
        <f t="shared" si="4"/>
        <v>129598.61513380402</v>
      </c>
      <c r="W16" s="46">
        <f t="shared" si="5"/>
        <v>353891.15880227013</v>
      </c>
      <c r="Y16" s="316">
        <v>1990</v>
      </c>
      <c r="Z16" s="46">
        <f t="shared" si="6"/>
        <v>333186.67694455368</v>
      </c>
      <c r="AA16" s="46">
        <f t="shared" si="7"/>
        <v>17030.157190236208</v>
      </c>
      <c r="AB16" s="46">
        <f t="shared" si="8"/>
        <v>189162.17938900582</v>
      </c>
      <c r="AC16" s="46">
        <f t="shared" si="9"/>
        <v>41592.662698090113</v>
      </c>
      <c r="AD16" s="46">
        <f t="shared" si="10"/>
        <v>136491.1706260358</v>
      </c>
      <c r="AE16" s="46">
        <f t="shared" si="11"/>
        <v>398957.61705244367</v>
      </c>
      <c r="AG16" s="316">
        <v>1990</v>
      </c>
      <c r="AH16" s="48">
        <f t="shared" si="12"/>
        <v>0.91798463489098592</v>
      </c>
      <c r="AI16" s="48">
        <f t="shared" si="13"/>
        <v>0.90218635120920343</v>
      </c>
      <c r="AJ16" s="48">
        <f t="shared" si="14"/>
        <v>0.95066058167071932</v>
      </c>
      <c r="AK16" s="48">
        <f t="shared" si="15"/>
        <v>0.91640659398147173</v>
      </c>
      <c r="AL16" s="48">
        <f t="shared" si="16"/>
        <v>0.94950182154187623</v>
      </c>
      <c r="AM16" s="48">
        <f t="shared" si="17"/>
        <v>0.88703948408572564</v>
      </c>
      <c r="AO16" s="316">
        <v>1990</v>
      </c>
      <c r="AP16" s="48">
        <f t="shared" si="41"/>
        <v>1.0518767514012621</v>
      </c>
      <c r="AQ16" s="48">
        <f t="shared" si="42"/>
        <v>1.0545543969214894</v>
      </c>
      <c r="AR16" s="48">
        <f t="shared" si="43"/>
        <v>1.0573058254040117</v>
      </c>
      <c r="AS16" s="48">
        <f t="shared" si="44"/>
        <v>1.0580486865627352</v>
      </c>
      <c r="AT16" s="48">
        <f t="shared" si="45"/>
        <v>1.0590276600739321</v>
      </c>
      <c r="AU16" s="48">
        <f t="shared" si="46"/>
        <v>1.0620919262686883</v>
      </c>
      <c r="AW16" s="316">
        <v>1990</v>
      </c>
      <c r="AX16" s="61">
        <v>26201.5</v>
      </c>
      <c r="AY16" s="61">
        <v>1200.2</v>
      </c>
      <c r="AZ16" s="61">
        <v>21731.599999999999</v>
      </c>
      <c r="BA16" s="61">
        <v>2782.8</v>
      </c>
      <c r="BB16" s="61">
        <v>9235.2999999999993</v>
      </c>
      <c r="BC16" s="61">
        <v>21669.7</v>
      </c>
      <c r="BE16" s="316">
        <v>1990</v>
      </c>
      <c r="BF16" s="61">
        <v>27952.9</v>
      </c>
      <c r="BG16" s="61">
        <v>1299.5</v>
      </c>
      <c r="BH16" s="61">
        <v>22616.9</v>
      </c>
      <c r="BI16" s="61">
        <v>3373.6</v>
      </c>
      <c r="BJ16" s="61">
        <v>9641.1</v>
      </c>
      <c r="BK16" s="61">
        <v>23847.8</v>
      </c>
      <c r="BM16" s="316">
        <v>1990</v>
      </c>
      <c r="BN16" s="46">
        <f t="shared" si="47"/>
        <v>30013.0616896641</v>
      </c>
      <c r="BO16" s="46">
        <f t="shared" si="18"/>
        <v>1190.6941376140303</v>
      </c>
      <c r="BP16" s="46">
        <f t="shared" si="19"/>
        <v>27139.240696409139</v>
      </c>
      <c r="BQ16" s="46">
        <f t="shared" si="20"/>
        <v>3049.8331773871109</v>
      </c>
      <c r="BR16" s="46">
        <f t="shared" si="21"/>
        <v>9468.1534658011715</v>
      </c>
      <c r="BS16" s="46">
        <f t="shared" si="22"/>
        <v>21479.519660451133</v>
      </c>
      <c r="BU16" s="316">
        <v>1990</v>
      </c>
      <c r="BV16" s="46">
        <f t="shared" si="23"/>
        <v>33328.53040376032</v>
      </c>
      <c r="BW16" s="46">
        <f t="shared" si="24"/>
        <v>1363.5244962738061</v>
      </c>
      <c r="BX16" s="46">
        <f t="shared" si="25"/>
        <v>29340.863377718488</v>
      </c>
      <c r="BY16" s="46">
        <f t="shared" si="26"/>
        <v>3942.0545749559078</v>
      </c>
      <c r="BZ16" s="46">
        <f t="shared" si="27"/>
        <v>10208.443355944306</v>
      </c>
      <c r="CA16" s="46">
        <f t="shared" si="28"/>
        <v>25117.610384272157</v>
      </c>
      <c r="CC16" s="316">
        <v>1990</v>
      </c>
      <c r="CD16" s="48">
        <f t="shared" si="29"/>
        <v>0.90052160494534894</v>
      </c>
      <c r="CE16" s="48">
        <f t="shared" si="30"/>
        <v>0.87324733869315818</v>
      </c>
      <c r="CF16" s="48">
        <f t="shared" si="31"/>
        <v>0.92496394352930777</v>
      </c>
      <c r="CG16" s="48">
        <f t="shared" si="32"/>
        <v>0.77366589411594422</v>
      </c>
      <c r="CH16" s="48">
        <f t="shared" si="33"/>
        <v>0.92748258825258911</v>
      </c>
      <c r="CI16" s="48">
        <f t="shared" si="34"/>
        <v>0.8551577690647244</v>
      </c>
      <c r="CK16" s="316">
        <v>1990</v>
      </c>
      <c r="CL16" s="48">
        <f t="shared" si="48"/>
        <v>1.0595589924301048</v>
      </c>
      <c r="CM16" s="48">
        <f t="shared" si="49"/>
        <v>1.0553597667447183</v>
      </c>
      <c r="CN16" s="48">
        <f t="shared" si="50"/>
        <v>1.0511744679443333</v>
      </c>
      <c r="CO16" s="48">
        <f t="shared" si="51"/>
        <v>1.05586482604176</v>
      </c>
      <c r="CP16" s="48">
        <f t="shared" si="52"/>
        <v>1.0469880608946907</v>
      </c>
      <c r="CQ16" s="48">
        <f t="shared" si="53"/>
        <v>1.0564025263326919</v>
      </c>
      <c r="CS16" s="316">
        <v>1990</v>
      </c>
      <c r="CT16" s="46">
        <f t="shared" si="97"/>
        <v>2721.2243743914441</v>
      </c>
      <c r="CU16" s="46">
        <f t="shared" si="98"/>
        <v>-11.442548729845839</v>
      </c>
      <c r="CV16" s="46">
        <f t="shared" si="99"/>
        <v>5781.6620263771365</v>
      </c>
      <c r="CW16" s="46">
        <f t="shared" si="100"/>
        <v>770.83763511845655</v>
      </c>
      <c r="CX16" s="46">
        <f t="shared" si="101"/>
        <v>-3175.3359310998003</v>
      </c>
      <c r="CY16" s="46">
        <f t="shared" si="102"/>
        <v>-13122.304257462409</v>
      </c>
      <c r="CZ16" s="37"/>
      <c r="DA16" s="316">
        <v>1990</v>
      </c>
      <c r="DB16" s="46">
        <f t="shared" si="103"/>
        <v>19340.700395624503</v>
      </c>
      <c r="DC16" s="46">
        <f t="shared" si="104"/>
        <v>887.43184091830244</v>
      </c>
      <c r="DD16" s="46">
        <f t="shared" si="105"/>
        <v>16427.483219501504</v>
      </c>
      <c r="DE16" s="46">
        <f t="shared" si="106"/>
        <v>3725.2112284378509</v>
      </c>
      <c r="DF16" s="46">
        <f t="shared" si="107"/>
        <v>4163.2711816791052</v>
      </c>
      <c r="DG16" s="46">
        <f t="shared" si="108"/>
        <v>8459.3506979789599</v>
      </c>
      <c r="DI16" s="316">
        <v>1990</v>
      </c>
      <c r="DJ16" s="88">
        <f t="shared" si="56"/>
        <v>9.7686035121756238E-3</v>
      </c>
      <c r="DK16" s="88">
        <f t="shared" si="57"/>
        <v>-8.079618611583464E-4</v>
      </c>
      <c r="DL16" s="88">
        <f t="shared" si="58"/>
        <v>3.6483934926451252E-2</v>
      </c>
      <c r="DM16" s="88">
        <f t="shared" si="59"/>
        <v>2.1509670133359075E-2</v>
      </c>
      <c r="DN16" s="88">
        <f t="shared" si="60"/>
        <v>-2.7150036487010344E-2</v>
      </c>
      <c r="DO16" s="88">
        <f t="shared" si="61"/>
        <v>-4.1098473465188481E-2</v>
      </c>
      <c r="DP16" s="37"/>
      <c r="DQ16" s="316">
        <v>1990</v>
      </c>
      <c r="DR16" s="88">
        <f t="shared" si="62"/>
        <v>6.0591385530528036E-2</v>
      </c>
      <c r="DS16" s="88">
        <f t="shared" si="63"/>
        <v>5.3608093592266377E-2</v>
      </c>
      <c r="DT16" s="88">
        <f t="shared" si="64"/>
        <v>9.320621355264129E-2</v>
      </c>
      <c r="DU16" s="88">
        <f t="shared" si="65"/>
        <v>9.0033533760010317E-2</v>
      </c>
      <c r="DV16" s="88">
        <f t="shared" si="66"/>
        <v>3.1915668024254336E-2</v>
      </c>
      <c r="DW16" s="88">
        <f t="shared" si="67"/>
        <v>2.212755667772924E-2</v>
      </c>
      <c r="DY16" s="316">
        <v>1990</v>
      </c>
      <c r="DZ16" s="61">
        <v>461295.1</v>
      </c>
      <c r="EA16" s="61">
        <v>424844.79999999999</v>
      </c>
      <c r="EB16" s="89">
        <v>2.2999999999999998</v>
      </c>
      <c r="EC16" s="46">
        <f t="shared" si="35"/>
        <v>450923.85141739983</v>
      </c>
      <c r="ED16" s="46">
        <f t="shared" si="36"/>
        <v>415293.0596285435</v>
      </c>
      <c r="EF16" s="316">
        <v>1990</v>
      </c>
      <c r="EG16" s="88">
        <f t="shared" si="68"/>
        <v>6.5062606755771094E-2</v>
      </c>
      <c r="EH16" s="88">
        <f t="shared" si="69"/>
        <v>2.5811983210184334E-3</v>
      </c>
      <c r="EI16" s="88">
        <f t="shared" si="70"/>
        <v>5.8832709682823732E-2</v>
      </c>
      <c r="EJ16" s="88">
        <f t="shared" si="71"/>
        <v>6.6114579959490379E-3</v>
      </c>
      <c r="EK16" s="88">
        <f t="shared" si="72"/>
        <v>2.0525155081424391E-2</v>
      </c>
      <c r="EL16" s="88">
        <f t="shared" si="73"/>
        <v>4.6563511427828164E-2</v>
      </c>
      <c r="EM16" s="140"/>
      <c r="EN16" s="316">
        <v>1990</v>
      </c>
      <c r="EO16" s="88">
        <f t="shared" si="74"/>
        <v>7.8448719164646297E-2</v>
      </c>
      <c r="EP16" s="88">
        <f t="shared" si="75"/>
        <v>3.209464953493149E-3</v>
      </c>
      <c r="EQ16" s="88">
        <f t="shared" si="76"/>
        <v>6.9062545611287912E-2</v>
      </c>
      <c r="ER16" s="88">
        <f t="shared" si="77"/>
        <v>9.278810932735691E-3</v>
      </c>
      <c r="ES16" s="88">
        <f t="shared" si="78"/>
        <v>2.4028641414333671E-2</v>
      </c>
      <c r="ET16" s="88">
        <f t="shared" si="79"/>
        <v>5.9121849636083947E-2</v>
      </c>
      <c r="EV16" s="316">
        <v>1990</v>
      </c>
      <c r="EW16" s="88">
        <f t="shared" si="80"/>
        <v>0.67829689874259047</v>
      </c>
      <c r="EX16" s="88">
        <f t="shared" si="81"/>
        <v>3.4073104200816107E-2</v>
      </c>
      <c r="EY16" s="88">
        <f t="shared" si="82"/>
        <v>0.39880132071699537</v>
      </c>
      <c r="EZ16" s="88">
        <f t="shared" si="83"/>
        <v>8.4528219649430136E-2</v>
      </c>
      <c r="FA16" s="88">
        <f t="shared" si="84"/>
        <v>0.28740687529930736</v>
      </c>
      <c r="FB16" s="88">
        <f t="shared" si="85"/>
        <v>0.78481357260183848</v>
      </c>
      <c r="FD16" s="316">
        <v>1990</v>
      </c>
      <c r="FE16" s="88">
        <f t="shared" si="86"/>
        <v>0.80229290911476003</v>
      </c>
      <c r="FF16" s="88">
        <f t="shared" si="87"/>
        <v>4.1007565128752053E-2</v>
      </c>
      <c r="FG16" s="88">
        <f t="shared" si="88"/>
        <v>0.455490827509135</v>
      </c>
      <c r="FH16" s="88">
        <f t="shared" si="89"/>
        <v>0.1001525590995728</v>
      </c>
      <c r="FI16" s="88">
        <f t="shared" si="90"/>
        <v>0.32866229632664595</v>
      </c>
      <c r="FJ16" s="88">
        <f t="shared" si="91"/>
        <v>0.96066526469112923</v>
      </c>
      <c r="FL16" s="316">
        <v>1990</v>
      </c>
      <c r="FM16" s="317">
        <f t="shared" si="92"/>
        <v>123612</v>
      </c>
      <c r="FN16" s="61">
        <v>22544</v>
      </c>
      <c r="FO16" s="61">
        <v>86140</v>
      </c>
      <c r="FP16" s="61">
        <v>14928</v>
      </c>
      <c r="FQ16" s="88">
        <f t="shared" si="93"/>
        <v>0.18237711549040547</v>
      </c>
      <c r="FR16" s="88">
        <f t="shared" si="94"/>
        <v>0.69685791023525223</v>
      </c>
      <c r="FS16" s="88">
        <f t="shared" si="95"/>
        <v>0.1207649742743423</v>
      </c>
      <c r="FT16" s="88">
        <f t="shared" si="109"/>
        <v>-5.858655877896024E-3</v>
      </c>
      <c r="FU16" s="88">
        <f t="shared" si="110"/>
        <v>1.186335045604725E-3</v>
      </c>
      <c r="FV16" s="88">
        <f t="shared" si="111"/>
        <v>4.6723208322912574E-3</v>
      </c>
      <c r="FX16" s="316">
        <v>1990</v>
      </c>
      <c r="FY16" s="159">
        <v>6.8722398373983737E-2</v>
      </c>
      <c r="FZ16" s="62">
        <v>0.04</v>
      </c>
      <c r="GA16" s="319">
        <f t="shared" si="112"/>
        <v>2.8722398373983736E-2</v>
      </c>
      <c r="GC16" s="302">
        <f t="shared" si="113"/>
        <v>2.5556854553004937E-3</v>
      </c>
      <c r="GD16" s="302">
        <f t="shared" si="114"/>
        <v>-1.4470200120419885E-2</v>
      </c>
      <c r="GE16" s="302">
        <f t="shared" si="115"/>
        <v>-2.5511213077189683E-3</v>
      </c>
    </row>
    <row r="17" spans="1:187">
      <c r="A17" s="316">
        <v>1991</v>
      </c>
      <c r="B17" s="61">
        <v>285087.09999999998</v>
      </c>
      <c r="C17" s="61">
        <v>17215</v>
      </c>
      <c r="D17" s="61">
        <v>172317.7</v>
      </c>
      <c r="E17" s="61">
        <v>37015.199999999997</v>
      </c>
      <c r="F17" s="61">
        <v>141373.9</v>
      </c>
      <c r="G17" s="61">
        <v>362422.4</v>
      </c>
      <c r="I17" s="316">
        <v>1991</v>
      </c>
      <c r="J17" s="61">
        <v>290398.40000000002</v>
      </c>
      <c r="K17" s="61">
        <v>17684.900000000001</v>
      </c>
      <c r="L17" s="61">
        <v>170411.4</v>
      </c>
      <c r="M17" s="61">
        <v>37365.4</v>
      </c>
      <c r="N17" s="61">
        <v>141355.29999999999</v>
      </c>
      <c r="O17" s="61">
        <v>376886.4</v>
      </c>
      <c r="Q17" s="316">
        <v>1991</v>
      </c>
      <c r="R17" s="46">
        <f t="shared" si="0"/>
        <v>323256.21243172267</v>
      </c>
      <c r="S17" s="46">
        <f t="shared" si="1"/>
        <v>16051.177426052764</v>
      </c>
      <c r="T17" s="46">
        <f t="shared" si="2"/>
        <v>195160.03107408946</v>
      </c>
      <c r="U17" s="46">
        <f t="shared" si="3"/>
        <v>40210.437006617438</v>
      </c>
      <c r="V17" s="46">
        <f t="shared" si="4"/>
        <v>140086.3190865411</v>
      </c>
      <c r="W17" s="46">
        <f t="shared" si="5"/>
        <v>376934.98174632859</v>
      </c>
      <c r="Y17" s="316">
        <v>1991</v>
      </c>
      <c r="Z17" s="46">
        <f t="shared" si="6"/>
        <v>344807.85815957066</v>
      </c>
      <c r="AA17" s="46">
        <f t="shared" si="7"/>
        <v>17410.361870753775</v>
      </c>
      <c r="AB17" s="46">
        <f t="shared" si="8"/>
        <v>200470.72464439424</v>
      </c>
      <c r="AC17" s="46">
        <f t="shared" si="9"/>
        <v>42824.72716694267</v>
      </c>
      <c r="AD17" s="46">
        <f t="shared" si="10"/>
        <v>144519.87658045458</v>
      </c>
      <c r="AE17" s="46">
        <f t="shared" si="11"/>
        <v>414410.09666282963</v>
      </c>
      <c r="AG17" s="316">
        <v>1991</v>
      </c>
      <c r="AH17" s="48">
        <f t="shared" si="12"/>
        <v>0.93749665148909023</v>
      </c>
      <c r="AI17" s="48">
        <f t="shared" si="13"/>
        <v>0.92193244145119158</v>
      </c>
      <c r="AJ17" s="48">
        <f t="shared" si="14"/>
        <v>0.97350888225836874</v>
      </c>
      <c r="AK17" s="48">
        <f t="shared" si="15"/>
        <v>0.93895372292428148</v>
      </c>
      <c r="AL17" s="48">
        <f t="shared" si="16"/>
        <v>0.96932216108387481</v>
      </c>
      <c r="AM17" s="48">
        <f t="shared" si="17"/>
        <v>0.90956997617026847</v>
      </c>
      <c r="AO17" s="316">
        <v>1991</v>
      </c>
      <c r="AP17" s="48">
        <f t="shared" si="41"/>
        <v>1.021255275803632</v>
      </c>
      <c r="AQ17" s="48">
        <f t="shared" si="42"/>
        <v>1.0218869308048413</v>
      </c>
      <c r="AR17" s="48">
        <f t="shared" si="43"/>
        <v>1.0240341306121004</v>
      </c>
      <c r="AS17" s="48">
        <f t="shared" si="44"/>
        <v>1.0246038484346236</v>
      </c>
      <c r="AT17" s="48">
        <f t="shared" si="45"/>
        <v>1.0208744618412766</v>
      </c>
      <c r="AU17" s="48">
        <f t="shared" si="46"/>
        <v>1.0253996496083431</v>
      </c>
      <c r="AW17" s="316">
        <v>1991</v>
      </c>
      <c r="AX17" s="61">
        <v>25629.8</v>
      </c>
      <c r="AY17" s="61">
        <v>1166.4000000000001</v>
      </c>
      <c r="AZ17" s="61">
        <v>21987.9</v>
      </c>
      <c r="BA17" s="61">
        <v>3763.3</v>
      </c>
      <c r="BB17" s="61">
        <v>11646.9</v>
      </c>
      <c r="BC17" s="61">
        <v>21778.799999999999</v>
      </c>
      <c r="BE17" s="316">
        <v>1991</v>
      </c>
      <c r="BF17" s="61">
        <v>26542.1</v>
      </c>
      <c r="BG17" s="61">
        <v>1220.0999999999999</v>
      </c>
      <c r="BH17" s="61">
        <v>22066.400000000001</v>
      </c>
      <c r="BI17" s="61">
        <v>4397.5</v>
      </c>
      <c r="BJ17" s="61">
        <v>11783.4</v>
      </c>
      <c r="BK17" s="61">
        <v>23059.8</v>
      </c>
      <c r="BM17" s="316">
        <v>1991</v>
      </c>
      <c r="BN17" s="46">
        <f t="shared" si="47"/>
        <v>29358.195847327555</v>
      </c>
      <c r="BO17" s="46">
        <f t="shared" si="18"/>
        <v>1157.1618414539284</v>
      </c>
      <c r="BP17" s="46">
        <f t="shared" si="19"/>
        <v>27459.317791077261</v>
      </c>
      <c r="BQ17" s="46">
        <f t="shared" si="20"/>
        <v>4124.420438572989</v>
      </c>
      <c r="BR17" s="46">
        <f t="shared" si="21"/>
        <v>11940.558141136687</v>
      </c>
      <c r="BS17" s="46">
        <f t="shared" si="22"/>
        <v>21587.662163344816</v>
      </c>
      <c r="BU17" s="316">
        <v>1991</v>
      </c>
      <c r="BV17" s="46">
        <f t="shared" si="23"/>
        <v>31646.419041661029</v>
      </c>
      <c r="BW17" s="46">
        <f t="shared" si="24"/>
        <v>1280.2125724537673</v>
      </c>
      <c r="BX17" s="46">
        <f t="shared" si="25"/>
        <v>28626.700725479055</v>
      </c>
      <c r="BY17" s="46">
        <f t="shared" si="26"/>
        <v>5138.4826278659611</v>
      </c>
      <c r="BZ17" s="46">
        <f t="shared" si="27"/>
        <v>12476.80984954353</v>
      </c>
      <c r="CA17" s="46">
        <f t="shared" si="28"/>
        <v>24287.652191784528</v>
      </c>
      <c r="CC17" s="316">
        <v>1991</v>
      </c>
      <c r="CD17" s="48">
        <f t="shared" si="29"/>
        <v>0.92769408787385599</v>
      </c>
      <c r="CE17" s="48">
        <f t="shared" si="30"/>
        <v>0.90388257884080214</v>
      </c>
      <c r="CF17" s="48">
        <f t="shared" si="31"/>
        <v>0.95922048630065249</v>
      </c>
      <c r="CG17" s="48">
        <f t="shared" si="32"/>
        <v>0.80265337790698776</v>
      </c>
      <c r="CH17" s="48">
        <f t="shared" si="33"/>
        <v>0.95702012654889812</v>
      </c>
      <c r="CI17" s="48">
        <f t="shared" si="34"/>
        <v>0.88883281071716747</v>
      </c>
      <c r="CK17" s="316">
        <v>1991</v>
      </c>
      <c r="CL17" s="48">
        <f t="shared" si="48"/>
        <v>1.0301741599305172</v>
      </c>
      <c r="CM17" s="48">
        <f t="shared" si="49"/>
        <v>1.0350819736748245</v>
      </c>
      <c r="CN17" s="48">
        <f t="shared" si="50"/>
        <v>1.0370355439376748</v>
      </c>
      <c r="CO17" s="48">
        <f t="shared" si="51"/>
        <v>1.037467702804926</v>
      </c>
      <c r="CP17" s="48">
        <f t="shared" si="52"/>
        <v>1.0318470003323283</v>
      </c>
      <c r="CQ17" s="48">
        <f t="shared" si="53"/>
        <v>1.0393787472565128</v>
      </c>
      <c r="CS17" s="316">
        <v>1991</v>
      </c>
      <c r="CT17" s="46">
        <f t="shared" si="97"/>
        <v>11962.233401091853</v>
      </c>
      <c r="CU17" s="46">
        <f t="shared" si="98"/>
        <v>470.35979137954973</v>
      </c>
      <c r="CV17" s="46">
        <f t="shared" si="99"/>
        <v>12128.314205041021</v>
      </c>
      <c r="CW17" s="46">
        <f t="shared" si="100"/>
        <v>2029.7737897325196</v>
      </c>
      <c r="CX17" s="46">
        <f t="shared" si="101"/>
        <v>1452.8541883996077</v>
      </c>
      <c r="CY17" s="46">
        <f t="shared" si="102"/>
        <v>-1456.1607807136388</v>
      </c>
      <c r="CZ17" s="37"/>
      <c r="DA17" s="316">
        <v>1991</v>
      </c>
      <c r="DB17" s="46">
        <f t="shared" si="103"/>
        <v>20025.237826644043</v>
      </c>
      <c r="DC17" s="46">
        <f t="shared" si="104"/>
        <v>900.00789193620039</v>
      </c>
      <c r="DD17" s="46">
        <f t="shared" si="105"/>
        <v>17318.155470090631</v>
      </c>
      <c r="DE17" s="46">
        <f t="shared" si="106"/>
        <v>3906.418159013404</v>
      </c>
      <c r="DF17" s="46">
        <f t="shared" si="107"/>
        <v>4448.1038951247501</v>
      </c>
      <c r="DG17" s="46">
        <f t="shared" si="108"/>
        <v>8835.1725813985722</v>
      </c>
      <c r="DI17" s="316">
        <v>1991</v>
      </c>
      <c r="DJ17" s="88">
        <f t="shared" si="56"/>
        <v>3.9110127588202322E-2</v>
      </c>
      <c r="DK17" s="88">
        <f t="shared" si="57"/>
        <v>3.0613661790308725E-2</v>
      </c>
      <c r="DL17" s="88">
        <f t="shared" si="58"/>
        <v>6.7443584467178158E-2</v>
      </c>
      <c r="DM17" s="88">
        <f t="shared" si="59"/>
        <v>5.3252832243012221E-2</v>
      </c>
      <c r="DN17" s="88">
        <f t="shared" si="60"/>
        <v>1.1210414454657629E-2</v>
      </c>
      <c r="DO17" s="88">
        <f t="shared" si="61"/>
        <v>-4.1147136471053822E-3</v>
      </c>
      <c r="DP17" s="37"/>
      <c r="DQ17" s="316">
        <v>1991</v>
      </c>
      <c r="DR17" s="88">
        <f t="shared" si="62"/>
        <v>6.0102156575655895E-2</v>
      </c>
      <c r="DS17" s="88">
        <f t="shared" si="63"/>
        <v>5.2847891060700029E-2</v>
      </c>
      <c r="DT17" s="88">
        <f t="shared" si="64"/>
        <v>9.1551892275867741E-2</v>
      </c>
      <c r="DU17" s="88">
        <f t="shared" si="65"/>
        <v>9.3920848188273898E-2</v>
      </c>
      <c r="DV17" s="88">
        <f t="shared" si="66"/>
        <v>3.2588949708049986E-2</v>
      </c>
      <c r="DW17" s="88">
        <f t="shared" si="67"/>
        <v>2.2145642052592202E-2</v>
      </c>
      <c r="DY17" s="316">
        <v>1991</v>
      </c>
      <c r="DZ17" s="61">
        <v>491418.9</v>
      </c>
      <c r="EA17" s="61">
        <v>439813.6</v>
      </c>
      <c r="EB17" s="89">
        <v>2.4</v>
      </c>
      <c r="EC17" s="46">
        <f t="shared" si="35"/>
        <v>479901.26953125</v>
      </c>
      <c r="ED17" s="46">
        <f t="shared" si="36"/>
        <v>429505.46874999994</v>
      </c>
      <c r="EF17" s="316">
        <v>1991</v>
      </c>
      <c r="EG17" s="88">
        <f t="shared" si="68"/>
        <v>5.9741690535971559E-2</v>
      </c>
      <c r="EH17" s="88">
        <f t="shared" si="69"/>
        <v>2.3547361354110076E-3</v>
      </c>
      <c r="EI17" s="88">
        <f t="shared" si="70"/>
        <v>5.5877618445438829E-2</v>
      </c>
      <c r="EJ17" s="88">
        <f t="shared" si="71"/>
        <v>8.3928811825776106E-3</v>
      </c>
      <c r="EK17" s="88">
        <f t="shared" si="72"/>
        <v>2.4298125572982006E-2</v>
      </c>
      <c r="EL17" s="88">
        <f t="shared" si="73"/>
        <v>4.3929246846925944E-2</v>
      </c>
      <c r="EM17" s="140"/>
      <c r="EN17" s="316">
        <v>1991</v>
      </c>
      <c r="EO17" s="88">
        <f t="shared" si="74"/>
        <v>7.1954162039693709E-2</v>
      </c>
      <c r="EP17" s="88">
        <f t="shared" si="75"/>
        <v>2.9108071520611628E-3</v>
      </c>
      <c r="EQ17" s="88">
        <f t="shared" si="76"/>
        <v>6.5088257219601792E-2</v>
      </c>
      <c r="ER17" s="88">
        <f t="shared" si="77"/>
        <v>1.168331908759975E-2</v>
      </c>
      <c r="ES17" s="88">
        <f t="shared" si="78"/>
        <v>2.8368403909164088E-2</v>
      </c>
      <c r="ET17" s="88">
        <f t="shared" si="79"/>
        <v>5.5222603829860037E-2</v>
      </c>
      <c r="EV17" s="316">
        <v>1991</v>
      </c>
      <c r="EW17" s="88">
        <f t="shared" si="80"/>
        <v>0.67358899205969491</v>
      </c>
      <c r="EX17" s="88">
        <f t="shared" si="81"/>
        <v>3.3446832598986384E-2</v>
      </c>
      <c r="EY17" s="88">
        <f t="shared" si="82"/>
        <v>0.40666704479593196</v>
      </c>
      <c r="EZ17" s="88">
        <f t="shared" si="83"/>
        <v>8.3788978191063179E-2</v>
      </c>
      <c r="FA17" s="88">
        <f t="shared" si="84"/>
        <v>0.29190653990845306</v>
      </c>
      <c r="FB17" s="88">
        <f t="shared" si="85"/>
        <v>0.78544276849799732</v>
      </c>
      <c r="FD17" s="316">
        <v>1991</v>
      </c>
      <c r="FE17" s="88">
        <f t="shared" si="86"/>
        <v>0.80280202057280725</v>
      </c>
      <c r="FF17" s="88">
        <f t="shared" si="87"/>
        <v>4.0535832806561388E-2</v>
      </c>
      <c r="FG17" s="88">
        <f t="shared" si="88"/>
        <v>0.46674778141435308</v>
      </c>
      <c r="FH17" s="88">
        <f t="shared" si="89"/>
        <v>9.9707059124477512E-2</v>
      </c>
      <c r="FI17" s="88">
        <f t="shared" si="90"/>
        <v>0.33647971235629254</v>
      </c>
      <c r="FJ17" s="88">
        <f t="shared" si="91"/>
        <v>0.96485406313660516</v>
      </c>
      <c r="FL17" s="316">
        <v>1991</v>
      </c>
      <c r="FM17" s="317">
        <f t="shared" si="92"/>
        <v>124043</v>
      </c>
      <c r="FN17" s="61">
        <v>21904</v>
      </c>
      <c r="FO17" s="61">
        <v>86557</v>
      </c>
      <c r="FP17" s="61">
        <v>15582</v>
      </c>
      <c r="FQ17" s="88">
        <f t="shared" si="93"/>
        <v>0.17658392654160252</v>
      </c>
      <c r="FR17" s="88">
        <f t="shared" si="94"/>
        <v>0.69779834412260267</v>
      </c>
      <c r="FS17" s="88">
        <f t="shared" si="95"/>
        <v>0.12561772933579485</v>
      </c>
      <c r="FT17" s="88">
        <f t="shared" si="109"/>
        <v>-5.7931889488029575E-3</v>
      </c>
      <c r="FU17" s="88">
        <f t="shared" si="110"/>
        <v>9.4043388735043365E-4</v>
      </c>
      <c r="FV17" s="88">
        <f t="shared" si="111"/>
        <v>4.8527550614525516E-3</v>
      </c>
      <c r="FX17" s="316">
        <v>1991</v>
      </c>
      <c r="FY17" s="159">
        <v>6.3770000000000021E-2</v>
      </c>
      <c r="FZ17" s="62">
        <v>3.3000000000000002E-2</v>
      </c>
      <c r="GA17" s="319">
        <f t="shared" si="112"/>
        <v>3.077000000000002E-2</v>
      </c>
      <c r="GC17" s="302">
        <f t="shared" si="113"/>
        <v>-2.1067809883956734E-4</v>
      </c>
      <c r="GD17" s="302">
        <f t="shared" si="114"/>
        <v>7.5378094795308659E-4</v>
      </c>
      <c r="GE17" s="302">
        <f t="shared" si="115"/>
        <v>2.2201176048118922E-3</v>
      </c>
    </row>
    <row r="18" spans="1:187">
      <c r="A18" s="316">
        <v>1992</v>
      </c>
      <c r="B18" s="61">
        <v>295838.5</v>
      </c>
      <c r="C18" s="61">
        <v>17709.900000000001</v>
      </c>
      <c r="D18" s="61">
        <v>179126</v>
      </c>
      <c r="E18" s="61">
        <v>38823.5</v>
      </c>
      <c r="F18" s="61">
        <v>148370.4</v>
      </c>
      <c r="G18" s="61">
        <v>379254.6</v>
      </c>
      <c r="I18" s="316">
        <v>1992</v>
      </c>
      <c r="J18" s="61">
        <v>298293.59999999998</v>
      </c>
      <c r="K18" s="61">
        <v>18116.900000000001</v>
      </c>
      <c r="L18" s="61">
        <v>177148.79999999999</v>
      </c>
      <c r="M18" s="61">
        <v>39202.800000000003</v>
      </c>
      <c r="N18" s="61">
        <v>148629.9</v>
      </c>
      <c r="O18" s="61">
        <v>393822.9</v>
      </c>
      <c r="Q18" s="316">
        <v>1992</v>
      </c>
      <c r="R18" s="46">
        <f t="shared" si="0"/>
        <v>335447.07214560808</v>
      </c>
      <c r="S18" s="46">
        <f t="shared" si="1"/>
        <v>16512.619639712568</v>
      </c>
      <c r="T18" s="46">
        <f t="shared" si="2"/>
        <v>202870.83524314302</v>
      </c>
      <c r="U18" s="46">
        <f t="shared" si="3"/>
        <v>42174.833612310948</v>
      </c>
      <c r="V18" s="46">
        <f t="shared" si="4"/>
        <v>147019.09756608357</v>
      </c>
      <c r="W18" s="46">
        <f t="shared" si="5"/>
        <v>394441.19824881444</v>
      </c>
      <c r="Y18" s="316">
        <v>1992</v>
      </c>
      <c r="Z18" s="46">
        <f t="shared" si="6"/>
        <v>354182.31408543466</v>
      </c>
      <c r="AA18" s="46">
        <f t="shared" si="7"/>
        <v>17835.655557919981</v>
      </c>
      <c r="AB18" s="46">
        <f t="shared" si="8"/>
        <v>208396.55272995154</v>
      </c>
      <c r="AC18" s="46">
        <f t="shared" si="9"/>
        <v>44930.583218170294</v>
      </c>
      <c r="AD18" s="46">
        <f t="shared" si="10"/>
        <v>151957.33590580124</v>
      </c>
      <c r="AE18" s="46">
        <f t="shared" si="11"/>
        <v>433032.83444835339</v>
      </c>
      <c r="AG18" s="316">
        <v>1992</v>
      </c>
      <c r="AH18" s="48">
        <f t="shared" si="12"/>
        <v>0.94710283039342469</v>
      </c>
      <c r="AI18" s="48">
        <f t="shared" si="13"/>
        <v>0.92582072949822614</v>
      </c>
      <c r="AJ18" s="48">
        <f t="shared" si="14"/>
        <v>0.9734846022430661</v>
      </c>
      <c r="AK18" s="48">
        <f t="shared" si="15"/>
        <v>0.93866650712103605</v>
      </c>
      <c r="AL18" s="48">
        <f t="shared" si="16"/>
        <v>0.96750246830611131</v>
      </c>
      <c r="AM18" s="48">
        <f t="shared" si="17"/>
        <v>0.91088057733843353</v>
      </c>
      <c r="AO18" s="316">
        <v>1992</v>
      </c>
      <c r="AP18" s="48">
        <f t="shared" si="41"/>
        <v>1.01024662742963</v>
      </c>
      <c r="AQ18" s="48">
        <f t="shared" si="42"/>
        <v>1.004217541190886</v>
      </c>
      <c r="AR18" s="48">
        <f t="shared" si="43"/>
        <v>0.99997505927706964</v>
      </c>
      <c r="AS18" s="48">
        <f t="shared" si="44"/>
        <v>0.99969411079989023</v>
      </c>
      <c r="AT18" s="48">
        <f t="shared" si="45"/>
        <v>0.99812271621260695</v>
      </c>
      <c r="AU18" s="48">
        <f t="shared" si="46"/>
        <v>1.0014409019674146</v>
      </c>
      <c r="AW18" s="316">
        <v>1992</v>
      </c>
      <c r="AX18" s="61">
        <v>24523</v>
      </c>
      <c r="AY18" s="61">
        <v>1238.4000000000001</v>
      </c>
      <c r="AZ18" s="61">
        <v>20091.2</v>
      </c>
      <c r="BA18" s="61">
        <v>4658.8</v>
      </c>
      <c r="BB18" s="61">
        <v>11203.4</v>
      </c>
      <c r="BC18" s="61">
        <v>25372.3</v>
      </c>
      <c r="BE18" s="316">
        <v>1992</v>
      </c>
      <c r="BF18" s="61">
        <v>25011.4</v>
      </c>
      <c r="BG18" s="61">
        <v>1279.0999999999999</v>
      </c>
      <c r="BH18" s="61">
        <v>19895.599999999999</v>
      </c>
      <c r="BI18" s="61">
        <v>5372.6</v>
      </c>
      <c r="BJ18" s="61">
        <v>11216.6</v>
      </c>
      <c r="BK18" s="61">
        <v>26470</v>
      </c>
      <c r="BM18" s="316">
        <v>1992</v>
      </c>
      <c r="BN18" s="46">
        <f t="shared" si="47"/>
        <v>28090.388405840607</v>
      </c>
      <c r="BO18" s="46">
        <f t="shared" si="18"/>
        <v>1228.5915847535537</v>
      </c>
      <c r="BP18" s="46">
        <f t="shared" si="19"/>
        <v>25090.647383519638</v>
      </c>
      <c r="BQ18" s="46">
        <f t="shared" si="20"/>
        <v>5105.8512314255677</v>
      </c>
      <c r="BR18" s="46">
        <f t="shared" si="21"/>
        <v>11485.875990899793</v>
      </c>
      <c r="BS18" s="46">
        <f t="shared" si="22"/>
        <v>25149.624437849361</v>
      </c>
      <c r="BU18" s="316">
        <v>1992</v>
      </c>
      <c r="BV18" s="46">
        <f t="shared" si="23"/>
        <v>29821.349675368594</v>
      </c>
      <c r="BW18" s="46">
        <f t="shared" si="24"/>
        <v>1342.1194176097154</v>
      </c>
      <c r="BX18" s="46">
        <f t="shared" si="25"/>
        <v>25810.525819972492</v>
      </c>
      <c r="BY18" s="46">
        <f t="shared" si="26"/>
        <v>6277.8878377425044</v>
      </c>
      <c r="BZ18" s="46">
        <f t="shared" si="27"/>
        <v>11876.655749477228</v>
      </c>
      <c r="CA18" s="46">
        <f t="shared" si="28"/>
        <v>27879.433191811568</v>
      </c>
      <c r="CC18" s="316">
        <v>1992</v>
      </c>
      <c r="CD18" s="48">
        <f t="shared" si="29"/>
        <v>0.94195563620121125</v>
      </c>
      <c r="CE18" s="48">
        <f t="shared" si="30"/>
        <v>0.91541152645093815</v>
      </c>
      <c r="CF18" s="48">
        <f t="shared" si="31"/>
        <v>0.97210911387571175</v>
      </c>
      <c r="CG18" s="48">
        <f t="shared" si="32"/>
        <v>0.81330717645659711</v>
      </c>
      <c r="CH18" s="48">
        <f t="shared" si="33"/>
        <v>0.9670968185977239</v>
      </c>
      <c r="CI18" s="48">
        <f t="shared" si="34"/>
        <v>0.90208521331186975</v>
      </c>
      <c r="CK18" s="316">
        <v>1992</v>
      </c>
      <c r="CL18" s="48">
        <f t="shared" si="48"/>
        <v>1.015373115463138</v>
      </c>
      <c r="CM18" s="48">
        <f t="shared" si="49"/>
        <v>1.0127549173753536</v>
      </c>
      <c r="CN18" s="48">
        <f t="shared" si="50"/>
        <v>1.0134365641259038</v>
      </c>
      <c r="CO18" s="48">
        <f t="shared" si="51"/>
        <v>1.0132732245859233</v>
      </c>
      <c r="CP18" s="48">
        <f t="shared" si="52"/>
        <v>1.0105292373371115</v>
      </c>
      <c r="CQ18" s="48">
        <f t="shared" si="53"/>
        <v>1.0149098935535574</v>
      </c>
      <c r="CS18" s="316">
        <v>1992</v>
      </c>
      <c r="CT18" s="46">
        <f t="shared" si="97"/>
        <v>15899.528691955198</v>
      </c>
      <c r="CU18" s="46">
        <f t="shared" si="98"/>
        <v>767.14937109374955</v>
      </c>
      <c r="CV18" s="46">
        <f t="shared" si="99"/>
        <v>17379.843214466076</v>
      </c>
      <c r="CW18" s="46">
        <f t="shared" si="100"/>
        <v>3141.454625732058</v>
      </c>
      <c r="CX18" s="46">
        <f t="shared" si="101"/>
        <v>4553.0975113573259</v>
      </c>
      <c r="CY18" s="46">
        <f t="shared" si="102"/>
        <v>7643.4079353635061</v>
      </c>
      <c r="CZ18" s="37"/>
      <c r="DA18" s="316">
        <v>1992</v>
      </c>
      <c r="DB18" s="46">
        <f t="shared" si="103"/>
        <v>20446.893749504601</v>
      </c>
      <c r="DC18" s="46">
        <f t="shared" si="104"/>
        <v>916.82573044350943</v>
      </c>
      <c r="DD18" s="46">
        <f t="shared" si="105"/>
        <v>17884.697734415196</v>
      </c>
      <c r="DE18" s="46">
        <f t="shared" si="106"/>
        <v>4172.0317865148809</v>
      </c>
      <c r="DF18" s="46">
        <f t="shared" si="107"/>
        <v>4439.1964241305686</v>
      </c>
      <c r="DG18" s="46">
        <f t="shared" si="108"/>
        <v>9256.6954062878103</v>
      </c>
      <c r="DI18" s="316">
        <v>1992</v>
      </c>
      <c r="DJ18" s="88">
        <f t="shared" si="56"/>
        <v>4.9185531725282637E-2</v>
      </c>
      <c r="DK18" s="88">
        <f t="shared" si="57"/>
        <v>4.7793962444685506E-2</v>
      </c>
      <c r="DL18" s="88">
        <f t="shared" si="58"/>
        <v>8.9054316700062877E-2</v>
      </c>
      <c r="DM18" s="88">
        <f t="shared" si="59"/>
        <v>7.8125354002371777E-2</v>
      </c>
      <c r="DN18" s="88">
        <f t="shared" si="60"/>
        <v>3.2502085435941533E-2</v>
      </c>
      <c r="DO18" s="88">
        <f t="shared" si="61"/>
        <v>2.0277788758028836E-2</v>
      </c>
      <c r="DP18" s="37"/>
      <c r="DQ18" s="316">
        <v>1992</v>
      </c>
      <c r="DR18" s="88">
        <f t="shared" si="62"/>
        <v>5.929938447064672E-2</v>
      </c>
      <c r="DS18" s="88">
        <f t="shared" si="63"/>
        <v>5.2659774521034458E-2</v>
      </c>
      <c r="DT18" s="88">
        <f t="shared" si="64"/>
        <v>8.9213513674577846E-2</v>
      </c>
      <c r="DU18" s="88">
        <f t="shared" si="65"/>
        <v>9.7421094365672034E-2</v>
      </c>
      <c r="DV18" s="88">
        <f t="shared" si="66"/>
        <v>3.0716857287511289E-2</v>
      </c>
      <c r="DW18" s="88">
        <f t="shared" si="67"/>
        <v>2.2337041208286966E-2</v>
      </c>
      <c r="DY18" s="316">
        <v>1992</v>
      </c>
      <c r="DZ18" s="61">
        <v>504161.2</v>
      </c>
      <c r="EA18" s="61">
        <v>443774.5</v>
      </c>
      <c r="EB18" s="89">
        <v>0.8</v>
      </c>
      <c r="EC18" s="46">
        <f t="shared" si="35"/>
        <v>500159.92063492065</v>
      </c>
      <c r="ED18" s="46">
        <f t="shared" si="36"/>
        <v>440252.48015873018</v>
      </c>
      <c r="EF18" s="316">
        <v>1992</v>
      </c>
      <c r="EG18" s="88">
        <f t="shared" si="68"/>
        <v>5.5717077009973408E-2</v>
      </c>
      <c r="EH18" s="88">
        <f t="shared" si="69"/>
        <v>2.436902293856714E-3</v>
      </c>
      <c r="EI18" s="88">
        <f t="shared" si="70"/>
        <v>4.9767112946255361E-2</v>
      </c>
      <c r="EJ18" s="88">
        <f t="shared" si="71"/>
        <v>1.0127418038963665E-2</v>
      </c>
      <c r="EK18" s="88">
        <f t="shared" si="72"/>
        <v>2.2782149818152988E-2</v>
      </c>
      <c r="EL18" s="88">
        <f t="shared" si="73"/>
        <v>4.9884093495987714E-2</v>
      </c>
      <c r="EM18" s="140"/>
      <c r="EN18" s="316">
        <v>1992</v>
      </c>
      <c r="EO18" s="88">
        <f t="shared" si="74"/>
        <v>6.7199331361690665E-2</v>
      </c>
      <c r="EP18" s="88">
        <f t="shared" si="75"/>
        <v>3.0243274852649609E-3</v>
      </c>
      <c r="EQ18" s="88">
        <f t="shared" si="76"/>
        <v>5.816135406602338E-2</v>
      </c>
      <c r="ER18" s="88">
        <f t="shared" si="77"/>
        <v>1.4146571823623269E-2</v>
      </c>
      <c r="ES18" s="88">
        <f t="shared" si="78"/>
        <v>2.67628170376559E-2</v>
      </c>
      <c r="ET18" s="88">
        <f t="shared" si="79"/>
        <v>6.2823423139030221E-2</v>
      </c>
      <c r="EV18" s="316">
        <v>1992</v>
      </c>
      <c r="EW18" s="88">
        <f t="shared" si="80"/>
        <v>0.67067963326565583</v>
      </c>
      <c r="EX18" s="88">
        <f t="shared" si="81"/>
        <v>3.3014679822307366E-2</v>
      </c>
      <c r="EY18" s="88">
        <f t="shared" si="82"/>
        <v>0.40561193904863796</v>
      </c>
      <c r="EZ18" s="88">
        <f t="shared" si="83"/>
        <v>8.4322697346026293E-2</v>
      </c>
      <c r="FA18" s="88">
        <f t="shared" si="84"/>
        <v>0.29394417965248465</v>
      </c>
      <c r="FB18" s="88">
        <f t="shared" si="85"/>
        <v>0.7886301600258111</v>
      </c>
      <c r="FD18" s="316">
        <v>1992</v>
      </c>
      <c r="FE18" s="88">
        <f t="shared" si="86"/>
        <v>0.8044981687729198</v>
      </c>
      <c r="FF18" s="88">
        <f t="shared" si="87"/>
        <v>4.0512334084953826E-2</v>
      </c>
      <c r="FG18" s="88">
        <f t="shared" si="88"/>
        <v>0.47335690796066726</v>
      </c>
      <c r="FH18" s="88">
        <f t="shared" si="89"/>
        <v>0.10205640000476741</v>
      </c>
      <c r="FI18" s="88">
        <f t="shared" si="90"/>
        <v>0.34515952266984168</v>
      </c>
      <c r="FJ18" s="88">
        <f t="shared" si="91"/>
        <v>0.98360112427356727</v>
      </c>
      <c r="FL18" s="316">
        <v>1992</v>
      </c>
      <c r="FM18" s="317">
        <f t="shared" si="92"/>
        <v>124451</v>
      </c>
      <c r="FN18" s="61">
        <v>21364</v>
      </c>
      <c r="FO18" s="61">
        <v>86845</v>
      </c>
      <c r="FP18" s="61">
        <v>16242</v>
      </c>
      <c r="FQ18" s="88">
        <f t="shared" si="93"/>
        <v>0.17166595688262851</v>
      </c>
      <c r="FR18" s="88">
        <f t="shared" si="94"/>
        <v>0.69782484672682421</v>
      </c>
      <c r="FS18" s="88">
        <f t="shared" si="95"/>
        <v>0.13050919639054728</v>
      </c>
      <c r="FT18" s="88">
        <f t="shared" si="109"/>
        <v>-4.9179696589740085E-3</v>
      </c>
      <c r="FU18" s="88">
        <f t="shared" si="110"/>
        <v>2.6502604221545489E-5</v>
      </c>
      <c r="FV18" s="88">
        <f t="shared" si="111"/>
        <v>4.8914670547524353E-3</v>
      </c>
      <c r="FX18" s="316">
        <v>1992</v>
      </c>
      <c r="FY18" s="159">
        <v>5.3482348178137684E-2</v>
      </c>
      <c r="FZ18" s="62">
        <v>2.5000000000000001E-2</v>
      </c>
      <c r="GA18" s="319">
        <f t="shared" si="112"/>
        <v>2.8482348178137683E-2</v>
      </c>
      <c r="GC18" s="302">
        <f t="shared" si="113"/>
        <v>-1.6030362036102308E-2</v>
      </c>
      <c r="GD18" s="302">
        <f t="shared" si="114"/>
        <v>1.1441461854123036E-2</v>
      </c>
      <c r="GE18" s="302">
        <f t="shared" si="115"/>
        <v>2.8615026672179772E-3</v>
      </c>
    </row>
    <row r="19" spans="1:187">
      <c r="A19" s="316">
        <v>1993</v>
      </c>
      <c r="B19" s="61">
        <v>307163.5</v>
      </c>
      <c r="C19" s="61">
        <v>18384.2</v>
      </c>
      <c r="D19" s="61">
        <v>179014.8</v>
      </c>
      <c r="E19" s="61">
        <v>40578.300000000003</v>
      </c>
      <c r="F19" s="61">
        <v>161304.20000000001</v>
      </c>
      <c r="G19" s="61">
        <v>387212.1</v>
      </c>
      <c r="I19" s="316">
        <v>1993</v>
      </c>
      <c r="J19" s="61">
        <v>305995.59999999998</v>
      </c>
      <c r="K19" s="61">
        <v>18701.599999999999</v>
      </c>
      <c r="L19" s="61">
        <v>178080.7</v>
      </c>
      <c r="M19" s="61">
        <v>41237.699999999997</v>
      </c>
      <c r="N19" s="61">
        <v>164049.70000000001</v>
      </c>
      <c r="O19" s="61">
        <v>403440</v>
      </c>
      <c r="Q19" s="316">
        <v>1993</v>
      </c>
      <c r="R19" s="46">
        <f t="shared" ref="R19:W19" si="116">B19/B$20*R$20</f>
        <v>348288.32875030633</v>
      </c>
      <c r="S19" s="46">
        <f t="shared" si="116"/>
        <v>17141.333490330482</v>
      </c>
      <c r="T19" s="46">
        <f t="shared" si="116"/>
        <v>202744.89463776446</v>
      </c>
      <c r="U19" s="46">
        <f t="shared" si="116"/>
        <v>44081.111975232459</v>
      </c>
      <c r="V19" s="46">
        <f t="shared" si="116"/>
        <v>159835.10132492101</v>
      </c>
      <c r="W19" s="46">
        <f t="shared" si="116"/>
        <v>402717.34265171667</v>
      </c>
      <c r="Y19" s="316">
        <v>1993</v>
      </c>
      <c r="Z19" s="46">
        <f t="shared" ref="Z19:AE19" si="117">J19/J$20*Z$20</f>
        <v>363327.37178391038</v>
      </c>
      <c r="AA19" s="46">
        <f t="shared" si="117"/>
        <v>18411.278749785906</v>
      </c>
      <c r="AB19" s="46">
        <f t="shared" si="117"/>
        <v>209492.83307443623</v>
      </c>
      <c r="AC19" s="46">
        <f t="shared" si="117"/>
        <v>47262.795299721976</v>
      </c>
      <c r="AD19" s="46">
        <f t="shared" si="117"/>
        <v>167722.34502038907</v>
      </c>
      <c r="AE19" s="46">
        <f t="shared" si="117"/>
        <v>443607.43554994813</v>
      </c>
      <c r="AG19" s="316">
        <v>1993</v>
      </c>
      <c r="AH19" s="48">
        <f t="shared" si="12"/>
        <v>0.95860745927353763</v>
      </c>
      <c r="AI19" s="48">
        <f t="shared" si="13"/>
        <v>0.93102351679563855</v>
      </c>
      <c r="AJ19" s="48">
        <f t="shared" si="14"/>
        <v>0.96778916807013571</v>
      </c>
      <c r="AK19" s="48">
        <f t="shared" si="15"/>
        <v>0.93268101676355497</v>
      </c>
      <c r="AL19" s="48">
        <f t="shared" si="16"/>
        <v>0.95297440126711053</v>
      </c>
      <c r="AM19" s="48">
        <f t="shared" si="17"/>
        <v>0.90782369811376296</v>
      </c>
      <c r="AO19" s="316">
        <v>1993</v>
      </c>
      <c r="AP19" s="48">
        <f t="shared" si="41"/>
        <v>1.0121471803387325</v>
      </c>
      <c r="AQ19" s="48">
        <f t="shared" si="42"/>
        <v>1.0056196487415356</v>
      </c>
      <c r="AR19" s="48">
        <f t="shared" si="43"/>
        <v>0.99414943578993731</v>
      </c>
      <c r="AS19" s="48">
        <f t="shared" si="44"/>
        <v>0.99362341117737429</v>
      </c>
      <c r="AT19" s="48">
        <f t="shared" si="45"/>
        <v>0.98498394834647163</v>
      </c>
      <c r="AU19" s="48">
        <f t="shared" si="46"/>
        <v>0.99664403951437552</v>
      </c>
      <c r="AW19" s="316">
        <v>1993</v>
      </c>
      <c r="AX19" s="61">
        <v>25036.9</v>
      </c>
      <c r="AY19" s="61">
        <v>1411.3</v>
      </c>
      <c r="AZ19" s="61">
        <v>14379.8</v>
      </c>
      <c r="BA19" s="61">
        <v>5297.6</v>
      </c>
      <c r="BB19" s="61">
        <v>11178.2</v>
      </c>
      <c r="BC19" s="61">
        <v>26978</v>
      </c>
      <c r="BE19" s="316">
        <v>1993</v>
      </c>
      <c r="BF19" s="61">
        <v>25127</v>
      </c>
      <c r="BG19" s="61">
        <v>1447</v>
      </c>
      <c r="BH19" s="61">
        <v>14290.6</v>
      </c>
      <c r="BI19" s="61">
        <v>6132.3</v>
      </c>
      <c r="BJ19" s="61">
        <v>11316.7</v>
      </c>
      <c r="BK19" s="61">
        <v>28140.9</v>
      </c>
      <c r="BM19" s="316">
        <v>1993</v>
      </c>
      <c r="BN19" s="46">
        <f>AX19/AX$20*BN$20</f>
        <v>28679.046017134558</v>
      </c>
      <c r="BO19" s="46">
        <f t="shared" si="18"/>
        <v>1400.1221766494593</v>
      </c>
      <c r="BP19" s="46">
        <f t="shared" si="19"/>
        <v>17958.035918488476</v>
      </c>
      <c r="BQ19" s="46">
        <f t="shared" si="20"/>
        <v>5805.9494899115853</v>
      </c>
      <c r="BR19" s="46">
        <f t="shared" si="21"/>
        <v>11460.040612802903</v>
      </c>
      <c r="BS19" s="46">
        <f t="shared" si="22"/>
        <v>26741.232292078374</v>
      </c>
      <c r="BU19" s="316">
        <v>1993</v>
      </c>
      <c r="BV19" s="46">
        <f>BF19/BF$20*BV$20</f>
        <v>29959.180745299607</v>
      </c>
      <c r="BW19" s="46">
        <f t="shared" si="24"/>
        <v>1518.2916091636764</v>
      </c>
      <c r="BX19" s="46">
        <f t="shared" si="25"/>
        <v>18539.169478824413</v>
      </c>
      <c r="BY19" s="46">
        <f t="shared" si="26"/>
        <v>7165.5979576719574</v>
      </c>
      <c r="BZ19" s="46">
        <f t="shared" si="27"/>
        <v>11982.646267149486</v>
      </c>
      <c r="CA19" s="46">
        <f t="shared" si="28"/>
        <v>29639.302663673981</v>
      </c>
      <c r="CC19" s="316">
        <v>1993</v>
      </c>
      <c r="CD19" s="48">
        <f t="shared" si="29"/>
        <v>0.95727070312608953</v>
      </c>
      <c r="CE19" s="48">
        <f t="shared" si="30"/>
        <v>0.92216947534913363</v>
      </c>
      <c r="CF19" s="48">
        <f t="shared" si="31"/>
        <v>0.96865374357790346</v>
      </c>
      <c r="CG19" s="48">
        <f t="shared" si="32"/>
        <v>0.81025331370920084</v>
      </c>
      <c r="CH19" s="48">
        <f t="shared" si="33"/>
        <v>0.95638645732376237</v>
      </c>
      <c r="CI19" s="48">
        <f t="shared" si="34"/>
        <v>0.90222204602851563</v>
      </c>
      <c r="CK19" s="316">
        <v>1993</v>
      </c>
      <c r="CL19" s="48">
        <f t="shared" si="48"/>
        <v>1.0162587985424048</v>
      </c>
      <c r="CM19" s="48">
        <f t="shared" si="49"/>
        <v>1.0073824162171041</v>
      </c>
      <c r="CN19" s="48">
        <f t="shared" si="50"/>
        <v>0.9964454913049503</v>
      </c>
      <c r="CO19" s="48">
        <f t="shared" si="51"/>
        <v>0.99624512996343972</v>
      </c>
      <c r="CP19" s="48">
        <f t="shared" si="52"/>
        <v>0.98892524402107806</v>
      </c>
      <c r="CQ19" s="48">
        <f t="shared" si="53"/>
        <v>1.0001516849124967</v>
      </c>
      <c r="CS19" s="316">
        <v>1993</v>
      </c>
      <c r="CT19" s="46">
        <f t="shared" si="97"/>
        <v>15837.789412436305</v>
      </c>
      <c r="CU19" s="46">
        <f t="shared" si="98"/>
        <v>771.4083260315449</v>
      </c>
      <c r="CV19" s="46">
        <f t="shared" si="99"/>
        <v>18083.976523867041</v>
      </c>
      <c r="CW19" s="46">
        <f t="shared" si="100"/>
        <v>3899.6711269900734</v>
      </c>
      <c r="CX19" s="46">
        <f t="shared" si="101"/>
        <v>-1355.9631460345372</v>
      </c>
      <c r="CY19" s="46">
        <f t="shared" si="102"/>
        <v>18465.087889176149</v>
      </c>
      <c r="CZ19" s="37"/>
      <c r="DA19" s="316">
        <v>1993</v>
      </c>
      <c r="DB19" s="46">
        <f t="shared" si="103"/>
        <v>20814.123046823886</v>
      </c>
      <c r="DC19" s="46">
        <f t="shared" si="104"/>
        <v>942.66841729775138</v>
      </c>
      <c r="DD19" s="46">
        <f t="shared" si="105"/>
        <v>17442.889134339719</v>
      </c>
      <c r="DE19" s="46">
        <f t="shared" si="106"/>
        <v>4833.3858761202746</v>
      </c>
      <c r="DF19" s="46">
        <f t="shared" si="107"/>
        <v>-3782.3628474383386</v>
      </c>
      <c r="DG19" s="46">
        <f t="shared" si="108"/>
        <v>19064.701562079237</v>
      </c>
      <c r="DI19" s="316">
        <v>1993</v>
      </c>
      <c r="DJ19" s="88">
        <f t="shared" si="56"/>
        <v>4.7213974208013265E-2</v>
      </c>
      <c r="DK19" s="88">
        <f t="shared" si="57"/>
        <v>4.6716289896021168E-2</v>
      </c>
      <c r="DL19" s="88">
        <f t="shared" si="58"/>
        <v>8.914034637947435E-2</v>
      </c>
      <c r="DM19" s="88">
        <f t="shared" si="59"/>
        <v>9.2464410478474271E-2</v>
      </c>
      <c r="DN19" s="88">
        <f t="shared" si="60"/>
        <v>-9.2230408734827515E-3</v>
      </c>
      <c r="DO19" s="88">
        <f t="shared" si="61"/>
        <v>4.6813284137546728E-2</v>
      </c>
      <c r="DP19" s="37"/>
      <c r="DQ19" s="316">
        <v>1993</v>
      </c>
      <c r="DR19" s="88">
        <f t="shared" si="62"/>
        <v>5.8766692234675427E-2</v>
      </c>
      <c r="DS19" s="88">
        <f t="shared" si="63"/>
        <v>5.2853028824003973E-2</v>
      </c>
      <c r="DT19" s="88">
        <f t="shared" si="64"/>
        <v>8.3700468677823575E-2</v>
      </c>
      <c r="DU19" s="88">
        <f t="shared" si="65"/>
        <v>0.1075745189562911</v>
      </c>
      <c r="DV19" s="88">
        <f t="shared" si="66"/>
        <v>-2.489095261437747E-2</v>
      </c>
      <c r="DW19" s="88">
        <f t="shared" si="67"/>
        <v>4.4025995364453202E-2</v>
      </c>
      <c r="DY19" s="316">
        <v>1993</v>
      </c>
      <c r="DZ19" s="61">
        <v>504497.8</v>
      </c>
      <c r="EA19" s="61">
        <v>441736.6</v>
      </c>
      <c r="EB19" s="89">
        <v>-1.7</v>
      </c>
      <c r="EC19" s="46">
        <f t="shared" si="35"/>
        <v>513222.58392675483</v>
      </c>
      <c r="ED19" s="46">
        <f t="shared" si="36"/>
        <v>449375.99186164798</v>
      </c>
      <c r="EF19" s="316">
        <v>1993</v>
      </c>
      <c r="EG19" s="88">
        <f t="shared" si="68"/>
        <v>5.6846721664860697E-2</v>
      </c>
      <c r="EH19" s="88">
        <f t="shared" si="69"/>
        <v>2.7752790530493083E-3</v>
      </c>
      <c r="EI19" s="88">
        <f t="shared" si="70"/>
        <v>3.5595865667775908E-2</v>
      </c>
      <c r="EJ19" s="88">
        <f t="shared" si="71"/>
        <v>1.1508374248433957E-2</v>
      </c>
      <c r="EK19" s="88">
        <f t="shared" si="72"/>
        <v>2.2715739519187008E-2</v>
      </c>
      <c r="EL19" s="88">
        <f t="shared" si="73"/>
        <v>5.3005646986128335E-2</v>
      </c>
      <c r="EM19" s="140"/>
      <c r="EN19" s="316">
        <v>1993</v>
      </c>
      <c r="EO19" s="88">
        <f t="shared" si="74"/>
        <v>6.7821368537946847E-2</v>
      </c>
      <c r="EP19" s="88">
        <f t="shared" si="75"/>
        <v>3.4370971505727089E-3</v>
      </c>
      <c r="EQ19" s="88">
        <f t="shared" si="76"/>
        <v>4.196883273612468E-2</v>
      </c>
      <c r="ER19" s="88">
        <f t="shared" si="77"/>
        <v>1.6221426881249952E-2</v>
      </c>
      <c r="ES19" s="88">
        <f t="shared" si="78"/>
        <v>2.7126224693968051E-2</v>
      </c>
      <c r="ET19" s="88">
        <f t="shared" si="79"/>
        <v>6.7097230937336827E-2</v>
      </c>
      <c r="EV19" s="316">
        <v>1993</v>
      </c>
      <c r="EW19" s="88">
        <f t="shared" si="80"/>
        <v>0.67863016877685323</v>
      </c>
      <c r="EX19" s="88">
        <f t="shared" si="81"/>
        <v>3.3399413874539916E-2</v>
      </c>
      <c r="EY19" s="88">
        <f t="shared" si="82"/>
        <v>0.39504281570489003</v>
      </c>
      <c r="EZ19" s="88">
        <f t="shared" si="83"/>
        <v>8.5890826623334152E-2</v>
      </c>
      <c r="FA19" s="88">
        <f t="shared" si="84"/>
        <v>0.31143427107590432</v>
      </c>
      <c r="FB19" s="88">
        <f t="shared" si="85"/>
        <v>0.78468359589801484</v>
      </c>
      <c r="FD19" s="316">
        <v>1993</v>
      </c>
      <c r="FE19" s="88">
        <f t="shared" si="86"/>
        <v>0.80851531537930954</v>
      </c>
      <c r="FF19" s="88">
        <f t="shared" si="87"/>
        <v>4.0970766314223334E-2</v>
      </c>
      <c r="FG19" s="88">
        <f t="shared" si="88"/>
        <v>0.46618608218601498</v>
      </c>
      <c r="FH19" s="88">
        <f t="shared" si="89"/>
        <v>0.10517427756637486</v>
      </c>
      <c r="FI19" s="88">
        <f t="shared" si="90"/>
        <v>0.37323387999781421</v>
      </c>
      <c r="FJ19" s="88">
        <f t="shared" si="91"/>
        <v>0.9871631853588746</v>
      </c>
      <c r="FL19" s="316">
        <v>1993</v>
      </c>
      <c r="FM19" s="317">
        <f t="shared" si="92"/>
        <v>124764</v>
      </c>
      <c r="FN19" s="61">
        <v>20841</v>
      </c>
      <c r="FO19" s="61">
        <v>87023</v>
      </c>
      <c r="FP19" s="61">
        <v>16900</v>
      </c>
      <c r="FQ19" s="88">
        <f t="shared" si="93"/>
        <v>0.16704337789747042</v>
      </c>
      <c r="FR19" s="88">
        <f t="shared" si="94"/>
        <v>0.69750088166458268</v>
      </c>
      <c r="FS19" s="88">
        <f t="shared" si="95"/>
        <v>0.13545574043794684</v>
      </c>
      <c r="FT19" s="88">
        <f t="shared" si="109"/>
        <v>-4.6225789851580823E-3</v>
      </c>
      <c r="FU19" s="88">
        <f t="shared" si="110"/>
        <v>-3.2396506224152688E-4</v>
      </c>
      <c r="FV19" s="88">
        <f t="shared" si="111"/>
        <v>4.9465440473995537E-3</v>
      </c>
      <c r="FX19" s="316">
        <v>1993</v>
      </c>
      <c r="FY19" s="159">
        <v>4.3461382113821161E-2</v>
      </c>
      <c r="FZ19" s="62">
        <v>0.02</v>
      </c>
      <c r="GA19" s="319">
        <f t="shared" si="112"/>
        <v>2.346138211382116E-2</v>
      </c>
      <c r="GC19" s="302">
        <f t="shared" si="113"/>
        <v>-6.4249686986234122E-3</v>
      </c>
      <c r="GD19" s="302">
        <f t="shared" si="114"/>
        <v>1.4980692302690946E-2</v>
      </c>
      <c r="GE19" s="302">
        <f t="shared" si="115"/>
        <v>3.8238916785514054E-3</v>
      </c>
    </row>
    <row r="20" spans="1:187">
      <c r="A20" s="316">
        <v>1994</v>
      </c>
      <c r="B20" s="61">
        <v>318334</v>
      </c>
      <c r="C20" s="61">
        <v>19023.7</v>
      </c>
      <c r="D20" s="61">
        <v>177181.7</v>
      </c>
      <c r="E20" s="61">
        <v>42297.3</v>
      </c>
      <c r="F20" s="61">
        <v>166168.4</v>
      </c>
      <c r="G20" s="61">
        <v>410533.3</v>
      </c>
      <c r="I20" s="316">
        <v>1994</v>
      </c>
      <c r="J20" s="61">
        <v>314902.59999999998</v>
      </c>
      <c r="K20" s="61">
        <v>19267.099999999999</v>
      </c>
      <c r="L20" s="61">
        <v>176466.5</v>
      </c>
      <c r="M20" s="61">
        <v>43054.9</v>
      </c>
      <c r="N20" s="61">
        <v>168889.7</v>
      </c>
      <c r="O20" s="61">
        <v>423331.7</v>
      </c>
      <c r="Q20" s="316">
        <v>1994</v>
      </c>
      <c r="R20" s="75">
        <v>360954.4</v>
      </c>
      <c r="S20" s="75">
        <v>17737.599999999999</v>
      </c>
      <c r="T20" s="75">
        <v>200668.79999999999</v>
      </c>
      <c r="U20" s="75">
        <v>45948.5</v>
      </c>
      <c r="V20" s="75">
        <v>164655</v>
      </c>
      <c r="W20" s="75">
        <v>426972.4</v>
      </c>
      <c r="Y20" s="316">
        <v>1994</v>
      </c>
      <c r="Z20" s="75">
        <v>373903.2</v>
      </c>
      <c r="AA20" s="75">
        <v>18968</v>
      </c>
      <c r="AB20" s="75">
        <v>207593.9</v>
      </c>
      <c r="AC20" s="75">
        <v>49345.5</v>
      </c>
      <c r="AD20" s="75">
        <v>172670.7</v>
      </c>
      <c r="AE20" s="75">
        <v>465479.6</v>
      </c>
      <c r="AG20" s="316">
        <v>1994</v>
      </c>
      <c r="AH20" s="48">
        <f t="shared" ref="AH20:AM20" si="118">R20/Z20</f>
        <v>0.96536857667973963</v>
      </c>
      <c r="AI20" s="48">
        <f t="shared" si="118"/>
        <v>0.93513285533530144</v>
      </c>
      <c r="AJ20" s="48">
        <f t="shared" si="118"/>
        <v>0.96664111999437363</v>
      </c>
      <c r="AK20" s="48">
        <f t="shared" si="118"/>
        <v>0.93115886960310468</v>
      </c>
      <c r="AL20" s="48">
        <f t="shared" si="118"/>
        <v>0.95357811139932824</v>
      </c>
      <c r="AM20" s="48">
        <f t="shared" si="118"/>
        <v>0.91727414047790723</v>
      </c>
      <c r="AO20" s="316">
        <v>1994</v>
      </c>
      <c r="AP20" s="48">
        <f t="shared" si="41"/>
        <v>1.0070530615433828</v>
      </c>
      <c r="AQ20" s="48">
        <f t="shared" si="42"/>
        <v>1.0044137859737488</v>
      </c>
      <c r="AR20" s="48">
        <f t="shared" si="43"/>
        <v>0.99881374155276881</v>
      </c>
      <c r="AS20" s="48">
        <f t="shared" si="44"/>
        <v>0.99836798741146016</v>
      </c>
      <c r="AT20" s="48">
        <f t="shared" si="45"/>
        <v>1.0006335008909106</v>
      </c>
      <c r="AU20" s="48">
        <f t="shared" si="46"/>
        <v>1.0104099974298755</v>
      </c>
      <c r="AW20" s="316">
        <v>1994</v>
      </c>
      <c r="AX20" s="61">
        <v>26647.9</v>
      </c>
      <c r="AY20" s="61">
        <v>1414.1</v>
      </c>
      <c r="AZ20" s="61">
        <v>12130.8</v>
      </c>
      <c r="BA20" s="61">
        <v>4852.1000000000004</v>
      </c>
      <c r="BB20" s="61">
        <v>9582.2000000000007</v>
      </c>
      <c r="BC20" s="61">
        <v>28337.599999999999</v>
      </c>
      <c r="BE20" s="316">
        <v>1994</v>
      </c>
      <c r="BF20" s="61">
        <v>26614.799999999999</v>
      </c>
      <c r="BG20" s="61">
        <v>1449.2</v>
      </c>
      <c r="BH20" s="61">
        <v>12143.7</v>
      </c>
      <c r="BI20" s="61">
        <v>5670</v>
      </c>
      <c r="BJ20" s="61">
        <v>9803.5</v>
      </c>
      <c r="BK20" s="61">
        <v>29583.200000000001</v>
      </c>
      <c r="BM20" s="316">
        <v>1994</v>
      </c>
      <c r="BN20" s="75">
        <v>30524.400000000001</v>
      </c>
      <c r="BO20" s="75">
        <v>1402.9</v>
      </c>
      <c r="BP20" s="75">
        <v>15149.4</v>
      </c>
      <c r="BQ20" s="75">
        <v>5317.7</v>
      </c>
      <c r="BR20" s="75">
        <v>9823.7999999999993</v>
      </c>
      <c r="BS20" s="75">
        <v>28088.9</v>
      </c>
      <c r="BU20" s="316">
        <v>1994</v>
      </c>
      <c r="BV20" s="75">
        <v>31733.1</v>
      </c>
      <c r="BW20" s="75">
        <v>1520.6</v>
      </c>
      <c r="BX20" s="75">
        <v>15754</v>
      </c>
      <c r="BY20" s="75">
        <v>6625.4</v>
      </c>
      <c r="BZ20" s="75">
        <v>10380.4</v>
      </c>
      <c r="CA20" s="75">
        <v>31158.400000000001</v>
      </c>
      <c r="CC20" s="316">
        <v>1994</v>
      </c>
      <c r="CD20" s="48">
        <f t="shared" ref="CD20:CI20" si="119">BN20/BV20</f>
        <v>0.9619104342153777</v>
      </c>
      <c r="CE20" s="48">
        <f t="shared" si="119"/>
        <v>0.92259634354859932</v>
      </c>
      <c r="CF20" s="48">
        <f t="shared" si="119"/>
        <v>0.96162244509330963</v>
      </c>
      <c r="CG20" s="48">
        <f t="shared" si="119"/>
        <v>0.80262323784224354</v>
      </c>
      <c r="CH20" s="48">
        <f t="shared" si="119"/>
        <v>0.94637971561789525</v>
      </c>
      <c r="CI20" s="48">
        <f t="shared" si="119"/>
        <v>0.90148723939611786</v>
      </c>
      <c r="CK20" s="316">
        <v>1994</v>
      </c>
      <c r="CL20" s="48">
        <f t="shared" si="48"/>
        <v>1.004846832848991</v>
      </c>
      <c r="CM20" s="48">
        <f t="shared" si="49"/>
        <v>1.0004628956074524</v>
      </c>
      <c r="CN20" s="48">
        <f t="shared" si="50"/>
        <v>0.9927411641866758</v>
      </c>
      <c r="CO20" s="48">
        <f t="shared" si="51"/>
        <v>0.99058309822637058</v>
      </c>
      <c r="CP20" s="48">
        <f t="shared" si="52"/>
        <v>0.98953692659568937</v>
      </c>
      <c r="CQ20" s="48">
        <f t="shared" si="53"/>
        <v>0.99918555899223227</v>
      </c>
      <c r="CS20" s="316">
        <v>1994</v>
      </c>
      <c r="CT20" s="46">
        <f t="shared" si="97"/>
        <v>17858.328750306311</v>
      </c>
      <c r="CU20" s="46">
        <f t="shared" si="98"/>
        <v>806.63349033048371</v>
      </c>
      <c r="CV20" s="46">
        <f t="shared" si="99"/>
        <v>17225.494637764474</v>
      </c>
      <c r="CW20" s="46">
        <f t="shared" si="100"/>
        <v>3450.3119752324592</v>
      </c>
      <c r="CX20" s="46">
        <f t="shared" si="101"/>
        <v>5003.9013249210075</v>
      </c>
      <c r="CY20" s="46">
        <f t="shared" si="102"/>
        <v>3833.8426517166445</v>
      </c>
      <c r="CZ20" s="37"/>
      <c r="DA20" s="316">
        <v>1994</v>
      </c>
      <c r="DB20" s="46">
        <f t="shared" si="103"/>
        <v>21157.271783910364</v>
      </c>
      <c r="DC20" s="46">
        <f t="shared" si="104"/>
        <v>963.87874978590617</v>
      </c>
      <c r="DD20" s="46">
        <f t="shared" si="105"/>
        <v>17652.933074436238</v>
      </c>
      <c r="DE20" s="46">
        <f t="shared" si="106"/>
        <v>4542.695299721976</v>
      </c>
      <c r="DF20" s="46">
        <f t="shared" si="107"/>
        <v>5432.0450203890559</v>
      </c>
      <c r="DG20" s="46">
        <f t="shared" si="108"/>
        <v>9286.2355499481564</v>
      </c>
      <c r="DI20" s="316">
        <v>1994</v>
      </c>
      <c r="DJ20" s="88">
        <f t="shared" si="56"/>
        <v>5.1274554086792962E-2</v>
      </c>
      <c r="DK20" s="88">
        <f t="shared" si="57"/>
        <v>4.7057802754115363E-2</v>
      </c>
      <c r="DL20" s="88">
        <f t="shared" si="58"/>
        <v>8.4961422424670766E-2</v>
      </c>
      <c r="DM20" s="88">
        <f t="shared" si="59"/>
        <v>7.8271890626785037E-2</v>
      </c>
      <c r="DN20" s="88">
        <f t="shared" si="60"/>
        <v>3.1306648436057981E-2</v>
      </c>
      <c r="DO20" s="88">
        <f t="shared" si="61"/>
        <v>9.5199343203659324E-3</v>
      </c>
      <c r="DP20" s="37"/>
      <c r="DQ20" s="316">
        <v>1994</v>
      </c>
      <c r="DR20" s="88">
        <f t="shared" si="62"/>
        <v>5.8231978724943657E-2</v>
      </c>
      <c r="DS20" s="88">
        <f t="shared" si="63"/>
        <v>5.2352623784869615E-2</v>
      </c>
      <c r="DT20" s="88">
        <f t="shared" si="64"/>
        <v>8.4265093060075527E-2</v>
      </c>
      <c r="DU20" s="88">
        <f t="shared" si="65"/>
        <v>9.6115671341781561E-2</v>
      </c>
      <c r="DV20" s="88">
        <f t="shared" si="66"/>
        <v>3.238712778389017E-2</v>
      </c>
      <c r="DW20" s="88">
        <f t="shared" si="67"/>
        <v>2.0933453332304591E-2</v>
      </c>
      <c r="DY20" s="316">
        <v>1994</v>
      </c>
      <c r="DZ20" s="61">
        <v>510916.1</v>
      </c>
      <c r="EA20" s="61">
        <v>446522.3</v>
      </c>
      <c r="EB20" s="89">
        <v>-2.4</v>
      </c>
      <c r="EC20" s="46">
        <f t="shared" si="35"/>
        <v>523479.61065573769</v>
      </c>
      <c r="ED20" s="46">
        <f t="shared" si="36"/>
        <v>457502.35655737703</v>
      </c>
      <c r="EF20" s="316">
        <v>1994</v>
      </c>
      <c r="EG20" s="88">
        <f t="shared" si="68"/>
        <v>5.974444727813432E-2</v>
      </c>
      <c r="EH20" s="88">
        <f t="shared" si="69"/>
        <v>2.7458520097526778E-3</v>
      </c>
      <c r="EI20" s="88">
        <f t="shared" si="70"/>
        <v>2.9651443749766353E-2</v>
      </c>
      <c r="EJ20" s="88">
        <f t="shared" si="71"/>
        <v>1.0408166820344867E-2</v>
      </c>
      <c r="EK20" s="88">
        <f t="shared" si="72"/>
        <v>1.9227814508096339E-2</v>
      </c>
      <c r="EL20" s="88">
        <f t="shared" si="73"/>
        <v>5.4977519792388616E-2</v>
      </c>
      <c r="EM20" s="140"/>
      <c r="EN20" s="316">
        <v>1994</v>
      </c>
      <c r="EO20" s="88">
        <f t="shared" si="74"/>
        <v>7.1067223294334902E-2</v>
      </c>
      <c r="EP20" s="88">
        <f t="shared" si="75"/>
        <v>3.4054290233656863E-3</v>
      </c>
      <c r="EQ20" s="88">
        <f t="shared" si="76"/>
        <v>3.5281552567475352E-2</v>
      </c>
      <c r="ER20" s="88">
        <f t="shared" si="77"/>
        <v>1.4837780778250044E-2</v>
      </c>
      <c r="ES20" s="88">
        <f t="shared" si="78"/>
        <v>2.3247215200674187E-2</v>
      </c>
      <c r="ET20" s="88">
        <f t="shared" si="79"/>
        <v>6.9780165514689865E-2</v>
      </c>
      <c r="EV20" s="316">
        <v>1994</v>
      </c>
      <c r="EW20" s="88">
        <f t="shared" si="80"/>
        <v>0.68952905261744546</v>
      </c>
      <c r="EX20" s="88">
        <f t="shared" si="81"/>
        <v>3.3884032231515114E-2</v>
      </c>
      <c r="EY20" s="88">
        <f t="shared" si="82"/>
        <v>0.3833364202067619</v>
      </c>
      <c r="EZ20" s="88">
        <f t="shared" si="83"/>
        <v>8.7775147426358266E-2</v>
      </c>
      <c r="FA20" s="88">
        <f t="shared" si="84"/>
        <v>0.31453947135351579</v>
      </c>
      <c r="FB20" s="88">
        <f t="shared" si="85"/>
        <v>0.81564284703496337</v>
      </c>
      <c r="FD20" s="316">
        <v>1994</v>
      </c>
      <c r="FE20" s="88">
        <f t="shared" si="86"/>
        <v>0.81727054438266578</v>
      </c>
      <c r="FF20" s="88">
        <f t="shared" si="87"/>
        <v>4.1459895731971286E-2</v>
      </c>
      <c r="FG20" s="88">
        <f t="shared" si="88"/>
        <v>0.45375482120377864</v>
      </c>
      <c r="FH20" s="88">
        <f t="shared" si="89"/>
        <v>0.10785846082043384</v>
      </c>
      <c r="FI20" s="88">
        <f t="shared" si="90"/>
        <v>0.37742035101046467</v>
      </c>
      <c r="FJ20" s="88">
        <f t="shared" si="91"/>
        <v>1.0174365078742988</v>
      </c>
      <c r="FL20" s="316">
        <v>1994</v>
      </c>
      <c r="FM20" s="317">
        <f t="shared" si="92"/>
        <v>125034</v>
      </c>
      <c r="FN20" s="61">
        <v>20415</v>
      </c>
      <c r="FO20" s="61">
        <v>87034</v>
      </c>
      <c r="FP20" s="61">
        <v>17585</v>
      </c>
      <c r="FQ20" s="88">
        <f t="shared" si="93"/>
        <v>0.16327558903978118</v>
      </c>
      <c r="FR20" s="88">
        <f t="shared" si="94"/>
        <v>0.69608266551497988</v>
      </c>
      <c r="FS20" s="88">
        <f t="shared" si="95"/>
        <v>0.14064174544523889</v>
      </c>
      <c r="FT20" s="88">
        <f t="shared" si="109"/>
        <v>-3.7677888576892471E-3</v>
      </c>
      <c r="FU20" s="88">
        <f t="shared" si="110"/>
        <v>-1.4182161496028023E-3</v>
      </c>
      <c r="FV20" s="88">
        <f t="shared" si="111"/>
        <v>5.1860050072920494E-3</v>
      </c>
      <c r="FX20" s="316">
        <v>1994</v>
      </c>
      <c r="FY20" s="159">
        <v>4.3577651821862337E-2</v>
      </c>
      <c r="FZ20" s="62">
        <v>1.7000000000000001E-2</v>
      </c>
      <c r="GA20" s="319">
        <f t="shared" si="112"/>
        <v>2.6577651821862336E-2</v>
      </c>
      <c r="GC20" s="302">
        <f t="shared" si="113"/>
        <v>-1.5735765739270491E-2</v>
      </c>
      <c r="GD20" s="302">
        <f t="shared" si="114"/>
        <v>-1.0022179011905386E-3</v>
      </c>
      <c r="GE20" s="302">
        <f t="shared" si="115"/>
        <v>1.8137206009573893E-3</v>
      </c>
    </row>
    <row r="21" spans="1:187">
      <c r="A21" s="316">
        <v>1995</v>
      </c>
      <c r="B21" s="61">
        <v>320686.2</v>
      </c>
      <c r="C21" s="61">
        <v>19482.5</v>
      </c>
      <c r="D21" s="61">
        <v>173589.5</v>
      </c>
      <c r="E21" s="61">
        <v>43465.599999999999</v>
      </c>
      <c r="F21" s="61">
        <v>170925.6</v>
      </c>
      <c r="G21" s="61">
        <v>428225.3</v>
      </c>
      <c r="I21" s="316">
        <v>1995</v>
      </c>
      <c r="J21" s="61">
        <v>319719.8</v>
      </c>
      <c r="K21" s="61">
        <v>19794.900000000001</v>
      </c>
      <c r="L21" s="61">
        <v>173521.2</v>
      </c>
      <c r="M21" s="61">
        <v>44388</v>
      </c>
      <c r="N21" s="61">
        <v>174180.8</v>
      </c>
      <c r="O21" s="61">
        <v>441862.2</v>
      </c>
      <c r="Q21" s="316">
        <v>1995</v>
      </c>
      <c r="R21" s="75">
        <v>362515.8</v>
      </c>
      <c r="S21" s="75">
        <v>18129.8</v>
      </c>
      <c r="T21" s="75">
        <v>198031.1</v>
      </c>
      <c r="U21" s="75">
        <v>47307.7</v>
      </c>
      <c r="V21" s="75">
        <v>169493.9</v>
      </c>
      <c r="W21" s="75">
        <v>445087.9</v>
      </c>
      <c r="Y21" s="316">
        <v>1995</v>
      </c>
      <c r="Z21" s="75">
        <v>379139</v>
      </c>
      <c r="AA21" s="75">
        <v>19457.7</v>
      </c>
      <c r="AB21" s="75">
        <v>205735</v>
      </c>
      <c r="AC21" s="75">
        <v>50848.6</v>
      </c>
      <c r="AD21" s="75">
        <v>178276</v>
      </c>
      <c r="AE21" s="75">
        <v>485919.9</v>
      </c>
      <c r="AG21" s="316">
        <v>1995</v>
      </c>
      <c r="AH21" s="48">
        <f t="shared" ref="AH21:AH46" si="120">R21/Z21</f>
        <v>0.9561553941957962</v>
      </c>
      <c r="AI21" s="48">
        <f t="shared" ref="AI21:AI46" si="121">S21/AA21</f>
        <v>0.93175452391598179</v>
      </c>
      <c r="AJ21" s="48">
        <f t="shared" ref="AJ21:AJ46" si="122">T21/AB21</f>
        <v>0.96255425668943062</v>
      </c>
      <c r="AK21" s="48">
        <f t="shared" ref="AK21:AK46" si="123">U21/AC21</f>
        <v>0.93036386449184438</v>
      </c>
      <c r="AL21" s="48">
        <f t="shared" ref="AL21:AL46" si="124">V21/AD21</f>
        <v>0.95073874217505439</v>
      </c>
      <c r="AM21" s="48">
        <f t="shared" ref="AM21:AM46" si="125">W21/AE21</f>
        <v>0.91596968965461179</v>
      </c>
      <c r="AO21" s="316">
        <v>1995</v>
      </c>
      <c r="AP21" s="48">
        <f>AH21/AH20</f>
        <v>0.99045630580225541</v>
      </c>
      <c r="AQ21" s="48">
        <f t="shared" si="42"/>
        <v>0.99638732464585655</v>
      </c>
      <c r="AR21" s="48">
        <f t="shared" si="43"/>
        <v>0.99577209864094463</v>
      </c>
      <c r="AS21" s="48">
        <f t="shared" si="44"/>
        <v>0.99914621968687345</v>
      </c>
      <c r="AT21" s="48">
        <f t="shared" si="45"/>
        <v>0.9970224052017016</v>
      </c>
      <c r="AU21" s="48">
        <f t="shared" si="46"/>
        <v>0.99857790515863032</v>
      </c>
      <c r="AW21" s="316">
        <v>1995</v>
      </c>
      <c r="AX21" s="61">
        <v>25194.3</v>
      </c>
      <c r="AY21" s="61">
        <v>1533.3</v>
      </c>
      <c r="AZ21" s="61">
        <v>11353.3</v>
      </c>
      <c r="BA21" s="61">
        <v>4663</v>
      </c>
      <c r="BB21" s="61">
        <v>10716.3</v>
      </c>
      <c r="BC21" s="61">
        <v>28480.799999999999</v>
      </c>
      <c r="BE21" s="316">
        <v>1995</v>
      </c>
      <c r="BF21" s="61">
        <v>25330.2</v>
      </c>
      <c r="BG21" s="61">
        <v>1578.4</v>
      </c>
      <c r="BH21" s="61">
        <v>11436.4</v>
      </c>
      <c r="BI21" s="61">
        <v>5486.6</v>
      </c>
      <c r="BJ21" s="61">
        <v>11012.2</v>
      </c>
      <c r="BK21" s="61">
        <v>29754.799999999999</v>
      </c>
      <c r="BM21" s="316">
        <v>1995</v>
      </c>
      <c r="BN21" s="75">
        <v>29031.8</v>
      </c>
      <c r="BO21" s="75">
        <v>1528</v>
      </c>
      <c r="BP21" s="75">
        <v>14312.3</v>
      </c>
      <c r="BQ21" s="75">
        <v>5133.5</v>
      </c>
      <c r="BR21" s="75">
        <v>10821</v>
      </c>
      <c r="BS21" s="75">
        <v>28372</v>
      </c>
      <c r="BU21" s="316">
        <v>1995</v>
      </c>
      <c r="BV21" s="75">
        <v>30403.200000000001</v>
      </c>
      <c r="BW21" s="75">
        <v>1663.5</v>
      </c>
      <c r="BX21" s="75">
        <v>14972.9</v>
      </c>
      <c r="BY21" s="75">
        <v>6267.1</v>
      </c>
      <c r="BZ21" s="75">
        <v>11486.7</v>
      </c>
      <c r="CA21" s="75">
        <v>31498.1</v>
      </c>
      <c r="CC21" s="316">
        <v>1995</v>
      </c>
      <c r="CD21" s="48">
        <f t="shared" ref="CD21:CD46" si="126">BN21/BV21</f>
        <v>0.95489290600989363</v>
      </c>
      <c r="CE21" s="48">
        <f t="shared" ref="CE21:CE46" si="127">BO21/BW21</f>
        <v>0.91854523594830173</v>
      </c>
      <c r="CF21" s="48">
        <f t="shared" ref="CF21:CF46" si="128">BP21/BX21</f>
        <v>0.95588029039130695</v>
      </c>
      <c r="CG21" s="48">
        <f t="shared" ref="CG21:CG46" si="129">BQ21/BY21</f>
        <v>0.81911889071500366</v>
      </c>
      <c r="CH21" s="48">
        <f t="shared" ref="CH21:CH46" si="130">BR21/BZ21</f>
        <v>0.94204601843871605</v>
      </c>
      <c r="CI21" s="48">
        <f t="shared" ref="CI21:CI46" si="131">BS21/CA21</f>
        <v>0.90075274381629378</v>
      </c>
      <c r="CK21" s="316">
        <v>1995</v>
      </c>
      <c r="CL21" s="48">
        <f t="shared" ref="CL21:CQ21" si="132">CD21/CD20</f>
        <v>0.9927045929060867</v>
      </c>
      <c r="CM21" s="48">
        <f t="shared" si="132"/>
        <v>0.99560901403021418</v>
      </c>
      <c r="CN21" s="48">
        <f t="shared" si="132"/>
        <v>0.99402868066224737</v>
      </c>
      <c r="CO21" s="48">
        <f t="shared" si="132"/>
        <v>1.0205521745384629</v>
      </c>
      <c r="CP21" s="48">
        <f t="shared" si="132"/>
        <v>0.99542076282103142</v>
      </c>
      <c r="CQ21" s="48">
        <f t="shared" si="132"/>
        <v>0.99918524018119648</v>
      </c>
      <c r="CS21" s="316">
        <v>1995</v>
      </c>
      <c r="CT21" s="46">
        <f t="shared" si="97"/>
        <v>27470.400000000034</v>
      </c>
      <c r="CU21" s="46">
        <f t="shared" si="98"/>
        <v>1135.7999999999993</v>
      </c>
      <c r="CV21" s="46">
        <f t="shared" si="99"/>
        <v>16949.999999999982</v>
      </c>
      <c r="CW21" s="46">
        <f t="shared" si="100"/>
        <v>3774.3000000000029</v>
      </c>
      <c r="CX21" s="46">
        <f t="shared" si="101"/>
        <v>5982.1000000000058</v>
      </c>
      <c r="CY21" s="46">
        <f t="shared" si="102"/>
        <v>10256.5</v>
      </c>
      <c r="CZ21" s="37"/>
      <c r="DA21" s="316">
        <v>1995</v>
      </c>
      <c r="DB21" s="46">
        <f t="shared" si="103"/>
        <v>25167.400000000012</v>
      </c>
      <c r="DC21" s="46">
        <f t="shared" si="104"/>
        <v>1173.7999999999993</v>
      </c>
      <c r="DD21" s="46">
        <f t="shared" si="105"/>
        <v>16831.799999999996</v>
      </c>
      <c r="DE21" s="46">
        <f t="shared" si="106"/>
        <v>4764.0000000000018</v>
      </c>
      <c r="DF21" s="46">
        <f t="shared" si="107"/>
        <v>5881.4000000000124</v>
      </c>
      <c r="DG21" s="46">
        <f t="shared" si="108"/>
        <v>11057.799999999952</v>
      </c>
      <c r="DI21" s="316">
        <v>1995</v>
      </c>
      <c r="DJ21" s="88">
        <f t="shared" si="56"/>
        <v>7.610490410977129E-2</v>
      </c>
      <c r="DK21" s="88">
        <f t="shared" si="57"/>
        <v>6.4033465632329034E-2</v>
      </c>
      <c r="DL21" s="88">
        <f t="shared" si="58"/>
        <v>8.4467540544419378E-2</v>
      </c>
      <c r="DM21" s="88">
        <f t="shared" si="59"/>
        <v>8.2141963284982161E-2</v>
      </c>
      <c r="DN21" s="88">
        <f t="shared" si="60"/>
        <v>3.6331116577085459E-2</v>
      </c>
      <c r="DO21" s="88">
        <f t="shared" si="61"/>
        <v>2.4021458998286539E-2</v>
      </c>
      <c r="DP21" s="37"/>
      <c r="DQ21" s="316">
        <v>1995</v>
      </c>
      <c r="DR21" s="88">
        <f t="shared" si="62"/>
        <v>6.7309934763864043E-2</v>
      </c>
      <c r="DS21" s="88">
        <f t="shared" si="63"/>
        <v>6.1883171657528428E-2</v>
      </c>
      <c r="DT21" s="88">
        <f t="shared" si="64"/>
        <v>8.1080417102814661E-2</v>
      </c>
      <c r="DU21" s="88">
        <f t="shared" si="65"/>
        <v>9.6543757789464127E-2</v>
      </c>
      <c r="DV21" s="88">
        <f t="shared" si="66"/>
        <v>3.4061366520202974E-2</v>
      </c>
      <c r="DW21" s="88">
        <f t="shared" si="67"/>
        <v>2.3755713461986201E-2</v>
      </c>
      <c r="DY21" s="316">
        <v>1995</v>
      </c>
      <c r="DZ21" s="61">
        <v>521613.5</v>
      </c>
      <c r="EA21" s="61">
        <v>458270.3</v>
      </c>
      <c r="EB21" s="89">
        <v>-1.4</v>
      </c>
      <c r="EC21" s="46">
        <f t="shared" si="35"/>
        <v>529019.77687626774</v>
      </c>
      <c r="ED21" s="46">
        <f t="shared" si="36"/>
        <v>464777.18052738335</v>
      </c>
      <c r="EF21" s="316">
        <v>1995</v>
      </c>
      <c r="EG21" s="88">
        <f t="shared" si="68"/>
        <v>5.5657685240125113E-2</v>
      </c>
      <c r="EH21" s="88">
        <f t="shared" si="69"/>
        <v>2.9293720350412711E-3</v>
      </c>
      <c r="EI21" s="88">
        <f t="shared" si="70"/>
        <v>2.7438515299163076E-2</v>
      </c>
      <c r="EJ21" s="88">
        <f t="shared" si="71"/>
        <v>9.841578103327463E-3</v>
      </c>
      <c r="EK21" s="88">
        <f t="shared" si="72"/>
        <v>2.0745245282186908E-2</v>
      </c>
      <c r="EL21" s="88">
        <f t="shared" si="73"/>
        <v>5.4392763990962656E-2</v>
      </c>
      <c r="EM21" s="140"/>
      <c r="EN21" s="316">
        <v>1995</v>
      </c>
      <c r="EO21" s="88">
        <f t="shared" si="74"/>
        <v>6.634337856937271E-2</v>
      </c>
      <c r="EP21" s="88">
        <f t="shared" si="75"/>
        <v>3.6299537630957103E-3</v>
      </c>
      <c r="EQ21" s="88">
        <f t="shared" si="76"/>
        <v>3.2672638833457023E-2</v>
      </c>
      <c r="ER21" s="88">
        <f t="shared" si="77"/>
        <v>1.3675553488847086E-2</v>
      </c>
      <c r="ES21" s="88">
        <f t="shared" si="78"/>
        <v>2.5065338076676585E-2</v>
      </c>
      <c r="ET21" s="88">
        <f t="shared" si="79"/>
        <v>6.8732579876985264E-2</v>
      </c>
      <c r="EV21" s="316">
        <v>1995</v>
      </c>
      <c r="EW21" s="88">
        <f t="shared" si="80"/>
        <v>0.685259447464454</v>
      </c>
      <c r="EX21" s="88">
        <f t="shared" si="81"/>
        <v>3.42705524301039E-2</v>
      </c>
      <c r="EY21" s="88">
        <f t="shared" si="82"/>
        <v>0.37433591078451767</v>
      </c>
      <c r="EZ21" s="88">
        <f t="shared" si="83"/>
        <v>8.9425201226578682E-2</v>
      </c>
      <c r="FA21" s="88">
        <f t="shared" si="84"/>
        <v>0.32039236982938518</v>
      </c>
      <c r="FB21" s="88">
        <f t="shared" si="85"/>
        <v>0.84134453843698453</v>
      </c>
      <c r="FD21" s="316">
        <v>1995</v>
      </c>
      <c r="FE21" s="88">
        <f t="shared" si="86"/>
        <v>0.81574357753491777</v>
      </c>
      <c r="FF21" s="88">
        <f t="shared" si="87"/>
        <v>4.1864576866534886E-2</v>
      </c>
      <c r="FG21" s="88">
        <f t="shared" si="88"/>
        <v>0.44265297140137599</v>
      </c>
      <c r="FH21" s="88">
        <f t="shared" si="89"/>
        <v>0.10940425246846676</v>
      </c>
      <c r="FI21" s="88">
        <f t="shared" si="90"/>
        <v>0.38357304848252222</v>
      </c>
      <c r="FJ21" s="88">
        <f t="shared" si="91"/>
        <v>1.0454900118990911</v>
      </c>
      <c r="FL21" s="316">
        <v>1995</v>
      </c>
      <c r="FM21" s="317">
        <f t="shared" si="92"/>
        <v>125570</v>
      </c>
      <c r="FN21" s="61">
        <v>20033</v>
      </c>
      <c r="FO21" s="61">
        <v>87260</v>
      </c>
      <c r="FP21" s="61">
        <v>18277</v>
      </c>
      <c r="FQ21" s="88">
        <f t="shared" si="93"/>
        <v>0.15953651349844708</v>
      </c>
      <c r="FR21" s="88">
        <f t="shared" si="94"/>
        <v>0.6949112049056303</v>
      </c>
      <c r="FS21" s="88">
        <f t="shared" si="95"/>
        <v>0.14555228159592259</v>
      </c>
      <c r="FT21" s="88">
        <f t="shared" si="109"/>
        <v>-3.739075541334097E-3</v>
      </c>
      <c r="FU21" s="88">
        <f t="shared" si="110"/>
        <v>-1.1714606093495838E-3</v>
      </c>
      <c r="FV21" s="88">
        <f t="shared" si="111"/>
        <v>4.9105361506837086E-3</v>
      </c>
      <c r="FX21" s="316">
        <v>1995</v>
      </c>
      <c r="FY21" s="159">
        <v>3.4601927710843354E-2</v>
      </c>
      <c r="FZ21" s="62">
        <v>1.4999999999999999E-2</v>
      </c>
      <c r="GA21" s="319">
        <f t="shared" si="112"/>
        <v>1.9601927710843355E-2</v>
      </c>
      <c r="GC21" s="302">
        <f t="shared" si="113"/>
        <v>-1.2797781412537734E-2</v>
      </c>
      <c r="GD21" s="302">
        <f t="shared" si="114"/>
        <v>3.7643863023613111E-3</v>
      </c>
      <c r="GE21" s="302">
        <f t="shared" si="115"/>
        <v>3.6290813764051771E-3</v>
      </c>
    </row>
    <row r="22" spans="1:187">
      <c r="A22" s="316">
        <v>1996</v>
      </c>
      <c r="B22" s="61">
        <v>337087.8</v>
      </c>
      <c r="C22" s="61">
        <v>20451.3</v>
      </c>
      <c r="D22" s="61">
        <v>174457.5</v>
      </c>
      <c r="E22" s="61">
        <v>44840.5</v>
      </c>
      <c r="F22" s="61">
        <v>178895.5</v>
      </c>
      <c r="G22" s="61">
        <v>450831.2</v>
      </c>
      <c r="I22" s="316">
        <v>1996</v>
      </c>
      <c r="J22" s="61">
        <v>329745.09999999998</v>
      </c>
      <c r="K22" s="61">
        <v>20457.599999999999</v>
      </c>
      <c r="L22" s="61">
        <v>171877.9</v>
      </c>
      <c r="M22" s="61">
        <v>45135.199999999997</v>
      </c>
      <c r="N22" s="61">
        <v>180876.6</v>
      </c>
      <c r="O22" s="61">
        <v>460090.2</v>
      </c>
      <c r="Q22" s="316">
        <v>1996</v>
      </c>
      <c r="R22" s="75">
        <v>379462.2</v>
      </c>
      <c r="S22" s="75">
        <v>19011.2</v>
      </c>
      <c r="T22" s="75">
        <v>201130</v>
      </c>
      <c r="U22" s="75">
        <v>48914.6</v>
      </c>
      <c r="V22" s="75">
        <v>177547.1</v>
      </c>
      <c r="W22" s="75">
        <v>468772.8</v>
      </c>
      <c r="Y22" s="316">
        <v>1996</v>
      </c>
      <c r="Z22" s="75">
        <v>390368.7</v>
      </c>
      <c r="AA22" s="75">
        <v>20096.8</v>
      </c>
      <c r="AB22" s="75">
        <v>206070.5</v>
      </c>
      <c r="AC22" s="75">
        <v>51840.7</v>
      </c>
      <c r="AD22" s="75">
        <v>185281</v>
      </c>
      <c r="AE22" s="75">
        <v>506172.6</v>
      </c>
      <c r="AG22" s="316">
        <v>1996</v>
      </c>
      <c r="AH22" s="48">
        <f t="shared" si="120"/>
        <v>0.97206102845848041</v>
      </c>
      <c r="AI22" s="48">
        <f t="shared" si="121"/>
        <v>0.9459814497830501</v>
      </c>
      <c r="AJ22" s="48">
        <f t="shared" si="122"/>
        <v>0.97602519526084519</v>
      </c>
      <c r="AK22" s="48">
        <f t="shared" si="123"/>
        <v>0.94355593192221554</v>
      </c>
      <c r="AL22" s="48">
        <f t="shared" si="124"/>
        <v>0.95825853703293917</v>
      </c>
      <c r="AM22" s="48">
        <f t="shared" si="125"/>
        <v>0.92611255528252623</v>
      </c>
      <c r="AO22" s="316">
        <v>1996</v>
      </c>
      <c r="AP22" s="48">
        <f t="shared" ref="AP22:AP46" si="133">AH22/AH21</f>
        <v>1.0166349887886812</v>
      </c>
      <c r="AQ22" s="48">
        <f t="shared" si="42"/>
        <v>1.0152689635541294</v>
      </c>
      <c r="AR22" s="48">
        <f t="shared" si="43"/>
        <v>1.0139949914280635</v>
      </c>
      <c r="AS22" s="48">
        <f t="shared" si="44"/>
        <v>1.0141794709939391</v>
      </c>
      <c r="AT22" s="48">
        <f t="shared" si="45"/>
        <v>1.0079094229826813</v>
      </c>
      <c r="AU22" s="48">
        <f t="shared" si="46"/>
        <v>1.0110733638268523</v>
      </c>
      <c r="AW22" s="316">
        <v>1996</v>
      </c>
      <c r="AX22" s="61">
        <v>28157.1</v>
      </c>
      <c r="AY22" s="61">
        <v>1547</v>
      </c>
      <c r="AZ22" s="61">
        <v>11551.9</v>
      </c>
      <c r="BA22" s="61">
        <v>4186.8</v>
      </c>
      <c r="BB22" s="61">
        <v>8774.2000000000007</v>
      </c>
      <c r="BC22" s="61">
        <v>30596.400000000001</v>
      </c>
      <c r="BE22" s="316">
        <v>1996</v>
      </c>
      <c r="BF22" s="61">
        <v>28132.6</v>
      </c>
      <c r="BG22" s="61">
        <v>1582.4</v>
      </c>
      <c r="BH22" s="61">
        <v>11589</v>
      </c>
      <c r="BI22" s="61">
        <v>4898.7</v>
      </c>
      <c r="BJ22" s="61">
        <v>9023.2999999999993</v>
      </c>
      <c r="BK22" s="61">
        <v>31841.4</v>
      </c>
      <c r="BM22" s="316">
        <v>1996</v>
      </c>
      <c r="BN22" s="75">
        <v>32313.1</v>
      </c>
      <c r="BO22" s="75">
        <v>1557.4</v>
      </c>
      <c r="BP22" s="75">
        <v>15300.8</v>
      </c>
      <c r="BQ22" s="75">
        <v>4671.3999999999996</v>
      </c>
      <c r="BR22" s="75">
        <v>8898.7999999999993</v>
      </c>
      <c r="BS22" s="75">
        <v>30465.3</v>
      </c>
      <c r="BU22" s="316">
        <v>1996</v>
      </c>
      <c r="BV22" s="75">
        <v>33702.699999999997</v>
      </c>
      <c r="BW22" s="75">
        <v>1685.9</v>
      </c>
      <c r="BX22" s="75">
        <v>15954.3</v>
      </c>
      <c r="BY22" s="75">
        <v>5675.6</v>
      </c>
      <c r="BZ22" s="75">
        <v>9455.9</v>
      </c>
      <c r="CA22" s="75">
        <v>33706</v>
      </c>
      <c r="CC22" s="316">
        <v>1996</v>
      </c>
      <c r="CD22" s="48">
        <f t="shared" si="126"/>
        <v>0.95876888201835464</v>
      </c>
      <c r="CE22" s="48">
        <f t="shared" si="127"/>
        <v>0.92377958360519608</v>
      </c>
      <c r="CF22" s="48">
        <f t="shared" si="128"/>
        <v>0.95903925587459182</v>
      </c>
      <c r="CG22" s="48">
        <f t="shared" si="129"/>
        <v>0.82306716470505314</v>
      </c>
      <c r="CH22" s="48">
        <f t="shared" si="130"/>
        <v>0.94108440233081991</v>
      </c>
      <c r="CI22" s="48">
        <f t="shared" si="131"/>
        <v>0.90385391324986653</v>
      </c>
      <c r="CK22" s="316">
        <v>1996</v>
      </c>
      <c r="CL22" s="48">
        <f t="shared" ref="CL22:CL46" si="134">CD22/CD21</f>
        <v>1.0040590688066342</v>
      </c>
      <c r="CM22" s="48">
        <f t="shared" ref="CM22:CM46" si="135">CE22/CE21</f>
        <v>1.0056985191932224</v>
      </c>
      <c r="CN22" s="48">
        <f t="shared" ref="CN22:CN46" si="136">CF22/CF21</f>
        <v>1.0033047710210572</v>
      </c>
      <c r="CO22" s="48">
        <f t="shared" ref="CO22:CO46" si="137">CG22/CG21</f>
        <v>1.0048201476425518</v>
      </c>
      <c r="CP22" s="48">
        <f t="shared" ref="CP22:CP46" si="138">CH22/CH21</f>
        <v>0.99897922597296274</v>
      </c>
      <c r="CQ22" s="48">
        <f t="shared" ref="CQ22:CQ46" si="139">CI22/CI21</f>
        <v>1.0034428642653186</v>
      </c>
      <c r="CS22" s="316">
        <v>1996</v>
      </c>
      <c r="CT22" s="46">
        <f t="shared" si="97"/>
        <v>15366.699999999975</v>
      </c>
      <c r="CU22" s="46">
        <f t="shared" si="98"/>
        <v>675.99999999999864</v>
      </c>
      <c r="CV22" s="46">
        <f t="shared" si="99"/>
        <v>12201.900000000005</v>
      </c>
      <c r="CW22" s="46">
        <f t="shared" si="100"/>
        <v>3064.4999999999982</v>
      </c>
      <c r="CX22" s="46">
        <f t="shared" si="101"/>
        <v>845.59999999998763</v>
      </c>
      <c r="CY22" s="46">
        <f t="shared" si="102"/>
        <v>6780.4000000000342</v>
      </c>
      <c r="CZ22" s="37"/>
      <c r="DA22" s="316">
        <v>1996</v>
      </c>
      <c r="DB22" s="46">
        <f t="shared" si="103"/>
        <v>22472.999999999985</v>
      </c>
      <c r="DC22" s="46">
        <f t="shared" si="104"/>
        <v>1046.8000000000015</v>
      </c>
      <c r="DD22" s="46">
        <f t="shared" si="105"/>
        <v>15618.8</v>
      </c>
      <c r="DE22" s="46">
        <f t="shared" si="106"/>
        <v>4683.5000000000018</v>
      </c>
      <c r="DF22" s="46">
        <f t="shared" si="107"/>
        <v>2450.8999999999996</v>
      </c>
      <c r="DG22" s="46">
        <f t="shared" si="108"/>
        <v>13453.300000000047</v>
      </c>
      <c r="DI22" s="316">
        <v>1996</v>
      </c>
      <c r="DJ22" s="88">
        <f t="shared" si="56"/>
        <v>4.2389048973865348E-2</v>
      </c>
      <c r="DK22" s="88">
        <f t="shared" si="57"/>
        <v>3.7286677183421699E-2</v>
      </c>
      <c r="DL22" s="88">
        <f t="shared" si="58"/>
        <v>6.1616079494584461E-2</v>
      </c>
      <c r="DM22" s="88">
        <f t="shared" si="59"/>
        <v>6.4778038247473427E-2</v>
      </c>
      <c r="DN22" s="88">
        <f t="shared" si="60"/>
        <v>4.9889701045287629E-3</v>
      </c>
      <c r="DO22" s="88">
        <f t="shared" si="61"/>
        <v>1.5233844820315343E-2</v>
      </c>
      <c r="DP22" s="37"/>
      <c r="DQ22" s="316">
        <v>1996</v>
      </c>
      <c r="DR22" s="88">
        <f t="shared" si="62"/>
        <v>5.9273775580987412E-2</v>
      </c>
      <c r="DS22" s="88">
        <f t="shared" si="63"/>
        <v>5.3798753192823484E-2</v>
      </c>
      <c r="DT22" s="88">
        <f t="shared" si="64"/>
        <v>7.5917077794249888E-2</v>
      </c>
      <c r="DU22" s="88">
        <f t="shared" si="65"/>
        <v>9.2106764001368802E-2</v>
      </c>
      <c r="DV22" s="88">
        <f t="shared" si="66"/>
        <v>1.3747784334402834E-2</v>
      </c>
      <c r="DW22" s="88">
        <f t="shared" si="67"/>
        <v>2.7686250347022309E-2</v>
      </c>
      <c r="DY22" s="316">
        <v>1996</v>
      </c>
      <c r="DZ22" s="61">
        <v>535562.1</v>
      </c>
      <c r="EA22" s="61">
        <v>472631.9</v>
      </c>
      <c r="EB22" s="89">
        <v>0.4</v>
      </c>
      <c r="EC22" s="46">
        <f t="shared" si="35"/>
        <v>533428.38645418326</v>
      </c>
      <c r="ED22" s="46">
        <f t="shared" si="36"/>
        <v>470748.90438247012</v>
      </c>
      <c r="EF22" s="316">
        <v>1996</v>
      </c>
      <c r="EG22" s="88">
        <f t="shared" si="68"/>
        <v>6.0334926612618779E-2</v>
      </c>
      <c r="EH22" s="88">
        <f t="shared" si="69"/>
        <v>2.9079727635693419E-3</v>
      </c>
      <c r="EI22" s="88">
        <f t="shared" si="70"/>
        <v>2.8569609387968268E-2</v>
      </c>
      <c r="EJ22" s="88">
        <f t="shared" si="71"/>
        <v>8.7224245330280083E-3</v>
      </c>
      <c r="EK22" s="88">
        <f t="shared" si="72"/>
        <v>1.6615813553647652E-2</v>
      </c>
      <c r="EL22" s="88">
        <f t="shared" si="73"/>
        <v>5.6884719811203965E-2</v>
      </c>
      <c r="EM22" s="140"/>
      <c r="EN22" s="316">
        <v>1996</v>
      </c>
      <c r="EO22" s="88">
        <f t="shared" si="74"/>
        <v>7.1308559578818098E-2</v>
      </c>
      <c r="EP22" s="88">
        <f t="shared" si="75"/>
        <v>3.5670465747233734E-3</v>
      </c>
      <c r="EQ22" s="88">
        <f t="shared" si="76"/>
        <v>3.3756291100960387E-2</v>
      </c>
      <c r="ER22" s="88">
        <f t="shared" si="77"/>
        <v>1.2008499637878865E-2</v>
      </c>
      <c r="ES22" s="88">
        <f t="shared" si="78"/>
        <v>2.0006901777048901E-2</v>
      </c>
      <c r="ET22" s="88">
        <f t="shared" si="79"/>
        <v>7.1315541756703252E-2</v>
      </c>
      <c r="EV22" s="316">
        <v>1996</v>
      </c>
      <c r="EW22" s="88">
        <f t="shared" si="80"/>
        <v>0.71136484228439623</v>
      </c>
      <c r="EX22" s="88">
        <f t="shared" si="81"/>
        <v>3.5639648137909687E-2</v>
      </c>
      <c r="EY22" s="88">
        <f t="shared" si="82"/>
        <v>0.37705155013769648</v>
      </c>
      <c r="EZ22" s="88">
        <f t="shared" si="83"/>
        <v>9.1698532065655883E-2</v>
      </c>
      <c r="FA22" s="88">
        <f t="shared" si="84"/>
        <v>0.33284149195770202</v>
      </c>
      <c r="FB22" s="88">
        <f t="shared" si="85"/>
        <v>0.8787923775786225</v>
      </c>
      <c r="FD22" s="316">
        <v>1996</v>
      </c>
      <c r="FE22" s="88">
        <f t="shared" si="86"/>
        <v>0.8292503633377265</v>
      </c>
      <c r="FF22" s="88">
        <f t="shared" si="87"/>
        <v>4.2691124318946727E-2</v>
      </c>
      <c r="FG22" s="88">
        <f t="shared" si="88"/>
        <v>0.43775035498027109</v>
      </c>
      <c r="FH22" s="88">
        <f t="shared" si="89"/>
        <v>0.11012388880225815</v>
      </c>
      <c r="FI22" s="88">
        <f t="shared" si="90"/>
        <v>0.39358774555843562</v>
      </c>
      <c r="FJ22" s="88">
        <f t="shared" si="91"/>
        <v>1.0752496613114773</v>
      </c>
      <c r="FL22" s="316">
        <v>1996</v>
      </c>
      <c r="FM22" s="317">
        <f t="shared" si="92"/>
        <v>125864</v>
      </c>
      <c r="FN22" s="61">
        <v>19686</v>
      </c>
      <c r="FO22" s="61">
        <v>87161</v>
      </c>
      <c r="FP22" s="61">
        <v>19017</v>
      </c>
      <c r="FQ22" s="88">
        <f t="shared" si="93"/>
        <v>0.15640691540075002</v>
      </c>
      <c r="FR22" s="88">
        <f t="shared" si="94"/>
        <v>0.69250143011504484</v>
      </c>
      <c r="FS22" s="88">
        <f t="shared" si="95"/>
        <v>0.15109165448420517</v>
      </c>
      <c r="FT22" s="88">
        <f t="shared" si="109"/>
        <v>-3.1295980976970561E-3</v>
      </c>
      <c r="FU22" s="88">
        <f t="shared" si="110"/>
        <v>-2.4097747905854616E-3</v>
      </c>
      <c r="FV22" s="88">
        <f t="shared" si="111"/>
        <v>5.5393728882825732E-3</v>
      </c>
      <c r="FX22" s="316">
        <v>1996</v>
      </c>
      <c r="FY22" s="159">
        <v>3.1179838056680155E-2</v>
      </c>
      <c r="FZ22" s="62">
        <v>1.3999999999999999E-2</v>
      </c>
      <c r="GA22" s="319">
        <f t="shared" si="112"/>
        <v>1.7179838056680156E-2</v>
      </c>
      <c r="GC22" s="302">
        <f t="shared" si="113"/>
        <v>2.8551618152056202E-3</v>
      </c>
      <c r="GD22" s="302">
        <f t="shared" si="114"/>
        <v>8.8605573918283387E-3</v>
      </c>
      <c r="GE22" s="302">
        <f t="shared" si="115"/>
        <v>4.0439923116183593E-4</v>
      </c>
    </row>
    <row r="23" spans="1:187">
      <c r="A23" s="316">
        <v>1997</v>
      </c>
      <c r="B23" s="61">
        <v>342073.3</v>
      </c>
      <c r="C23" s="61">
        <v>21159.3</v>
      </c>
      <c r="D23" s="61">
        <v>171303.8</v>
      </c>
      <c r="E23" s="61">
        <v>45243</v>
      </c>
      <c r="F23" s="61">
        <v>182705</v>
      </c>
      <c r="G23" s="61">
        <v>466963.6</v>
      </c>
      <c r="I23" s="316">
        <v>1997</v>
      </c>
      <c r="J23" s="61">
        <v>336086</v>
      </c>
      <c r="K23" s="61">
        <v>21112.9</v>
      </c>
      <c r="L23" s="61">
        <v>170452.9</v>
      </c>
      <c r="M23" s="61">
        <v>45440.7</v>
      </c>
      <c r="N23" s="61">
        <v>186793</v>
      </c>
      <c r="O23" s="61">
        <v>475789.6</v>
      </c>
      <c r="Q23" s="316">
        <v>1997</v>
      </c>
      <c r="R23" s="75">
        <v>385610.1</v>
      </c>
      <c r="S23" s="75">
        <v>19651</v>
      </c>
      <c r="T23" s="75">
        <v>199331.7</v>
      </c>
      <c r="U23" s="75">
        <v>49428.5</v>
      </c>
      <c r="V23" s="75">
        <v>181383.4</v>
      </c>
      <c r="W23" s="75">
        <v>485926.3</v>
      </c>
      <c r="Y23" s="316">
        <v>1997</v>
      </c>
      <c r="Z23" s="75">
        <v>397826.5</v>
      </c>
      <c r="AA23" s="75">
        <v>20712.2</v>
      </c>
      <c r="AB23" s="75">
        <v>206274.2</v>
      </c>
      <c r="AC23" s="75">
        <v>52259.6</v>
      </c>
      <c r="AD23" s="75">
        <v>191387.1</v>
      </c>
      <c r="AE23" s="75">
        <v>523905.8</v>
      </c>
      <c r="AG23" s="316">
        <v>1997</v>
      </c>
      <c r="AH23" s="48">
        <f t="shared" si="120"/>
        <v>0.96929214117209384</v>
      </c>
      <c r="AI23" s="48">
        <f t="shared" si="121"/>
        <v>0.94876449628721238</v>
      </c>
      <c r="AJ23" s="48">
        <f t="shared" si="122"/>
        <v>0.96634334298715008</v>
      </c>
      <c r="AK23" s="48">
        <f t="shared" si="123"/>
        <v>0.94582622140238348</v>
      </c>
      <c r="AL23" s="48">
        <f t="shared" si="124"/>
        <v>0.94773054192262696</v>
      </c>
      <c r="AM23" s="48">
        <f t="shared" si="125"/>
        <v>0.92750700603047342</v>
      </c>
      <c r="AO23" s="316">
        <v>1997</v>
      </c>
      <c r="AP23" s="48">
        <f t="shared" si="133"/>
        <v>0.99715152937385265</v>
      </c>
      <c r="AQ23" s="48">
        <f t="shared" si="42"/>
        <v>1.0029419673132074</v>
      </c>
      <c r="AR23" s="48">
        <f t="shared" si="43"/>
        <v>0.99008032546628311</v>
      </c>
      <c r="AS23" s="48">
        <f t="shared" si="44"/>
        <v>1.0024060995255923</v>
      </c>
      <c r="AT23" s="48">
        <f t="shared" si="45"/>
        <v>0.98901340848690988</v>
      </c>
      <c r="AU23" s="48">
        <f t="shared" si="46"/>
        <v>1.0015057033186661</v>
      </c>
      <c r="AW23" s="316">
        <v>1997</v>
      </c>
      <c r="AX23" s="61">
        <v>25312.5</v>
      </c>
      <c r="AY23" s="61">
        <v>1593.2</v>
      </c>
      <c r="AZ23" s="61">
        <v>11686.7</v>
      </c>
      <c r="BA23" s="61">
        <v>3923.8</v>
      </c>
      <c r="BB23" s="61">
        <v>9266.4</v>
      </c>
      <c r="BC23" s="61">
        <v>27980.5</v>
      </c>
      <c r="BE23" s="316">
        <v>1997</v>
      </c>
      <c r="BF23" s="61">
        <v>24858</v>
      </c>
      <c r="BG23" s="61">
        <v>1599.2</v>
      </c>
      <c r="BH23" s="61">
        <v>11622.3</v>
      </c>
      <c r="BI23" s="61">
        <v>4516.2</v>
      </c>
      <c r="BJ23" s="61">
        <v>9484.5</v>
      </c>
      <c r="BK23" s="61">
        <v>28694.6</v>
      </c>
      <c r="BM23" s="316">
        <v>1997</v>
      </c>
      <c r="BN23" s="75">
        <v>29648.3</v>
      </c>
      <c r="BO23" s="75">
        <v>1593.8</v>
      </c>
      <c r="BP23" s="75">
        <v>15312.8</v>
      </c>
      <c r="BQ23" s="75">
        <v>4337.6000000000004</v>
      </c>
      <c r="BR23" s="75">
        <v>9309.7999999999993</v>
      </c>
      <c r="BS23" s="75">
        <v>27928.9</v>
      </c>
      <c r="BU23" s="316">
        <v>1997</v>
      </c>
      <c r="BV23" s="75">
        <v>30418.3</v>
      </c>
      <c r="BW23" s="75">
        <v>1693.8</v>
      </c>
      <c r="BX23" s="75">
        <v>15846.1</v>
      </c>
      <c r="BY23" s="75">
        <v>5182.5</v>
      </c>
      <c r="BZ23" s="75">
        <v>9845.5</v>
      </c>
      <c r="CA23" s="75">
        <v>30450.1</v>
      </c>
      <c r="CC23" s="316">
        <v>1997</v>
      </c>
      <c r="CD23" s="48">
        <f t="shared" si="126"/>
        <v>0.974686290818356</v>
      </c>
      <c r="CE23" s="48">
        <f t="shared" si="127"/>
        <v>0.94096115243830436</v>
      </c>
      <c r="CF23" s="48">
        <f t="shared" si="128"/>
        <v>0.96634503126952365</v>
      </c>
      <c r="CG23" s="48">
        <f t="shared" si="129"/>
        <v>0.8369705740472746</v>
      </c>
      <c r="CH23" s="48">
        <f t="shared" si="130"/>
        <v>0.9455893555431415</v>
      </c>
      <c r="CI23" s="48">
        <f t="shared" si="131"/>
        <v>0.91720224235716807</v>
      </c>
      <c r="CK23" s="316">
        <v>1997</v>
      </c>
      <c r="CL23" s="48">
        <f t="shared" si="134"/>
        <v>1.0166019247167188</v>
      </c>
      <c r="CM23" s="48">
        <f t="shared" si="135"/>
        <v>1.018599208228931</v>
      </c>
      <c r="CN23" s="48">
        <f t="shared" si="136"/>
        <v>1.0076178064142634</v>
      </c>
      <c r="CO23" s="48">
        <f t="shared" si="137"/>
        <v>1.0168921929320358</v>
      </c>
      <c r="CP23" s="48">
        <f t="shared" si="138"/>
        <v>1.0047869810626593</v>
      </c>
      <c r="CQ23" s="48">
        <f t="shared" si="139"/>
        <v>1.0147682373352866</v>
      </c>
      <c r="CS23" s="316">
        <v>1997</v>
      </c>
      <c r="CT23" s="46">
        <f t="shared" si="97"/>
        <v>23500.400000000034</v>
      </c>
      <c r="CU23" s="46">
        <f t="shared" si="98"/>
        <v>954.00000000000068</v>
      </c>
      <c r="CV23" s="46">
        <f t="shared" si="99"/>
        <v>17111.099999999988</v>
      </c>
      <c r="CW23" s="46">
        <f t="shared" si="100"/>
        <v>3823.6999999999989</v>
      </c>
      <c r="CX23" s="46">
        <f t="shared" si="101"/>
        <v>5473.5000000000109</v>
      </c>
      <c r="CY23" s="46">
        <f t="shared" si="102"/>
        <v>10775.400000000001</v>
      </c>
      <c r="CZ23" s="37"/>
      <c r="DA23" s="316">
        <v>1997</v>
      </c>
      <c r="DB23" s="46">
        <f t="shared" si="103"/>
        <v>22960.500000000011</v>
      </c>
      <c r="DC23" s="46">
        <f t="shared" si="104"/>
        <v>1078.3999999999985</v>
      </c>
      <c r="DD23" s="46">
        <f t="shared" si="105"/>
        <v>15642.399999999989</v>
      </c>
      <c r="DE23" s="46">
        <f t="shared" si="106"/>
        <v>4763.5999999999985</v>
      </c>
      <c r="DF23" s="46">
        <f t="shared" si="107"/>
        <v>3739.3999999999942</v>
      </c>
      <c r="DG23" s="46">
        <f t="shared" si="108"/>
        <v>12716.899999999987</v>
      </c>
      <c r="DI23" s="316">
        <v>1997</v>
      </c>
      <c r="DJ23" s="88">
        <f t="shared" si="56"/>
        <v>6.1930806283208267E-2</v>
      </c>
      <c r="DK23" s="88">
        <f t="shared" si="57"/>
        <v>5.0180945968692173E-2</v>
      </c>
      <c r="DL23" s="88">
        <f t="shared" si="58"/>
        <v>8.5074827226172073E-2</v>
      </c>
      <c r="DM23" s="88">
        <f t="shared" si="59"/>
        <v>7.8170934649368473E-2</v>
      </c>
      <c r="DN23" s="88">
        <f t="shared" si="60"/>
        <v>3.0828439326804048E-2</v>
      </c>
      <c r="DO23" s="88">
        <f t="shared" si="61"/>
        <v>2.2986401941409572E-2</v>
      </c>
      <c r="DP23" s="37"/>
      <c r="DQ23" s="316">
        <v>1997</v>
      </c>
      <c r="DR23" s="88">
        <f t="shared" si="62"/>
        <v>5.8817471790130742E-2</v>
      </c>
      <c r="DS23" s="88">
        <f t="shared" si="63"/>
        <v>5.3660284224354052E-2</v>
      </c>
      <c r="DT23" s="88">
        <f t="shared" si="64"/>
        <v>7.5908002358416118E-2</v>
      </c>
      <c r="DU23" s="88">
        <f t="shared" si="65"/>
        <v>9.1889191311074092E-2</v>
      </c>
      <c r="DV23" s="88">
        <f t="shared" si="66"/>
        <v>2.0182317668838112E-2</v>
      </c>
      <c r="DW23" s="88">
        <f t="shared" si="67"/>
        <v>2.5123643595089871E-2</v>
      </c>
      <c r="DY23" s="316">
        <v>1997</v>
      </c>
      <c r="DZ23" s="61">
        <v>543545.4</v>
      </c>
      <c r="EA23" s="61">
        <v>477269.5</v>
      </c>
      <c r="EB23" s="89">
        <v>0.3</v>
      </c>
      <c r="EC23" s="46">
        <f t="shared" si="35"/>
        <v>541919.6410767698</v>
      </c>
      <c r="ED23" s="46">
        <f t="shared" si="36"/>
        <v>475841.97407776676</v>
      </c>
      <c r="EF23" s="316">
        <v>1997</v>
      </c>
      <c r="EG23" s="88">
        <f t="shared" si="68"/>
        <v>5.4546133588840966E-2</v>
      </c>
      <c r="EH23" s="88">
        <f t="shared" si="69"/>
        <v>2.9322297640638666E-3</v>
      </c>
      <c r="EI23" s="88">
        <f t="shared" si="70"/>
        <v>2.8172071734946149E-2</v>
      </c>
      <c r="EJ23" s="88">
        <f t="shared" si="71"/>
        <v>7.9801981582403245E-3</v>
      </c>
      <c r="EK23" s="88">
        <f t="shared" si="72"/>
        <v>1.7127916085758428E-2</v>
      </c>
      <c r="EL23" s="88">
        <f t="shared" si="73"/>
        <v>5.1382828370914374E-2</v>
      </c>
      <c r="EM23" s="140"/>
      <c r="EN23" s="316">
        <v>1997</v>
      </c>
      <c r="EO23" s="88">
        <f t="shared" si="74"/>
        <v>6.373401191569962E-2</v>
      </c>
      <c r="EP23" s="88">
        <f t="shared" si="75"/>
        <v>3.5489382832969633E-3</v>
      </c>
      <c r="EQ23" s="88">
        <f t="shared" si="76"/>
        <v>3.3201576886853233E-2</v>
      </c>
      <c r="ER23" s="88">
        <f t="shared" si="77"/>
        <v>1.0858644853693773E-2</v>
      </c>
      <c r="ES23" s="88">
        <f t="shared" si="78"/>
        <v>2.0628806156689251E-2</v>
      </c>
      <c r="ET23" s="88">
        <f t="shared" si="79"/>
        <v>6.3800640937667283E-2</v>
      </c>
      <c r="EV23" s="316">
        <v>1997</v>
      </c>
      <c r="EW23" s="88">
        <f t="shared" si="80"/>
        <v>0.71156324807458571</v>
      </c>
      <c r="EX23" s="88">
        <f t="shared" si="81"/>
        <v>3.6261833878090032E-2</v>
      </c>
      <c r="EY23" s="88">
        <f t="shared" si="82"/>
        <v>0.36782519933017549</v>
      </c>
      <c r="EZ23" s="88">
        <f t="shared" si="83"/>
        <v>9.1210017599265836E-2</v>
      </c>
      <c r="FA23" s="88">
        <f t="shared" si="84"/>
        <v>0.33470534420859777</v>
      </c>
      <c r="FB23" s="88">
        <f t="shared" si="85"/>
        <v>0.89667593341788909</v>
      </c>
      <c r="FD23" s="316">
        <v>1997</v>
      </c>
      <c r="FE23" s="88">
        <f t="shared" si="86"/>
        <v>0.83604751508319708</v>
      </c>
      <c r="FF23" s="88">
        <f t="shared" si="87"/>
        <v>4.3527475776264771E-2</v>
      </c>
      <c r="FG23" s="88">
        <f t="shared" si="88"/>
        <v>0.43349307382935631</v>
      </c>
      <c r="FH23" s="88">
        <f t="shared" si="89"/>
        <v>0.10982553630600739</v>
      </c>
      <c r="FI23" s="88">
        <f t="shared" si="90"/>
        <v>0.40220726717294941</v>
      </c>
      <c r="FJ23" s="88">
        <f t="shared" si="91"/>
        <v>1.1010079575585701</v>
      </c>
      <c r="FL23" s="316">
        <v>1997</v>
      </c>
      <c r="FM23" s="317">
        <f t="shared" si="92"/>
        <v>126166</v>
      </c>
      <c r="FN23" s="61">
        <v>19366</v>
      </c>
      <c r="FO23" s="61">
        <v>87042</v>
      </c>
      <c r="FP23" s="61">
        <v>19758</v>
      </c>
      <c r="FQ23" s="88">
        <f t="shared" si="93"/>
        <v>0.15349618756241776</v>
      </c>
      <c r="FR23" s="88">
        <f t="shared" si="94"/>
        <v>0.68990060713662948</v>
      </c>
      <c r="FS23" s="88">
        <f t="shared" si="95"/>
        <v>0.1566032053009527</v>
      </c>
      <c r="FT23" s="88">
        <f t="shared" si="109"/>
        <v>-2.9107278383322666E-3</v>
      </c>
      <c r="FU23" s="88">
        <f t="shared" si="110"/>
        <v>-2.6008229784153514E-3</v>
      </c>
      <c r="FV23" s="88">
        <f t="shared" si="111"/>
        <v>5.5115508167475347E-3</v>
      </c>
      <c r="FX23" s="316">
        <v>1997</v>
      </c>
      <c r="FY23" s="159">
        <v>2.3731061224489789E-2</v>
      </c>
      <c r="FZ23" s="62">
        <v>1.1000000000000001E-2</v>
      </c>
      <c r="GA23" s="319">
        <f t="shared" si="112"/>
        <v>1.2731061224489788E-2</v>
      </c>
      <c r="GC23" s="302">
        <f t="shared" si="113"/>
        <v>4.636711325274212E-3</v>
      </c>
      <c r="GD23" s="302">
        <f t="shared" si="114"/>
        <v>1.0124568630111186E-2</v>
      </c>
      <c r="GE23" s="302">
        <f t="shared" si="115"/>
        <v>1.5866575690681693E-3</v>
      </c>
    </row>
    <row r="24" spans="1:187">
      <c r="A24" s="316">
        <v>1998</v>
      </c>
      <c r="B24" s="61">
        <v>338508.7</v>
      </c>
      <c r="C24" s="61">
        <v>21174.3</v>
      </c>
      <c r="D24" s="61">
        <v>166233.29999999999</v>
      </c>
      <c r="E24" s="61">
        <v>44510.400000000001</v>
      </c>
      <c r="F24" s="61">
        <v>183110.8</v>
      </c>
      <c r="G24" s="61">
        <v>474684.4</v>
      </c>
      <c r="I24" s="316">
        <v>1998</v>
      </c>
      <c r="J24" s="61">
        <v>338919.7</v>
      </c>
      <c r="K24" s="61">
        <v>21539.7</v>
      </c>
      <c r="L24" s="61">
        <v>168944.5</v>
      </c>
      <c r="M24" s="61">
        <v>45673.8</v>
      </c>
      <c r="N24" s="61">
        <v>191392.7</v>
      </c>
      <c r="O24" s="61">
        <v>493127.7</v>
      </c>
      <c r="Q24" s="316">
        <v>1998</v>
      </c>
      <c r="R24" s="75">
        <v>381653.1</v>
      </c>
      <c r="S24" s="75">
        <v>19631.400000000001</v>
      </c>
      <c r="T24" s="75">
        <v>195249.3</v>
      </c>
      <c r="U24" s="75">
        <v>48635.6</v>
      </c>
      <c r="V24" s="75">
        <v>181776</v>
      </c>
      <c r="W24" s="75">
        <v>494359</v>
      </c>
      <c r="Y24" s="316">
        <v>1998</v>
      </c>
      <c r="Z24" s="75">
        <v>400893.5</v>
      </c>
      <c r="AA24" s="75">
        <v>21083.8</v>
      </c>
      <c r="AB24" s="75">
        <v>206188.2</v>
      </c>
      <c r="AC24" s="75">
        <v>52490.5</v>
      </c>
      <c r="AD24" s="75">
        <v>196069.4</v>
      </c>
      <c r="AE24" s="75">
        <v>543475</v>
      </c>
      <c r="AG24" s="316">
        <v>1998</v>
      </c>
      <c r="AH24" s="48">
        <f t="shared" si="120"/>
        <v>0.95200620613704134</v>
      </c>
      <c r="AI24" s="48">
        <f t="shared" si="121"/>
        <v>0.93111298722241731</v>
      </c>
      <c r="AJ24" s="48">
        <f t="shared" si="122"/>
        <v>0.94694701248665047</v>
      </c>
      <c r="AK24" s="48">
        <f t="shared" si="123"/>
        <v>0.92656004419847393</v>
      </c>
      <c r="AL24" s="48">
        <f t="shared" si="124"/>
        <v>0.92710030223992124</v>
      </c>
      <c r="AM24" s="48">
        <f t="shared" si="125"/>
        <v>0.90962601775610652</v>
      </c>
      <c r="AO24" s="316">
        <v>1998</v>
      </c>
      <c r="AP24" s="48">
        <f t="shared" si="133"/>
        <v>0.9821664343485238</v>
      </c>
      <c r="AQ24" s="48">
        <f t="shared" si="42"/>
        <v>0.98139526812620992</v>
      </c>
      <c r="AR24" s="48">
        <f t="shared" si="43"/>
        <v>0.97992811701838611</v>
      </c>
      <c r="AS24" s="48">
        <f t="shared" si="44"/>
        <v>0.97963032027665353</v>
      </c>
      <c r="AT24" s="48">
        <f t="shared" si="45"/>
        <v>0.97823195647904948</v>
      </c>
      <c r="AU24" s="48">
        <f t="shared" si="46"/>
        <v>0.98072145206655248</v>
      </c>
      <c r="AW24" s="316">
        <v>1998</v>
      </c>
      <c r="AX24" s="61">
        <v>21493.599999999999</v>
      </c>
      <c r="AY24" s="61">
        <v>1363.4</v>
      </c>
      <c r="AZ24" s="61">
        <v>11428.7</v>
      </c>
      <c r="BA24" s="61">
        <v>3600.8</v>
      </c>
      <c r="BB24" s="61">
        <v>9974.2999999999993</v>
      </c>
      <c r="BC24" s="61">
        <v>27357.3</v>
      </c>
      <c r="BE24" s="316">
        <v>1998</v>
      </c>
      <c r="BF24" s="61">
        <v>21538.1</v>
      </c>
      <c r="BG24" s="61">
        <v>1393.1</v>
      </c>
      <c r="BH24" s="61">
        <v>11609.5</v>
      </c>
      <c r="BI24" s="61">
        <v>4227.2</v>
      </c>
      <c r="BJ24" s="61">
        <v>10411.9</v>
      </c>
      <c r="BK24" s="61">
        <v>28528.1</v>
      </c>
      <c r="BM24" s="316">
        <v>1998</v>
      </c>
      <c r="BN24" s="75">
        <v>25188.1</v>
      </c>
      <c r="BO24" s="75">
        <v>1367.7</v>
      </c>
      <c r="BP24" s="75">
        <v>15010.5</v>
      </c>
      <c r="BQ24" s="75">
        <v>3870.5</v>
      </c>
      <c r="BR24" s="75">
        <v>9876.5</v>
      </c>
      <c r="BS24" s="75">
        <v>27454.400000000001</v>
      </c>
      <c r="BU24" s="316">
        <v>1998</v>
      </c>
      <c r="BV24" s="75">
        <v>26324.5</v>
      </c>
      <c r="BW24" s="75">
        <v>1478.3</v>
      </c>
      <c r="BX24" s="75">
        <v>15854.3</v>
      </c>
      <c r="BY24" s="75">
        <v>4711.2</v>
      </c>
      <c r="BZ24" s="75">
        <v>10652</v>
      </c>
      <c r="CA24" s="75">
        <v>30436.7</v>
      </c>
      <c r="CC24" s="316">
        <v>1998</v>
      </c>
      <c r="CD24" s="48">
        <f t="shared" si="126"/>
        <v>0.95683108890957091</v>
      </c>
      <c r="CE24" s="48">
        <f t="shared" si="127"/>
        <v>0.92518433335588179</v>
      </c>
      <c r="CF24" s="48">
        <f t="shared" si="128"/>
        <v>0.94677784575793322</v>
      </c>
      <c r="CG24" s="48">
        <f t="shared" si="129"/>
        <v>0.82155289522839192</v>
      </c>
      <c r="CH24" s="48">
        <f t="shared" si="130"/>
        <v>0.92719677055951932</v>
      </c>
      <c r="CI24" s="48">
        <f t="shared" si="131"/>
        <v>0.90201631582924569</v>
      </c>
      <c r="CK24" s="316">
        <v>1998</v>
      </c>
      <c r="CL24" s="48">
        <f t="shared" si="134"/>
        <v>0.98168107823308592</v>
      </c>
      <c r="CM24" s="48">
        <f t="shared" si="135"/>
        <v>0.98323329391278247</v>
      </c>
      <c r="CN24" s="48">
        <f t="shared" si="136"/>
        <v>0.97975134669458142</v>
      </c>
      <c r="CO24" s="48">
        <f t="shared" si="137"/>
        <v>0.98157918653659637</v>
      </c>
      <c r="CP24" s="48">
        <f t="shared" si="138"/>
        <v>0.98054907780443701</v>
      </c>
      <c r="CQ24" s="48">
        <f t="shared" si="139"/>
        <v>0.98344320824064357</v>
      </c>
      <c r="CS24" s="316">
        <v>1998</v>
      </c>
      <c r="CT24" s="46">
        <f t="shared" si="97"/>
        <v>29145.1</v>
      </c>
      <c r="CU24" s="46">
        <f t="shared" si="98"/>
        <v>1387.2999999999986</v>
      </c>
      <c r="CV24" s="46">
        <f t="shared" si="99"/>
        <v>19092.900000000023</v>
      </c>
      <c r="CW24" s="46">
        <f t="shared" si="100"/>
        <v>4663.4000000000015</v>
      </c>
      <c r="CX24" s="46">
        <f t="shared" si="101"/>
        <v>9483.8999999999942</v>
      </c>
      <c r="CY24" s="46">
        <f t="shared" si="102"/>
        <v>19021.69999999999</v>
      </c>
      <c r="CZ24" s="37"/>
      <c r="DA24" s="316">
        <v>1998</v>
      </c>
      <c r="DB24" s="46">
        <f t="shared" si="103"/>
        <v>23257.5</v>
      </c>
      <c r="DC24" s="46">
        <f t="shared" si="104"/>
        <v>1106.7000000000014</v>
      </c>
      <c r="DD24" s="46">
        <f t="shared" si="105"/>
        <v>15940.3</v>
      </c>
      <c r="DE24" s="46">
        <f t="shared" si="106"/>
        <v>4480.2999999999984</v>
      </c>
      <c r="DF24" s="46">
        <f t="shared" si="107"/>
        <v>5969.7000000000116</v>
      </c>
      <c r="DG24" s="46">
        <f t="shared" si="108"/>
        <v>10867.499999999989</v>
      </c>
      <c r="DI24" s="316">
        <v>1998</v>
      </c>
      <c r="DJ24" s="88">
        <f t="shared" si="56"/>
        <v>7.5581785850526217E-2</v>
      </c>
      <c r="DK24" s="88">
        <f t="shared" si="57"/>
        <v>7.0596916187471298E-2</v>
      </c>
      <c r="DL24" s="88">
        <f t="shared" si="58"/>
        <v>9.5784564121010468E-2</v>
      </c>
      <c r="DM24" s="88">
        <f t="shared" si="59"/>
        <v>9.4346379113264642E-2</v>
      </c>
      <c r="DN24" s="88">
        <f t="shared" si="60"/>
        <v>5.2286482665999175E-2</v>
      </c>
      <c r="DO24" s="88">
        <f t="shared" si="61"/>
        <v>3.9145236633621169E-2</v>
      </c>
      <c r="DP24" s="37"/>
      <c r="DQ24" s="316">
        <v>1998</v>
      </c>
      <c r="DR24" s="88">
        <f t="shared" si="62"/>
        <v>5.8461414712192378E-2</v>
      </c>
      <c r="DS24" s="88">
        <f t="shared" si="63"/>
        <v>5.3432276629233076E-2</v>
      </c>
      <c r="DT24" s="88">
        <f t="shared" si="64"/>
        <v>7.7277235834631752E-2</v>
      </c>
      <c r="DU24" s="88">
        <f t="shared" si="65"/>
        <v>8.5731616774716968E-2</v>
      </c>
      <c r="DV24" s="88">
        <f t="shared" si="66"/>
        <v>3.1191757438197305E-2</v>
      </c>
      <c r="DW24" s="88">
        <f t="shared" si="67"/>
        <v>2.0743232848347906E-2</v>
      </c>
      <c r="DY24" s="316">
        <v>1998</v>
      </c>
      <c r="DZ24" s="61">
        <v>536497.4</v>
      </c>
      <c r="EA24" s="61">
        <v>471206.6</v>
      </c>
      <c r="EB24" s="89">
        <v>-1.9</v>
      </c>
      <c r="EC24" s="46">
        <f t="shared" si="35"/>
        <v>546888.27726809378</v>
      </c>
      <c r="ED24" s="46">
        <f t="shared" si="36"/>
        <v>480332.92558613658</v>
      </c>
      <c r="EF24" s="316">
        <v>1998</v>
      </c>
      <c r="EG24" s="88">
        <f t="shared" si="68"/>
        <v>4.694915576478096E-2</v>
      </c>
      <c r="EH24" s="88">
        <f t="shared" si="69"/>
        <v>2.549313379710694E-3</v>
      </c>
      <c r="EI24" s="88">
        <f t="shared" si="70"/>
        <v>2.7978700362760376E-2</v>
      </c>
      <c r="EJ24" s="88">
        <f t="shared" si="71"/>
        <v>7.2143872458654973E-3</v>
      </c>
      <c r="EK24" s="88">
        <f t="shared" si="72"/>
        <v>1.8409222486446344E-2</v>
      </c>
      <c r="EL24" s="88">
        <f t="shared" si="73"/>
        <v>5.1173407364136343E-2</v>
      </c>
      <c r="EM24" s="140"/>
      <c r="EN24" s="316">
        <v>1998</v>
      </c>
      <c r="EO24" s="88">
        <f t="shared" si="74"/>
        <v>5.5866152978332646E-2</v>
      </c>
      <c r="EP24" s="88">
        <f t="shared" si="75"/>
        <v>3.1372650552857284E-3</v>
      </c>
      <c r="EQ24" s="88">
        <f t="shared" si="76"/>
        <v>3.3646175584128066E-2</v>
      </c>
      <c r="ER24" s="88">
        <f t="shared" si="77"/>
        <v>9.9981621649611867E-3</v>
      </c>
      <c r="ES24" s="88">
        <f t="shared" si="78"/>
        <v>2.2605795419673665E-2</v>
      </c>
      <c r="ET24" s="88">
        <f t="shared" si="79"/>
        <v>6.4593110537925408E-2</v>
      </c>
      <c r="EV24" s="316">
        <v>1998</v>
      </c>
      <c r="EW24" s="88">
        <f t="shared" si="80"/>
        <v>0.69786301126529215</v>
      </c>
      <c r="EX24" s="88">
        <f t="shared" si="81"/>
        <v>3.589654563097603E-2</v>
      </c>
      <c r="EY24" s="88">
        <f t="shared" si="82"/>
        <v>0.35701862357580855</v>
      </c>
      <c r="EZ24" s="88">
        <f t="shared" si="83"/>
        <v>8.8931509453727076E-2</v>
      </c>
      <c r="FA24" s="88">
        <f t="shared" si="84"/>
        <v>0.33238233027783548</v>
      </c>
      <c r="FB24" s="88">
        <f t="shared" si="85"/>
        <v>0.90394879639677661</v>
      </c>
      <c r="FD24" s="316">
        <v>1998</v>
      </c>
      <c r="FE24" s="88">
        <f t="shared" si="86"/>
        <v>0.83461590627126192</v>
      </c>
      <c r="FF24" s="88">
        <f t="shared" si="87"/>
        <v>4.3894138579553002E-2</v>
      </c>
      <c r="FG24" s="88">
        <f t="shared" si="88"/>
        <v>0.42926101671750783</v>
      </c>
      <c r="FH24" s="88">
        <f t="shared" si="89"/>
        <v>0.10927941268225021</v>
      </c>
      <c r="FI24" s="88">
        <f t="shared" si="90"/>
        <v>0.40819479480975013</v>
      </c>
      <c r="FJ24" s="88">
        <f t="shared" si="91"/>
        <v>1.1314548119657069</v>
      </c>
      <c r="FL24" s="316">
        <v>1998</v>
      </c>
      <c r="FM24" s="317">
        <f t="shared" si="92"/>
        <v>126487</v>
      </c>
      <c r="FN24" s="61">
        <v>19059</v>
      </c>
      <c r="FO24" s="61">
        <v>86920</v>
      </c>
      <c r="FP24" s="61">
        <v>20508</v>
      </c>
      <c r="FQ24" s="88">
        <f t="shared" si="93"/>
        <v>0.15067951647204852</v>
      </c>
      <c r="FR24" s="88">
        <f t="shared" si="94"/>
        <v>0.68718524433340977</v>
      </c>
      <c r="FS24" s="88">
        <f t="shared" si="95"/>
        <v>0.16213523919454173</v>
      </c>
      <c r="FT24" s="88">
        <f t="shared" si="109"/>
        <v>-2.8166710903692327E-3</v>
      </c>
      <c r="FU24" s="88">
        <f t="shared" si="110"/>
        <v>-2.7153628032197119E-3</v>
      </c>
      <c r="FV24" s="88">
        <f t="shared" si="111"/>
        <v>5.5320338935890279E-3</v>
      </c>
      <c r="FX24" s="316">
        <v>1998</v>
      </c>
      <c r="FY24" s="159">
        <v>1.5285263157894748E-2</v>
      </c>
      <c r="FZ24" s="62">
        <v>9.0000000000000011E-3</v>
      </c>
      <c r="GA24" s="319">
        <f t="shared" si="112"/>
        <v>6.2852631578947469E-3</v>
      </c>
      <c r="GC24" s="302">
        <f t="shared" si="113"/>
        <v>-4.6258199644364506E-3</v>
      </c>
      <c r="GD24" s="302">
        <f t="shared" si="114"/>
        <v>1.1951028978088918E-2</v>
      </c>
      <c r="GE24" s="302">
        <f t="shared" si="115"/>
        <v>3.2488780634037755E-3</v>
      </c>
    </row>
    <row r="25" spans="1:187">
      <c r="A25" s="316">
        <v>1999</v>
      </c>
      <c r="B25" s="61">
        <v>338387.5</v>
      </c>
      <c r="C25" s="61">
        <v>21310</v>
      </c>
      <c r="D25" s="61">
        <v>162497.60000000001</v>
      </c>
      <c r="E25" s="61">
        <v>43812.1</v>
      </c>
      <c r="F25" s="61">
        <v>183519.4</v>
      </c>
      <c r="G25" s="61">
        <v>484834.2</v>
      </c>
      <c r="I25" s="316">
        <v>1999</v>
      </c>
      <c r="J25" s="61">
        <v>341760.6</v>
      </c>
      <c r="K25" s="61">
        <v>21890.9</v>
      </c>
      <c r="L25" s="61">
        <v>167390.39999999999</v>
      </c>
      <c r="M25" s="61">
        <v>45581</v>
      </c>
      <c r="N25" s="61">
        <v>194460.2</v>
      </c>
      <c r="O25" s="61">
        <v>510149.4</v>
      </c>
      <c r="Q25" s="316">
        <v>1999</v>
      </c>
      <c r="R25" s="75">
        <v>380830.8</v>
      </c>
      <c r="S25" s="75">
        <v>19685.8</v>
      </c>
      <c r="T25" s="75">
        <v>192072.1</v>
      </c>
      <c r="U25" s="75">
        <v>48092.9</v>
      </c>
      <c r="V25" s="75">
        <v>182668.79999999999</v>
      </c>
      <c r="W25" s="75">
        <v>504783.2</v>
      </c>
      <c r="Y25" s="316">
        <v>1999</v>
      </c>
      <c r="Z25" s="75">
        <v>403933.2</v>
      </c>
      <c r="AA25" s="75">
        <v>21364.1</v>
      </c>
      <c r="AB25" s="75">
        <v>205659.5</v>
      </c>
      <c r="AC25" s="75">
        <v>52639.199999999997</v>
      </c>
      <c r="AD25" s="75">
        <v>199731.8</v>
      </c>
      <c r="AE25" s="75">
        <v>562159.5</v>
      </c>
      <c r="AG25" s="316">
        <v>1999</v>
      </c>
      <c r="AH25" s="48">
        <f t="shared" si="120"/>
        <v>0.94280638481808376</v>
      </c>
      <c r="AI25" s="48">
        <f t="shared" si="121"/>
        <v>0.92144298145018988</v>
      </c>
      <c r="AJ25" s="48">
        <f t="shared" si="122"/>
        <v>0.93393254384066871</v>
      </c>
      <c r="AK25" s="48">
        <f t="shared" si="123"/>
        <v>0.91363280596969565</v>
      </c>
      <c r="AL25" s="48">
        <f t="shared" si="124"/>
        <v>0.91457043895864354</v>
      </c>
      <c r="AM25" s="48">
        <f t="shared" si="125"/>
        <v>0.89793590609070917</v>
      </c>
      <c r="AO25" s="316">
        <v>1999</v>
      </c>
      <c r="AP25" s="48">
        <f t="shared" si="133"/>
        <v>0.9903363851415552</v>
      </c>
      <c r="AQ25" s="48">
        <f t="shared" si="42"/>
        <v>0.98961457319903379</v>
      </c>
      <c r="AR25" s="48">
        <f t="shared" si="43"/>
        <v>0.98625639188426584</v>
      </c>
      <c r="AS25" s="48">
        <f t="shared" si="44"/>
        <v>0.98604813761426435</v>
      </c>
      <c r="AT25" s="48">
        <f t="shared" si="45"/>
        <v>0.98648488922826916</v>
      </c>
      <c r="AU25" s="48">
        <f t="shared" si="46"/>
        <v>0.9871484418462052</v>
      </c>
      <c r="AW25" s="316">
        <v>1999</v>
      </c>
      <c r="AX25" s="61">
        <v>21258.2</v>
      </c>
      <c r="AY25" s="61">
        <v>1283</v>
      </c>
      <c r="AZ25" s="61">
        <v>10904.4</v>
      </c>
      <c r="BA25" s="61">
        <v>3384.8</v>
      </c>
      <c r="BB25" s="61">
        <v>6758.6</v>
      </c>
      <c r="BC25" s="61">
        <v>28594.1</v>
      </c>
      <c r="BE25" s="316">
        <v>1999</v>
      </c>
      <c r="BF25" s="61">
        <v>21560.9</v>
      </c>
      <c r="BG25" s="61">
        <v>1329.9</v>
      </c>
      <c r="BH25" s="61">
        <v>11294.8</v>
      </c>
      <c r="BI25" s="61">
        <v>4043.2</v>
      </c>
      <c r="BJ25" s="61">
        <v>7180.9</v>
      </c>
      <c r="BK25" s="61">
        <v>30406.5</v>
      </c>
      <c r="BM25" s="316">
        <v>1999</v>
      </c>
      <c r="BN25" s="75">
        <v>24877</v>
      </c>
      <c r="BO25" s="75">
        <v>1277.2</v>
      </c>
      <c r="BP25" s="75">
        <v>14186</v>
      </c>
      <c r="BQ25" s="75">
        <v>3890.6</v>
      </c>
      <c r="BR25" s="75">
        <v>6941.1</v>
      </c>
      <c r="BS25" s="75">
        <v>28399.4</v>
      </c>
      <c r="BU25" s="316">
        <v>1999</v>
      </c>
      <c r="BV25" s="75">
        <v>26331.3</v>
      </c>
      <c r="BW25" s="75">
        <v>1401.4</v>
      </c>
      <c r="BX25" s="75">
        <v>15274.7</v>
      </c>
      <c r="BY25" s="75">
        <v>4823.6000000000004</v>
      </c>
      <c r="BZ25" s="75">
        <v>7615.4</v>
      </c>
      <c r="CA25" s="75">
        <v>32113.8</v>
      </c>
      <c r="CC25" s="316">
        <v>1999</v>
      </c>
      <c r="CD25" s="48">
        <f t="shared" si="126"/>
        <v>0.94476915306118581</v>
      </c>
      <c r="CE25" s="48">
        <f t="shared" si="127"/>
        <v>0.91137433994576844</v>
      </c>
      <c r="CF25" s="48">
        <f t="shared" si="128"/>
        <v>0.92872527774686242</v>
      </c>
      <c r="CG25" s="48">
        <f t="shared" si="129"/>
        <v>0.80657600132680973</v>
      </c>
      <c r="CH25" s="48">
        <f t="shared" si="130"/>
        <v>0.91145573443285988</v>
      </c>
      <c r="CI25" s="48">
        <f t="shared" si="131"/>
        <v>0.88433632893024194</v>
      </c>
      <c r="CK25" s="316">
        <v>1999</v>
      </c>
      <c r="CL25" s="48">
        <f t="shared" si="134"/>
        <v>0.98739387130268608</v>
      </c>
      <c r="CM25" s="48">
        <f t="shared" si="135"/>
        <v>0.98507325198642204</v>
      </c>
      <c r="CN25" s="48">
        <f t="shared" si="136"/>
        <v>0.98093262522781255</v>
      </c>
      <c r="CO25" s="48">
        <f t="shared" si="137"/>
        <v>0.98177001871873559</v>
      </c>
      <c r="CP25" s="48">
        <f t="shared" si="138"/>
        <v>0.9830229821474028</v>
      </c>
      <c r="CQ25" s="48">
        <f t="shared" si="139"/>
        <v>0.98039948215044193</v>
      </c>
      <c r="CS25" s="316">
        <v>1999</v>
      </c>
      <c r="CT25" s="46">
        <f t="shared" si="97"/>
        <v>25699.299999999988</v>
      </c>
      <c r="CU25" s="46">
        <f t="shared" si="98"/>
        <v>1222.8000000000022</v>
      </c>
      <c r="CV25" s="46">
        <f t="shared" si="99"/>
        <v>17363.199999999983</v>
      </c>
      <c r="CW25" s="46">
        <f t="shared" si="100"/>
        <v>4433.2999999999975</v>
      </c>
      <c r="CX25" s="46">
        <f t="shared" si="101"/>
        <v>6048.300000000012</v>
      </c>
      <c r="CY25" s="46">
        <f t="shared" si="102"/>
        <v>17975.19999999999</v>
      </c>
      <c r="CZ25" s="37"/>
      <c r="DA25" s="316">
        <v>1999</v>
      </c>
      <c r="DB25" s="46">
        <f t="shared" si="103"/>
        <v>23291.599999999988</v>
      </c>
      <c r="DC25" s="46">
        <f t="shared" si="104"/>
        <v>1121.1000000000008</v>
      </c>
      <c r="DD25" s="46">
        <f t="shared" si="105"/>
        <v>15803.400000000012</v>
      </c>
      <c r="DE25" s="46">
        <f t="shared" si="106"/>
        <v>4674.9000000000033</v>
      </c>
      <c r="DF25" s="46">
        <f t="shared" si="107"/>
        <v>3953.0000000000055</v>
      </c>
      <c r="DG25" s="46">
        <f t="shared" si="108"/>
        <v>13429.3</v>
      </c>
      <c r="DI25" s="316">
        <v>1999</v>
      </c>
      <c r="DJ25" s="88">
        <f t="shared" si="56"/>
        <v>6.7336804024387562E-2</v>
      </c>
      <c r="DK25" s="88">
        <f t="shared" si="57"/>
        <v>6.2287967236162582E-2</v>
      </c>
      <c r="DL25" s="88">
        <f t="shared" si="58"/>
        <v>8.8928359794375619E-2</v>
      </c>
      <c r="DM25" s="88">
        <f t="shared" si="59"/>
        <v>9.1153393810295288E-2</v>
      </c>
      <c r="DN25" s="88">
        <f t="shared" si="60"/>
        <v>3.3273369421705903E-2</v>
      </c>
      <c r="DO25" s="88">
        <f t="shared" si="61"/>
        <v>3.6360620520714683E-2</v>
      </c>
      <c r="DP25" s="37"/>
      <c r="DQ25" s="316">
        <v>1999</v>
      </c>
      <c r="DR25" s="88">
        <f t="shared" si="62"/>
        <v>5.8099220865391897E-2</v>
      </c>
      <c r="DS25" s="88">
        <f t="shared" si="63"/>
        <v>5.3173526593877807E-2</v>
      </c>
      <c r="DT25" s="88">
        <f t="shared" si="64"/>
        <v>7.6645511236821562E-2</v>
      </c>
      <c r="DU25" s="88">
        <f t="shared" si="65"/>
        <v>8.906183023594752E-2</v>
      </c>
      <c r="DV25" s="88">
        <f t="shared" si="66"/>
        <v>2.0161228626190551E-2</v>
      </c>
      <c r="DW25" s="88">
        <f t="shared" si="67"/>
        <v>2.4710060260361561E-2</v>
      </c>
      <c r="DY25" s="316">
        <v>1999</v>
      </c>
      <c r="DZ25" s="61">
        <v>528069.9</v>
      </c>
      <c r="EA25" s="61">
        <v>469633.1</v>
      </c>
      <c r="EB25" s="89">
        <v>-3</v>
      </c>
      <c r="EC25" s="46">
        <f t="shared" si="35"/>
        <v>544401.95876288658</v>
      </c>
      <c r="ED25" s="46">
        <f t="shared" si="36"/>
        <v>484157.8350515464</v>
      </c>
      <c r="EF25" s="316">
        <v>1999</v>
      </c>
      <c r="EG25" s="88">
        <f t="shared" si="68"/>
        <v>4.7109293674947199E-2</v>
      </c>
      <c r="EH25" s="88">
        <f t="shared" si="69"/>
        <v>2.4186192017382549E-3</v>
      </c>
      <c r="EI25" s="88">
        <f t="shared" si="70"/>
        <v>2.6863867832648668E-2</v>
      </c>
      <c r="EJ25" s="88">
        <f t="shared" si="71"/>
        <v>7.3675852382421338E-3</v>
      </c>
      <c r="EK25" s="88">
        <f t="shared" si="72"/>
        <v>1.3144282603496241E-2</v>
      </c>
      <c r="EL25" s="88">
        <f t="shared" si="73"/>
        <v>5.3779622735550731E-2</v>
      </c>
      <c r="EM25" s="140"/>
      <c r="EN25" s="316">
        <v>1999</v>
      </c>
      <c r="EO25" s="88">
        <f t="shared" si="74"/>
        <v>5.6067811233918567E-2</v>
      </c>
      <c r="EP25" s="88">
        <f t="shared" si="75"/>
        <v>2.9840315769906339E-3</v>
      </c>
      <c r="EQ25" s="88">
        <f t="shared" si="76"/>
        <v>3.2524751768987323E-2</v>
      </c>
      <c r="ER25" s="88">
        <f t="shared" si="77"/>
        <v>1.0270996656751836E-2</v>
      </c>
      <c r="ES25" s="88">
        <f t="shared" si="78"/>
        <v>1.6215637270882311E-2</v>
      </c>
      <c r="ET25" s="88">
        <f t="shared" si="79"/>
        <v>6.8380614569117898E-2</v>
      </c>
      <c r="EV25" s="316">
        <v>1999</v>
      </c>
      <c r="EW25" s="88">
        <f t="shared" si="80"/>
        <v>0.69953973138783332</v>
      </c>
      <c r="EX25" s="88">
        <f t="shared" si="81"/>
        <v>3.6160413611910087E-2</v>
      </c>
      <c r="EY25" s="88">
        <f t="shared" si="82"/>
        <v>0.35281302153370225</v>
      </c>
      <c r="EZ25" s="88">
        <f t="shared" si="83"/>
        <v>8.8340791626260087E-2</v>
      </c>
      <c r="FA25" s="88">
        <f t="shared" si="84"/>
        <v>0.33554030631172121</v>
      </c>
      <c r="FB25" s="88">
        <f t="shared" si="85"/>
        <v>0.92722517227359491</v>
      </c>
      <c r="FD25" s="316">
        <v>1999</v>
      </c>
      <c r="FE25" s="88">
        <f t="shared" si="86"/>
        <v>0.83430065725776148</v>
      </c>
      <c r="FF25" s="88">
        <f t="shared" si="87"/>
        <v>4.4126312647042976E-2</v>
      </c>
      <c r="FG25" s="88">
        <f t="shared" si="88"/>
        <v>0.42477779994638365</v>
      </c>
      <c r="FH25" s="88">
        <f t="shared" si="89"/>
        <v>0.1087232224474808</v>
      </c>
      <c r="FI25" s="88">
        <f t="shared" si="90"/>
        <v>0.41253447851099079</v>
      </c>
      <c r="FJ25" s="88">
        <f t="shared" si="91"/>
        <v>1.1611079265920565</v>
      </c>
      <c r="FL25" s="316">
        <v>1999</v>
      </c>
      <c r="FM25" s="317">
        <f t="shared" si="92"/>
        <v>126686</v>
      </c>
      <c r="FN25" s="61">
        <v>18742</v>
      </c>
      <c r="FO25" s="61">
        <v>86758</v>
      </c>
      <c r="FP25" s="61">
        <v>21186</v>
      </c>
      <c r="FQ25" s="88">
        <f t="shared" si="93"/>
        <v>0.14794057749080403</v>
      </c>
      <c r="FR25" s="88">
        <f t="shared" si="94"/>
        <v>0.68482705271300692</v>
      </c>
      <c r="FS25" s="88">
        <f t="shared" si="95"/>
        <v>0.167232369796189</v>
      </c>
      <c r="FT25" s="88">
        <f t="shared" si="109"/>
        <v>-2.7389389812444986E-3</v>
      </c>
      <c r="FU25" s="88">
        <f t="shared" si="110"/>
        <v>-2.3581916204028497E-3</v>
      </c>
      <c r="FV25" s="88">
        <f t="shared" si="111"/>
        <v>5.0971306016472651E-3</v>
      </c>
      <c r="FX25" s="316">
        <v>1999</v>
      </c>
      <c r="FY25" s="159">
        <v>1.7434979591836732E-2</v>
      </c>
      <c r="FZ25" s="62">
        <v>8.0000000000000002E-3</v>
      </c>
      <c r="GA25" s="319">
        <f t="shared" si="112"/>
        <v>9.434979591836732E-3</v>
      </c>
      <c r="GC25" s="302">
        <f t="shared" si="113"/>
        <v>-6.357636274815448E-3</v>
      </c>
      <c r="GD25" s="302">
        <f t="shared" si="114"/>
        <v>4.0426859695847361E-3</v>
      </c>
      <c r="GE25" s="302">
        <f t="shared" si="115"/>
        <v>-1.7866119997980885E-3</v>
      </c>
    </row>
    <row r="26" spans="1:187">
      <c r="A26" s="316">
        <v>2000</v>
      </c>
      <c r="B26" s="61">
        <v>341085.8</v>
      </c>
      <c r="C26" s="61">
        <v>21494.7</v>
      </c>
      <c r="D26" s="61">
        <v>161614.5</v>
      </c>
      <c r="E26" s="61">
        <v>43573.2</v>
      </c>
      <c r="F26" s="61">
        <v>187043.5</v>
      </c>
      <c r="G26" s="61">
        <v>500109.9</v>
      </c>
      <c r="I26" s="316">
        <v>2000</v>
      </c>
      <c r="J26" s="61">
        <v>344601.2</v>
      </c>
      <c r="K26" s="61">
        <v>22043.8</v>
      </c>
      <c r="L26" s="61">
        <v>165995.29999999999</v>
      </c>
      <c r="M26" s="61">
        <v>45212.3</v>
      </c>
      <c r="N26" s="61">
        <v>197679.2</v>
      </c>
      <c r="O26" s="61">
        <v>525035.80000000005</v>
      </c>
      <c r="Q26" s="316">
        <v>2000</v>
      </c>
      <c r="R26" s="75">
        <v>383484.8</v>
      </c>
      <c r="S26" s="75">
        <v>19774.7</v>
      </c>
      <c r="T26" s="75">
        <v>192225</v>
      </c>
      <c r="U26" s="75">
        <v>47993.4</v>
      </c>
      <c r="V26" s="75">
        <v>186384.7</v>
      </c>
      <c r="W26" s="75">
        <v>520876.5</v>
      </c>
      <c r="Y26" s="316">
        <v>2000</v>
      </c>
      <c r="Z26" s="75">
        <v>407297.5</v>
      </c>
      <c r="AA26" s="75">
        <v>21427.5</v>
      </c>
      <c r="AB26" s="75">
        <v>205301.1</v>
      </c>
      <c r="AC26" s="75">
        <v>52396.3</v>
      </c>
      <c r="AD26" s="75">
        <v>203309.6</v>
      </c>
      <c r="AE26" s="75">
        <v>578866.30000000005</v>
      </c>
      <c r="AG26" s="316">
        <v>2000</v>
      </c>
      <c r="AH26" s="48">
        <f t="shared" si="120"/>
        <v>0.94153487315782691</v>
      </c>
      <c r="AI26" s="48">
        <f t="shared" si="121"/>
        <v>0.92286547660716367</v>
      </c>
      <c r="AJ26" s="48">
        <f t="shared" si="122"/>
        <v>0.93630769635428157</v>
      </c>
      <c r="AK26" s="48">
        <f t="shared" si="123"/>
        <v>0.91596925737122659</v>
      </c>
      <c r="AL26" s="48">
        <f t="shared" si="124"/>
        <v>0.91675307019442276</v>
      </c>
      <c r="AM26" s="48">
        <f t="shared" si="125"/>
        <v>0.8998217723159907</v>
      </c>
      <c r="AO26" s="316">
        <v>2000</v>
      </c>
      <c r="AP26" s="48">
        <f t="shared" si="133"/>
        <v>0.99865135442363151</v>
      </c>
      <c r="AQ26" s="48">
        <f t="shared" si="42"/>
        <v>1.0015437690509454</v>
      </c>
      <c r="AR26" s="48">
        <f t="shared" si="43"/>
        <v>1.0025431735185557</v>
      </c>
      <c r="AS26" s="48">
        <f t="shared" si="44"/>
        <v>1.0025573199498359</v>
      </c>
      <c r="AT26" s="48">
        <f t="shared" si="45"/>
        <v>1.00238650971298</v>
      </c>
      <c r="AU26" s="48">
        <f t="shared" si="46"/>
        <v>1.0021002236490262</v>
      </c>
      <c r="AW26" s="316">
        <v>2000</v>
      </c>
      <c r="AX26" s="61">
        <v>21276.1</v>
      </c>
      <c r="AY26" s="61">
        <v>1103.9000000000001</v>
      </c>
      <c r="AZ26" s="61">
        <v>11092.9</v>
      </c>
      <c r="BA26" s="61">
        <v>2980.4</v>
      </c>
      <c r="BB26" s="61">
        <v>8728.4</v>
      </c>
      <c r="BC26" s="61">
        <v>25240.2</v>
      </c>
      <c r="BE26" s="316">
        <v>2000</v>
      </c>
      <c r="BF26" s="61">
        <v>21572.799999999999</v>
      </c>
      <c r="BG26" s="61">
        <v>1141.3</v>
      </c>
      <c r="BH26" s="61">
        <v>11464</v>
      </c>
      <c r="BI26" s="61">
        <v>3551.8</v>
      </c>
      <c r="BJ26" s="61">
        <v>9258.5</v>
      </c>
      <c r="BK26" s="61">
        <v>26737.3</v>
      </c>
      <c r="BM26" s="316">
        <v>2000</v>
      </c>
      <c r="BN26" s="75">
        <v>25163.8</v>
      </c>
      <c r="BO26" s="75">
        <v>1090.9000000000001</v>
      </c>
      <c r="BP26" s="75">
        <v>14498.5</v>
      </c>
      <c r="BQ26" s="75">
        <v>3413.8</v>
      </c>
      <c r="BR26" s="75">
        <v>8937.1</v>
      </c>
      <c r="BS26" s="75">
        <v>25016.1</v>
      </c>
      <c r="BU26" s="316">
        <v>2000</v>
      </c>
      <c r="BV26" s="75">
        <v>26664.1</v>
      </c>
      <c r="BW26" s="75">
        <v>1194</v>
      </c>
      <c r="BX26" s="75">
        <v>15581.5</v>
      </c>
      <c r="BY26" s="75">
        <v>4216.7</v>
      </c>
      <c r="BZ26" s="75">
        <v>9792.4</v>
      </c>
      <c r="CA26" s="75">
        <v>28184.5</v>
      </c>
      <c r="CC26" s="316">
        <v>2000</v>
      </c>
      <c r="CD26" s="48">
        <f t="shared" si="126"/>
        <v>0.94373333433342965</v>
      </c>
      <c r="CE26" s="48">
        <f t="shared" si="127"/>
        <v>0.91365159128978235</v>
      </c>
      <c r="CF26" s="48">
        <f t="shared" si="128"/>
        <v>0.93049449667875361</v>
      </c>
      <c r="CG26" s="48">
        <f t="shared" si="129"/>
        <v>0.80959043802025288</v>
      </c>
      <c r="CH26" s="48">
        <f t="shared" si="130"/>
        <v>0.91265675421755654</v>
      </c>
      <c r="CI26" s="48">
        <f t="shared" si="131"/>
        <v>0.88758360091539668</v>
      </c>
      <c r="CK26" s="316">
        <v>2000</v>
      </c>
      <c r="CL26" s="48">
        <f t="shared" si="134"/>
        <v>0.99890362770164542</v>
      </c>
      <c r="CM26" s="48">
        <f t="shared" si="135"/>
        <v>1.0024987003080967</v>
      </c>
      <c r="CN26" s="48">
        <f t="shared" si="136"/>
        <v>1.0019049970688678</v>
      </c>
      <c r="CO26" s="48">
        <f t="shared" si="137"/>
        <v>1.0037373250487052</v>
      </c>
      <c r="CP26" s="48">
        <f t="shared" si="138"/>
        <v>1.0013176940352939</v>
      </c>
      <c r="CQ26" s="48">
        <f t="shared" si="139"/>
        <v>1.0036719875446969</v>
      </c>
      <c r="CS26" s="316">
        <v>2000</v>
      </c>
      <c r="CT26" s="46">
        <f t="shared" si="97"/>
        <v>22509.8</v>
      </c>
      <c r="CU26" s="46">
        <f t="shared" si="98"/>
        <v>1001.9999999999986</v>
      </c>
      <c r="CV26" s="46">
        <f t="shared" si="99"/>
        <v>14345.600000000006</v>
      </c>
      <c r="CW26" s="46">
        <f t="shared" si="100"/>
        <v>3513.3</v>
      </c>
      <c r="CX26" s="46">
        <f t="shared" si="101"/>
        <v>5221.1999999999771</v>
      </c>
      <c r="CY26" s="46">
        <f t="shared" si="102"/>
        <v>8922.8000000000102</v>
      </c>
      <c r="CZ26" s="37"/>
      <c r="DA26" s="316">
        <v>2000</v>
      </c>
      <c r="DB26" s="46">
        <f t="shared" si="103"/>
        <v>23299.80000000001</v>
      </c>
      <c r="DC26" s="46">
        <f t="shared" si="104"/>
        <v>1130.5999999999985</v>
      </c>
      <c r="DD26" s="46">
        <f t="shared" si="105"/>
        <v>15939.899999999994</v>
      </c>
      <c r="DE26" s="46">
        <f t="shared" si="106"/>
        <v>4459.599999999994</v>
      </c>
      <c r="DF26" s="46">
        <f t="shared" si="107"/>
        <v>6214.5999999999822</v>
      </c>
      <c r="DG26" s="46">
        <f t="shared" si="108"/>
        <v>11477.699999999953</v>
      </c>
      <c r="DI26" s="316">
        <v>2000</v>
      </c>
      <c r="DJ26" s="88">
        <f t="shared" si="56"/>
        <v>5.9107089027463117E-2</v>
      </c>
      <c r="DK26" s="88">
        <f t="shared" si="57"/>
        <v>5.0899633238171607E-2</v>
      </c>
      <c r="DL26" s="88">
        <f t="shared" si="58"/>
        <v>7.4688619534018758E-2</v>
      </c>
      <c r="DM26" s="88">
        <f t="shared" si="59"/>
        <v>7.3052363238648541E-2</v>
      </c>
      <c r="DN26" s="88">
        <f t="shared" si="60"/>
        <v>2.8582877864200003E-2</v>
      </c>
      <c r="DO26" s="88">
        <f t="shared" si="61"/>
        <v>1.7676499534849833E-2</v>
      </c>
      <c r="DP26" s="37"/>
      <c r="DQ26" s="316">
        <v>2000</v>
      </c>
      <c r="DR26" s="88">
        <f t="shared" si="62"/>
        <v>5.7682309847271802E-2</v>
      </c>
      <c r="DS26" s="88">
        <f t="shared" si="63"/>
        <v>5.2920553639048622E-2</v>
      </c>
      <c r="DT26" s="88">
        <f t="shared" si="64"/>
        <v>7.7506266425815457E-2</v>
      </c>
      <c r="DU26" s="88">
        <f t="shared" si="65"/>
        <v>8.4720132524810296E-2</v>
      </c>
      <c r="DV26" s="88">
        <f t="shared" si="66"/>
        <v>3.1114724846018422E-2</v>
      </c>
      <c r="DW26" s="88">
        <f t="shared" si="67"/>
        <v>2.0417159187027797E-2</v>
      </c>
      <c r="DY26" s="316">
        <v>2000</v>
      </c>
      <c r="DZ26" s="61">
        <v>535417.69999999995</v>
      </c>
      <c r="EA26" s="61">
        <v>482616.8</v>
      </c>
      <c r="EB26" s="89">
        <v>-1.2</v>
      </c>
      <c r="EC26" s="46">
        <f t="shared" si="35"/>
        <v>541920.74898785423</v>
      </c>
      <c r="ED26" s="46">
        <f t="shared" si="36"/>
        <v>488478.54251012148</v>
      </c>
      <c r="EF26" s="316">
        <v>2000</v>
      </c>
      <c r="EG26" s="88">
        <f t="shared" si="68"/>
        <v>4.6998446259808001E-2</v>
      </c>
      <c r="EH26" s="88">
        <f t="shared" si="69"/>
        <v>2.0374746669749623E-3</v>
      </c>
      <c r="EI26" s="88">
        <f t="shared" si="70"/>
        <v>2.7078858244693818E-2</v>
      </c>
      <c r="EJ26" s="88">
        <f t="shared" si="71"/>
        <v>6.3759565662472508E-3</v>
      </c>
      <c r="EK26" s="88">
        <f t="shared" si="72"/>
        <v>1.6691827707601001E-2</v>
      </c>
      <c r="EL26" s="88">
        <f t="shared" si="73"/>
        <v>4.6722586870026901E-2</v>
      </c>
      <c r="EM26" s="140"/>
      <c r="EN26" s="316">
        <v>2000</v>
      </c>
      <c r="EO26" s="88">
        <f t="shared" si="74"/>
        <v>5.5249009151774241E-2</v>
      </c>
      <c r="EP26" s="88">
        <f t="shared" si="75"/>
        <v>2.4740125084746325E-3</v>
      </c>
      <c r="EQ26" s="88">
        <f t="shared" si="76"/>
        <v>3.2285448828138601E-2</v>
      </c>
      <c r="ER26" s="88">
        <f t="shared" si="77"/>
        <v>8.7371595849957979E-3</v>
      </c>
      <c r="ES26" s="88">
        <f t="shared" si="78"/>
        <v>2.0290217829134833E-2</v>
      </c>
      <c r="ET26" s="88">
        <f t="shared" si="79"/>
        <v>5.8399334627389679E-2</v>
      </c>
      <c r="EV26" s="316">
        <v>2000</v>
      </c>
      <c r="EW26" s="88">
        <f t="shared" si="80"/>
        <v>0.70764000218894518</v>
      </c>
      <c r="EX26" s="88">
        <f t="shared" si="81"/>
        <v>3.6490021902525822E-2</v>
      </c>
      <c r="EY26" s="88">
        <f t="shared" si="82"/>
        <v>0.35471053721234841</v>
      </c>
      <c r="EZ26" s="88">
        <f t="shared" si="83"/>
        <v>8.8561657935477295E-2</v>
      </c>
      <c r="FA26" s="88">
        <f t="shared" si="84"/>
        <v>0.34393350014390639</v>
      </c>
      <c r="FB26" s="88">
        <f t="shared" si="85"/>
        <v>0.96116729424522207</v>
      </c>
      <c r="FD26" s="316">
        <v>2000</v>
      </c>
      <c r="FE26" s="88">
        <f t="shared" si="86"/>
        <v>0.83380837550619868</v>
      </c>
      <c r="FF26" s="88">
        <f t="shared" si="87"/>
        <v>4.3865795803212815E-2</v>
      </c>
      <c r="FG26" s="88">
        <f t="shared" si="88"/>
        <v>0.42028683377785442</v>
      </c>
      <c r="FH26" s="88">
        <f t="shared" si="89"/>
        <v>0.10726428172413394</v>
      </c>
      <c r="FI26" s="88">
        <f t="shared" si="90"/>
        <v>0.41620988908798862</v>
      </c>
      <c r="FJ26" s="88">
        <f t="shared" si="91"/>
        <v>1.1850393612489247</v>
      </c>
      <c r="FL26" s="316">
        <v>2000</v>
      </c>
      <c r="FM26" s="317">
        <f t="shared" si="92"/>
        <v>126926</v>
      </c>
      <c r="FN26" s="318">
        <v>18505</v>
      </c>
      <c r="FO26" s="318">
        <v>86380</v>
      </c>
      <c r="FP26" s="318">
        <v>22041</v>
      </c>
      <c r="FQ26" s="88">
        <f t="shared" si="93"/>
        <v>0.14579361202590485</v>
      </c>
      <c r="FR26" s="88">
        <f t="shared" si="94"/>
        <v>0.68055402360430484</v>
      </c>
      <c r="FS26" s="88">
        <f t="shared" si="95"/>
        <v>0.17365236436979029</v>
      </c>
      <c r="FT26" s="88">
        <f t="shared" si="109"/>
        <v>-2.1469654648991754E-3</v>
      </c>
      <c r="FU26" s="88">
        <f t="shared" si="110"/>
        <v>-4.2730291087020866E-3</v>
      </c>
      <c r="FV26" s="88">
        <f t="shared" si="111"/>
        <v>6.4199945736012898E-3</v>
      </c>
      <c r="FX26" s="316">
        <v>2000</v>
      </c>
      <c r="FY26" s="159">
        <v>1.7461935483870965E-2</v>
      </c>
      <c r="FZ26" s="62">
        <v>9.0000000000000011E-3</v>
      </c>
      <c r="GA26" s="319">
        <f t="shared" si="112"/>
        <v>8.4619354838709644E-3</v>
      </c>
      <c r="GC26" s="302">
        <f t="shared" si="113"/>
        <v>-1.221448286234017E-2</v>
      </c>
      <c r="GD26" s="302">
        <f t="shared" si="114"/>
        <v>3.0615386387319865E-3</v>
      </c>
      <c r="GE26" s="302">
        <f t="shared" si="115"/>
        <v>2.3819882559678422E-3</v>
      </c>
    </row>
    <row r="27" spans="1:187">
      <c r="A27" s="316">
        <v>2001</v>
      </c>
      <c r="B27" s="61">
        <v>337903</v>
      </c>
      <c r="C27" s="61">
        <v>21243.3</v>
      </c>
      <c r="D27" s="61">
        <v>156625.79999999999</v>
      </c>
      <c r="E27" s="61">
        <v>42297.7</v>
      </c>
      <c r="F27" s="61">
        <v>185914.4</v>
      </c>
      <c r="G27" s="61">
        <v>504881</v>
      </c>
      <c r="I27" s="316">
        <v>2001</v>
      </c>
      <c r="J27" s="61">
        <v>346483.6</v>
      </c>
      <c r="K27" s="61">
        <v>22129.4</v>
      </c>
      <c r="L27" s="61">
        <v>163649.1</v>
      </c>
      <c r="M27" s="61">
        <v>44619.3</v>
      </c>
      <c r="N27" s="61">
        <v>199616.9</v>
      </c>
      <c r="O27" s="61">
        <v>539312.19999999995</v>
      </c>
      <c r="Q27" s="316">
        <v>2001</v>
      </c>
      <c r="R27" s="75">
        <v>380328.1</v>
      </c>
      <c r="S27" s="75">
        <v>19504.599999999999</v>
      </c>
      <c r="T27" s="75">
        <v>188057.60000000001</v>
      </c>
      <c r="U27" s="75">
        <v>46802.2</v>
      </c>
      <c r="V27" s="75">
        <v>185254.8</v>
      </c>
      <c r="W27" s="75">
        <v>526198.4</v>
      </c>
      <c r="Y27" s="316">
        <v>2001</v>
      </c>
      <c r="Z27" s="75">
        <v>409765.9</v>
      </c>
      <c r="AA27" s="75">
        <v>21446.7</v>
      </c>
      <c r="AB27" s="75">
        <v>204072.1</v>
      </c>
      <c r="AC27" s="75">
        <v>51887.7</v>
      </c>
      <c r="AD27" s="75">
        <v>205375</v>
      </c>
      <c r="AE27" s="75">
        <v>595141.80000000005</v>
      </c>
      <c r="AG27" s="316">
        <v>2001</v>
      </c>
      <c r="AH27" s="48">
        <f t="shared" si="120"/>
        <v>0.92815946861366438</v>
      </c>
      <c r="AI27" s="48">
        <f t="shared" si="121"/>
        <v>0.90944527596320168</v>
      </c>
      <c r="AJ27" s="48">
        <f t="shared" si="122"/>
        <v>0.92152528444603643</v>
      </c>
      <c r="AK27" s="48">
        <f t="shared" si="123"/>
        <v>0.90199025973400249</v>
      </c>
      <c r="AL27" s="48">
        <f t="shared" si="124"/>
        <v>0.90203189287888008</v>
      </c>
      <c r="AM27" s="48">
        <f t="shared" si="125"/>
        <v>0.88415634727723713</v>
      </c>
      <c r="AO27" s="316">
        <v>2001</v>
      </c>
      <c r="AP27" s="48">
        <f t="shared" si="133"/>
        <v>0.98579404233928947</v>
      </c>
      <c r="AQ27" s="48">
        <f t="shared" si="42"/>
        <v>0.98545811823701523</v>
      </c>
      <c r="AR27" s="48">
        <f t="shared" si="43"/>
        <v>0.98421201495426802</v>
      </c>
      <c r="AS27" s="48">
        <f t="shared" si="44"/>
        <v>0.98473857334760018</v>
      </c>
      <c r="AT27" s="48">
        <f t="shared" si="45"/>
        <v>0.98394204743440816</v>
      </c>
      <c r="AU27" s="48">
        <f t="shared" si="46"/>
        <v>0.98259052456751139</v>
      </c>
      <c r="AW27" s="316">
        <v>2001</v>
      </c>
      <c r="AX27" s="61">
        <v>20112.099999999999</v>
      </c>
      <c r="AY27" s="61">
        <v>1028.0999999999999</v>
      </c>
      <c r="AZ27" s="61">
        <v>9928.1</v>
      </c>
      <c r="BA27" s="61">
        <v>2708.5</v>
      </c>
      <c r="BB27" s="61">
        <v>7565.2</v>
      </c>
      <c r="BC27" s="61">
        <v>24637.3</v>
      </c>
      <c r="BE27" s="316">
        <v>2001</v>
      </c>
      <c r="BF27" s="61">
        <v>20615.599999999999</v>
      </c>
      <c r="BG27" s="61">
        <v>1075.2</v>
      </c>
      <c r="BH27" s="61">
        <v>10396.799999999999</v>
      </c>
      <c r="BI27" s="61">
        <v>3263.5</v>
      </c>
      <c r="BJ27" s="61">
        <v>8100.8</v>
      </c>
      <c r="BK27" s="61">
        <v>26412.7</v>
      </c>
      <c r="BM27" s="316">
        <v>2001</v>
      </c>
      <c r="BN27" s="75">
        <v>24082.799999999999</v>
      </c>
      <c r="BO27" s="75">
        <v>1039.4000000000001</v>
      </c>
      <c r="BP27" s="75">
        <v>13524.4</v>
      </c>
      <c r="BQ27" s="75">
        <v>3123.2</v>
      </c>
      <c r="BR27" s="75">
        <v>7608.2</v>
      </c>
      <c r="BS27" s="75">
        <v>24589.200000000001</v>
      </c>
      <c r="BU27" s="316">
        <v>2001</v>
      </c>
      <c r="BV27" s="75">
        <v>25798.400000000001</v>
      </c>
      <c r="BW27" s="75">
        <v>1150</v>
      </c>
      <c r="BX27" s="75">
        <v>14711.8</v>
      </c>
      <c r="BY27" s="75">
        <v>3902.6</v>
      </c>
      <c r="BZ27" s="75">
        <v>8416.9</v>
      </c>
      <c r="CA27" s="75">
        <v>28035.5</v>
      </c>
      <c r="CC27" s="316">
        <v>2001</v>
      </c>
      <c r="CD27" s="48">
        <f t="shared" si="126"/>
        <v>0.93349975192259982</v>
      </c>
      <c r="CE27" s="48">
        <f t="shared" si="127"/>
        <v>0.90382608695652178</v>
      </c>
      <c r="CF27" s="48">
        <f t="shared" si="128"/>
        <v>0.91928927799453497</v>
      </c>
      <c r="CG27" s="48">
        <f t="shared" si="129"/>
        <v>0.80028698816173827</v>
      </c>
      <c r="CH27" s="48">
        <f t="shared" si="130"/>
        <v>0.90391949530112037</v>
      </c>
      <c r="CI27" s="48">
        <f t="shared" si="131"/>
        <v>0.87707371011752955</v>
      </c>
      <c r="CK27" s="316">
        <v>2001</v>
      </c>
      <c r="CL27" s="48">
        <f t="shared" si="134"/>
        <v>0.98915627747952983</v>
      </c>
      <c r="CM27" s="48">
        <f t="shared" si="135"/>
        <v>0.98924589588971201</v>
      </c>
      <c r="CN27" s="48">
        <f t="shared" si="136"/>
        <v>0.98795778080986629</v>
      </c>
      <c r="CO27" s="48">
        <f t="shared" si="137"/>
        <v>0.98850844893713796</v>
      </c>
      <c r="CP27" s="48">
        <f t="shared" si="138"/>
        <v>0.99042656631196813</v>
      </c>
      <c r="CQ27" s="48">
        <f t="shared" si="139"/>
        <v>0.98815898492600818</v>
      </c>
      <c r="CS27" s="316">
        <v>2001</v>
      </c>
      <c r="CT27" s="46">
        <f t="shared" si="97"/>
        <v>27239.500000000011</v>
      </c>
      <c r="CU27" s="46">
        <f t="shared" si="98"/>
        <v>1309.5000000000023</v>
      </c>
      <c r="CV27" s="46">
        <f t="shared" si="99"/>
        <v>17691.799999999996</v>
      </c>
      <c r="CW27" s="46">
        <f t="shared" si="100"/>
        <v>4314.4000000000042</v>
      </c>
      <c r="CX27" s="46">
        <f t="shared" si="101"/>
        <v>8738.100000000024</v>
      </c>
      <c r="CY27" s="46">
        <f t="shared" si="102"/>
        <v>19267.299999999977</v>
      </c>
      <c r="CZ27" s="37"/>
      <c r="DA27" s="316">
        <v>2001</v>
      </c>
      <c r="DB27" s="46">
        <f t="shared" si="103"/>
        <v>23329.999999999978</v>
      </c>
      <c r="DC27" s="46">
        <f t="shared" si="104"/>
        <v>1130.7999999999993</v>
      </c>
      <c r="DD27" s="46">
        <f t="shared" si="105"/>
        <v>15940.8</v>
      </c>
      <c r="DE27" s="46">
        <f t="shared" si="106"/>
        <v>4411.2000000000062</v>
      </c>
      <c r="DF27" s="46">
        <f t="shared" si="107"/>
        <v>6351.5000000000055</v>
      </c>
      <c r="DG27" s="46">
        <f t="shared" si="108"/>
        <v>11760</v>
      </c>
      <c r="DI27" s="316">
        <v>2001</v>
      </c>
      <c r="DJ27" s="88">
        <f t="shared" si="56"/>
        <v>7.1031498510501626E-2</v>
      </c>
      <c r="DK27" s="88">
        <f t="shared" si="57"/>
        <v>6.6220979332177091E-2</v>
      </c>
      <c r="DL27" s="88">
        <f t="shared" si="58"/>
        <v>9.2036935882429421E-2</v>
      </c>
      <c r="DM27" s="88">
        <f t="shared" si="59"/>
        <v>8.9895693991257214E-2</v>
      </c>
      <c r="DN27" s="88">
        <f t="shared" si="60"/>
        <v>4.6882067036618472E-2</v>
      </c>
      <c r="DO27" s="88">
        <f t="shared" si="61"/>
        <v>3.6990150256346714E-2</v>
      </c>
      <c r="DP27" s="37"/>
      <c r="DQ27" s="316">
        <v>2001</v>
      </c>
      <c r="DR27" s="88">
        <f t="shared" si="62"/>
        <v>5.7279998035833703E-2</v>
      </c>
      <c r="DS27" s="88">
        <f t="shared" si="63"/>
        <v>5.277330533193323E-2</v>
      </c>
      <c r="DT27" s="88">
        <f t="shared" si="64"/>
        <v>7.7645955136139061E-2</v>
      </c>
      <c r="DU27" s="88">
        <f t="shared" si="65"/>
        <v>8.4189150760645426E-2</v>
      </c>
      <c r="DV27" s="88">
        <f t="shared" si="66"/>
        <v>3.1240531681730747E-2</v>
      </c>
      <c r="DW27" s="88">
        <f t="shared" si="67"/>
        <v>2.0315572006869287E-2</v>
      </c>
      <c r="DY27" s="316">
        <v>2001</v>
      </c>
      <c r="DZ27" s="61">
        <v>531653.9</v>
      </c>
      <c r="EA27" s="61">
        <v>484480.2</v>
      </c>
      <c r="EB27" s="89">
        <v>-1.7</v>
      </c>
      <c r="EC27" s="46">
        <f t="shared" si="35"/>
        <v>540848.32146490342</v>
      </c>
      <c r="ED27" s="46">
        <f t="shared" si="36"/>
        <v>492858.7995930824</v>
      </c>
      <c r="EF27" s="316">
        <v>2001</v>
      </c>
      <c r="EG27" s="88">
        <f t="shared" si="68"/>
        <v>4.5297890225201018E-2</v>
      </c>
      <c r="EH27" s="88">
        <f t="shared" si="69"/>
        <v>1.9550312712838182E-3</v>
      </c>
      <c r="EI27" s="88">
        <f t="shared" si="70"/>
        <v>2.5438353786175552E-2</v>
      </c>
      <c r="EJ27" s="88">
        <f t="shared" si="71"/>
        <v>5.8744984283948627E-3</v>
      </c>
      <c r="EK27" s="88">
        <f t="shared" si="72"/>
        <v>1.4310437673832542E-2</v>
      </c>
      <c r="EL27" s="88">
        <f t="shared" si="73"/>
        <v>4.6250389586157459E-2</v>
      </c>
      <c r="EM27" s="140"/>
      <c r="EN27" s="316">
        <v>2001</v>
      </c>
      <c r="EO27" s="88">
        <f t="shared" si="74"/>
        <v>5.3249647766823081E-2</v>
      </c>
      <c r="EP27" s="88">
        <f t="shared" si="75"/>
        <v>2.3736780161500923E-3</v>
      </c>
      <c r="EQ27" s="88">
        <f t="shared" si="76"/>
        <v>3.0366153250432109E-2</v>
      </c>
      <c r="ER27" s="88">
        <f t="shared" si="77"/>
        <v>8.0552311528933485E-3</v>
      </c>
      <c r="ES27" s="88">
        <f t="shared" si="78"/>
        <v>1.7373052603594532E-2</v>
      </c>
      <c r="ET27" s="88">
        <f t="shared" si="79"/>
        <v>5.7867173931979057E-2</v>
      </c>
      <c r="EV27" s="316">
        <v>2001</v>
      </c>
      <c r="EW27" s="88">
        <f t="shared" si="80"/>
        <v>0.70320658289161408</v>
      </c>
      <c r="EX27" s="88">
        <f t="shared" si="81"/>
        <v>3.6062975932274734E-2</v>
      </c>
      <c r="EY27" s="88">
        <f t="shared" si="82"/>
        <v>0.3477085765758513</v>
      </c>
      <c r="EZ27" s="88">
        <f t="shared" si="83"/>
        <v>8.6534797544041323E-2</v>
      </c>
      <c r="FA27" s="88">
        <f t="shared" si="84"/>
        <v>0.34252634730978171</v>
      </c>
      <c r="FB27" s="88">
        <f t="shared" si="85"/>
        <v>0.97291306844546788</v>
      </c>
      <c r="FD27" s="316">
        <v>2001</v>
      </c>
      <c r="FE27" s="88">
        <f t="shared" si="86"/>
        <v>0.83140627769721043</v>
      </c>
      <c r="FF27" s="88">
        <f t="shared" si="87"/>
        <v>4.3514897203229361E-2</v>
      </c>
      <c r="FG27" s="88">
        <f t="shared" si="88"/>
        <v>0.41405794148037423</v>
      </c>
      <c r="FH27" s="88">
        <f t="shared" si="89"/>
        <v>0.10527903740957835</v>
      </c>
      <c r="FI27" s="88">
        <f t="shared" si="90"/>
        <v>0.41670149781146887</v>
      </c>
      <c r="FJ27" s="88">
        <f t="shared" si="91"/>
        <v>1.2075300278525316</v>
      </c>
      <c r="FL27" s="316">
        <v>2001</v>
      </c>
      <c r="FM27" s="317">
        <f t="shared" si="92"/>
        <v>127291</v>
      </c>
      <c r="FN27" s="318">
        <v>18283</v>
      </c>
      <c r="FO27" s="318">
        <v>86139</v>
      </c>
      <c r="FP27" s="318">
        <v>22869</v>
      </c>
      <c r="FQ27" s="88">
        <f t="shared" si="93"/>
        <v>0.14363152147441688</v>
      </c>
      <c r="FR27" s="88">
        <f t="shared" si="94"/>
        <v>0.67670927245445478</v>
      </c>
      <c r="FS27" s="88">
        <f t="shared" si="95"/>
        <v>0.17965920607112837</v>
      </c>
      <c r="FT27" s="88">
        <f t="shared" si="109"/>
        <v>-2.1620905514879718E-3</v>
      </c>
      <c r="FU27" s="88">
        <f t="shared" si="110"/>
        <v>-3.8447511498500564E-3</v>
      </c>
      <c r="FV27" s="88">
        <f t="shared" si="111"/>
        <v>6.0068417013380837E-3</v>
      </c>
      <c r="FX27" s="316">
        <v>2001</v>
      </c>
      <c r="FY27" s="159">
        <v>1.3287439024390255E-2</v>
      </c>
      <c r="FZ27" s="62">
        <v>9.0000000000000011E-3</v>
      </c>
      <c r="GA27" s="319">
        <f t="shared" si="112"/>
        <v>4.2874390243902542E-3</v>
      </c>
      <c r="GC27" s="302">
        <f t="shared" si="113"/>
        <v>-1.3216319091094997E-2</v>
      </c>
      <c r="GD27" s="302">
        <f t="shared" si="114"/>
        <v>2.5989702984959839E-3</v>
      </c>
      <c r="GE27" s="302">
        <f t="shared" si="115"/>
        <v>-1.8610159584391342E-5</v>
      </c>
    </row>
    <row r="28" spans="1:187">
      <c r="A28" s="316">
        <v>2002</v>
      </c>
      <c r="B28" s="61">
        <v>335870.4</v>
      </c>
      <c r="C28" s="61">
        <v>21063.7</v>
      </c>
      <c r="D28" s="61">
        <v>152422</v>
      </c>
      <c r="E28" s="61">
        <v>41358.300000000003</v>
      </c>
      <c r="F28" s="61">
        <v>184982.5</v>
      </c>
      <c r="G28" s="61">
        <v>511975.7</v>
      </c>
      <c r="I28" s="316">
        <v>2002</v>
      </c>
      <c r="J28" s="61">
        <v>347765.2</v>
      </c>
      <c r="K28" s="61">
        <v>22136.6</v>
      </c>
      <c r="L28" s="61">
        <v>160561.79999999999</v>
      </c>
      <c r="M28" s="61">
        <v>43996.4</v>
      </c>
      <c r="N28" s="61">
        <v>200318.3</v>
      </c>
      <c r="O28" s="61">
        <v>551853.9</v>
      </c>
      <c r="Q28" s="316">
        <v>2002</v>
      </c>
      <c r="R28" s="75">
        <v>378123</v>
      </c>
      <c r="S28" s="75">
        <v>19257.099999999999</v>
      </c>
      <c r="T28" s="75">
        <v>184406.39999999999</v>
      </c>
      <c r="U28" s="75">
        <v>45936.3</v>
      </c>
      <c r="V28" s="75">
        <v>184519.5</v>
      </c>
      <c r="W28" s="75">
        <v>533665</v>
      </c>
      <c r="Y28" s="316">
        <v>2002</v>
      </c>
      <c r="Z28" s="75">
        <v>411582.4</v>
      </c>
      <c r="AA28" s="75">
        <v>21368</v>
      </c>
      <c r="AB28" s="75">
        <v>201892</v>
      </c>
      <c r="AC28" s="75">
        <v>51390</v>
      </c>
      <c r="AD28" s="75">
        <v>206334.9</v>
      </c>
      <c r="AE28" s="75">
        <v>609422.9</v>
      </c>
      <c r="AG28" s="316">
        <v>2002</v>
      </c>
      <c r="AH28" s="48">
        <f t="shared" si="120"/>
        <v>0.91870546456796987</v>
      </c>
      <c r="AI28" s="48">
        <f t="shared" si="121"/>
        <v>0.90121209284912007</v>
      </c>
      <c r="AJ28" s="48">
        <f t="shared" si="122"/>
        <v>0.91339131813048557</v>
      </c>
      <c r="AK28" s="48">
        <f t="shared" si="123"/>
        <v>0.89387624051371872</v>
      </c>
      <c r="AL28" s="48">
        <f t="shared" si="124"/>
        <v>0.89427188517308509</v>
      </c>
      <c r="AM28" s="48">
        <f t="shared" si="125"/>
        <v>0.87568911506279135</v>
      </c>
      <c r="AO28" s="316">
        <v>2002</v>
      </c>
      <c r="AP28" s="48">
        <f t="shared" si="133"/>
        <v>0.98981424597239154</v>
      </c>
      <c r="AQ28" s="48">
        <f t="shared" si="42"/>
        <v>0.99094702745543239</v>
      </c>
      <c r="AR28" s="48">
        <f t="shared" si="43"/>
        <v>0.99117336609983475</v>
      </c>
      <c r="AS28" s="48">
        <f t="shared" si="44"/>
        <v>0.99100431614120021</v>
      </c>
      <c r="AT28" s="48">
        <f t="shared" si="45"/>
        <v>0.99139719142188143</v>
      </c>
      <c r="AU28" s="48">
        <f t="shared" si="46"/>
        <v>0.99042337676982062</v>
      </c>
      <c r="AW28" s="316">
        <v>2002</v>
      </c>
      <c r="AX28" s="61">
        <v>19249.900000000001</v>
      </c>
      <c r="AY28" s="61">
        <v>940.5</v>
      </c>
      <c r="AZ28" s="61">
        <v>8945.1</v>
      </c>
      <c r="BA28" s="61">
        <v>2604.6</v>
      </c>
      <c r="BB28" s="61">
        <v>6371.4</v>
      </c>
      <c r="BC28" s="61">
        <v>22963.1</v>
      </c>
      <c r="BE28" s="316">
        <v>2002</v>
      </c>
      <c r="BF28" s="61">
        <v>19986.3</v>
      </c>
      <c r="BG28" s="61">
        <v>995.3</v>
      </c>
      <c r="BH28" s="61">
        <v>9468</v>
      </c>
      <c r="BI28" s="61">
        <v>3176.7</v>
      </c>
      <c r="BJ28" s="61">
        <v>6902.8</v>
      </c>
      <c r="BK28" s="61">
        <v>24954.799999999999</v>
      </c>
      <c r="BM28" s="316">
        <v>2002</v>
      </c>
      <c r="BN28" s="75">
        <v>23184.6</v>
      </c>
      <c r="BO28" s="75">
        <v>940.8</v>
      </c>
      <c r="BP28" s="75">
        <v>12459.8</v>
      </c>
      <c r="BQ28" s="75">
        <v>3065.5</v>
      </c>
      <c r="BR28" s="75">
        <v>6567</v>
      </c>
      <c r="BS28" s="75">
        <v>22757.7</v>
      </c>
      <c r="BU28" s="316">
        <v>2002</v>
      </c>
      <c r="BV28" s="75">
        <v>25157.1</v>
      </c>
      <c r="BW28" s="75">
        <v>1053</v>
      </c>
      <c r="BX28" s="75">
        <v>13697</v>
      </c>
      <c r="BY28" s="75">
        <v>3875.6</v>
      </c>
      <c r="BZ28" s="75">
        <v>7351.6</v>
      </c>
      <c r="CA28" s="75">
        <v>26311.7</v>
      </c>
      <c r="CC28" s="316">
        <v>2002</v>
      </c>
      <c r="CD28" s="48">
        <f t="shared" si="126"/>
        <v>0.92159271140155263</v>
      </c>
      <c r="CE28" s="48">
        <f t="shared" si="127"/>
        <v>0.89344729344729346</v>
      </c>
      <c r="CF28" s="48">
        <f t="shared" si="128"/>
        <v>0.90967365116448851</v>
      </c>
      <c r="CG28" s="48">
        <f t="shared" si="129"/>
        <v>0.79097430075343178</v>
      </c>
      <c r="CH28" s="48">
        <f t="shared" si="130"/>
        <v>0.89327493334784258</v>
      </c>
      <c r="CI28" s="48">
        <f t="shared" si="131"/>
        <v>0.86492700965730074</v>
      </c>
      <c r="CK28" s="316">
        <v>2002</v>
      </c>
      <c r="CL28" s="48">
        <f t="shared" si="134"/>
        <v>0.98724473092089859</v>
      </c>
      <c r="CM28" s="48">
        <f t="shared" si="135"/>
        <v>0.98851682457608947</v>
      </c>
      <c r="CN28" s="48">
        <f t="shared" si="136"/>
        <v>0.98954015122310213</v>
      </c>
      <c r="CO28" s="48">
        <f t="shared" si="137"/>
        <v>0.98836331522808119</v>
      </c>
      <c r="CP28" s="48">
        <f t="shared" si="138"/>
        <v>0.98822399338811495</v>
      </c>
      <c r="CQ28" s="48">
        <f t="shared" si="139"/>
        <v>0.98615087840382176</v>
      </c>
      <c r="CS28" s="316">
        <v>2002</v>
      </c>
      <c r="CT28" s="46">
        <f t="shared" si="97"/>
        <v>25389.699999999975</v>
      </c>
      <c r="CU28" s="46">
        <f t="shared" si="98"/>
        <v>1188.3</v>
      </c>
      <c r="CV28" s="46">
        <f t="shared" si="99"/>
        <v>16111.000000000011</v>
      </c>
      <c r="CW28" s="46">
        <f t="shared" si="100"/>
        <v>3931.3999999999942</v>
      </c>
      <c r="CX28" s="46">
        <f t="shared" si="101"/>
        <v>7302.2999999999884</v>
      </c>
      <c r="CY28" s="46">
        <f t="shared" si="102"/>
        <v>15291.100000000024</v>
      </c>
      <c r="CZ28" s="37"/>
      <c r="DA28" s="316">
        <v>2002</v>
      </c>
      <c r="DB28" s="46">
        <f t="shared" si="103"/>
        <v>23340.6</v>
      </c>
      <c r="DC28" s="46">
        <f t="shared" si="104"/>
        <v>1131.7000000000007</v>
      </c>
      <c r="DD28" s="46">
        <f t="shared" si="105"/>
        <v>15877.100000000006</v>
      </c>
      <c r="DE28" s="46">
        <f t="shared" si="106"/>
        <v>4373.2999999999975</v>
      </c>
      <c r="DF28" s="46">
        <f t="shared" si="107"/>
        <v>6391.7000000000062</v>
      </c>
      <c r="DG28" s="46">
        <f t="shared" si="108"/>
        <v>12030.600000000024</v>
      </c>
      <c r="DI28" s="316">
        <v>2002</v>
      </c>
      <c r="DJ28" s="88">
        <f t="shared" si="56"/>
        <v>6.675736028970769E-2</v>
      </c>
      <c r="DK28" s="88">
        <f t="shared" si="57"/>
        <v>6.092408970191647E-2</v>
      </c>
      <c r="DL28" s="88">
        <f t="shared" si="58"/>
        <v>8.5670560509120669E-2</v>
      </c>
      <c r="DM28" s="88">
        <f t="shared" si="59"/>
        <v>8.4000324771057649E-2</v>
      </c>
      <c r="DN28" s="88">
        <f t="shared" si="60"/>
        <v>3.941760213500535E-2</v>
      </c>
      <c r="DO28" s="88">
        <f t="shared" si="61"/>
        <v>2.9059571446815542E-2</v>
      </c>
      <c r="DP28" s="37"/>
      <c r="DQ28" s="316">
        <v>2002</v>
      </c>
      <c r="DR28" s="88">
        <f t="shared" si="62"/>
        <v>5.696081591952868E-2</v>
      </c>
      <c r="DS28" s="88">
        <f t="shared" si="63"/>
        <v>5.276802491758642E-2</v>
      </c>
      <c r="DT28" s="88">
        <f t="shared" si="64"/>
        <v>7.7801424104519942E-2</v>
      </c>
      <c r="DU28" s="88">
        <f t="shared" si="65"/>
        <v>8.4283943979016174E-2</v>
      </c>
      <c r="DV28" s="88">
        <f t="shared" si="66"/>
        <v>3.1122093730979943E-2</v>
      </c>
      <c r="DW28" s="88">
        <f t="shared" si="67"/>
        <v>2.0214678249788575E-2</v>
      </c>
      <c r="DY28" s="316">
        <v>2002</v>
      </c>
      <c r="DZ28" s="61">
        <v>524478.69999999995</v>
      </c>
      <c r="EA28" s="61">
        <v>484683.5</v>
      </c>
      <c r="EB28" s="89">
        <v>-2.7</v>
      </c>
      <c r="EC28" s="46">
        <f t="shared" si="35"/>
        <v>539032.57965056528</v>
      </c>
      <c r="ED28" s="46">
        <f t="shared" si="36"/>
        <v>498133.09352517989</v>
      </c>
      <c r="EF28" s="316">
        <v>2002</v>
      </c>
      <c r="EG28" s="88">
        <f t="shared" si="68"/>
        <v>4.4205036353239892E-2</v>
      </c>
      <c r="EH28" s="88">
        <f t="shared" si="69"/>
        <v>1.7937811392531289E-3</v>
      </c>
      <c r="EI28" s="88">
        <f t="shared" si="70"/>
        <v>2.3756541495393427E-2</v>
      </c>
      <c r="EJ28" s="88">
        <f t="shared" si="71"/>
        <v>5.844851278040462E-3</v>
      </c>
      <c r="EK28" s="88">
        <f t="shared" si="72"/>
        <v>1.2521004189493302E-2</v>
      </c>
      <c r="EL28" s="88">
        <f t="shared" si="73"/>
        <v>4.3391085281442324E-2</v>
      </c>
      <c r="EM28" s="140"/>
      <c r="EN28" s="316">
        <v>2002</v>
      </c>
      <c r="EO28" s="88">
        <f t="shared" si="74"/>
        <v>5.1904180769512476E-2</v>
      </c>
      <c r="EP28" s="88">
        <f t="shared" si="75"/>
        <v>2.1725517786349235E-3</v>
      </c>
      <c r="EQ28" s="88">
        <f t="shared" si="76"/>
        <v>2.8259678738805839E-2</v>
      </c>
      <c r="ER28" s="88">
        <f t="shared" si="77"/>
        <v>7.9961459385351468E-3</v>
      </c>
      <c r="ES28" s="88">
        <f t="shared" si="78"/>
        <v>1.5167836330306272E-2</v>
      </c>
      <c r="ET28" s="88">
        <f t="shared" si="79"/>
        <v>5.4286353878355668E-2</v>
      </c>
      <c r="EV28" s="316">
        <v>2002</v>
      </c>
      <c r="EW28" s="88">
        <f t="shared" si="80"/>
        <v>0.70148450070517632</v>
      </c>
      <c r="EX28" s="88">
        <f t="shared" si="81"/>
        <v>3.5725298853890537E-2</v>
      </c>
      <c r="EY28" s="88">
        <f t="shared" si="82"/>
        <v>0.34210622318885398</v>
      </c>
      <c r="EZ28" s="88">
        <f t="shared" si="83"/>
        <v>8.5219895297940607E-2</v>
      </c>
      <c r="FA28" s="88">
        <f t="shared" si="84"/>
        <v>0.34231604353046174</v>
      </c>
      <c r="FB28" s="88">
        <f t="shared" si="85"/>
        <v>0.99004219809117122</v>
      </c>
      <c r="FD28" s="316">
        <v>2002</v>
      </c>
      <c r="FE28" s="88">
        <f t="shared" si="86"/>
        <v>0.82624986243600207</v>
      </c>
      <c r="FF28" s="88">
        <f t="shared" si="87"/>
        <v>4.2896166261075522E-2</v>
      </c>
      <c r="FG28" s="88">
        <f t="shared" si="88"/>
        <v>0.40529730432333677</v>
      </c>
      <c r="FH28" s="88">
        <f t="shared" si="89"/>
        <v>0.10316519955806211</v>
      </c>
      <c r="FI28" s="88">
        <f t="shared" si="90"/>
        <v>0.41421640658285247</v>
      </c>
      <c r="FJ28" s="88">
        <f t="shared" si="91"/>
        <v>1.2234137982827968</v>
      </c>
      <c r="FL28" s="316">
        <v>2002</v>
      </c>
      <c r="FM28" s="317">
        <f t="shared" si="92"/>
        <v>127436</v>
      </c>
      <c r="FN28" s="318">
        <v>18102</v>
      </c>
      <c r="FO28" s="318">
        <v>85706</v>
      </c>
      <c r="FP28" s="318">
        <v>23628</v>
      </c>
      <c r="FQ28" s="88">
        <f t="shared" si="93"/>
        <v>0.14204777299978028</v>
      </c>
      <c r="FR28" s="88">
        <f t="shared" si="94"/>
        <v>0.67254151103298909</v>
      </c>
      <c r="FS28" s="88">
        <f t="shared" si="95"/>
        <v>0.1854107159672306</v>
      </c>
      <c r="FT28" s="88">
        <f t="shared" si="109"/>
        <v>-1.5837484746366037E-3</v>
      </c>
      <c r="FU28" s="88">
        <f t="shared" si="110"/>
        <v>-4.1677614214656877E-3</v>
      </c>
      <c r="FV28" s="88">
        <f t="shared" si="111"/>
        <v>5.751509896102236E-3</v>
      </c>
      <c r="FX28" s="316">
        <v>2002</v>
      </c>
      <c r="FY28" s="159">
        <v>1.2699065040650411E-2</v>
      </c>
      <c r="FZ28" s="62">
        <v>0.01</v>
      </c>
      <c r="GA28" s="319">
        <f t="shared" si="112"/>
        <v>2.6990650406504106E-3</v>
      </c>
      <c r="GC28" s="302">
        <f t="shared" si="113"/>
        <v>-2.871929246403282E-2</v>
      </c>
      <c r="GD28" s="302">
        <f t="shared" si="114"/>
        <v>-4.8634839656602757E-3</v>
      </c>
      <c r="GE28" s="302">
        <f t="shared" si="115"/>
        <v>-1.2042999894578722E-3</v>
      </c>
    </row>
    <row r="29" spans="1:187">
      <c r="A29" s="316">
        <v>2003</v>
      </c>
      <c r="B29" s="61">
        <v>338468.8</v>
      </c>
      <c r="C29" s="61">
        <v>21090.799999999999</v>
      </c>
      <c r="D29" s="61">
        <v>150556.9</v>
      </c>
      <c r="E29" s="61">
        <v>40955.800000000003</v>
      </c>
      <c r="F29" s="61">
        <v>186665.3</v>
      </c>
      <c r="G29" s="61">
        <v>526334.4</v>
      </c>
      <c r="I29" s="316">
        <v>2003</v>
      </c>
      <c r="J29" s="61">
        <v>348845.8</v>
      </c>
      <c r="K29" s="61">
        <v>22020</v>
      </c>
      <c r="L29" s="61">
        <v>157663.1</v>
      </c>
      <c r="M29" s="61">
        <v>43297.8</v>
      </c>
      <c r="N29" s="61">
        <v>200675</v>
      </c>
      <c r="O29" s="61">
        <v>562040.19999999995</v>
      </c>
      <c r="Q29" s="316">
        <v>2003</v>
      </c>
      <c r="R29" s="75">
        <v>380660</v>
      </c>
      <c r="S29" s="75">
        <v>19201.400000000001</v>
      </c>
      <c r="T29" s="75">
        <v>183528.8</v>
      </c>
      <c r="U29" s="75">
        <v>45683</v>
      </c>
      <c r="V29" s="75">
        <v>186334.4</v>
      </c>
      <c r="W29" s="75">
        <v>548938.30000000005</v>
      </c>
      <c r="Y29" s="316">
        <v>2003</v>
      </c>
      <c r="Z29" s="75">
        <v>413311.2</v>
      </c>
      <c r="AA29" s="75">
        <v>21163.200000000001</v>
      </c>
      <c r="AB29" s="75">
        <v>199719.8</v>
      </c>
      <c r="AC29" s="75">
        <v>50780.800000000003</v>
      </c>
      <c r="AD29" s="75">
        <v>206947.7</v>
      </c>
      <c r="AE29" s="75">
        <v>621223.19999999995</v>
      </c>
      <c r="AG29" s="316">
        <v>2003</v>
      </c>
      <c r="AH29" s="48">
        <f t="shared" si="120"/>
        <v>0.92100093101759639</v>
      </c>
      <c r="AI29" s="48">
        <f t="shared" si="121"/>
        <v>0.90730135329250783</v>
      </c>
      <c r="AJ29" s="48">
        <f t="shared" si="122"/>
        <v>0.91893142292351582</v>
      </c>
      <c r="AK29" s="48">
        <f t="shared" si="123"/>
        <v>0.89961166425105543</v>
      </c>
      <c r="AL29" s="48">
        <f t="shared" si="124"/>
        <v>0.90039367434380757</v>
      </c>
      <c r="AM29" s="48">
        <f t="shared" si="125"/>
        <v>0.88364101662655237</v>
      </c>
      <c r="AO29" s="316">
        <v>2003</v>
      </c>
      <c r="AP29" s="48">
        <f t="shared" si="133"/>
        <v>1.0024985880003512</v>
      </c>
      <c r="AQ29" s="48">
        <f t="shared" si="42"/>
        <v>1.0067567451565558</v>
      </c>
      <c r="AR29" s="48">
        <f t="shared" si="43"/>
        <v>1.0060654230920101</v>
      </c>
      <c r="AS29" s="48">
        <f t="shared" si="44"/>
        <v>1.0064163510309219</v>
      </c>
      <c r="AT29" s="48">
        <f t="shared" si="45"/>
        <v>1.0068455570081325</v>
      </c>
      <c r="AU29" s="48">
        <f t="shared" si="46"/>
        <v>1.0090807358764426</v>
      </c>
      <c r="AW29" s="316">
        <v>2003</v>
      </c>
      <c r="AX29" s="61">
        <v>18975.099999999999</v>
      </c>
      <c r="AY29" s="61">
        <v>820.5</v>
      </c>
      <c r="AZ29" s="61">
        <v>8894.2000000000007</v>
      </c>
      <c r="BA29" s="61">
        <v>2492.5</v>
      </c>
      <c r="BB29" s="61">
        <v>6089.4</v>
      </c>
      <c r="BC29" s="61">
        <v>21077</v>
      </c>
      <c r="BE29" s="316">
        <v>2003</v>
      </c>
      <c r="BF29" s="61">
        <v>19720.099999999999</v>
      </c>
      <c r="BG29" s="61">
        <v>867.1</v>
      </c>
      <c r="BH29" s="61">
        <v>9411</v>
      </c>
      <c r="BI29" s="61">
        <v>3035.4</v>
      </c>
      <c r="BJ29" s="61">
        <v>6596.4</v>
      </c>
      <c r="BK29" s="61">
        <v>22838.5</v>
      </c>
      <c r="BM29" s="316">
        <v>2003</v>
      </c>
      <c r="BN29" s="75">
        <v>23019.200000000001</v>
      </c>
      <c r="BO29" s="75">
        <v>826</v>
      </c>
      <c r="BP29" s="75">
        <v>12348.1</v>
      </c>
      <c r="BQ29" s="75">
        <v>2944.7</v>
      </c>
      <c r="BR29" s="75">
        <v>6296</v>
      </c>
      <c r="BS29" s="75">
        <v>20861.2</v>
      </c>
      <c r="BU29" s="316">
        <v>2003</v>
      </c>
      <c r="BV29" s="75">
        <v>25042.3</v>
      </c>
      <c r="BW29" s="75">
        <v>922.7</v>
      </c>
      <c r="BX29" s="75">
        <v>13565</v>
      </c>
      <c r="BY29" s="75">
        <v>3717.9</v>
      </c>
      <c r="BZ29" s="75">
        <v>7052</v>
      </c>
      <c r="CA29" s="75">
        <v>24061.9</v>
      </c>
      <c r="CC29" s="316">
        <v>2003</v>
      </c>
      <c r="CD29" s="48">
        <f t="shared" si="126"/>
        <v>0.91921269212492474</v>
      </c>
      <c r="CE29" s="48">
        <f t="shared" si="127"/>
        <v>0.89519887287308975</v>
      </c>
      <c r="CF29" s="48">
        <f t="shared" si="128"/>
        <v>0.91029119056395136</v>
      </c>
      <c r="CG29" s="48">
        <f t="shared" si="129"/>
        <v>0.79203313698593281</v>
      </c>
      <c r="CH29" s="48">
        <f t="shared" si="130"/>
        <v>0.89279636982416333</v>
      </c>
      <c r="CI29" s="48">
        <f t="shared" si="131"/>
        <v>0.86698057925600225</v>
      </c>
      <c r="CK29" s="316">
        <v>2003</v>
      </c>
      <c r="CL29" s="48">
        <f t="shared" si="134"/>
        <v>0.99741749338163888</v>
      </c>
      <c r="CM29" s="48">
        <f t="shared" si="135"/>
        <v>1.001960473145582</v>
      </c>
      <c r="CN29" s="48">
        <f t="shared" si="136"/>
        <v>1.000678858180263</v>
      </c>
      <c r="CO29" s="48">
        <f t="shared" si="137"/>
        <v>1.0013386480843847</v>
      </c>
      <c r="CP29" s="48">
        <f t="shared" si="138"/>
        <v>0.99946425954002127</v>
      </c>
      <c r="CQ29" s="48">
        <f t="shared" si="139"/>
        <v>1.0023742692455808</v>
      </c>
      <c r="CS29" s="316">
        <v>2003</v>
      </c>
      <c r="CT29" s="46">
        <f t="shared" si="97"/>
        <v>20482.2</v>
      </c>
      <c r="CU29" s="46">
        <f t="shared" si="98"/>
        <v>881.69999999999709</v>
      </c>
      <c r="CV29" s="46">
        <f t="shared" si="99"/>
        <v>13225.700000000006</v>
      </c>
      <c r="CW29" s="46">
        <f t="shared" si="100"/>
        <v>3198.0000000000027</v>
      </c>
      <c r="CX29" s="46">
        <f t="shared" si="101"/>
        <v>4481.1000000000058</v>
      </c>
      <c r="CY29" s="46">
        <f t="shared" si="102"/>
        <v>5587.8999999999542</v>
      </c>
      <c r="CZ29" s="37"/>
      <c r="DA29" s="316">
        <v>2003</v>
      </c>
      <c r="DB29" s="46">
        <f t="shared" si="103"/>
        <v>23313.500000000011</v>
      </c>
      <c r="DC29" s="46">
        <f t="shared" si="104"/>
        <v>1127.4999999999993</v>
      </c>
      <c r="DD29" s="46">
        <f t="shared" si="105"/>
        <v>15737.200000000012</v>
      </c>
      <c r="DE29" s="46">
        <f t="shared" si="106"/>
        <v>4327.0999999999967</v>
      </c>
      <c r="DF29" s="46">
        <f t="shared" si="107"/>
        <v>6439.1999999999825</v>
      </c>
      <c r="DG29" s="46">
        <f t="shared" si="108"/>
        <v>12261.600000000071</v>
      </c>
      <c r="DI29" s="316">
        <v>2003</v>
      </c>
      <c r="DJ29" s="88">
        <f t="shared" si="56"/>
        <v>5.4168088161788627E-2</v>
      </c>
      <c r="DK29" s="88">
        <f t="shared" si="57"/>
        <v>4.5785710205586361E-2</v>
      </c>
      <c r="DL29" s="88">
        <f t="shared" si="58"/>
        <v>7.1720395821403202E-2</v>
      </c>
      <c r="DM29" s="88">
        <f t="shared" si="59"/>
        <v>6.9618145127056441E-2</v>
      </c>
      <c r="DN29" s="88">
        <f t="shared" si="60"/>
        <v>2.4285238145561883E-2</v>
      </c>
      <c r="DO29" s="88">
        <f t="shared" si="61"/>
        <v>1.0470800970646293E-2</v>
      </c>
      <c r="DP29" s="37"/>
      <c r="DQ29" s="316">
        <v>2003</v>
      </c>
      <c r="DR29" s="88">
        <f t="shared" si="62"/>
        <v>5.664357853980153E-2</v>
      </c>
      <c r="DS29" s="88">
        <f t="shared" si="63"/>
        <v>5.2765818045675747E-2</v>
      </c>
      <c r="DT29" s="88">
        <f t="shared" si="64"/>
        <v>7.7948606185485367E-2</v>
      </c>
      <c r="DU29" s="88">
        <f t="shared" si="65"/>
        <v>8.4201206460400788E-2</v>
      </c>
      <c r="DV29" s="88">
        <f t="shared" si="66"/>
        <v>3.1207517487346941E-2</v>
      </c>
      <c r="DW29" s="88">
        <f t="shared" si="67"/>
        <v>2.0120018463369315E-2</v>
      </c>
      <c r="DY29" s="316">
        <v>2003</v>
      </c>
      <c r="DZ29" s="61">
        <v>523968.6</v>
      </c>
      <c r="EA29" s="61">
        <v>492124</v>
      </c>
      <c r="EB29" s="89">
        <v>-2.2000000000000002</v>
      </c>
      <c r="EC29" s="46">
        <f t="shared" si="35"/>
        <v>535755.21472392639</v>
      </c>
      <c r="ED29" s="46">
        <f t="shared" si="36"/>
        <v>503194.27402862988</v>
      </c>
      <c r="EF29" s="316">
        <v>2003</v>
      </c>
      <c r="EG29" s="88">
        <f t="shared" si="68"/>
        <v>4.3932403582962798E-2</v>
      </c>
      <c r="EH29" s="88">
        <f t="shared" si="69"/>
        <v>1.5764303433450021E-3</v>
      </c>
      <c r="EI29" s="88">
        <f t="shared" si="70"/>
        <v>2.3566488526220848E-2</v>
      </c>
      <c r="EJ29" s="88">
        <f t="shared" si="71"/>
        <v>5.6199932591380472E-3</v>
      </c>
      <c r="EK29" s="88">
        <f t="shared" si="72"/>
        <v>1.201598721755464E-2</v>
      </c>
      <c r="EL29" s="88">
        <f t="shared" si="73"/>
        <v>3.9813836172625613E-2</v>
      </c>
      <c r="EM29" s="140"/>
      <c r="EN29" s="316">
        <v>2003</v>
      </c>
      <c r="EO29" s="88">
        <f t="shared" si="74"/>
        <v>5.0886158772992171E-2</v>
      </c>
      <c r="EP29" s="88">
        <f t="shared" si="75"/>
        <v>1.8749339597337257E-3</v>
      </c>
      <c r="EQ29" s="88">
        <f t="shared" si="76"/>
        <v>2.756419113881867E-2</v>
      </c>
      <c r="ER29" s="88">
        <f t="shared" si="77"/>
        <v>7.5548032609667488E-3</v>
      </c>
      <c r="ES29" s="88">
        <f t="shared" si="78"/>
        <v>1.4329721777438206E-2</v>
      </c>
      <c r="ET29" s="88">
        <f t="shared" si="79"/>
        <v>4.8893977940519057E-2</v>
      </c>
      <c r="EV29" s="316">
        <v>2003</v>
      </c>
      <c r="EW29" s="88">
        <f t="shared" si="80"/>
        <v>0.71051104970794055</v>
      </c>
      <c r="EX29" s="88">
        <f t="shared" si="81"/>
        <v>3.5839875137555953E-2</v>
      </c>
      <c r="EY29" s="88">
        <f t="shared" si="82"/>
        <v>0.34256092139872502</v>
      </c>
      <c r="EZ29" s="88">
        <f t="shared" si="83"/>
        <v>8.5268418756391129E-2</v>
      </c>
      <c r="FA29" s="88">
        <f t="shared" si="84"/>
        <v>0.34779764130904028</v>
      </c>
      <c r="FB29" s="88">
        <f t="shared" si="85"/>
        <v>1.0246065458884368</v>
      </c>
      <c r="FD29" s="316">
        <v>2003</v>
      </c>
      <c r="FE29" s="88">
        <f t="shared" si="86"/>
        <v>0.82137500629922533</v>
      </c>
      <c r="FF29" s="88">
        <f t="shared" si="87"/>
        <v>4.2057712283895932E-2</v>
      </c>
      <c r="FG29" s="88">
        <f t="shared" si="88"/>
        <v>0.39690395997756661</v>
      </c>
      <c r="FH29" s="88">
        <f t="shared" si="89"/>
        <v>0.10091688761369086</v>
      </c>
      <c r="FI29" s="88">
        <f t="shared" si="90"/>
        <v>0.41126799465175445</v>
      </c>
      <c r="FJ29" s="88">
        <f t="shared" si="91"/>
        <v>1.2345593582105321</v>
      </c>
      <c r="FL29" s="316">
        <v>2003</v>
      </c>
      <c r="FM29" s="317">
        <f t="shared" si="92"/>
        <v>127620</v>
      </c>
      <c r="FN29" s="318">
        <v>17905</v>
      </c>
      <c r="FO29" s="318">
        <v>85404</v>
      </c>
      <c r="FP29" s="318">
        <v>24311</v>
      </c>
      <c r="FQ29" s="88">
        <f t="shared" si="93"/>
        <v>0.14029932612443191</v>
      </c>
      <c r="FR29" s="88">
        <f t="shared" si="94"/>
        <v>0.6692054536906441</v>
      </c>
      <c r="FS29" s="88">
        <f t="shared" si="95"/>
        <v>0.19049522018492399</v>
      </c>
      <c r="FT29" s="88">
        <f t="shared" si="109"/>
        <v>-1.748446875348364E-3</v>
      </c>
      <c r="FU29" s="88">
        <f t="shared" si="110"/>
        <v>-3.3360573423449891E-3</v>
      </c>
      <c r="FV29" s="88">
        <f t="shared" si="111"/>
        <v>5.0845042176933808E-3</v>
      </c>
      <c r="FX29" s="316">
        <v>2003</v>
      </c>
      <c r="FY29" s="159">
        <v>9.9291020408163264E-3</v>
      </c>
      <c r="FZ29" s="62">
        <v>1.1000000000000001E-2</v>
      </c>
      <c r="GA29" s="319">
        <f t="shared" si="112"/>
        <v>-1.0708979591836747E-3</v>
      </c>
      <c r="GC29" s="302">
        <f t="shared" si="113"/>
        <v>-1.3291063028479488E-2</v>
      </c>
      <c r="GD29" s="302">
        <f t="shared" si="114"/>
        <v>6.7157535286727077E-4</v>
      </c>
      <c r="GE29" s="302">
        <f t="shared" si="115"/>
        <v>-2.0492112219957677E-3</v>
      </c>
    </row>
    <row r="30" spans="1:187">
      <c r="A30" s="316">
        <v>2004</v>
      </c>
      <c r="B30" s="61">
        <v>342265.59999999998</v>
      </c>
      <c r="C30" s="61">
        <v>21178.5</v>
      </c>
      <c r="D30" s="61">
        <v>149319.1</v>
      </c>
      <c r="E30" s="61">
        <v>40601.800000000003</v>
      </c>
      <c r="F30" s="61">
        <v>190483.7</v>
      </c>
      <c r="G30" s="61">
        <v>540276.5</v>
      </c>
      <c r="I30" s="316">
        <v>2004</v>
      </c>
      <c r="J30" s="61">
        <v>350322.4</v>
      </c>
      <c r="K30" s="61">
        <v>21856.7</v>
      </c>
      <c r="L30" s="61">
        <v>154749.20000000001</v>
      </c>
      <c r="M30" s="61">
        <v>42405.4</v>
      </c>
      <c r="N30" s="61">
        <v>202095</v>
      </c>
      <c r="O30" s="61">
        <v>568771.5</v>
      </c>
      <c r="Q30" s="316">
        <v>2004</v>
      </c>
      <c r="R30" s="75">
        <v>384698.7</v>
      </c>
      <c r="S30" s="75">
        <v>19171.2</v>
      </c>
      <c r="T30" s="75">
        <v>182984.9</v>
      </c>
      <c r="U30" s="75">
        <v>45355.4</v>
      </c>
      <c r="V30" s="75">
        <v>190237.4</v>
      </c>
      <c r="W30" s="75">
        <v>563249.19999999995</v>
      </c>
      <c r="Y30" s="316">
        <v>2004</v>
      </c>
      <c r="Z30" s="75">
        <v>415787</v>
      </c>
      <c r="AA30" s="75">
        <v>20905.7</v>
      </c>
      <c r="AB30" s="75">
        <v>197309.9</v>
      </c>
      <c r="AC30" s="75">
        <v>49861.3</v>
      </c>
      <c r="AD30" s="75">
        <v>208751.6</v>
      </c>
      <c r="AE30" s="75">
        <v>629255.9</v>
      </c>
      <c r="AG30" s="316">
        <v>2004</v>
      </c>
      <c r="AH30" s="48">
        <f t="shared" si="120"/>
        <v>0.92523022605324368</v>
      </c>
      <c r="AI30" s="48">
        <f t="shared" si="121"/>
        <v>0.91703219696063754</v>
      </c>
      <c r="AJ30" s="48">
        <f t="shared" si="122"/>
        <v>0.92739847316328272</v>
      </c>
      <c r="AK30" s="48">
        <f t="shared" si="123"/>
        <v>0.90963131727411839</v>
      </c>
      <c r="AL30" s="48">
        <f t="shared" si="124"/>
        <v>0.91130990133728307</v>
      </c>
      <c r="AM30" s="48">
        <f t="shared" si="125"/>
        <v>0.89510356597371588</v>
      </c>
      <c r="AO30" s="316">
        <v>2004</v>
      </c>
      <c r="AP30" s="48">
        <f t="shared" si="133"/>
        <v>1.0045920638006027</v>
      </c>
      <c r="AQ30" s="48">
        <f t="shared" si="42"/>
        <v>1.0107250403990002</v>
      </c>
      <c r="AR30" s="48">
        <f t="shared" si="43"/>
        <v>1.009214017530089</v>
      </c>
      <c r="AS30" s="48">
        <f t="shared" si="44"/>
        <v>1.0111377535677069</v>
      </c>
      <c r="AT30" s="48">
        <f t="shared" si="45"/>
        <v>1.0121238379439206</v>
      </c>
      <c r="AU30" s="48">
        <f t="shared" si="46"/>
        <v>1.0129719525593366</v>
      </c>
      <c r="AW30" s="316">
        <v>2004</v>
      </c>
      <c r="AX30" s="61">
        <v>19381.5</v>
      </c>
      <c r="AY30" s="61">
        <v>774</v>
      </c>
      <c r="AZ30" s="61">
        <v>8703.2000000000007</v>
      </c>
      <c r="BA30" s="61">
        <v>2288.6999999999998</v>
      </c>
      <c r="BB30" s="61">
        <v>6453.9</v>
      </c>
      <c r="BC30" s="61">
        <v>18924.400000000001</v>
      </c>
      <c r="BE30" s="316">
        <v>2004</v>
      </c>
      <c r="BF30" s="61">
        <v>20056.8</v>
      </c>
      <c r="BG30" s="61">
        <v>811.4</v>
      </c>
      <c r="BH30" s="61">
        <v>9154.9</v>
      </c>
      <c r="BI30" s="61">
        <v>2766.6</v>
      </c>
      <c r="BJ30" s="61">
        <v>6941.2</v>
      </c>
      <c r="BK30" s="61">
        <v>20318.599999999999</v>
      </c>
      <c r="BM30" s="316">
        <v>2004</v>
      </c>
      <c r="BN30" s="75">
        <v>23727.8</v>
      </c>
      <c r="BO30" s="75">
        <v>775.2</v>
      </c>
      <c r="BP30" s="75">
        <v>12049.8</v>
      </c>
      <c r="BQ30" s="75">
        <v>2670</v>
      </c>
      <c r="BR30" s="75">
        <v>6682.5</v>
      </c>
      <c r="BS30" s="75">
        <v>18684.2</v>
      </c>
      <c r="BU30" s="316">
        <v>2004</v>
      </c>
      <c r="BV30" s="75">
        <v>25771.7</v>
      </c>
      <c r="BW30" s="75">
        <v>859.1</v>
      </c>
      <c r="BX30" s="75">
        <v>13165.1</v>
      </c>
      <c r="BY30" s="75">
        <v>3325.6</v>
      </c>
      <c r="BZ30" s="75">
        <v>7434.8</v>
      </c>
      <c r="CA30" s="75">
        <v>21355.5</v>
      </c>
      <c r="CC30" s="316">
        <v>2004</v>
      </c>
      <c r="CD30" s="48">
        <f t="shared" si="126"/>
        <v>0.92069207696814714</v>
      </c>
      <c r="CE30" s="48">
        <f t="shared" si="127"/>
        <v>0.90233965778139913</v>
      </c>
      <c r="CF30" s="48">
        <f t="shared" si="128"/>
        <v>0.91528359070572951</v>
      </c>
      <c r="CG30" s="48">
        <f t="shared" si="129"/>
        <v>0.80286264132788066</v>
      </c>
      <c r="CH30" s="48">
        <f t="shared" si="130"/>
        <v>0.89881368698552755</v>
      </c>
      <c r="CI30" s="48">
        <f t="shared" si="131"/>
        <v>0.87491278593336619</v>
      </c>
      <c r="CK30" s="316">
        <v>2004</v>
      </c>
      <c r="CL30" s="48">
        <f t="shared" si="134"/>
        <v>1.0016094042824872</v>
      </c>
      <c r="CM30" s="48">
        <f t="shared" si="135"/>
        <v>1.0079767581536283</v>
      </c>
      <c r="CN30" s="48">
        <f t="shared" si="136"/>
        <v>1.0054843990511269</v>
      </c>
      <c r="CO30" s="48">
        <f t="shared" si="137"/>
        <v>1.0136730445182627</v>
      </c>
      <c r="CP30" s="48">
        <f t="shared" si="138"/>
        <v>1.00673985397426</v>
      </c>
      <c r="CQ30" s="48">
        <f t="shared" si="139"/>
        <v>1.009149232251743</v>
      </c>
      <c r="CS30" s="316">
        <v>2004</v>
      </c>
      <c r="CT30" s="46">
        <f t="shared" si="97"/>
        <v>19689.099999999988</v>
      </c>
      <c r="CU30" s="46">
        <f t="shared" si="98"/>
        <v>805.40000000000077</v>
      </c>
      <c r="CV30" s="46">
        <f t="shared" si="99"/>
        <v>12593.699999999993</v>
      </c>
      <c r="CW30" s="46">
        <f t="shared" si="100"/>
        <v>2997.5999999999985</v>
      </c>
      <c r="CX30" s="46">
        <f t="shared" si="101"/>
        <v>2779.5</v>
      </c>
      <c r="CY30" s="46">
        <f t="shared" si="102"/>
        <v>4373.3000000000939</v>
      </c>
      <c r="CZ30" s="37"/>
      <c r="DA30" s="316">
        <v>2004</v>
      </c>
      <c r="DB30" s="46">
        <f t="shared" si="103"/>
        <v>23295.900000000012</v>
      </c>
      <c r="DC30" s="46">
        <f t="shared" si="104"/>
        <v>1116.5999999999999</v>
      </c>
      <c r="DD30" s="46">
        <f t="shared" si="105"/>
        <v>15574.999999999995</v>
      </c>
      <c r="DE30" s="46">
        <f t="shared" si="106"/>
        <v>4245.1000000000004</v>
      </c>
      <c r="DF30" s="46">
        <f t="shared" si="107"/>
        <v>5630.900000000006</v>
      </c>
      <c r="DG30" s="46">
        <f t="shared" si="108"/>
        <v>13322.79999999993</v>
      </c>
      <c r="DI30" s="316">
        <v>2004</v>
      </c>
      <c r="DJ30" s="88">
        <f t="shared" si="56"/>
        <v>5.1723585351757438E-2</v>
      </c>
      <c r="DK30" s="88">
        <f t="shared" si="57"/>
        <v>4.194485818742387E-2</v>
      </c>
      <c r="DL30" s="88">
        <f t="shared" si="58"/>
        <v>6.8619747963262409E-2</v>
      </c>
      <c r="DM30" s="88">
        <f t="shared" si="59"/>
        <v>6.5617406912855961E-2</v>
      </c>
      <c r="DN30" s="88">
        <f t="shared" si="60"/>
        <v>1.491673035145416E-2</v>
      </c>
      <c r="DO30" s="88">
        <f t="shared" si="61"/>
        <v>7.9668334310068981E-3</v>
      </c>
      <c r="DP30" s="37"/>
      <c r="DQ30" s="316">
        <v>2004</v>
      </c>
      <c r="DR30" s="88">
        <f t="shared" si="62"/>
        <v>5.6364066591953019E-2</v>
      </c>
      <c r="DS30" s="88">
        <f t="shared" si="63"/>
        <v>5.2761397142209114E-2</v>
      </c>
      <c r="DT30" s="88">
        <f t="shared" si="64"/>
        <v>7.798425594257552E-2</v>
      </c>
      <c r="DU30" s="88">
        <f t="shared" si="65"/>
        <v>8.3596556178713213E-2</v>
      </c>
      <c r="DV30" s="88">
        <f t="shared" si="66"/>
        <v>2.7209290076671572E-2</v>
      </c>
      <c r="DW30" s="88">
        <f t="shared" si="67"/>
        <v>2.1446076064126279E-2</v>
      </c>
      <c r="DY30" s="316">
        <v>2004</v>
      </c>
      <c r="DZ30" s="61">
        <v>529400.9</v>
      </c>
      <c r="EA30" s="61">
        <v>502882.4</v>
      </c>
      <c r="EB30" s="89">
        <v>-1.2</v>
      </c>
      <c r="EC30" s="46">
        <f t="shared" si="35"/>
        <v>535830.87044534413</v>
      </c>
      <c r="ED30" s="46">
        <f t="shared" si="36"/>
        <v>508990.28340080974</v>
      </c>
      <c r="EF30" s="316">
        <v>2004</v>
      </c>
      <c r="EG30" s="88">
        <f t="shared" si="68"/>
        <v>4.4820097585780448E-2</v>
      </c>
      <c r="EH30" s="88">
        <f t="shared" si="69"/>
        <v>1.4642967172892982E-3</v>
      </c>
      <c r="EI30" s="88">
        <f t="shared" si="70"/>
        <v>2.2761200443746882E-2</v>
      </c>
      <c r="EJ30" s="88">
        <f t="shared" si="71"/>
        <v>5.0434368358648427E-3</v>
      </c>
      <c r="EK30" s="88">
        <f t="shared" si="72"/>
        <v>1.2622759047066221E-2</v>
      </c>
      <c r="EL30" s="88">
        <f t="shared" si="73"/>
        <v>3.5293102070661386E-2</v>
      </c>
      <c r="EM30" s="140"/>
      <c r="EN30" s="316">
        <v>2004</v>
      </c>
      <c r="EO30" s="88">
        <f t="shared" si="74"/>
        <v>5.1247965727175972E-2</v>
      </c>
      <c r="EP30" s="88">
        <f t="shared" si="75"/>
        <v>1.7083516941535436E-3</v>
      </c>
      <c r="EQ30" s="88">
        <f t="shared" si="76"/>
        <v>2.6179281676988495E-2</v>
      </c>
      <c r="ER30" s="88">
        <f t="shared" si="77"/>
        <v>6.6130769340903553E-3</v>
      </c>
      <c r="ES30" s="88">
        <f t="shared" si="78"/>
        <v>1.4784371057726418E-2</v>
      </c>
      <c r="ET30" s="88">
        <f t="shared" si="79"/>
        <v>4.2466190902684206E-2</v>
      </c>
      <c r="EV30" s="316">
        <v>2004</v>
      </c>
      <c r="EW30" s="88">
        <f t="shared" si="80"/>
        <v>0.71794799668833209</v>
      </c>
      <c r="EX30" s="88">
        <f t="shared" si="81"/>
        <v>3.5778453720044678E-2</v>
      </c>
      <c r="EY30" s="88">
        <f t="shared" si="82"/>
        <v>0.34149749499859178</v>
      </c>
      <c r="EZ30" s="88">
        <f t="shared" si="83"/>
        <v>8.4644992481123477E-2</v>
      </c>
      <c r="FA30" s="88">
        <f t="shared" si="84"/>
        <v>0.3550325494346534</v>
      </c>
      <c r="FB30" s="88">
        <f t="shared" si="85"/>
        <v>1.0511697460280101</v>
      </c>
      <c r="FD30" s="316">
        <v>2004</v>
      </c>
      <c r="FE30" s="88">
        <f t="shared" si="86"/>
        <v>0.81688592800225257</v>
      </c>
      <c r="FF30" s="88">
        <f t="shared" si="87"/>
        <v>4.1072886225487312E-2</v>
      </c>
      <c r="FG30" s="88">
        <f t="shared" si="88"/>
        <v>0.38764963975673039</v>
      </c>
      <c r="FH30" s="88">
        <f t="shared" si="89"/>
        <v>9.7961202062350955E-2</v>
      </c>
      <c r="FI30" s="88">
        <f t="shared" si="90"/>
        <v>0.41012885080090294</v>
      </c>
      <c r="FJ30" s="88">
        <f t="shared" si="91"/>
        <v>1.2362827356853212</v>
      </c>
      <c r="FL30" s="316">
        <v>2004</v>
      </c>
      <c r="FM30" s="317">
        <f t="shared" si="92"/>
        <v>127687</v>
      </c>
      <c r="FN30" s="318">
        <v>17734</v>
      </c>
      <c r="FO30" s="318">
        <v>85077</v>
      </c>
      <c r="FP30" s="318">
        <v>24876</v>
      </c>
      <c r="FQ30" s="88">
        <f t="shared" si="93"/>
        <v>0.1388864958844675</v>
      </c>
      <c r="FR30" s="88">
        <f t="shared" si="94"/>
        <v>0.6662933579769279</v>
      </c>
      <c r="FS30" s="88">
        <f t="shared" si="95"/>
        <v>0.19482014613860454</v>
      </c>
      <c r="FT30" s="88">
        <f t="shared" si="109"/>
        <v>-1.4128302399644133E-3</v>
      </c>
      <c r="FU30" s="88">
        <f t="shared" si="110"/>
        <v>-2.9120957137162007E-3</v>
      </c>
      <c r="FV30" s="88">
        <f t="shared" si="111"/>
        <v>4.3249259536805584E-3</v>
      </c>
      <c r="FX30" s="316">
        <v>2004</v>
      </c>
      <c r="FY30" s="159">
        <v>1.5047926829268294E-2</v>
      </c>
      <c r="FZ30" s="62">
        <v>1.1000000000000001E-2</v>
      </c>
      <c r="GA30" s="319">
        <f t="shared" si="112"/>
        <v>4.0479268292682932E-3</v>
      </c>
      <c r="GC30" s="302">
        <f t="shared" si="113"/>
        <v>-1.8287144515227949E-2</v>
      </c>
      <c r="GD30" s="302">
        <f t="shared" si="114"/>
        <v>-9.9300327944668032E-3</v>
      </c>
      <c r="GE30" s="302">
        <f t="shared" si="115"/>
        <v>-1.0162168761638276E-3</v>
      </c>
    </row>
    <row r="31" spans="1:187">
      <c r="A31" s="316">
        <v>2005</v>
      </c>
      <c r="B31" s="61">
        <v>344289</v>
      </c>
      <c r="C31" s="61">
        <v>21015.3</v>
      </c>
      <c r="D31" s="61">
        <v>148386.20000000001</v>
      </c>
      <c r="E31" s="61">
        <v>40009.1</v>
      </c>
      <c r="F31" s="61">
        <v>194135.4</v>
      </c>
      <c r="G31" s="61">
        <v>550721.5</v>
      </c>
      <c r="I31" s="316">
        <v>2005</v>
      </c>
      <c r="J31" s="61">
        <v>351749.2</v>
      </c>
      <c r="K31" s="61">
        <v>21599.599999999999</v>
      </c>
      <c r="L31" s="61">
        <v>152389.9</v>
      </c>
      <c r="M31" s="61">
        <v>41537.9</v>
      </c>
      <c r="N31" s="61">
        <v>203389.7</v>
      </c>
      <c r="O31" s="61">
        <v>573998.30000000005</v>
      </c>
      <c r="Q31" s="316">
        <v>2005</v>
      </c>
      <c r="R31" s="75">
        <v>388113.7</v>
      </c>
      <c r="S31" s="75">
        <v>18962.8</v>
      </c>
      <c r="T31" s="75">
        <v>183492.3</v>
      </c>
      <c r="U31" s="75">
        <v>44786.400000000001</v>
      </c>
      <c r="V31" s="75">
        <v>194431.4</v>
      </c>
      <c r="W31" s="75">
        <v>576320.6</v>
      </c>
      <c r="Y31" s="316">
        <v>2005</v>
      </c>
      <c r="Z31" s="75">
        <v>418194.3</v>
      </c>
      <c r="AA31" s="75">
        <v>20548</v>
      </c>
      <c r="AB31" s="75">
        <v>195633.3</v>
      </c>
      <c r="AC31" s="75">
        <v>48834.1</v>
      </c>
      <c r="AD31" s="75">
        <v>210334.2</v>
      </c>
      <c r="AE31" s="75">
        <v>635788.19999999995</v>
      </c>
      <c r="AG31" s="316">
        <v>2005</v>
      </c>
      <c r="AH31" s="48">
        <f t="shared" si="120"/>
        <v>0.92807027738063386</v>
      </c>
      <c r="AI31" s="48">
        <f t="shared" si="121"/>
        <v>0.92285380572318465</v>
      </c>
      <c r="AJ31" s="48">
        <f t="shared" si="122"/>
        <v>0.93794001327994769</v>
      </c>
      <c r="AK31" s="48">
        <f t="shared" si="123"/>
        <v>0.91711324668622951</v>
      </c>
      <c r="AL31" s="48">
        <f t="shared" si="124"/>
        <v>0.92439270456254852</v>
      </c>
      <c r="AM31" s="48">
        <f t="shared" si="125"/>
        <v>0.9064663358017655</v>
      </c>
      <c r="AO31" s="316">
        <v>2005</v>
      </c>
      <c r="AP31" s="48">
        <f t="shared" si="133"/>
        <v>1.0030695617668102</v>
      </c>
      <c r="AQ31" s="48">
        <f t="shared" si="42"/>
        <v>1.0063483144668659</v>
      </c>
      <c r="AR31" s="48">
        <f t="shared" si="43"/>
        <v>1.0113667861460982</v>
      </c>
      <c r="AS31" s="48">
        <f t="shared" si="44"/>
        <v>1.0082252328718542</v>
      </c>
      <c r="AT31" s="48">
        <f t="shared" si="45"/>
        <v>1.014356042007299</v>
      </c>
      <c r="AU31" s="48">
        <f t="shared" si="46"/>
        <v>1.0126943632669914</v>
      </c>
      <c r="AW31" s="316">
        <v>2005</v>
      </c>
      <c r="AX31" s="61">
        <v>19366.099999999999</v>
      </c>
      <c r="AY31" s="61">
        <v>680.5</v>
      </c>
      <c r="AZ31" s="61">
        <v>9086.2000000000007</v>
      </c>
      <c r="BA31" s="61">
        <v>2318.6999999999998</v>
      </c>
      <c r="BB31" s="61">
        <v>7226.1</v>
      </c>
      <c r="BC31" s="61">
        <v>17180.3</v>
      </c>
      <c r="BE31" s="316">
        <v>2005</v>
      </c>
      <c r="BF31" s="61">
        <v>19956.599999999999</v>
      </c>
      <c r="BG31" s="61">
        <v>707.2</v>
      </c>
      <c r="BH31" s="61">
        <v>9431.1</v>
      </c>
      <c r="BI31" s="61">
        <v>2772.6</v>
      </c>
      <c r="BJ31" s="61">
        <v>7647.5</v>
      </c>
      <c r="BK31" s="61">
        <v>18160.7</v>
      </c>
      <c r="BM31" s="316">
        <v>2005</v>
      </c>
      <c r="BN31" s="75">
        <v>23758</v>
      </c>
      <c r="BO31" s="75">
        <v>678.3</v>
      </c>
      <c r="BP31" s="75">
        <v>12695.3</v>
      </c>
      <c r="BQ31" s="75">
        <v>2593</v>
      </c>
      <c r="BR31" s="75">
        <v>7446.9</v>
      </c>
      <c r="BS31" s="75">
        <v>16949.900000000001</v>
      </c>
      <c r="BU31" s="316">
        <v>2005</v>
      </c>
      <c r="BV31" s="75">
        <v>25738.7</v>
      </c>
      <c r="BW31" s="75">
        <v>744.5</v>
      </c>
      <c r="BX31" s="75">
        <v>13677.1</v>
      </c>
      <c r="BY31" s="75">
        <v>3192.1</v>
      </c>
      <c r="BZ31" s="75">
        <v>8155.5</v>
      </c>
      <c r="CA31" s="75">
        <v>19075.8</v>
      </c>
      <c r="CC31" s="316">
        <v>2005</v>
      </c>
      <c r="CD31" s="48">
        <f t="shared" si="126"/>
        <v>0.92304584147606517</v>
      </c>
      <c r="CE31" s="48">
        <f t="shared" si="127"/>
        <v>0.91108126259234379</v>
      </c>
      <c r="CF31" s="48">
        <f t="shared" si="128"/>
        <v>0.92821577673629641</v>
      </c>
      <c r="CG31" s="48">
        <f t="shared" si="129"/>
        <v>0.81231790983991736</v>
      </c>
      <c r="CH31" s="48">
        <f t="shared" si="130"/>
        <v>0.91311384954938379</v>
      </c>
      <c r="CI31" s="48">
        <f t="shared" si="131"/>
        <v>0.88855513268119823</v>
      </c>
      <c r="CK31" s="316">
        <v>2005</v>
      </c>
      <c r="CL31" s="48">
        <f t="shared" si="134"/>
        <v>1.0025565165236014</v>
      </c>
      <c r="CM31" s="48">
        <f t="shared" si="135"/>
        <v>1.0096877098723975</v>
      </c>
      <c r="CN31" s="48">
        <f t="shared" si="136"/>
        <v>1.0141291575222009</v>
      </c>
      <c r="CO31" s="48">
        <f t="shared" si="137"/>
        <v>1.0117769441811346</v>
      </c>
      <c r="CP31" s="48">
        <f t="shared" si="138"/>
        <v>1.0159100409472142</v>
      </c>
      <c r="CQ31" s="48">
        <f t="shared" si="139"/>
        <v>1.0155928076114218</v>
      </c>
      <c r="CS31" s="316">
        <v>2005</v>
      </c>
      <c r="CT31" s="46">
        <f t="shared" si="97"/>
        <v>20343</v>
      </c>
      <c r="CU31" s="46">
        <f t="shared" si="98"/>
        <v>886.70000000000141</v>
      </c>
      <c r="CV31" s="46">
        <f t="shared" si="99"/>
        <v>12187.900000000005</v>
      </c>
      <c r="CW31" s="46">
        <f t="shared" si="100"/>
        <v>3162</v>
      </c>
      <c r="CX31" s="46">
        <f t="shared" si="101"/>
        <v>3252.8999999999996</v>
      </c>
      <c r="CY31" s="46">
        <f t="shared" si="102"/>
        <v>3878.4999999999782</v>
      </c>
      <c r="CZ31" s="37"/>
      <c r="DA31" s="316">
        <v>2005</v>
      </c>
      <c r="DB31" s="46">
        <f t="shared" si="103"/>
        <v>23331.400000000012</v>
      </c>
      <c r="DC31" s="46">
        <f t="shared" si="104"/>
        <v>1102.2000000000007</v>
      </c>
      <c r="DD31" s="46">
        <f t="shared" si="105"/>
        <v>15353.700000000006</v>
      </c>
      <c r="DE31" s="46">
        <f t="shared" si="106"/>
        <v>4219.3000000000047</v>
      </c>
      <c r="DF31" s="46">
        <f t="shared" si="107"/>
        <v>6572.8999999999942</v>
      </c>
      <c r="DG31" s="46">
        <f t="shared" si="108"/>
        <v>12543.500000000069</v>
      </c>
      <c r="DI31" s="316">
        <v>2005</v>
      </c>
      <c r="DJ31" s="88">
        <f t="shared" si="56"/>
        <v>5.2880345059653174E-2</v>
      </c>
      <c r="DK31" s="88">
        <f t="shared" si="57"/>
        <v>4.6251669170422373E-2</v>
      </c>
      <c r="DL31" s="88">
        <f t="shared" si="58"/>
        <v>6.6606042356500486E-2</v>
      </c>
      <c r="DM31" s="88">
        <f t="shared" si="59"/>
        <v>6.9716064680280632E-2</v>
      </c>
      <c r="DN31" s="88">
        <f t="shared" si="60"/>
        <v>1.709916136364353E-2</v>
      </c>
      <c r="DO31" s="88">
        <f t="shared" si="61"/>
        <v>6.8859396515786944E-3</v>
      </c>
      <c r="DP31" s="37"/>
      <c r="DQ31" s="316">
        <v>2005</v>
      </c>
      <c r="DR31" s="88">
        <f t="shared" si="62"/>
        <v>5.6113827512644723E-2</v>
      </c>
      <c r="DS31" s="88">
        <f t="shared" si="63"/>
        <v>5.2722463251649102E-2</v>
      </c>
      <c r="DT31" s="88">
        <f t="shared" si="64"/>
        <v>7.7815152711546695E-2</v>
      </c>
      <c r="DU31" s="88">
        <f t="shared" si="65"/>
        <v>8.4620737927009609E-2</v>
      </c>
      <c r="DV31" s="88">
        <f t="shared" si="66"/>
        <v>3.1486704772562192E-2</v>
      </c>
      <c r="DW31" s="88">
        <f t="shared" si="67"/>
        <v>1.9933861565700168E-2</v>
      </c>
      <c r="DY31" s="316">
        <v>2005</v>
      </c>
      <c r="DZ31" s="61">
        <v>532515.6</v>
      </c>
      <c r="EA31" s="61">
        <v>511953.9</v>
      </c>
      <c r="EB31" s="89">
        <v>-0.4</v>
      </c>
      <c r="EC31" s="46">
        <f t="shared" si="35"/>
        <v>534654.21686746983</v>
      </c>
      <c r="ED31" s="46">
        <f t="shared" si="36"/>
        <v>514009.93975903618</v>
      </c>
      <c r="EF31" s="316">
        <v>2005</v>
      </c>
      <c r="EG31" s="88">
        <f t="shared" si="68"/>
        <v>4.4614655420423366E-2</v>
      </c>
      <c r="EH31" s="88">
        <f t="shared" si="69"/>
        <v>1.2737655009543382E-3</v>
      </c>
      <c r="EI31" s="88">
        <f t="shared" si="70"/>
        <v>2.384024054882148E-2</v>
      </c>
      <c r="EJ31" s="88">
        <f t="shared" si="71"/>
        <v>4.8693409169609306E-3</v>
      </c>
      <c r="EK31" s="88">
        <f t="shared" si="72"/>
        <v>1.398437904917715E-2</v>
      </c>
      <c r="EL31" s="88">
        <f t="shared" si="73"/>
        <v>3.1829865641494828E-2</v>
      </c>
      <c r="EM31" s="140"/>
      <c r="EN31" s="316">
        <v>2005</v>
      </c>
      <c r="EO31" s="88">
        <f t="shared" si="74"/>
        <v>5.0275425189650863E-2</v>
      </c>
      <c r="EP31" s="88">
        <f t="shared" si="75"/>
        <v>1.4542325002309777E-3</v>
      </c>
      <c r="EQ31" s="88">
        <f t="shared" si="76"/>
        <v>2.6715491375297658E-2</v>
      </c>
      <c r="ER31" s="88">
        <f t="shared" si="77"/>
        <v>6.2351317179144446E-3</v>
      </c>
      <c r="ES31" s="88">
        <f t="shared" si="78"/>
        <v>1.5930145272845857E-2</v>
      </c>
      <c r="ET31" s="88">
        <f t="shared" si="79"/>
        <v>3.7260776800411129E-2</v>
      </c>
      <c r="EV31" s="316">
        <v>2005</v>
      </c>
      <c r="EW31" s="88">
        <f t="shared" si="80"/>
        <v>0.72591534445188088</v>
      </c>
      <c r="EX31" s="88">
        <f t="shared" si="81"/>
        <v>3.546740940547094E-2</v>
      </c>
      <c r="EY31" s="88">
        <f t="shared" si="82"/>
        <v>0.34319807870417318</v>
      </c>
      <c r="EZ31" s="88">
        <f t="shared" si="83"/>
        <v>8.3767037810723297E-2</v>
      </c>
      <c r="FA31" s="88">
        <f t="shared" si="84"/>
        <v>0.36365821846345914</v>
      </c>
      <c r="FB31" s="88">
        <f t="shared" si="85"/>
        <v>1.0779314589093729</v>
      </c>
      <c r="FD31" s="316">
        <v>2005</v>
      </c>
      <c r="FE31" s="88">
        <f t="shared" si="86"/>
        <v>0.81359185426656577</v>
      </c>
      <c r="FF31" s="88">
        <f t="shared" si="87"/>
        <v>3.997588064081551E-2</v>
      </c>
      <c r="FG31" s="88">
        <f t="shared" si="88"/>
        <v>0.38060217296908955</v>
      </c>
      <c r="FH31" s="88">
        <f t="shared" si="89"/>
        <v>9.5006139419975114E-2</v>
      </c>
      <c r="FI31" s="88">
        <f t="shared" si="90"/>
        <v>0.40920259265531528</v>
      </c>
      <c r="FJ31" s="88">
        <f t="shared" si="91"/>
        <v>1.2369181037589516</v>
      </c>
      <c r="FL31" s="316">
        <v>2005</v>
      </c>
      <c r="FM31" s="317">
        <f t="shared" si="92"/>
        <v>127768</v>
      </c>
      <c r="FN31" s="318">
        <v>17585</v>
      </c>
      <c r="FO31" s="318">
        <v>84422</v>
      </c>
      <c r="FP31" s="318">
        <v>25761</v>
      </c>
      <c r="FQ31" s="88">
        <f t="shared" si="93"/>
        <v>0.13763227099117151</v>
      </c>
      <c r="FR31" s="88">
        <f t="shared" si="94"/>
        <v>0.66074447435977712</v>
      </c>
      <c r="FS31" s="88">
        <f t="shared" si="95"/>
        <v>0.2016232546490514</v>
      </c>
      <c r="FT31" s="88">
        <f t="shared" si="109"/>
        <v>-1.254224893295991E-3</v>
      </c>
      <c r="FU31" s="88">
        <f t="shared" si="110"/>
        <v>-5.5488836171507794E-3</v>
      </c>
      <c r="FV31" s="88">
        <f t="shared" si="111"/>
        <v>6.8031085104468536E-3</v>
      </c>
      <c r="FX31" s="316">
        <v>2005</v>
      </c>
      <c r="FY31" s="159">
        <v>1.3845183673469395E-2</v>
      </c>
      <c r="FZ31" s="62">
        <v>0.01</v>
      </c>
      <c r="GA31" s="319">
        <f t="shared" si="112"/>
        <v>3.8451836734693951E-3</v>
      </c>
      <c r="GC31" s="302">
        <f t="shared" si="113"/>
        <v>-1.3445855950908303E-2</v>
      </c>
      <c r="GD31" s="302">
        <f t="shared" si="114"/>
        <v>-7.1263047944779001E-3</v>
      </c>
      <c r="GE31" s="302">
        <f t="shared" si="115"/>
        <v>6.7755940054496817E-4</v>
      </c>
    </row>
    <row r="32" spans="1:187">
      <c r="A32" s="316">
        <v>2006</v>
      </c>
      <c r="B32" s="61">
        <v>352916.6</v>
      </c>
      <c r="C32" s="61">
        <v>21083.9</v>
      </c>
      <c r="D32" s="61">
        <v>149747.6</v>
      </c>
      <c r="E32" s="61">
        <v>39708.9</v>
      </c>
      <c r="F32" s="61">
        <v>198094.2</v>
      </c>
      <c r="G32" s="61">
        <v>561557.6</v>
      </c>
      <c r="I32" s="316">
        <v>2006</v>
      </c>
      <c r="J32" s="61">
        <v>353367.2</v>
      </c>
      <c r="K32" s="61">
        <v>21276.2</v>
      </c>
      <c r="L32" s="61">
        <v>150985.29999999999</v>
      </c>
      <c r="M32" s="61">
        <v>40478.300000000003</v>
      </c>
      <c r="N32" s="61">
        <v>203323.9</v>
      </c>
      <c r="O32" s="61">
        <v>578317.1</v>
      </c>
      <c r="Q32" s="316">
        <v>2006</v>
      </c>
      <c r="R32" s="75">
        <v>397962.8</v>
      </c>
      <c r="S32" s="75">
        <v>18909.3</v>
      </c>
      <c r="T32" s="75">
        <v>185962.4</v>
      </c>
      <c r="U32" s="75">
        <v>44498.5</v>
      </c>
      <c r="V32" s="75">
        <v>198541.4</v>
      </c>
      <c r="W32" s="75">
        <v>588222.4</v>
      </c>
      <c r="Y32" s="316">
        <v>2006</v>
      </c>
      <c r="Z32" s="75">
        <v>420672.9</v>
      </c>
      <c r="AA32" s="75">
        <v>20124</v>
      </c>
      <c r="AB32" s="75">
        <v>194934.6</v>
      </c>
      <c r="AC32" s="75">
        <v>47708.2</v>
      </c>
      <c r="AD32" s="75">
        <v>210484.9</v>
      </c>
      <c r="AE32" s="75">
        <v>641353.1</v>
      </c>
      <c r="AG32" s="316">
        <v>2006</v>
      </c>
      <c r="AH32" s="48">
        <f t="shared" si="120"/>
        <v>0.94601482529537784</v>
      </c>
      <c r="AI32" s="48">
        <f t="shared" si="121"/>
        <v>0.93963923673225991</v>
      </c>
      <c r="AJ32" s="48">
        <f t="shared" si="122"/>
        <v>0.95397328129536774</v>
      </c>
      <c r="AK32" s="48">
        <f t="shared" si="123"/>
        <v>0.93272225738971504</v>
      </c>
      <c r="AL32" s="48">
        <f t="shared" si="124"/>
        <v>0.94325721227508486</v>
      </c>
      <c r="AM32" s="48">
        <f t="shared" si="125"/>
        <v>0.91715842645806189</v>
      </c>
      <c r="AO32" s="316">
        <v>2006</v>
      </c>
      <c r="AP32" s="48">
        <f t="shared" si="133"/>
        <v>1.0193353330583867</v>
      </c>
      <c r="AQ32" s="48">
        <f t="shared" si="42"/>
        <v>1.018188613304706</v>
      </c>
      <c r="AR32" s="48">
        <f t="shared" si="43"/>
        <v>1.017094129462877</v>
      </c>
      <c r="AS32" s="48">
        <f t="shared" si="44"/>
        <v>1.0170197200399023</v>
      </c>
      <c r="AT32" s="48">
        <f t="shared" si="45"/>
        <v>1.0204074606164959</v>
      </c>
      <c r="AU32" s="48">
        <f t="shared" si="46"/>
        <v>1.0117953532679616</v>
      </c>
      <c r="AW32" s="316">
        <v>2006</v>
      </c>
      <c r="AX32" s="61">
        <v>19809.3</v>
      </c>
      <c r="AY32" s="61">
        <v>612.5</v>
      </c>
      <c r="AZ32" s="61">
        <v>10036</v>
      </c>
      <c r="BA32" s="61">
        <v>2050.5</v>
      </c>
      <c r="BB32" s="61">
        <v>6113.6</v>
      </c>
      <c r="BC32" s="61">
        <v>16664.599999999999</v>
      </c>
      <c r="BE32" s="316">
        <v>2006</v>
      </c>
      <c r="BF32" s="61">
        <v>20103.900000000001</v>
      </c>
      <c r="BG32" s="61">
        <v>626.4</v>
      </c>
      <c r="BH32" s="61">
        <v>10253</v>
      </c>
      <c r="BI32" s="61">
        <v>2410.6999999999998</v>
      </c>
      <c r="BJ32" s="61">
        <v>6350.9</v>
      </c>
      <c r="BK32" s="61">
        <v>17324.900000000001</v>
      </c>
      <c r="BM32" s="316">
        <v>2006</v>
      </c>
      <c r="BN32" s="75">
        <v>24180.799999999999</v>
      </c>
      <c r="BO32" s="75">
        <v>609.20000000000005</v>
      </c>
      <c r="BP32" s="75">
        <v>13757.7</v>
      </c>
      <c r="BQ32" s="75">
        <v>2414.6</v>
      </c>
      <c r="BR32" s="75">
        <v>6327.7</v>
      </c>
      <c r="BS32" s="75">
        <v>16434.5</v>
      </c>
      <c r="BU32" s="316">
        <v>2006</v>
      </c>
      <c r="BV32" s="75">
        <v>25846.5</v>
      </c>
      <c r="BW32" s="75">
        <v>658.5</v>
      </c>
      <c r="BX32" s="75">
        <v>14600.6</v>
      </c>
      <c r="BY32" s="75">
        <v>2928.2</v>
      </c>
      <c r="BZ32" s="75">
        <v>6800.1</v>
      </c>
      <c r="CA32" s="75">
        <v>18187.900000000001</v>
      </c>
      <c r="CC32" s="316">
        <v>2006</v>
      </c>
      <c r="CD32" s="48">
        <f t="shared" si="126"/>
        <v>0.93555413692376144</v>
      </c>
      <c r="CE32" s="48">
        <f t="shared" si="127"/>
        <v>0.92513287775246777</v>
      </c>
      <c r="CF32" s="48">
        <f t="shared" si="128"/>
        <v>0.94226949577414632</v>
      </c>
      <c r="CG32" s="48">
        <f t="shared" si="129"/>
        <v>0.8246021446622499</v>
      </c>
      <c r="CH32" s="48">
        <f t="shared" si="130"/>
        <v>0.93053043337597974</v>
      </c>
      <c r="CI32" s="48">
        <f t="shared" si="131"/>
        <v>0.90359524738974806</v>
      </c>
      <c r="CK32" s="316">
        <v>2006</v>
      </c>
      <c r="CL32" s="48">
        <f t="shared" si="134"/>
        <v>1.0135511096910355</v>
      </c>
      <c r="CM32" s="48">
        <f t="shared" si="135"/>
        <v>1.0154230097106183</v>
      </c>
      <c r="CN32" s="48">
        <f t="shared" si="136"/>
        <v>1.015140573334429</v>
      </c>
      <c r="CO32" s="48">
        <f t="shared" si="137"/>
        <v>1.0151224473491585</v>
      </c>
      <c r="CP32" s="48">
        <f t="shared" si="138"/>
        <v>1.0190738360120055</v>
      </c>
      <c r="CQ32" s="48">
        <f t="shared" si="139"/>
        <v>1.0169264845313162</v>
      </c>
      <c r="CS32" s="316">
        <v>2006</v>
      </c>
      <c r="CT32" s="46">
        <f t="shared" si="97"/>
        <v>14331.700000000023</v>
      </c>
      <c r="CU32" s="46">
        <f t="shared" si="98"/>
        <v>662.7</v>
      </c>
      <c r="CV32" s="46">
        <f t="shared" si="99"/>
        <v>11287.599999999995</v>
      </c>
      <c r="CW32" s="46">
        <f t="shared" si="100"/>
        <v>2702.5000000000014</v>
      </c>
      <c r="CX32" s="46">
        <f t="shared" si="101"/>
        <v>2217.6999999999998</v>
      </c>
      <c r="CY32" s="46">
        <f t="shared" si="102"/>
        <v>4532.6999999999534</v>
      </c>
      <c r="CZ32" s="37"/>
      <c r="DA32" s="316">
        <v>2006</v>
      </c>
      <c r="DB32" s="46">
        <f t="shared" si="103"/>
        <v>23367.899999999965</v>
      </c>
      <c r="DC32" s="46">
        <f t="shared" si="104"/>
        <v>1082.5</v>
      </c>
      <c r="DD32" s="46">
        <f t="shared" si="105"/>
        <v>15299.299999999983</v>
      </c>
      <c r="DE32" s="46">
        <f t="shared" si="106"/>
        <v>4054.1000000000013</v>
      </c>
      <c r="DF32" s="46">
        <f t="shared" si="107"/>
        <v>6649.4000000000178</v>
      </c>
      <c r="DG32" s="46">
        <f t="shared" si="108"/>
        <v>12622.999999999978</v>
      </c>
      <c r="DI32" s="316">
        <v>2006</v>
      </c>
      <c r="DJ32" s="88">
        <f t="shared" si="56"/>
        <v>3.6926550132087642E-2</v>
      </c>
      <c r="DK32" s="88">
        <f t="shared" si="57"/>
        <v>3.4947370641466455E-2</v>
      </c>
      <c r="DL32" s="88">
        <f t="shared" si="58"/>
        <v>6.1515387839162709E-2</v>
      </c>
      <c r="DM32" s="88">
        <f t="shared" si="59"/>
        <v>6.0341978814997435E-2</v>
      </c>
      <c r="DN32" s="88">
        <f t="shared" si="60"/>
        <v>1.1406079470702777E-2</v>
      </c>
      <c r="DO32" s="88">
        <f t="shared" si="61"/>
        <v>7.8648932555941149E-3</v>
      </c>
      <c r="DP32" s="37"/>
      <c r="DQ32" s="316">
        <v>2006</v>
      </c>
      <c r="DR32" s="88">
        <f t="shared" si="62"/>
        <v>5.5878093029962307E-2</v>
      </c>
      <c r="DS32" s="88">
        <f t="shared" si="63"/>
        <v>5.2681526182596847E-2</v>
      </c>
      <c r="DT32" s="88">
        <f t="shared" si="64"/>
        <v>7.8203966298171043E-2</v>
      </c>
      <c r="DU32" s="88">
        <f t="shared" si="65"/>
        <v>8.3017809276714455E-2</v>
      </c>
      <c r="DV32" s="88">
        <f t="shared" si="66"/>
        <v>3.1613498898419835E-2</v>
      </c>
      <c r="DW32" s="88">
        <f t="shared" si="67"/>
        <v>1.9854096065324865E-2</v>
      </c>
      <c r="DY32" s="316">
        <v>2006</v>
      </c>
      <c r="DZ32" s="61">
        <v>535170.19999999995</v>
      </c>
      <c r="EA32" s="61">
        <v>518979.7</v>
      </c>
      <c r="EB32" s="89">
        <v>0.3</v>
      </c>
      <c r="EC32" s="46">
        <f t="shared" si="35"/>
        <v>533569.49152542371</v>
      </c>
      <c r="ED32" s="46">
        <f t="shared" si="36"/>
        <v>517427.41774675978</v>
      </c>
      <c r="EF32" s="316">
        <v>2006</v>
      </c>
      <c r="EG32" s="88">
        <f t="shared" si="68"/>
        <v>4.5183382781776714E-2</v>
      </c>
      <c r="EH32" s="88">
        <f t="shared" si="69"/>
        <v>1.1383294510793017E-3</v>
      </c>
      <c r="EI32" s="88">
        <f t="shared" si="70"/>
        <v>2.5707148865912195E-2</v>
      </c>
      <c r="EJ32" s="88">
        <f t="shared" si="71"/>
        <v>4.5118356739594244E-3</v>
      </c>
      <c r="EK32" s="88">
        <f t="shared" si="72"/>
        <v>1.1823715147069102E-2</v>
      </c>
      <c r="EL32" s="88">
        <f t="shared" si="73"/>
        <v>3.0708922133556766E-2</v>
      </c>
      <c r="EM32" s="140"/>
      <c r="EN32" s="316">
        <v>2006</v>
      </c>
      <c r="EO32" s="88">
        <f t="shared" si="74"/>
        <v>4.9802525994754709E-2</v>
      </c>
      <c r="EP32" s="88">
        <f t="shared" si="75"/>
        <v>1.2688357560035584E-3</v>
      </c>
      <c r="EQ32" s="88">
        <f t="shared" si="76"/>
        <v>2.8133277659993253E-2</v>
      </c>
      <c r="ER32" s="88">
        <f t="shared" si="77"/>
        <v>5.6422245417306295E-3</v>
      </c>
      <c r="ES32" s="88">
        <f t="shared" si="78"/>
        <v>1.3102824638420347E-2</v>
      </c>
      <c r="ET32" s="88">
        <f t="shared" si="79"/>
        <v>3.50454940723115E-2</v>
      </c>
      <c r="EV32" s="316">
        <v>2006</v>
      </c>
      <c r="EW32" s="88">
        <f t="shared" si="80"/>
        <v>0.7458499901526654</v>
      </c>
      <c r="EX32" s="88">
        <f t="shared" si="81"/>
        <v>3.543924512239284E-2</v>
      </c>
      <c r="EY32" s="88">
        <f t="shared" si="82"/>
        <v>0.3485251742342903</v>
      </c>
      <c r="EZ32" s="88">
        <f t="shared" si="83"/>
        <v>8.3397759254906195E-2</v>
      </c>
      <c r="FA32" s="88">
        <f t="shared" si="84"/>
        <v>0.37210036022185095</v>
      </c>
      <c r="FB32" s="88">
        <f t="shared" si="85"/>
        <v>1.1024288482430451</v>
      </c>
      <c r="FD32" s="316">
        <v>2006</v>
      </c>
      <c r="FE32" s="88">
        <f t="shared" si="86"/>
        <v>0.81300852172059901</v>
      </c>
      <c r="FF32" s="88">
        <f t="shared" si="87"/>
        <v>3.8892411398750278E-2</v>
      </c>
      <c r="FG32" s="88">
        <f t="shared" si="88"/>
        <v>0.37673805699914659</v>
      </c>
      <c r="FH32" s="88">
        <f t="shared" si="89"/>
        <v>9.220269039424854E-2</v>
      </c>
      <c r="FI32" s="88">
        <f t="shared" si="90"/>
        <v>0.40679116100302182</v>
      </c>
      <c r="FJ32" s="88">
        <f t="shared" si="91"/>
        <v>1.2395035090967912</v>
      </c>
      <c r="FL32" s="316">
        <v>2006</v>
      </c>
      <c r="FM32" s="317">
        <f t="shared" si="92"/>
        <v>127770</v>
      </c>
      <c r="FN32" s="318">
        <v>17435</v>
      </c>
      <c r="FO32" s="318">
        <v>83731</v>
      </c>
      <c r="FP32" s="318">
        <v>26604</v>
      </c>
      <c r="FQ32" s="88">
        <f t="shared" si="93"/>
        <v>0.13645613211238944</v>
      </c>
      <c r="FR32" s="88">
        <f t="shared" si="94"/>
        <v>0.65532597636377865</v>
      </c>
      <c r="FS32" s="88">
        <f t="shared" si="95"/>
        <v>0.20821789152383188</v>
      </c>
      <c r="FT32" s="88">
        <f t="shared" si="109"/>
        <v>-1.1761388787820681E-3</v>
      </c>
      <c r="FU32" s="88">
        <f t="shared" si="110"/>
        <v>-5.4184979959984725E-3</v>
      </c>
      <c r="FV32" s="88">
        <f t="shared" si="111"/>
        <v>6.5946368747804851E-3</v>
      </c>
      <c r="FX32" s="316">
        <v>2006</v>
      </c>
      <c r="FY32" s="159">
        <v>1.7417016129032258E-2</v>
      </c>
      <c r="FZ32" s="62">
        <v>6.0000000000000001E-3</v>
      </c>
      <c r="GA32" s="319">
        <f t="shared" si="112"/>
        <v>1.1417016129032257E-2</v>
      </c>
      <c r="GC32" s="302">
        <f t="shared" si="113"/>
        <v>1.5893406245198749E-3</v>
      </c>
      <c r="GD32" s="302">
        <f t="shared" si="114"/>
        <v>-7.7067129936855272E-3</v>
      </c>
      <c r="GE32" s="302">
        <f t="shared" si="115"/>
        <v>-8.6100773711039226E-4</v>
      </c>
    </row>
    <row r="33" spans="1:187">
      <c r="A33" s="316">
        <v>2007</v>
      </c>
      <c r="B33" s="61">
        <v>357722.7</v>
      </c>
      <c r="C33" s="61">
        <v>21039.9</v>
      </c>
      <c r="D33" s="61">
        <v>149919</v>
      </c>
      <c r="E33" s="61">
        <v>39257.300000000003</v>
      </c>
      <c r="F33" s="61">
        <v>202086.5</v>
      </c>
      <c r="G33" s="61">
        <v>578772.30000000005</v>
      </c>
      <c r="I33" s="316">
        <v>2007</v>
      </c>
      <c r="J33" s="61">
        <v>353066.7</v>
      </c>
      <c r="K33" s="61">
        <v>20900.400000000001</v>
      </c>
      <c r="L33" s="61">
        <v>149031.29999999999</v>
      </c>
      <c r="M33" s="61">
        <v>39349.300000000003</v>
      </c>
      <c r="N33" s="61">
        <v>202792</v>
      </c>
      <c r="O33" s="61">
        <v>581291.1</v>
      </c>
      <c r="Q33" s="316">
        <v>2007</v>
      </c>
      <c r="R33" s="75">
        <v>403714.8</v>
      </c>
      <c r="S33" s="75">
        <v>18765.5</v>
      </c>
      <c r="T33" s="75">
        <v>187429</v>
      </c>
      <c r="U33" s="75">
        <v>44088.2</v>
      </c>
      <c r="V33" s="75">
        <v>202436.4</v>
      </c>
      <c r="W33" s="75">
        <v>606659.1</v>
      </c>
      <c r="Y33" s="316">
        <v>2007</v>
      </c>
      <c r="Z33" s="75">
        <v>420606.4</v>
      </c>
      <c r="AA33" s="75">
        <v>19658.7</v>
      </c>
      <c r="AB33" s="75">
        <v>193626.9</v>
      </c>
      <c r="AC33" s="75">
        <v>46462.2</v>
      </c>
      <c r="AD33" s="75">
        <v>209997.3</v>
      </c>
      <c r="AE33" s="75">
        <v>645609.80000000005</v>
      </c>
      <c r="AG33" s="316">
        <v>2007</v>
      </c>
      <c r="AH33" s="48">
        <f t="shared" si="120"/>
        <v>0.95983988831363476</v>
      </c>
      <c r="AI33" s="48">
        <f t="shared" si="121"/>
        <v>0.95456464567850363</v>
      </c>
      <c r="AJ33" s="48">
        <f t="shared" si="122"/>
        <v>0.96799050131980635</v>
      </c>
      <c r="AK33" s="48">
        <f t="shared" si="123"/>
        <v>0.94890470102578006</v>
      </c>
      <c r="AL33" s="48">
        <f t="shared" si="124"/>
        <v>0.96399525136751762</v>
      </c>
      <c r="AM33" s="48">
        <f t="shared" si="125"/>
        <v>0.93966835695492845</v>
      </c>
      <c r="AO33" s="316">
        <v>2007</v>
      </c>
      <c r="AP33" s="48">
        <f t="shared" si="133"/>
        <v>1.0146140024961452</v>
      </c>
      <c r="AQ33" s="48">
        <f t="shared" si="42"/>
        <v>1.0158841908285452</v>
      </c>
      <c r="AR33" s="48">
        <f t="shared" si="43"/>
        <v>1.0146935142726483</v>
      </c>
      <c r="AS33" s="48">
        <f t="shared" si="44"/>
        <v>1.0173496917306901</v>
      </c>
      <c r="AT33" s="48">
        <f t="shared" si="45"/>
        <v>1.0219855611200828</v>
      </c>
      <c r="AU33" s="48">
        <f t="shared" si="46"/>
        <v>1.0245431212836333</v>
      </c>
      <c r="AW33" s="316">
        <v>2007</v>
      </c>
      <c r="AX33" s="61">
        <v>18279.8</v>
      </c>
      <c r="AY33" s="61">
        <v>555.6</v>
      </c>
      <c r="AZ33" s="61">
        <v>9540.6</v>
      </c>
      <c r="BA33" s="61">
        <v>1937.4</v>
      </c>
      <c r="BB33" s="61">
        <v>5763.2</v>
      </c>
      <c r="BC33" s="61">
        <v>15652.7</v>
      </c>
      <c r="BE33" s="316">
        <v>2007</v>
      </c>
      <c r="BF33" s="61">
        <v>18184.3</v>
      </c>
      <c r="BG33" s="61">
        <v>557.6</v>
      </c>
      <c r="BH33" s="61">
        <v>9593.2000000000007</v>
      </c>
      <c r="BI33" s="61">
        <v>2236.8000000000002</v>
      </c>
      <c r="BJ33" s="61">
        <v>5880.5</v>
      </c>
      <c r="BK33" s="61">
        <v>16007.2</v>
      </c>
      <c r="BM33" s="316">
        <v>2007</v>
      </c>
      <c r="BN33" s="75">
        <v>22294.1</v>
      </c>
      <c r="BO33" s="75">
        <v>560.20000000000005</v>
      </c>
      <c r="BP33" s="75">
        <v>13354.7</v>
      </c>
      <c r="BQ33" s="75">
        <v>2265.1</v>
      </c>
      <c r="BR33" s="75">
        <v>5838.4</v>
      </c>
      <c r="BS33" s="75">
        <v>15557.3</v>
      </c>
      <c r="BU33" s="316">
        <v>2007</v>
      </c>
      <c r="BV33" s="75">
        <v>23377.7</v>
      </c>
      <c r="BW33" s="75">
        <v>594.5</v>
      </c>
      <c r="BX33" s="75">
        <v>13962.9</v>
      </c>
      <c r="BY33" s="75">
        <v>2700</v>
      </c>
      <c r="BZ33" s="75">
        <v>6165.3</v>
      </c>
      <c r="CA33" s="75">
        <v>16941.3</v>
      </c>
      <c r="CC33" s="316">
        <v>2007</v>
      </c>
      <c r="CD33" s="48">
        <f t="shared" si="126"/>
        <v>0.95364813476090449</v>
      </c>
      <c r="CE33" s="48">
        <f t="shared" si="127"/>
        <v>0.94230445752733394</v>
      </c>
      <c r="CF33" s="48">
        <f t="shared" si="128"/>
        <v>0.95644171339764672</v>
      </c>
      <c r="CG33" s="48">
        <f t="shared" si="129"/>
        <v>0.83892592592592585</v>
      </c>
      <c r="CH33" s="48">
        <f t="shared" si="130"/>
        <v>0.94697743824307001</v>
      </c>
      <c r="CI33" s="48">
        <f t="shared" si="131"/>
        <v>0.91830615123986947</v>
      </c>
      <c r="CK33" s="316">
        <v>2007</v>
      </c>
      <c r="CL33" s="48">
        <f t="shared" si="134"/>
        <v>1.0193404070625338</v>
      </c>
      <c r="CM33" s="48">
        <f t="shared" si="135"/>
        <v>1.0185612036798251</v>
      </c>
      <c r="CN33" s="48">
        <f t="shared" si="136"/>
        <v>1.0150405140854706</v>
      </c>
      <c r="CO33" s="48">
        <f t="shared" si="137"/>
        <v>1.0173705360292786</v>
      </c>
      <c r="CP33" s="48">
        <f t="shared" si="138"/>
        <v>1.017674870457939</v>
      </c>
      <c r="CQ33" s="48">
        <f t="shared" si="139"/>
        <v>1.0162804130418097</v>
      </c>
      <c r="CS33" s="316">
        <v>2007</v>
      </c>
      <c r="CT33" s="46">
        <f t="shared" si="97"/>
        <v>16542.099999999999</v>
      </c>
      <c r="CU33" s="46">
        <f t="shared" si="98"/>
        <v>703.99999999999932</v>
      </c>
      <c r="CV33" s="46">
        <f t="shared" si="99"/>
        <v>11888.099999999995</v>
      </c>
      <c r="CW33" s="46">
        <f t="shared" si="100"/>
        <v>2675.4000000000028</v>
      </c>
      <c r="CX33" s="46">
        <f t="shared" si="101"/>
        <v>1943.3999999999996</v>
      </c>
      <c r="CY33" s="46">
        <f t="shared" si="102"/>
        <v>-2879.3999999999542</v>
      </c>
      <c r="CZ33" s="37"/>
      <c r="DA33" s="316">
        <v>2007</v>
      </c>
      <c r="DB33" s="46">
        <f t="shared" si="103"/>
        <v>23444.2</v>
      </c>
      <c r="DC33" s="46">
        <f t="shared" si="104"/>
        <v>1059.7999999999993</v>
      </c>
      <c r="DD33" s="46">
        <f t="shared" si="105"/>
        <v>15270.600000000011</v>
      </c>
      <c r="DE33" s="46">
        <f t="shared" si="106"/>
        <v>3946</v>
      </c>
      <c r="DF33" s="46">
        <f t="shared" si="107"/>
        <v>6652.900000000006</v>
      </c>
      <c r="DG33" s="46">
        <f t="shared" si="108"/>
        <v>12684.599999999929</v>
      </c>
      <c r="DI33" s="316">
        <v>2007</v>
      </c>
      <c r="DJ33" s="88">
        <f t="shared" si="56"/>
        <v>4.1566950478788466E-2</v>
      </c>
      <c r="DK33" s="88">
        <f t="shared" si="57"/>
        <v>3.7230357548930913E-2</v>
      </c>
      <c r="DL33" s="88">
        <f t="shared" si="58"/>
        <v>6.3927439095214922E-2</v>
      </c>
      <c r="DM33" s="88">
        <f t="shared" si="59"/>
        <v>6.0123374945222935E-2</v>
      </c>
      <c r="DN33" s="88">
        <f t="shared" si="60"/>
        <v>9.7883867042339763E-3</v>
      </c>
      <c r="DO33" s="88">
        <f t="shared" si="61"/>
        <v>-4.8950873003135451E-3</v>
      </c>
      <c r="DP33" s="37"/>
      <c r="DQ33" s="316">
        <v>2007</v>
      </c>
      <c r="DR33" s="88">
        <f t="shared" si="62"/>
        <v>5.5730236009973545E-2</v>
      </c>
      <c r="DS33" s="88">
        <f t="shared" si="63"/>
        <v>5.2663486384416577E-2</v>
      </c>
      <c r="DT33" s="88">
        <f t="shared" si="64"/>
        <v>7.833704226956123E-2</v>
      </c>
      <c r="DU33" s="88">
        <f t="shared" si="65"/>
        <v>8.2711148188361755E-2</v>
      </c>
      <c r="DV33" s="88">
        <f t="shared" si="66"/>
        <v>3.1607492984057316E-2</v>
      </c>
      <c r="DW33" s="88">
        <f t="shared" si="67"/>
        <v>1.9777872750595466E-2</v>
      </c>
      <c r="DY33" s="316">
        <v>2007</v>
      </c>
      <c r="DZ33" s="61">
        <v>539281.69999999995</v>
      </c>
      <c r="EA33" s="61">
        <v>526681.19999999995</v>
      </c>
      <c r="EB33" s="89">
        <v>1.6</v>
      </c>
      <c r="EC33" s="46">
        <f t="shared" si="35"/>
        <v>530789.07480314956</v>
      </c>
      <c r="ED33" s="46">
        <f t="shared" si="36"/>
        <v>518387.00787401572</v>
      </c>
      <c r="EF33" s="316">
        <v>2007</v>
      </c>
      <c r="EG33" s="88">
        <f t="shared" si="68"/>
        <v>4.1340360705731348E-2</v>
      </c>
      <c r="EH33" s="88">
        <f t="shared" si="69"/>
        <v>1.0387891893976749E-3</v>
      </c>
      <c r="EI33" s="88">
        <f t="shared" si="70"/>
        <v>2.4763866454211227E-2</v>
      </c>
      <c r="EJ33" s="88">
        <f t="shared" si="71"/>
        <v>4.2002166956527547E-3</v>
      </c>
      <c r="EK33" s="88">
        <f t="shared" si="72"/>
        <v>1.0826252772901435E-2</v>
      </c>
      <c r="EL33" s="88">
        <f t="shared" si="73"/>
        <v>2.8848188247440995E-2</v>
      </c>
      <c r="EM33" s="140"/>
      <c r="EN33" s="316">
        <v>2007</v>
      </c>
      <c r="EO33" s="88">
        <f t="shared" si="74"/>
        <v>4.4386813123384702E-2</v>
      </c>
      <c r="EP33" s="88">
        <f t="shared" si="75"/>
        <v>1.1287663201192677E-3</v>
      </c>
      <c r="EQ33" s="88">
        <f t="shared" si="76"/>
        <v>2.6511103870804579E-2</v>
      </c>
      <c r="ER33" s="88">
        <f t="shared" si="77"/>
        <v>5.1264408146711902E-3</v>
      </c>
      <c r="ES33" s="88">
        <f t="shared" si="78"/>
        <v>1.1705942798034183E-2</v>
      </c>
      <c r="ET33" s="88">
        <f t="shared" si="79"/>
        <v>3.2166137693921869E-2</v>
      </c>
      <c r="EV33" s="316">
        <v>2007</v>
      </c>
      <c r="EW33" s="88">
        <f t="shared" si="80"/>
        <v>0.76059365040571569</v>
      </c>
      <c r="EX33" s="88">
        <f t="shared" si="81"/>
        <v>3.5353968065298717E-2</v>
      </c>
      <c r="EY33" s="88">
        <f t="shared" si="82"/>
        <v>0.35311389947035104</v>
      </c>
      <c r="EZ33" s="88">
        <f t="shared" si="83"/>
        <v>8.3061619187152103E-2</v>
      </c>
      <c r="FA33" s="88">
        <f t="shared" si="84"/>
        <v>0.38138765398492108</v>
      </c>
      <c r="FB33" s="88">
        <f t="shared" si="85"/>
        <v>1.1429381816590476</v>
      </c>
      <c r="FD33" s="316">
        <v>2007</v>
      </c>
      <c r="FE33" s="88">
        <f t="shared" si="86"/>
        <v>0.81137527293550638</v>
      </c>
      <c r="FF33" s="88">
        <f t="shared" si="87"/>
        <v>3.7922825420766873E-2</v>
      </c>
      <c r="FG33" s="88">
        <f t="shared" si="88"/>
        <v>0.37351804165404046</v>
      </c>
      <c r="FH33" s="88">
        <f t="shared" si="89"/>
        <v>8.9628403671898671E-2</v>
      </c>
      <c r="FI33" s="88">
        <f t="shared" si="90"/>
        <v>0.40509753680214899</v>
      </c>
      <c r="FJ33" s="88">
        <f t="shared" si="91"/>
        <v>1.2454204873840191</v>
      </c>
      <c r="FL33" s="316">
        <v>2007</v>
      </c>
      <c r="FM33" s="317">
        <f t="shared" si="92"/>
        <v>127772</v>
      </c>
      <c r="FN33" s="318">
        <v>17293</v>
      </c>
      <c r="FO33" s="318">
        <v>83015</v>
      </c>
      <c r="FP33" s="318">
        <v>27464</v>
      </c>
      <c r="FQ33" s="88">
        <f t="shared" si="93"/>
        <v>0.13534264158031495</v>
      </c>
      <c r="FR33" s="88">
        <f t="shared" si="94"/>
        <v>0.64971198697680244</v>
      </c>
      <c r="FS33" s="88">
        <f t="shared" si="95"/>
        <v>0.21494537144288264</v>
      </c>
      <c r="FT33" s="88">
        <f t="shared" si="109"/>
        <v>-1.1134905320744903E-3</v>
      </c>
      <c r="FU33" s="88">
        <f t="shared" si="110"/>
        <v>-5.6139893869762147E-3</v>
      </c>
      <c r="FV33" s="88">
        <f t="shared" si="111"/>
        <v>6.7274799190507606E-3</v>
      </c>
      <c r="FX33" s="316">
        <v>2007</v>
      </c>
      <c r="FY33" s="159">
        <v>1.6812734693877545E-2</v>
      </c>
      <c r="FZ33" s="62">
        <v>2E-3</v>
      </c>
      <c r="GA33" s="319">
        <f t="shared" si="112"/>
        <v>1.4812734693877545E-2</v>
      </c>
      <c r="GC33" s="302">
        <f t="shared" si="113"/>
        <v>1.524395379494814E-2</v>
      </c>
      <c r="GD33" s="302">
        <f t="shared" si="114"/>
        <v>-2.4820955744392359E-3</v>
      </c>
      <c r="GE33" s="302">
        <f t="shared" si="115"/>
        <v>-1.2559786968730832E-3</v>
      </c>
    </row>
    <row r="34" spans="1:187">
      <c r="A34" s="316">
        <v>2008</v>
      </c>
      <c r="B34" s="61">
        <v>361115.8</v>
      </c>
      <c r="C34" s="61">
        <v>20982.2</v>
      </c>
      <c r="D34" s="61">
        <v>149603.6</v>
      </c>
      <c r="E34" s="61">
        <v>38737.599999999999</v>
      </c>
      <c r="F34" s="61">
        <v>206649.2</v>
      </c>
      <c r="G34" s="61">
        <v>590549.1</v>
      </c>
      <c r="I34" s="316">
        <v>2008</v>
      </c>
      <c r="J34" s="61">
        <v>351685.4</v>
      </c>
      <c r="K34" s="61">
        <v>20483</v>
      </c>
      <c r="L34" s="61">
        <v>146544.20000000001</v>
      </c>
      <c r="M34" s="61">
        <v>38254.5</v>
      </c>
      <c r="N34" s="61">
        <v>202134.7</v>
      </c>
      <c r="O34" s="61">
        <v>582700.1</v>
      </c>
      <c r="Q34" s="316">
        <v>2008</v>
      </c>
      <c r="R34" s="75">
        <v>408286.1</v>
      </c>
      <c r="S34" s="75">
        <v>18612.8</v>
      </c>
      <c r="T34" s="75">
        <v>188355.20000000001</v>
      </c>
      <c r="U34" s="75">
        <v>43608.3</v>
      </c>
      <c r="V34" s="75">
        <v>207094.8</v>
      </c>
      <c r="W34" s="75">
        <v>621474.5</v>
      </c>
      <c r="Y34" s="316">
        <v>2008</v>
      </c>
      <c r="Z34" s="75">
        <v>419186.9</v>
      </c>
      <c r="AA34" s="75">
        <v>19156.5</v>
      </c>
      <c r="AB34" s="75">
        <v>191547</v>
      </c>
      <c r="AC34" s="75">
        <v>45238.6</v>
      </c>
      <c r="AD34" s="75">
        <v>209264.3</v>
      </c>
      <c r="AE34" s="75">
        <v>648272.4</v>
      </c>
      <c r="AG34" s="316">
        <v>2008</v>
      </c>
      <c r="AH34" s="48">
        <f t="shared" si="120"/>
        <v>0.97399537056143681</v>
      </c>
      <c r="AI34" s="48">
        <f t="shared" si="121"/>
        <v>0.97161798867225224</v>
      </c>
      <c r="AJ34" s="48">
        <f t="shared" si="122"/>
        <v>0.98333672675635753</v>
      </c>
      <c r="AK34" s="48">
        <f t="shared" si="123"/>
        <v>0.96396219157975715</v>
      </c>
      <c r="AL34" s="48">
        <f t="shared" si="124"/>
        <v>0.98963272760810128</v>
      </c>
      <c r="AM34" s="48">
        <f t="shared" si="125"/>
        <v>0.95866259307044377</v>
      </c>
      <c r="AO34" s="316">
        <v>2008</v>
      </c>
      <c r="AP34" s="48">
        <f t="shared" si="133"/>
        <v>1.0147477536828273</v>
      </c>
      <c r="AQ34" s="48">
        <f t="shared" si="42"/>
        <v>1.0178650477691085</v>
      </c>
      <c r="AR34" s="48">
        <f t="shared" si="43"/>
        <v>1.0158536942414491</v>
      </c>
      <c r="AS34" s="48">
        <f t="shared" si="44"/>
        <v>1.0158682853375052</v>
      </c>
      <c r="AT34" s="48">
        <f t="shared" si="45"/>
        <v>1.0265950233719663</v>
      </c>
      <c r="AU34" s="48">
        <f t="shared" si="46"/>
        <v>1.0202137658195363</v>
      </c>
      <c r="AW34" s="316">
        <v>2008</v>
      </c>
      <c r="AX34" s="61">
        <v>17492.3</v>
      </c>
      <c r="AY34" s="61">
        <v>510.5</v>
      </c>
      <c r="AZ34" s="61">
        <v>9142.2000000000007</v>
      </c>
      <c r="BA34" s="61">
        <v>1946.2</v>
      </c>
      <c r="BB34" s="61">
        <v>5911.5</v>
      </c>
      <c r="BC34" s="61">
        <v>14744.2</v>
      </c>
      <c r="BE34" s="316">
        <v>2008</v>
      </c>
      <c r="BF34" s="61">
        <v>16986.8</v>
      </c>
      <c r="BG34" s="61">
        <v>497.5</v>
      </c>
      <c r="BH34" s="61">
        <v>8906.9</v>
      </c>
      <c r="BI34" s="61">
        <v>2176.9</v>
      </c>
      <c r="BJ34" s="61">
        <v>5736.1</v>
      </c>
      <c r="BK34" s="61">
        <v>14443.6</v>
      </c>
      <c r="BM34" s="316">
        <v>2008</v>
      </c>
      <c r="BN34" s="75">
        <v>21446.6</v>
      </c>
      <c r="BO34" s="75">
        <v>518</v>
      </c>
      <c r="BP34" s="75">
        <v>12953.1</v>
      </c>
      <c r="BQ34" s="75">
        <v>2272.1999999999998</v>
      </c>
      <c r="BR34" s="75">
        <v>5877.8</v>
      </c>
      <c r="BS34" s="75">
        <v>14751.2</v>
      </c>
      <c r="BU34" s="316">
        <v>2008</v>
      </c>
      <c r="BV34" s="75">
        <v>21929</v>
      </c>
      <c r="BW34" s="75">
        <v>533</v>
      </c>
      <c r="BX34" s="75">
        <v>13113.3</v>
      </c>
      <c r="BY34" s="75">
        <v>2621.8</v>
      </c>
      <c r="BZ34" s="75">
        <v>5900.3</v>
      </c>
      <c r="CA34" s="75">
        <v>15384.2</v>
      </c>
      <c r="CC34" s="316">
        <v>2008</v>
      </c>
      <c r="CD34" s="48">
        <f t="shared" si="126"/>
        <v>0.97800173286515568</v>
      </c>
      <c r="CE34" s="48">
        <f t="shared" si="127"/>
        <v>0.97185741088180111</v>
      </c>
      <c r="CF34" s="48">
        <f t="shared" si="128"/>
        <v>0.98778339548397431</v>
      </c>
      <c r="CG34" s="48">
        <f t="shared" si="129"/>
        <v>0.86665649553741686</v>
      </c>
      <c r="CH34" s="48">
        <f t="shared" si="130"/>
        <v>0.9961866345779028</v>
      </c>
      <c r="CI34" s="48">
        <f t="shared" si="131"/>
        <v>0.95885388905500446</v>
      </c>
      <c r="CK34" s="316">
        <v>2008</v>
      </c>
      <c r="CL34" s="48">
        <f t="shared" si="134"/>
        <v>1.0255372995726113</v>
      </c>
      <c r="CM34" s="48">
        <f t="shared" si="135"/>
        <v>1.0313624255073737</v>
      </c>
      <c r="CN34" s="48">
        <f t="shared" si="136"/>
        <v>1.0327690455647214</v>
      </c>
      <c r="CO34" s="48">
        <f t="shared" si="137"/>
        <v>1.0330548487709266</v>
      </c>
      <c r="CP34" s="48">
        <f t="shared" si="138"/>
        <v>1.0519644865310949</v>
      </c>
      <c r="CQ34" s="48">
        <f t="shared" si="139"/>
        <v>1.0441549234537835</v>
      </c>
      <c r="CS34" s="316">
        <v>2008</v>
      </c>
      <c r="CT34" s="46">
        <f t="shared" si="97"/>
        <v>16875.30000000001</v>
      </c>
      <c r="CU34" s="46">
        <f t="shared" si="98"/>
        <v>670.70000000000073</v>
      </c>
      <c r="CV34" s="46">
        <f t="shared" si="99"/>
        <v>12026.899999999989</v>
      </c>
      <c r="CW34" s="46">
        <f t="shared" si="100"/>
        <v>2752.099999999994</v>
      </c>
      <c r="CX34" s="46">
        <f t="shared" si="101"/>
        <v>1219.400000000006</v>
      </c>
      <c r="CY34" s="46">
        <f t="shared" si="102"/>
        <v>-64.200000000022555</v>
      </c>
      <c r="CZ34" s="37"/>
      <c r="DA34" s="316">
        <v>2008</v>
      </c>
      <c r="DB34" s="46">
        <f t="shared" si="103"/>
        <v>23348.5</v>
      </c>
      <c r="DC34" s="46">
        <f t="shared" si="104"/>
        <v>1035.2000000000007</v>
      </c>
      <c r="DD34" s="46">
        <f t="shared" si="105"/>
        <v>15193.199999999993</v>
      </c>
      <c r="DE34" s="46">
        <f t="shared" si="106"/>
        <v>3845.3999999999987</v>
      </c>
      <c r="DF34" s="46">
        <f t="shared" si="107"/>
        <v>6633.3</v>
      </c>
      <c r="DG34" s="46">
        <f t="shared" si="108"/>
        <v>12721.600000000024</v>
      </c>
      <c r="DI34" s="316">
        <v>2008</v>
      </c>
      <c r="DJ34" s="88">
        <f t="shared" si="56"/>
        <v>4.180005290863751E-2</v>
      </c>
      <c r="DK34" s="88">
        <f t="shared" si="57"/>
        <v>3.574112067357655E-2</v>
      </c>
      <c r="DL34" s="88">
        <f t="shared" si="58"/>
        <v>6.41677648602937E-2</v>
      </c>
      <c r="DM34" s="88">
        <f t="shared" si="59"/>
        <v>6.2422598336969851E-2</v>
      </c>
      <c r="DN34" s="88">
        <f t="shared" si="60"/>
        <v>6.0236202580168687E-3</v>
      </c>
      <c r="DO34" s="88">
        <f t="shared" si="61"/>
        <v>-1.0582549573561586E-4</v>
      </c>
      <c r="DP34" s="37"/>
      <c r="DQ34" s="316">
        <v>2008</v>
      </c>
      <c r="DR34" s="88">
        <f t="shared" si="62"/>
        <v>5.5511518607420138E-2</v>
      </c>
      <c r="DS34" s="88">
        <f t="shared" si="63"/>
        <v>5.265861933902042E-2</v>
      </c>
      <c r="DT34" s="88">
        <f t="shared" si="64"/>
        <v>7.8466370116962017E-2</v>
      </c>
      <c r="DU34" s="88">
        <f t="shared" si="65"/>
        <v>8.2764053359505124E-2</v>
      </c>
      <c r="DV34" s="88">
        <f t="shared" si="66"/>
        <v>3.1587548982772641E-2</v>
      </c>
      <c r="DW34" s="88">
        <f t="shared" si="67"/>
        <v>1.970478143299563E-2</v>
      </c>
      <c r="DY34" s="316">
        <v>2008</v>
      </c>
      <c r="DZ34" s="61">
        <v>527823.80000000005</v>
      </c>
      <c r="EA34" s="61">
        <v>520233.1</v>
      </c>
      <c r="EB34" s="89">
        <v>0.4</v>
      </c>
      <c r="EC34" s="46">
        <f t="shared" si="35"/>
        <v>525720.91633466142</v>
      </c>
      <c r="ED34" s="46">
        <f t="shared" si="36"/>
        <v>518160.45816733065</v>
      </c>
      <c r="EF34" s="316">
        <v>2008</v>
      </c>
      <c r="EG34" s="88">
        <f t="shared" si="68"/>
        <v>4.06321200370275E-2</v>
      </c>
      <c r="EH34" s="88">
        <f t="shared" si="69"/>
        <v>9.8138810716758115E-4</v>
      </c>
      <c r="EI34" s="88">
        <f t="shared" si="70"/>
        <v>2.4540575851259454E-2</v>
      </c>
      <c r="EJ34" s="88">
        <f t="shared" si="71"/>
        <v>4.3048456700891463E-3</v>
      </c>
      <c r="EK34" s="88">
        <f t="shared" si="72"/>
        <v>1.1135913158898858E-2</v>
      </c>
      <c r="EL34" s="88">
        <f t="shared" si="73"/>
        <v>2.7947205108977653E-2</v>
      </c>
      <c r="EM34" s="140"/>
      <c r="EN34" s="316">
        <v>2008</v>
      </c>
      <c r="EO34" s="88">
        <f t="shared" si="74"/>
        <v>4.2152258285756909E-2</v>
      </c>
      <c r="EP34" s="88">
        <f t="shared" si="75"/>
        <v>1.0245407299151093E-3</v>
      </c>
      <c r="EQ34" s="88">
        <f t="shared" si="76"/>
        <v>2.5206585278791372E-2</v>
      </c>
      <c r="ER34" s="88">
        <f t="shared" si="77"/>
        <v>5.0396639506405886E-3</v>
      </c>
      <c r="ES34" s="88">
        <f t="shared" si="78"/>
        <v>1.1341646658007729E-2</v>
      </c>
      <c r="ET34" s="88">
        <f t="shared" si="79"/>
        <v>2.9571743897110741E-2</v>
      </c>
      <c r="EV34" s="316">
        <v>2008</v>
      </c>
      <c r="EW34" s="88">
        <f t="shared" si="80"/>
        <v>0.77662137326888236</v>
      </c>
      <c r="EX34" s="88">
        <f t="shared" si="81"/>
        <v>3.5404336068210633E-2</v>
      </c>
      <c r="EY34" s="88">
        <f t="shared" si="82"/>
        <v>0.3582798289883859</v>
      </c>
      <c r="EZ34" s="88">
        <f t="shared" si="83"/>
        <v>8.2949524443573772E-2</v>
      </c>
      <c r="FA34" s="88">
        <f t="shared" si="84"/>
        <v>0.39392535766670611</v>
      </c>
      <c r="FB34" s="88">
        <f t="shared" si="85"/>
        <v>1.1821376717002907</v>
      </c>
      <c r="FD34" s="316">
        <v>2008</v>
      </c>
      <c r="FE34" s="88">
        <f t="shared" si="86"/>
        <v>0.80899052290213758</v>
      </c>
      <c r="FF34" s="88">
        <f t="shared" si="87"/>
        <v>3.6970208162456407E-2</v>
      </c>
      <c r="FG34" s="88">
        <f t="shared" si="88"/>
        <v>0.3696673433505096</v>
      </c>
      <c r="FH34" s="88">
        <f t="shared" si="89"/>
        <v>8.7306160257776752E-2</v>
      </c>
      <c r="FI34" s="88">
        <f t="shared" si="90"/>
        <v>0.4038600335119007</v>
      </c>
      <c r="FJ34" s="88">
        <f t="shared" si="91"/>
        <v>1.2511035718411614</v>
      </c>
      <c r="FL34" s="316">
        <v>2008</v>
      </c>
      <c r="FM34" s="317">
        <f t="shared" si="92"/>
        <v>127692</v>
      </c>
      <c r="FN34" s="318">
        <v>17176</v>
      </c>
      <c r="FO34" s="318">
        <v>82300</v>
      </c>
      <c r="FP34" s="318">
        <v>28216</v>
      </c>
      <c r="FQ34" s="88">
        <f t="shared" si="93"/>
        <v>0.13451116749678915</v>
      </c>
      <c r="FR34" s="88">
        <f t="shared" si="94"/>
        <v>0.64451962534849483</v>
      </c>
      <c r="FS34" s="88">
        <f t="shared" si="95"/>
        <v>0.22096920715471605</v>
      </c>
      <c r="FT34" s="88">
        <f t="shared" si="109"/>
        <v>-8.314740835257961E-4</v>
      </c>
      <c r="FU34" s="88">
        <f t="shared" si="110"/>
        <v>-5.1923616283076068E-3</v>
      </c>
      <c r="FV34" s="88">
        <f t="shared" si="111"/>
        <v>6.0238357118334029E-3</v>
      </c>
      <c r="FX34" s="316">
        <v>2008</v>
      </c>
      <c r="FY34" s="159">
        <v>1.4929469387755117E-2</v>
      </c>
      <c r="FZ34" s="62">
        <v>-1E-3</v>
      </c>
      <c r="GA34" s="319">
        <f t="shared" si="112"/>
        <v>1.5929469387755118E-2</v>
      </c>
      <c r="GC34" s="302">
        <f t="shared" si="113"/>
        <v>2.6102939298977557E-2</v>
      </c>
      <c r="GD34" s="302">
        <f t="shared" si="114"/>
        <v>4.2497862021163568E-3</v>
      </c>
      <c r="GE34" s="302">
        <f t="shared" si="115"/>
        <v>-1.9596884120162347E-4</v>
      </c>
    </row>
    <row r="35" spans="1:187">
      <c r="A35" s="316">
        <v>2009</v>
      </c>
      <c r="B35" s="61">
        <v>345605.5</v>
      </c>
      <c r="C35" s="61">
        <v>19889.7</v>
      </c>
      <c r="D35" s="61">
        <v>141311.6</v>
      </c>
      <c r="E35" s="61">
        <v>37002.5</v>
      </c>
      <c r="F35" s="61">
        <v>199035.4</v>
      </c>
      <c r="G35" s="61">
        <v>575743.80000000005</v>
      </c>
      <c r="I35" s="316">
        <v>2009</v>
      </c>
      <c r="J35" s="61">
        <v>347672.9</v>
      </c>
      <c r="K35" s="61">
        <v>20141.5</v>
      </c>
      <c r="L35" s="61">
        <v>143296.20000000001</v>
      </c>
      <c r="M35" s="61">
        <v>37835.4</v>
      </c>
      <c r="N35" s="61">
        <v>201225.7</v>
      </c>
      <c r="O35" s="61">
        <v>584939.80000000005</v>
      </c>
      <c r="Q35" s="316">
        <v>2009</v>
      </c>
      <c r="R35" s="75">
        <v>390828</v>
      </c>
      <c r="S35" s="75">
        <v>17545.5</v>
      </c>
      <c r="T35" s="75">
        <v>179002.9</v>
      </c>
      <c r="U35" s="75">
        <v>41787.699999999997</v>
      </c>
      <c r="V35" s="75">
        <v>199450.4</v>
      </c>
      <c r="W35" s="75">
        <v>606961.6</v>
      </c>
      <c r="Y35" s="316">
        <v>2009</v>
      </c>
      <c r="Z35" s="75">
        <v>414018.4</v>
      </c>
      <c r="AA35" s="75">
        <v>18714.099999999999</v>
      </c>
      <c r="AB35" s="75">
        <v>188267.7</v>
      </c>
      <c r="AC35" s="75">
        <v>44850.6</v>
      </c>
      <c r="AD35" s="75">
        <v>208329.3</v>
      </c>
      <c r="AE35" s="75">
        <v>651658</v>
      </c>
      <c r="AG35" s="316">
        <v>2009</v>
      </c>
      <c r="AH35" s="48">
        <f t="shared" si="120"/>
        <v>0.94398703052811173</v>
      </c>
      <c r="AI35" s="48">
        <f t="shared" si="121"/>
        <v>0.93755510550868071</v>
      </c>
      <c r="AJ35" s="48">
        <f t="shared" si="122"/>
        <v>0.95078922194300974</v>
      </c>
      <c r="AK35" s="48">
        <f t="shared" si="123"/>
        <v>0.93170882886739526</v>
      </c>
      <c r="AL35" s="48">
        <f t="shared" si="124"/>
        <v>0.95738045488560664</v>
      </c>
      <c r="AM35" s="48">
        <f t="shared" si="125"/>
        <v>0.93141126173545019</v>
      </c>
      <c r="AO35" s="316">
        <v>2009</v>
      </c>
      <c r="AP35" s="48">
        <f t="shared" si="133"/>
        <v>0.96919046954399024</v>
      </c>
      <c r="AQ35" s="48">
        <f t="shared" si="42"/>
        <v>0.96494210321268381</v>
      </c>
      <c r="AR35" s="48">
        <f t="shared" si="43"/>
        <v>0.96690095678546528</v>
      </c>
      <c r="AS35" s="48">
        <f t="shared" si="44"/>
        <v>0.96654084258273187</v>
      </c>
      <c r="AT35" s="48">
        <f t="shared" si="45"/>
        <v>0.96740985638131938</v>
      </c>
      <c r="AU35" s="48">
        <f t="shared" si="46"/>
        <v>0.97157359478509342</v>
      </c>
      <c r="AW35" s="316">
        <v>2009</v>
      </c>
      <c r="AX35" s="61">
        <v>14273.9</v>
      </c>
      <c r="AY35" s="61">
        <v>552.6</v>
      </c>
      <c r="AZ35" s="61">
        <v>7940.8</v>
      </c>
      <c r="BA35" s="61">
        <v>2478.1</v>
      </c>
      <c r="BB35" s="61">
        <v>5446.1</v>
      </c>
      <c r="BC35" s="61">
        <v>15126.8</v>
      </c>
      <c r="BE35" s="316">
        <v>2009</v>
      </c>
      <c r="BF35" s="61">
        <v>14196.2</v>
      </c>
      <c r="BG35" s="61">
        <v>553.70000000000005</v>
      </c>
      <c r="BH35" s="61">
        <v>7953.7</v>
      </c>
      <c r="BI35" s="61">
        <v>2851.5</v>
      </c>
      <c r="BJ35" s="61">
        <v>5444.9</v>
      </c>
      <c r="BK35" s="61">
        <v>15220.8</v>
      </c>
      <c r="BM35" s="316">
        <v>2009</v>
      </c>
      <c r="BN35" s="75">
        <v>17262.400000000001</v>
      </c>
      <c r="BO35" s="75">
        <v>535.1</v>
      </c>
      <c r="BP35" s="75">
        <v>11338.5</v>
      </c>
      <c r="BQ35" s="75">
        <v>2913.6</v>
      </c>
      <c r="BR35" s="75">
        <v>5473.4</v>
      </c>
      <c r="BS35" s="75">
        <v>15060.6</v>
      </c>
      <c r="BU35" s="316">
        <v>2009</v>
      </c>
      <c r="BV35" s="75">
        <v>18034.7</v>
      </c>
      <c r="BW35" s="75">
        <v>565.20000000000005</v>
      </c>
      <c r="BX35" s="75">
        <v>11777.4</v>
      </c>
      <c r="BY35" s="75">
        <v>3451.1</v>
      </c>
      <c r="BZ35" s="75">
        <v>5655.2</v>
      </c>
      <c r="CA35" s="75">
        <v>16105.8</v>
      </c>
      <c r="CC35" s="316">
        <v>2009</v>
      </c>
      <c r="CD35" s="48">
        <f t="shared" si="126"/>
        <v>0.95717699767670106</v>
      </c>
      <c r="CE35" s="48">
        <f t="shared" si="127"/>
        <v>0.94674451521585279</v>
      </c>
      <c r="CF35" s="48">
        <f t="shared" si="128"/>
        <v>0.96273371032655763</v>
      </c>
      <c r="CG35" s="48">
        <f t="shared" si="129"/>
        <v>0.84425255715568948</v>
      </c>
      <c r="CH35" s="48">
        <f t="shared" si="130"/>
        <v>0.96785259584099581</v>
      </c>
      <c r="CI35" s="48">
        <f t="shared" si="131"/>
        <v>0.93510412398018117</v>
      </c>
      <c r="CK35" s="316">
        <v>2009</v>
      </c>
      <c r="CL35" s="48">
        <f t="shared" si="134"/>
        <v>0.97870685246390465</v>
      </c>
      <c r="CM35" s="48">
        <f t="shared" si="135"/>
        <v>0.97415989693059757</v>
      </c>
      <c r="CN35" s="48">
        <f t="shared" si="136"/>
        <v>0.97464050795757373</v>
      </c>
      <c r="CO35" s="48">
        <f t="shared" si="137"/>
        <v>0.97414899848199421</v>
      </c>
      <c r="CP35" s="48">
        <f t="shared" si="138"/>
        <v>0.97155749961560922</v>
      </c>
      <c r="CQ35" s="48">
        <f t="shared" si="139"/>
        <v>0.97523109063234881</v>
      </c>
      <c r="CS35" s="316">
        <v>2009</v>
      </c>
      <c r="CT35" s="46">
        <f t="shared" si="97"/>
        <v>34720.499999999978</v>
      </c>
      <c r="CU35" s="46">
        <f t="shared" si="98"/>
        <v>1602.3999999999992</v>
      </c>
      <c r="CV35" s="46">
        <f t="shared" si="99"/>
        <v>20690.800000000017</v>
      </c>
      <c r="CW35" s="46">
        <f t="shared" si="100"/>
        <v>4734.2000000000062</v>
      </c>
      <c r="CX35" s="46">
        <f t="shared" si="101"/>
        <v>13117.799999999994</v>
      </c>
      <c r="CY35" s="46">
        <f t="shared" si="102"/>
        <v>29573.500000000022</v>
      </c>
      <c r="CZ35" s="37"/>
      <c r="DA35" s="316">
        <v>2009</v>
      </c>
      <c r="DB35" s="46">
        <f t="shared" si="103"/>
        <v>23203.200000000001</v>
      </c>
      <c r="DC35" s="46">
        <f t="shared" si="104"/>
        <v>1007.6000000000015</v>
      </c>
      <c r="DD35" s="46">
        <f t="shared" si="105"/>
        <v>15056.699999999988</v>
      </c>
      <c r="DE35" s="46">
        <f t="shared" si="106"/>
        <v>3839.1</v>
      </c>
      <c r="DF35" s="46">
        <f t="shared" si="107"/>
        <v>6590.2</v>
      </c>
      <c r="DG35" s="46">
        <f t="shared" si="108"/>
        <v>12720.200000000023</v>
      </c>
      <c r="DI35" s="316">
        <v>2009</v>
      </c>
      <c r="DJ35" s="88">
        <f t="shared" si="56"/>
        <v>8.5039632747722693E-2</v>
      </c>
      <c r="DK35" s="88">
        <f t="shared" si="57"/>
        <v>8.6091292014097778E-2</v>
      </c>
      <c r="DL35" s="88">
        <f t="shared" si="58"/>
        <v>0.1098499006133094</v>
      </c>
      <c r="DM35" s="88">
        <f t="shared" si="59"/>
        <v>0.10856190220669014</v>
      </c>
      <c r="DN35" s="88">
        <f t="shared" si="60"/>
        <v>6.3342005690147668E-2</v>
      </c>
      <c r="DO35" s="88">
        <f t="shared" si="61"/>
        <v>4.7586023239891619E-2</v>
      </c>
      <c r="DP35" s="37"/>
      <c r="DQ35" s="316">
        <v>2009</v>
      </c>
      <c r="DR35" s="88">
        <f t="shared" si="62"/>
        <v>5.5352874815505923E-2</v>
      </c>
      <c r="DS35" s="88">
        <f t="shared" si="63"/>
        <v>5.2598334768877486E-2</v>
      </c>
      <c r="DT35" s="88">
        <f t="shared" si="64"/>
        <v>7.8605772995661571E-2</v>
      </c>
      <c r="DU35" s="88">
        <f t="shared" si="65"/>
        <v>8.4863368892936566E-2</v>
      </c>
      <c r="DV35" s="88">
        <f t="shared" si="66"/>
        <v>3.1492232549938048E-2</v>
      </c>
      <c r="DW35" s="88">
        <f t="shared" si="67"/>
        <v>1.9621689894556704E-2</v>
      </c>
      <c r="DY35" s="316">
        <v>2009</v>
      </c>
      <c r="DZ35" s="61">
        <v>494938.4</v>
      </c>
      <c r="EA35" s="61">
        <v>490615</v>
      </c>
      <c r="EB35" s="89">
        <v>-5.2</v>
      </c>
      <c r="EC35" s="46">
        <f t="shared" si="35"/>
        <v>522086.91983122367</v>
      </c>
      <c r="ED35" s="46">
        <f t="shared" si="36"/>
        <v>517526.37130801688</v>
      </c>
      <c r="EF35" s="316">
        <v>2009</v>
      </c>
      <c r="EG35" s="88">
        <f t="shared" si="68"/>
        <v>3.4877875711401662E-2</v>
      </c>
      <c r="EH35" s="88">
        <f t="shared" si="69"/>
        <v>1.0811446434546199E-3</v>
      </c>
      <c r="EI35" s="88">
        <f t="shared" si="70"/>
        <v>2.2908911492824157E-2</v>
      </c>
      <c r="EJ35" s="88">
        <f t="shared" si="71"/>
        <v>5.8867931847680433E-3</v>
      </c>
      <c r="EK35" s="88">
        <f t="shared" si="72"/>
        <v>1.1058749937365941E-2</v>
      </c>
      <c r="EL35" s="88">
        <f t="shared" si="73"/>
        <v>3.0429241295482426E-2</v>
      </c>
      <c r="EM35" s="140"/>
      <c r="EN35" s="316">
        <v>2009</v>
      </c>
      <c r="EO35" s="88">
        <f t="shared" si="74"/>
        <v>3.6759373439458641E-2</v>
      </c>
      <c r="EP35" s="88">
        <f t="shared" si="75"/>
        <v>1.1520234807333653E-3</v>
      </c>
      <c r="EQ35" s="88">
        <f t="shared" si="76"/>
        <v>2.4005381001396205E-2</v>
      </c>
      <c r="ER35" s="88">
        <f t="shared" si="77"/>
        <v>7.0342325448671562E-3</v>
      </c>
      <c r="ES35" s="88">
        <f t="shared" si="78"/>
        <v>1.1526757233268448E-2</v>
      </c>
      <c r="ET35" s="88">
        <f t="shared" si="79"/>
        <v>3.2827777381449812E-2</v>
      </c>
      <c r="EV35" s="316">
        <v>2009</v>
      </c>
      <c r="EW35" s="88">
        <f t="shared" si="80"/>
        <v>0.748587993980665</v>
      </c>
      <c r="EX35" s="88">
        <f t="shared" si="81"/>
        <v>3.36064730479591E-2</v>
      </c>
      <c r="EY35" s="88">
        <f t="shared" si="82"/>
        <v>0.34286034221632428</v>
      </c>
      <c r="EZ35" s="88">
        <f t="shared" si="83"/>
        <v>8.0039737470359931E-2</v>
      </c>
      <c r="FA35" s="88">
        <f t="shared" si="84"/>
        <v>0.38202527668089603</v>
      </c>
      <c r="FB35" s="88">
        <f t="shared" si="85"/>
        <v>1.1625681030204971</v>
      </c>
      <c r="FD35" s="316">
        <v>2009</v>
      </c>
      <c r="FE35" s="88">
        <f t="shared" si="86"/>
        <v>0.79999478858167816</v>
      </c>
      <c r="FF35" s="88">
        <f t="shared" si="87"/>
        <v>3.6160669363961555E-2</v>
      </c>
      <c r="FG35" s="88">
        <f t="shared" si="88"/>
        <v>0.36378378076495826</v>
      </c>
      <c r="FH35" s="88">
        <f t="shared" si="89"/>
        <v>8.6663409801983227E-2</v>
      </c>
      <c r="FI35" s="88">
        <f t="shared" si="90"/>
        <v>0.40254818217950938</v>
      </c>
      <c r="FJ35" s="88">
        <f t="shared" si="91"/>
        <v>1.2591783455458965</v>
      </c>
      <c r="FL35" s="316">
        <v>2009</v>
      </c>
      <c r="FM35" s="317">
        <f t="shared" si="92"/>
        <v>127509</v>
      </c>
      <c r="FN35" s="318">
        <v>17011</v>
      </c>
      <c r="FO35" s="318">
        <v>81493</v>
      </c>
      <c r="FP35" s="318">
        <v>29005</v>
      </c>
      <c r="FQ35" s="88">
        <f t="shared" si="93"/>
        <v>0.1334101906532088</v>
      </c>
      <c r="FR35" s="88">
        <f t="shared" si="94"/>
        <v>0.63911567026641258</v>
      </c>
      <c r="FS35" s="88">
        <f t="shared" si="95"/>
        <v>0.22747413908037864</v>
      </c>
      <c r="FT35" s="88">
        <f t="shared" si="109"/>
        <v>-1.100976843580348E-3</v>
      </c>
      <c r="FU35" s="88">
        <f t="shared" si="110"/>
        <v>-5.4039550820822457E-3</v>
      </c>
      <c r="FV35" s="88">
        <f t="shared" si="111"/>
        <v>6.5049319256625937E-3</v>
      </c>
      <c r="FX35" s="316">
        <v>2009</v>
      </c>
      <c r="FY35" s="159">
        <v>1.3538395061728397E-2</v>
      </c>
      <c r="FZ35" s="62">
        <v>-1E-3</v>
      </c>
      <c r="GA35" s="319">
        <f t="shared" si="112"/>
        <v>1.4538395061728396E-2</v>
      </c>
      <c r="GC35" s="302">
        <f t="shared" si="113"/>
        <v>3.9299912996018094E-3</v>
      </c>
      <c r="GD35" s="302">
        <f t="shared" si="114"/>
        <v>-7.7231885883581874E-3</v>
      </c>
      <c r="GE35" s="302">
        <f t="shared" si="115"/>
        <v>-6.1539204759590745E-4</v>
      </c>
    </row>
    <row r="36" spans="1:187">
      <c r="A36" s="316">
        <v>2010</v>
      </c>
      <c r="B36" s="61">
        <v>343403.1</v>
      </c>
      <c r="C36" s="61">
        <v>19682.5</v>
      </c>
      <c r="D36" s="61">
        <v>138546.79999999999</v>
      </c>
      <c r="E36" s="61">
        <v>36871.199999999997</v>
      </c>
      <c r="F36" s="61">
        <v>199121.3</v>
      </c>
      <c r="G36" s="61">
        <v>581758.4</v>
      </c>
      <c r="I36" s="316">
        <v>2010</v>
      </c>
      <c r="J36" s="61">
        <v>343407.2</v>
      </c>
      <c r="K36" s="61">
        <v>19769.400000000001</v>
      </c>
      <c r="L36" s="61">
        <v>139530.70000000001</v>
      </c>
      <c r="M36" s="61">
        <v>37456.699999999997</v>
      </c>
      <c r="N36" s="61">
        <v>200569.4</v>
      </c>
      <c r="O36" s="61">
        <v>586387.80000000005</v>
      </c>
      <c r="Q36" s="316">
        <v>2010</v>
      </c>
      <c r="R36" s="75">
        <v>387549.7</v>
      </c>
      <c r="S36" s="75">
        <v>17260</v>
      </c>
      <c r="T36" s="75">
        <v>176439.6</v>
      </c>
      <c r="U36" s="75">
        <v>41754</v>
      </c>
      <c r="V36" s="75">
        <v>199453</v>
      </c>
      <c r="W36" s="75">
        <v>614506.5</v>
      </c>
      <c r="Y36" s="316">
        <v>2010</v>
      </c>
      <c r="Z36" s="75">
        <v>408955.9</v>
      </c>
      <c r="AA36" s="75">
        <v>18265.7</v>
      </c>
      <c r="AB36" s="75">
        <v>184359.4</v>
      </c>
      <c r="AC36" s="75">
        <v>44531.9</v>
      </c>
      <c r="AD36" s="75">
        <v>207534</v>
      </c>
      <c r="AE36" s="75">
        <v>654273.6</v>
      </c>
      <c r="AG36" s="316">
        <v>2010</v>
      </c>
      <c r="AH36" s="48">
        <f t="shared" si="120"/>
        <v>0.94765645880154803</v>
      </c>
      <c r="AI36" s="48">
        <f t="shared" si="121"/>
        <v>0.94494051692516567</v>
      </c>
      <c r="AJ36" s="48">
        <f t="shared" si="122"/>
        <v>0.95704151781791447</v>
      </c>
      <c r="AK36" s="48">
        <f t="shared" si="123"/>
        <v>0.93761999824844655</v>
      </c>
      <c r="AL36" s="48">
        <f t="shared" si="124"/>
        <v>0.96106180192161283</v>
      </c>
      <c r="AM36" s="48">
        <f t="shared" si="125"/>
        <v>0.93921946415077728</v>
      </c>
      <c r="AO36" s="316">
        <v>2010</v>
      </c>
      <c r="AP36" s="48">
        <f t="shared" si="133"/>
        <v>1.0038871596269532</v>
      </c>
      <c r="AQ36" s="48">
        <f t="shared" si="42"/>
        <v>1.0078773091555806</v>
      </c>
      <c r="AR36" s="48">
        <f t="shared" si="43"/>
        <v>1.0065759010836572</v>
      </c>
      <c r="AS36" s="48">
        <f t="shared" si="44"/>
        <v>1.0063444385175968</v>
      </c>
      <c r="AT36" s="48">
        <f t="shared" si="45"/>
        <v>1.0038452289444806</v>
      </c>
      <c r="AU36" s="48">
        <f t="shared" si="46"/>
        <v>1.008383195196479</v>
      </c>
      <c r="AW36" s="316">
        <v>2010</v>
      </c>
      <c r="AX36" s="61">
        <v>13636.8</v>
      </c>
      <c r="AY36" s="61">
        <v>501.8</v>
      </c>
      <c r="AZ36" s="61">
        <v>7133.7</v>
      </c>
      <c r="BA36" s="61">
        <v>2470.4</v>
      </c>
      <c r="BB36" s="61">
        <v>5680</v>
      </c>
      <c r="BC36" s="61">
        <v>14280.3</v>
      </c>
      <c r="BE36" s="316">
        <v>2010</v>
      </c>
      <c r="BF36" s="61">
        <v>13673.6</v>
      </c>
      <c r="BG36" s="61">
        <v>505.4</v>
      </c>
      <c r="BH36" s="61">
        <v>7184.2</v>
      </c>
      <c r="BI36" s="61">
        <v>2859.9</v>
      </c>
      <c r="BJ36" s="61">
        <v>5719.4</v>
      </c>
      <c r="BK36" s="61">
        <v>14391.9</v>
      </c>
      <c r="BM36" s="316">
        <v>2010</v>
      </c>
      <c r="BN36" s="75">
        <v>16867.8</v>
      </c>
      <c r="BO36" s="75">
        <v>500.8</v>
      </c>
      <c r="BP36" s="75">
        <v>10433.200000000001</v>
      </c>
      <c r="BQ36" s="75">
        <v>2936.5</v>
      </c>
      <c r="BR36" s="75">
        <v>5582</v>
      </c>
      <c r="BS36" s="75">
        <v>14334.6</v>
      </c>
      <c r="BU36" s="316">
        <v>2010</v>
      </c>
      <c r="BV36" s="75">
        <v>17794.8</v>
      </c>
      <c r="BW36" s="75">
        <v>532</v>
      </c>
      <c r="BX36" s="75">
        <v>10905.9</v>
      </c>
      <c r="BY36" s="75">
        <v>3501.4</v>
      </c>
      <c r="BZ36" s="75">
        <v>5812.6</v>
      </c>
      <c r="CA36" s="75">
        <v>15350.9</v>
      </c>
      <c r="CC36" s="316">
        <v>2010</v>
      </c>
      <c r="CD36" s="48">
        <f t="shared" si="126"/>
        <v>0.94790612988063927</v>
      </c>
      <c r="CE36" s="48">
        <f t="shared" si="127"/>
        <v>0.94135338345864661</v>
      </c>
      <c r="CF36" s="48">
        <f t="shared" si="128"/>
        <v>0.95665648868960851</v>
      </c>
      <c r="CG36" s="48">
        <f t="shared" si="129"/>
        <v>0.83866453418632547</v>
      </c>
      <c r="CH36" s="48">
        <f t="shared" si="130"/>
        <v>0.96032756425695898</v>
      </c>
      <c r="CI36" s="48">
        <f t="shared" si="131"/>
        <v>0.93379541264681554</v>
      </c>
      <c r="CK36" s="316">
        <v>2010</v>
      </c>
      <c r="CL36" s="48">
        <f t="shared" si="134"/>
        <v>0.9903143641995531</v>
      </c>
      <c r="CM36" s="48">
        <f t="shared" si="135"/>
        <v>0.9943056107845768</v>
      </c>
      <c r="CN36" s="48">
        <f t="shared" si="136"/>
        <v>0.99368753626079243</v>
      </c>
      <c r="CO36" s="48">
        <f t="shared" si="137"/>
        <v>0.99338110033306837</v>
      </c>
      <c r="CP36" s="48">
        <f t="shared" si="138"/>
        <v>0.99222502309094074</v>
      </c>
      <c r="CQ36" s="48">
        <f t="shared" si="139"/>
        <v>0.99860046459019425</v>
      </c>
      <c r="CS36" s="316">
        <v>2010</v>
      </c>
      <c r="CT36" s="46">
        <f t="shared" si="97"/>
        <v>20146.099999999988</v>
      </c>
      <c r="CU36" s="46">
        <f t="shared" si="98"/>
        <v>786.3</v>
      </c>
      <c r="CV36" s="46">
        <f t="shared" si="99"/>
        <v>12996.499999999989</v>
      </c>
      <c r="CW36" s="46">
        <f t="shared" si="100"/>
        <v>2970.1999999999971</v>
      </c>
      <c r="CX36" s="46">
        <f t="shared" si="101"/>
        <v>5579.3999999999942</v>
      </c>
      <c r="CY36" s="46">
        <f t="shared" si="102"/>
        <v>6789.6999999999771</v>
      </c>
      <c r="CZ36" s="37"/>
      <c r="DA36" s="316">
        <v>2010</v>
      </c>
      <c r="DB36" s="46">
        <f t="shared" si="103"/>
        <v>22857.3</v>
      </c>
      <c r="DC36" s="46">
        <f t="shared" si="104"/>
        <v>980.39999999999782</v>
      </c>
      <c r="DD36" s="46">
        <f t="shared" si="105"/>
        <v>14814.200000000017</v>
      </c>
      <c r="DE36" s="46">
        <f t="shared" si="106"/>
        <v>3820.0999999999972</v>
      </c>
      <c r="DF36" s="46">
        <f t="shared" si="107"/>
        <v>6607.8999999999887</v>
      </c>
      <c r="DG36" s="46">
        <f t="shared" si="108"/>
        <v>12735.300000000023</v>
      </c>
      <c r="DI36" s="316">
        <v>2010</v>
      </c>
      <c r="DJ36" s="88">
        <f t="shared" si="56"/>
        <v>5.1547227936585886E-2</v>
      </c>
      <c r="DK36" s="88">
        <f t="shared" si="57"/>
        <v>4.481490980593314E-2</v>
      </c>
      <c r="DL36" s="88">
        <f t="shared" si="58"/>
        <v>7.2604968969776404E-2</v>
      </c>
      <c r="DM36" s="88">
        <f t="shared" si="59"/>
        <v>7.1078331662187619E-2</v>
      </c>
      <c r="DN36" s="88">
        <f t="shared" si="60"/>
        <v>2.7973872200807791E-2</v>
      </c>
      <c r="DO36" s="88">
        <f t="shared" si="61"/>
        <v>1.1186374887637006E-2</v>
      </c>
      <c r="DP36" s="37"/>
      <c r="DQ36" s="316">
        <v>2010</v>
      </c>
      <c r="DR36" s="88">
        <f t="shared" si="62"/>
        <v>5.520841585784593E-2</v>
      </c>
      <c r="DS36" s="88">
        <f t="shared" si="63"/>
        <v>5.2388306143495968E-2</v>
      </c>
      <c r="DT36" s="88">
        <f t="shared" si="64"/>
        <v>7.8686891059911057E-2</v>
      </c>
      <c r="DU36" s="88">
        <f t="shared" si="65"/>
        <v>8.5173888420667671E-2</v>
      </c>
      <c r="DV36" s="88">
        <f t="shared" si="66"/>
        <v>3.1718534070819558E-2</v>
      </c>
      <c r="DW36" s="88">
        <f t="shared" si="67"/>
        <v>1.954291975238549E-2</v>
      </c>
      <c r="DY36" s="316">
        <v>2010</v>
      </c>
      <c r="DZ36" s="61">
        <v>505530.6</v>
      </c>
      <c r="EA36" s="61">
        <v>510720</v>
      </c>
      <c r="EB36" s="89">
        <v>-1.5</v>
      </c>
      <c r="EC36" s="46">
        <f t="shared" si="35"/>
        <v>513229.03553299489</v>
      </c>
      <c r="ED36" s="46">
        <f t="shared" si="36"/>
        <v>518497.46192893403</v>
      </c>
      <c r="EF36" s="316">
        <v>2010</v>
      </c>
      <c r="EG36" s="88">
        <f t="shared" si="68"/>
        <v>3.3366526180611027E-2</v>
      </c>
      <c r="EH36" s="88">
        <f t="shared" si="69"/>
        <v>9.9064230731037844E-4</v>
      </c>
      <c r="EI36" s="88">
        <f t="shared" si="70"/>
        <v>2.0638117653016458E-2</v>
      </c>
      <c r="EJ36" s="88">
        <f t="shared" si="71"/>
        <v>5.8087482735960988E-3</v>
      </c>
      <c r="EK36" s="88">
        <f t="shared" si="72"/>
        <v>1.1041863736834131E-2</v>
      </c>
      <c r="EL36" s="88">
        <f t="shared" si="73"/>
        <v>2.8355553551061004E-2</v>
      </c>
      <c r="EM36" s="140"/>
      <c r="EN36" s="316">
        <v>2010</v>
      </c>
      <c r="EO36" s="88">
        <f t="shared" si="74"/>
        <v>3.4842575187969925E-2</v>
      </c>
      <c r="EP36" s="88">
        <f t="shared" si="75"/>
        <v>1.0416666666666667E-3</v>
      </c>
      <c r="EQ36" s="88">
        <f t="shared" si="76"/>
        <v>2.1353970864661655E-2</v>
      </c>
      <c r="ER36" s="88">
        <f t="shared" si="77"/>
        <v>6.8558114035087723E-3</v>
      </c>
      <c r="ES36" s="88">
        <f t="shared" si="78"/>
        <v>1.1381187343358396E-2</v>
      </c>
      <c r="ET36" s="88">
        <f t="shared" si="79"/>
        <v>3.005736998746867E-2</v>
      </c>
      <c r="EV36" s="316">
        <v>2010</v>
      </c>
      <c r="EW36" s="88">
        <f t="shared" si="80"/>
        <v>0.75512037154625267</v>
      </c>
      <c r="EX36" s="88">
        <f t="shared" si="81"/>
        <v>3.3630209526386734E-2</v>
      </c>
      <c r="EY36" s="88">
        <f t="shared" si="82"/>
        <v>0.34378335554761674</v>
      </c>
      <c r="EZ36" s="88">
        <f t="shared" si="83"/>
        <v>8.1355490646856987E-2</v>
      </c>
      <c r="FA36" s="88">
        <f t="shared" si="84"/>
        <v>0.38862376481265432</v>
      </c>
      <c r="FB36" s="88">
        <f t="shared" si="85"/>
        <v>1.197333855754726</v>
      </c>
      <c r="FD36" s="316">
        <v>2010</v>
      </c>
      <c r="FE36" s="88">
        <f t="shared" si="86"/>
        <v>0.78873269403978696</v>
      </c>
      <c r="FF36" s="88">
        <f t="shared" si="87"/>
        <v>3.5228137727130328E-2</v>
      </c>
      <c r="FG36" s="88">
        <f t="shared" si="88"/>
        <v>0.35556471060463657</v>
      </c>
      <c r="FH36" s="88">
        <f t="shared" si="89"/>
        <v>8.5886437774122804E-2</v>
      </c>
      <c r="FI36" s="88">
        <f t="shared" si="90"/>
        <v>0.40026039708646616</v>
      </c>
      <c r="FJ36" s="88">
        <f t="shared" si="91"/>
        <v>1.2618646146616541</v>
      </c>
      <c r="FL36" s="316">
        <v>2010</v>
      </c>
      <c r="FM36" s="317">
        <f t="shared" si="92"/>
        <v>128058</v>
      </c>
      <c r="FN36" s="318">
        <v>16839</v>
      </c>
      <c r="FO36" s="318">
        <v>81735</v>
      </c>
      <c r="FP36" s="318">
        <v>29484</v>
      </c>
      <c r="FQ36" s="88">
        <f t="shared" si="93"/>
        <v>0.13149510378109919</v>
      </c>
      <c r="FR36" s="88">
        <f t="shared" si="94"/>
        <v>0.63826547345733964</v>
      </c>
      <c r="FS36" s="88">
        <f t="shared" si="95"/>
        <v>0.23023942276156117</v>
      </c>
      <c r="FT36" s="88">
        <f t="shared" si="109"/>
        <v>-1.915086872109617E-3</v>
      </c>
      <c r="FU36" s="88">
        <f t="shared" si="110"/>
        <v>-8.5019680907294504E-4</v>
      </c>
      <c r="FV36" s="88">
        <f t="shared" si="111"/>
        <v>2.7652836811825343E-3</v>
      </c>
      <c r="FX36" s="316">
        <v>2010</v>
      </c>
      <c r="FY36" s="159">
        <v>1.1816040816326539E-2</v>
      </c>
      <c r="FZ36" s="62">
        <v>2E-3</v>
      </c>
      <c r="GA36" s="319">
        <f t="shared" si="112"/>
        <v>9.8160408163265392E-3</v>
      </c>
      <c r="GC36" s="302">
        <f t="shared" si="113"/>
        <v>3.1544518827030132E-2</v>
      </c>
      <c r="GD36" s="302">
        <f t="shared" si="114"/>
        <v>-2.3055006091282637E-4</v>
      </c>
      <c r="GE36" s="302">
        <f t="shared" si="115"/>
        <v>-2.0583697420842456E-3</v>
      </c>
    </row>
    <row r="37" spans="1:187">
      <c r="A37" s="316">
        <v>2011</v>
      </c>
      <c r="B37" s="61">
        <v>337595</v>
      </c>
      <c r="C37" s="61">
        <v>19271</v>
      </c>
      <c r="D37" s="61">
        <v>135232.20000000001</v>
      </c>
      <c r="E37" s="61">
        <v>36440</v>
      </c>
      <c r="F37" s="61">
        <v>199756.2</v>
      </c>
      <c r="G37" s="61">
        <v>584157.4</v>
      </c>
      <c r="I37" s="316">
        <v>2011</v>
      </c>
      <c r="J37" s="61">
        <v>337595</v>
      </c>
      <c r="K37" s="61">
        <v>19271</v>
      </c>
      <c r="L37" s="61">
        <v>135232.20000000001</v>
      </c>
      <c r="M37" s="61">
        <v>36440</v>
      </c>
      <c r="N37" s="61">
        <v>199756.2</v>
      </c>
      <c r="O37" s="61">
        <v>584157.4</v>
      </c>
      <c r="Q37" s="316">
        <v>2011</v>
      </c>
      <c r="R37" s="75">
        <v>381362.3</v>
      </c>
      <c r="S37" s="75">
        <v>16810.099999999999</v>
      </c>
      <c r="T37" s="75">
        <v>173821.6</v>
      </c>
      <c r="U37" s="75">
        <v>41475.9</v>
      </c>
      <c r="V37" s="75">
        <v>200335.3</v>
      </c>
      <c r="W37" s="75">
        <v>619486.6</v>
      </c>
      <c r="Y37" s="316">
        <v>2011</v>
      </c>
      <c r="Z37" s="75">
        <v>402622.6</v>
      </c>
      <c r="AA37" s="75">
        <v>17698.2</v>
      </c>
      <c r="AB37" s="75">
        <v>180336.6</v>
      </c>
      <c r="AC37" s="75">
        <v>43794.1</v>
      </c>
      <c r="AD37" s="75">
        <v>206634.7</v>
      </c>
      <c r="AE37" s="75">
        <v>652863.5</v>
      </c>
      <c r="AG37" s="316">
        <v>2011</v>
      </c>
      <c r="AH37" s="48">
        <f t="shared" si="120"/>
        <v>0.94719546294718682</v>
      </c>
      <c r="AI37" s="48">
        <f t="shared" si="121"/>
        <v>0.94981975568136856</v>
      </c>
      <c r="AJ37" s="48">
        <f t="shared" si="122"/>
        <v>0.9638731128345549</v>
      </c>
      <c r="AK37" s="48">
        <f t="shared" si="123"/>
        <v>0.94706592897216757</v>
      </c>
      <c r="AL37" s="48">
        <f t="shared" si="124"/>
        <v>0.96951431681126155</v>
      </c>
      <c r="AM37" s="48">
        <f t="shared" si="125"/>
        <v>0.94887614332858239</v>
      </c>
      <c r="AO37" s="316">
        <v>2011</v>
      </c>
      <c r="AP37" s="48">
        <f t="shared" si="133"/>
        <v>0.99951354116770941</v>
      </c>
      <c r="AQ37" s="48">
        <f t="shared" si="42"/>
        <v>1.0051635406343671</v>
      </c>
      <c r="AR37" s="48">
        <f t="shared" si="43"/>
        <v>1.0071382431059175</v>
      </c>
      <c r="AS37" s="48">
        <f t="shared" si="44"/>
        <v>1.0100743699381058</v>
      </c>
      <c r="AT37" s="48">
        <f t="shared" si="45"/>
        <v>1.0087949753832148</v>
      </c>
      <c r="AU37" s="48">
        <f t="shared" si="46"/>
        <v>1.010281600356884</v>
      </c>
      <c r="AW37" s="316">
        <v>2011</v>
      </c>
      <c r="AX37" s="61">
        <v>14337.9</v>
      </c>
      <c r="AY37" s="61">
        <v>462.2</v>
      </c>
      <c r="AZ37" s="61">
        <v>7119.2</v>
      </c>
      <c r="BA37" s="61">
        <v>2326.6</v>
      </c>
      <c r="BB37" s="61">
        <v>6753.8</v>
      </c>
      <c r="BC37" s="61">
        <v>13567.5</v>
      </c>
      <c r="BE37" s="316">
        <v>2011</v>
      </c>
      <c r="BF37" s="61">
        <v>14337.9</v>
      </c>
      <c r="BG37" s="61">
        <v>462.2</v>
      </c>
      <c r="BH37" s="61">
        <v>7119.2</v>
      </c>
      <c r="BI37" s="61">
        <v>2326.6</v>
      </c>
      <c r="BJ37" s="61">
        <v>6753.8</v>
      </c>
      <c r="BK37" s="61">
        <v>13567.5</v>
      </c>
      <c r="BM37" s="316">
        <v>2011</v>
      </c>
      <c r="BN37" s="75">
        <v>18034.099999999999</v>
      </c>
      <c r="BO37" s="75">
        <v>469.1</v>
      </c>
      <c r="BP37" s="75">
        <v>11060.3</v>
      </c>
      <c r="BQ37" s="75">
        <v>2869.2</v>
      </c>
      <c r="BR37" s="75">
        <v>6715.6</v>
      </c>
      <c r="BS37" s="75">
        <v>13606.7</v>
      </c>
      <c r="BU37" s="316">
        <v>2011</v>
      </c>
      <c r="BV37" s="75">
        <v>19017.5</v>
      </c>
      <c r="BW37" s="75">
        <v>495.2</v>
      </c>
      <c r="BX37" s="75">
        <v>11488.7</v>
      </c>
      <c r="BY37" s="75">
        <v>3041.8</v>
      </c>
      <c r="BZ37" s="75">
        <v>6944.3</v>
      </c>
      <c r="CA37" s="75">
        <v>14443.8</v>
      </c>
      <c r="CC37" s="316">
        <v>2011</v>
      </c>
      <c r="CD37" s="48">
        <f t="shared" si="126"/>
        <v>0.94828973314052833</v>
      </c>
      <c r="CE37" s="48">
        <f t="shared" si="127"/>
        <v>0.94729402261712448</v>
      </c>
      <c r="CF37" s="48">
        <f t="shared" si="128"/>
        <v>0.96271118577384718</v>
      </c>
      <c r="CG37" s="48">
        <f t="shared" si="129"/>
        <v>0.94325728187257529</v>
      </c>
      <c r="CH37" s="48">
        <f t="shared" si="130"/>
        <v>0.9670665149835117</v>
      </c>
      <c r="CI37" s="48">
        <f t="shared" si="131"/>
        <v>0.94204433736274396</v>
      </c>
      <c r="CK37" s="316">
        <v>2011</v>
      </c>
      <c r="CL37" s="48">
        <f t="shared" si="134"/>
        <v>1.0004046848604486</v>
      </c>
      <c r="CM37" s="48">
        <f t="shared" si="135"/>
        <v>1.0063107428760187</v>
      </c>
      <c r="CN37" s="48">
        <f t="shared" si="136"/>
        <v>1.0063290189904341</v>
      </c>
      <c r="CO37" s="48">
        <f t="shared" si="137"/>
        <v>1.1247134502804819</v>
      </c>
      <c r="CP37" s="48">
        <f t="shared" si="138"/>
        <v>1.0070173459321319</v>
      </c>
      <c r="CQ37" s="48">
        <f t="shared" si="139"/>
        <v>1.008833760162247</v>
      </c>
      <c r="CS37" s="316">
        <v>2011</v>
      </c>
      <c r="CT37" s="46">
        <f t="shared" si="97"/>
        <v>24221.500000000022</v>
      </c>
      <c r="CU37" s="46">
        <f t="shared" si="98"/>
        <v>919.00000000000148</v>
      </c>
      <c r="CV37" s="46">
        <f t="shared" si="99"/>
        <v>13678.3</v>
      </c>
      <c r="CW37" s="46">
        <f t="shared" si="100"/>
        <v>3147.2999999999984</v>
      </c>
      <c r="CX37" s="46">
        <f t="shared" si="101"/>
        <v>5833.300000000012</v>
      </c>
      <c r="CY37" s="46">
        <f t="shared" si="102"/>
        <v>8626.600000000024</v>
      </c>
      <c r="CZ37" s="37"/>
      <c r="DA37" s="316">
        <v>2011</v>
      </c>
      <c r="DB37" s="46">
        <f t="shared" si="103"/>
        <v>25350.800000000047</v>
      </c>
      <c r="DC37" s="46">
        <f t="shared" si="104"/>
        <v>1062.7</v>
      </c>
      <c r="DD37" s="46">
        <f t="shared" si="105"/>
        <v>15511.499999999989</v>
      </c>
      <c r="DE37" s="46">
        <f t="shared" si="106"/>
        <v>3779.6000000000031</v>
      </c>
      <c r="DF37" s="46">
        <f t="shared" si="107"/>
        <v>7843.5999999999885</v>
      </c>
      <c r="DG37" s="46">
        <f t="shared" si="108"/>
        <v>15853.899999999976</v>
      </c>
      <c r="DI37" s="316">
        <v>2011</v>
      </c>
      <c r="DJ37" s="88">
        <f t="shared" si="56"/>
        <v>6.2499080763060898E-2</v>
      </c>
      <c r="DK37" s="88">
        <f t="shared" si="57"/>
        <v>5.3244495944380153E-2</v>
      </c>
      <c r="DL37" s="88">
        <f t="shared" si="58"/>
        <v>7.752397987753315E-2</v>
      </c>
      <c r="DM37" s="88">
        <f t="shared" si="59"/>
        <v>7.5377209369162201E-2</v>
      </c>
      <c r="DN37" s="88">
        <f t="shared" si="60"/>
        <v>2.9246489147819348E-2</v>
      </c>
      <c r="DO37" s="88">
        <f t="shared" si="61"/>
        <v>1.4038256714941216E-2</v>
      </c>
      <c r="DP37" s="37"/>
      <c r="DQ37" s="316">
        <v>2011</v>
      </c>
      <c r="DR37" s="88">
        <f t="shared" si="62"/>
        <v>6.1989079996156174E-2</v>
      </c>
      <c r="DS37" s="88">
        <f t="shared" si="63"/>
        <v>5.8180086172443433E-2</v>
      </c>
      <c r="DT37" s="88">
        <f t="shared" si="64"/>
        <v>8.4137288361754214E-2</v>
      </c>
      <c r="DU37" s="88">
        <f t="shared" si="65"/>
        <v>8.4873989207736547E-2</v>
      </c>
      <c r="DV37" s="88">
        <f t="shared" si="66"/>
        <v>3.779428912852828E-2</v>
      </c>
      <c r="DW37" s="88">
        <f t="shared" si="67"/>
        <v>2.4231300177784916E-2</v>
      </c>
      <c r="DY37" s="316">
        <v>2011</v>
      </c>
      <c r="DZ37" s="61">
        <v>497448.9</v>
      </c>
      <c r="EA37" s="61">
        <v>510841.59999999998</v>
      </c>
      <c r="EB37" s="89">
        <v>-1.9</v>
      </c>
      <c r="EC37" s="46">
        <f t="shared" si="35"/>
        <v>507083.48623853212</v>
      </c>
      <c r="ED37" s="46">
        <f t="shared" si="36"/>
        <v>520735.5759429154</v>
      </c>
      <c r="EF37" s="316">
        <v>2011</v>
      </c>
      <c r="EG37" s="88">
        <f t="shared" si="68"/>
        <v>3.6253170928712469E-2</v>
      </c>
      <c r="EH37" s="88">
        <f t="shared" si="69"/>
        <v>9.4301143293311135E-4</v>
      </c>
      <c r="EI37" s="88">
        <f t="shared" si="70"/>
        <v>2.2234042531805775E-2</v>
      </c>
      <c r="EJ37" s="88">
        <f t="shared" si="71"/>
        <v>5.76782861516027E-3</v>
      </c>
      <c r="EK37" s="88">
        <f t="shared" si="72"/>
        <v>1.3500080108730767E-2</v>
      </c>
      <c r="EL37" s="88">
        <f t="shared" si="73"/>
        <v>2.735296027390954E-2</v>
      </c>
      <c r="EM37" s="140"/>
      <c r="EN37" s="316">
        <v>2011</v>
      </c>
      <c r="EO37" s="88">
        <f t="shared" si="74"/>
        <v>3.7227782545509215E-2</v>
      </c>
      <c r="EP37" s="88">
        <f t="shared" si="75"/>
        <v>9.6938072388779621E-4</v>
      </c>
      <c r="EQ37" s="88">
        <f t="shared" si="76"/>
        <v>2.2489750247434825E-2</v>
      </c>
      <c r="ER37" s="88">
        <f t="shared" si="77"/>
        <v>5.9544876533156269E-3</v>
      </c>
      <c r="ES37" s="88">
        <f t="shared" si="78"/>
        <v>1.3593842005036395E-2</v>
      </c>
      <c r="ET37" s="88">
        <f t="shared" si="79"/>
        <v>2.827451797191145E-2</v>
      </c>
      <c r="EV37" s="316">
        <v>2011</v>
      </c>
      <c r="EW37" s="88">
        <f t="shared" si="80"/>
        <v>0.75207004438043779</v>
      </c>
      <c r="EX37" s="88">
        <f t="shared" si="81"/>
        <v>3.3150556971781417E-2</v>
      </c>
      <c r="EY37" s="88">
        <f t="shared" si="82"/>
        <v>0.34278694675975763</v>
      </c>
      <c r="EZ37" s="88">
        <f t="shared" si="83"/>
        <v>8.1793040249963367E-2</v>
      </c>
      <c r="FA37" s="88">
        <f t="shared" si="84"/>
        <v>0.39507360313793033</v>
      </c>
      <c r="FB37" s="88">
        <f t="shared" si="85"/>
        <v>1.2216658929188504</v>
      </c>
      <c r="FD37" s="316">
        <v>2011</v>
      </c>
      <c r="FE37" s="88">
        <f t="shared" si="86"/>
        <v>0.7731805134898958</v>
      </c>
      <c r="FF37" s="88">
        <f t="shared" si="87"/>
        <v>3.3986923147997346E-2</v>
      </c>
      <c r="FG37" s="88">
        <f t="shared" si="88"/>
        <v>0.3463112726136634</v>
      </c>
      <c r="FH37" s="88">
        <f t="shared" si="89"/>
        <v>8.4100457167153184E-2</v>
      </c>
      <c r="FI37" s="88">
        <f t="shared" si="90"/>
        <v>0.39681310351388771</v>
      </c>
      <c r="FJ37" s="88">
        <f t="shared" si="91"/>
        <v>1.2537332384441675</v>
      </c>
      <c r="FL37" s="316">
        <v>2011</v>
      </c>
      <c r="FM37" s="317">
        <f t="shared" si="92"/>
        <v>127799</v>
      </c>
      <c r="FN37" s="318">
        <v>16705</v>
      </c>
      <c r="FO37" s="318">
        <v>81342</v>
      </c>
      <c r="FP37" s="318">
        <v>29752</v>
      </c>
      <c r="FQ37" s="88">
        <f t="shared" si="93"/>
        <v>0.13071307287224471</v>
      </c>
      <c r="FR37" s="88">
        <f t="shared" si="94"/>
        <v>0.63648385355127979</v>
      </c>
      <c r="FS37" s="88">
        <f t="shared" si="95"/>
        <v>0.23280307357647556</v>
      </c>
      <c r="FT37" s="88">
        <f t="shared" si="109"/>
        <v>-7.8203090885448079E-4</v>
      </c>
      <c r="FU37" s="88">
        <f t="shared" si="110"/>
        <v>-1.7816199060598503E-3</v>
      </c>
      <c r="FV37" s="88">
        <f t="shared" si="111"/>
        <v>2.5636508149143866E-3</v>
      </c>
      <c r="FX37" s="316">
        <v>2011</v>
      </c>
      <c r="FY37" s="159">
        <v>1.1244775510204095E-2</v>
      </c>
      <c r="FZ37" s="62">
        <v>5.0000000000000001E-3</v>
      </c>
      <c r="GA37" s="319">
        <f t="shared" si="112"/>
        <v>6.2447755102040944E-3</v>
      </c>
      <c r="GC37" s="302">
        <f t="shared" si="113"/>
        <v>1.1906478152717836E-3</v>
      </c>
      <c r="GD37" s="302">
        <f t="shared" si="114"/>
        <v>-5.7719092773662051E-3</v>
      </c>
      <c r="GE37" s="302">
        <f t="shared" si="115"/>
        <v>1.4465943852045495E-3</v>
      </c>
    </row>
    <row r="38" spans="1:187">
      <c r="A38" s="316">
        <v>2012</v>
      </c>
      <c r="B38" s="61">
        <v>332459.8</v>
      </c>
      <c r="C38" s="61">
        <v>18697.2</v>
      </c>
      <c r="D38" s="61">
        <v>131539.70000000001</v>
      </c>
      <c r="E38" s="61">
        <v>35591.1</v>
      </c>
      <c r="F38" s="61">
        <v>199055.7</v>
      </c>
      <c r="G38" s="61">
        <v>582221.5</v>
      </c>
      <c r="I38" s="316">
        <v>2012</v>
      </c>
      <c r="J38" s="61">
        <v>334970.59999999998</v>
      </c>
      <c r="K38" s="61">
        <v>18873.400000000001</v>
      </c>
      <c r="L38" s="61">
        <v>132376.5</v>
      </c>
      <c r="M38" s="61">
        <v>35822.300000000003</v>
      </c>
      <c r="N38" s="61">
        <v>200289</v>
      </c>
      <c r="O38" s="61">
        <v>585535.30000000005</v>
      </c>
      <c r="Q38" s="316">
        <v>2012</v>
      </c>
      <c r="R38" s="75">
        <v>376279.6</v>
      </c>
      <c r="S38" s="75">
        <v>16258</v>
      </c>
      <c r="T38" s="75">
        <v>171280.5</v>
      </c>
      <c r="U38" s="75">
        <v>40765</v>
      </c>
      <c r="V38" s="75">
        <v>197991.2</v>
      </c>
      <c r="W38" s="75">
        <v>619843.9</v>
      </c>
      <c r="Y38" s="316">
        <v>2012</v>
      </c>
      <c r="Z38" s="75">
        <v>399953.6</v>
      </c>
      <c r="AA38" s="75">
        <v>17247.3</v>
      </c>
      <c r="AB38" s="75">
        <v>178609.8</v>
      </c>
      <c r="AC38" s="75">
        <v>43262.400000000001</v>
      </c>
      <c r="AD38" s="75">
        <v>205059.9</v>
      </c>
      <c r="AE38" s="75">
        <v>655443.5</v>
      </c>
      <c r="AG38" s="316">
        <v>2012</v>
      </c>
      <c r="AH38" s="48">
        <f t="shared" si="120"/>
        <v>0.94080813374351424</v>
      </c>
      <c r="AI38" s="48">
        <f t="shared" si="121"/>
        <v>0.94264029732189969</v>
      </c>
      <c r="AJ38" s="48">
        <f t="shared" si="122"/>
        <v>0.95896473765717227</v>
      </c>
      <c r="AK38" s="48">
        <f t="shared" si="123"/>
        <v>0.94227319797329778</v>
      </c>
      <c r="AL38" s="48">
        <f t="shared" si="124"/>
        <v>0.96552860895767534</v>
      </c>
      <c r="AM38" s="48">
        <f t="shared" si="125"/>
        <v>0.94568624145330604</v>
      </c>
      <c r="AO38" s="316">
        <v>2012</v>
      </c>
      <c r="AP38" s="48">
        <f t="shared" si="133"/>
        <v>0.99325658805015971</v>
      </c>
      <c r="AQ38" s="48">
        <f t="shared" si="42"/>
        <v>0.9924412412812802</v>
      </c>
      <c r="AR38" s="48">
        <f t="shared" si="43"/>
        <v>0.99490765422126148</v>
      </c>
      <c r="AS38" s="48">
        <f t="shared" si="44"/>
        <v>0.99493939032938161</v>
      </c>
      <c r="AT38" s="48">
        <f t="shared" si="45"/>
        <v>0.99588896441808594</v>
      </c>
      <c r="AU38" s="48">
        <f t="shared" si="46"/>
        <v>0.99663823155666409</v>
      </c>
      <c r="AW38" s="316">
        <v>2012</v>
      </c>
      <c r="AX38" s="61">
        <v>14573.7</v>
      </c>
      <c r="AY38" s="61">
        <v>435.6</v>
      </c>
      <c r="AZ38" s="61">
        <v>7445.4</v>
      </c>
      <c r="BA38" s="61">
        <v>2169.8000000000002</v>
      </c>
      <c r="BB38" s="61">
        <v>6835</v>
      </c>
      <c r="BC38" s="61">
        <v>14186.1</v>
      </c>
      <c r="BE38" s="316">
        <v>2012</v>
      </c>
      <c r="BF38" s="61">
        <v>14698</v>
      </c>
      <c r="BG38" s="61">
        <v>438.8</v>
      </c>
      <c r="BH38" s="61">
        <v>7471.4</v>
      </c>
      <c r="BI38" s="61">
        <v>2180.8000000000002</v>
      </c>
      <c r="BJ38" s="61">
        <v>6853.9</v>
      </c>
      <c r="BK38" s="61">
        <v>14222.2</v>
      </c>
      <c r="BM38" s="316">
        <v>2012</v>
      </c>
      <c r="BN38" s="75">
        <v>18316.900000000001</v>
      </c>
      <c r="BO38" s="75">
        <v>449.6</v>
      </c>
      <c r="BP38" s="75">
        <v>12007.3</v>
      </c>
      <c r="BQ38" s="75">
        <v>2710.4</v>
      </c>
      <c r="BR38" s="75">
        <v>4813.3999999999996</v>
      </c>
      <c r="BS38" s="75">
        <v>14384.2</v>
      </c>
      <c r="BU38" s="316">
        <v>2012</v>
      </c>
      <c r="BV38" s="75">
        <v>19457.2</v>
      </c>
      <c r="BW38" s="75">
        <v>476.6</v>
      </c>
      <c r="BX38" s="75">
        <v>12497.2</v>
      </c>
      <c r="BY38" s="75">
        <v>2882.3</v>
      </c>
      <c r="BZ38" s="75">
        <v>4981.1000000000004</v>
      </c>
      <c r="CA38" s="75">
        <v>15250.2</v>
      </c>
      <c r="CC38" s="316">
        <v>2012</v>
      </c>
      <c r="CD38" s="48">
        <f t="shared" si="126"/>
        <v>0.94139444524392002</v>
      </c>
      <c r="CE38" s="48">
        <f t="shared" si="127"/>
        <v>0.94334872010071336</v>
      </c>
      <c r="CF38" s="48">
        <f t="shared" si="128"/>
        <v>0.96079921902506149</v>
      </c>
      <c r="CG38" s="48">
        <f t="shared" si="129"/>
        <v>0.94036012906359501</v>
      </c>
      <c r="CH38" s="48">
        <f t="shared" si="130"/>
        <v>0.96633273774868989</v>
      </c>
      <c r="CI38" s="48">
        <f t="shared" si="131"/>
        <v>0.94321385949036729</v>
      </c>
      <c r="CK38" s="316">
        <v>2012</v>
      </c>
      <c r="CL38" s="48">
        <f t="shared" si="134"/>
        <v>0.99272871185289269</v>
      </c>
      <c r="CM38" s="48">
        <f t="shared" si="135"/>
        <v>0.99583518694068052</v>
      </c>
      <c r="CN38" s="48">
        <f t="shared" si="136"/>
        <v>0.99801397680110182</v>
      </c>
      <c r="CO38" s="48">
        <f t="shared" si="137"/>
        <v>0.996928565657899</v>
      </c>
      <c r="CP38" s="48">
        <f t="shared" si="138"/>
        <v>0.9992412339550043</v>
      </c>
      <c r="CQ38" s="48">
        <f t="shared" si="139"/>
        <v>1.0012414724883305</v>
      </c>
      <c r="CS38" s="316">
        <v>2012</v>
      </c>
      <c r="CT38" s="46">
        <f t="shared" si="97"/>
        <v>23399.600000000013</v>
      </c>
      <c r="CU38" s="46">
        <f t="shared" si="98"/>
        <v>1001.6999999999986</v>
      </c>
      <c r="CV38" s="46">
        <f t="shared" si="99"/>
        <v>14548.400000000005</v>
      </c>
      <c r="CW38" s="46">
        <f t="shared" si="100"/>
        <v>3421.3000000000015</v>
      </c>
      <c r="CX38" s="46">
        <f t="shared" si="101"/>
        <v>7157.4999999999764</v>
      </c>
      <c r="CY38" s="46">
        <f t="shared" si="102"/>
        <v>14026.899999999954</v>
      </c>
      <c r="CZ38" s="37"/>
      <c r="DA38" s="316">
        <v>2012</v>
      </c>
      <c r="DB38" s="46">
        <f t="shared" si="103"/>
        <v>22126.2</v>
      </c>
      <c r="DC38" s="46">
        <f t="shared" si="104"/>
        <v>927.50000000000148</v>
      </c>
      <c r="DD38" s="46">
        <f t="shared" si="105"/>
        <v>14224.000000000018</v>
      </c>
      <c r="DE38" s="46">
        <f t="shared" si="106"/>
        <v>3413.9999999999973</v>
      </c>
      <c r="DF38" s="46">
        <f t="shared" si="107"/>
        <v>6555.9000000000178</v>
      </c>
      <c r="DG38" s="46">
        <f t="shared" si="108"/>
        <v>12670.2</v>
      </c>
      <c r="DI38" s="316">
        <v>2012</v>
      </c>
      <c r="DJ38" s="88">
        <f t="shared" si="56"/>
        <v>6.1357926570088372E-2</v>
      </c>
      <c r="DK38" s="88">
        <f t="shared" si="57"/>
        <v>5.9589175555172111E-2</v>
      </c>
      <c r="DL38" s="88">
        <f t="shared" si="58"/>
        <v>8.369730804456986E-2</v>
      </c>
      <c r="DM38" s="88">
        <f t="shared" si="59"/>
        <v>8.2488867028804716E-2</v>
      </c>
      <c r="DN38" s="88">
        <f t="shared" si="60"/>
        <v>3.5727602674116725E-2</v>
      </c>
      <c r="DO38" s="88">
        <f t="shared" si="61"/>
        <v>2.2642781942337341E-2</v>
      </c>
      <c r="DP38" s="37"/>
      <c r="DQ38" s="316">
        <v>2012</v>
      </c>
      <c r="DR38" s="88">
        <f t="shared" si="62"/>
        <v>5.4955186320887112E-2</v>
      </c>
      <c r="DS38" s="88">
        <f t="shared" si="63"/>
        <v>5.2406459413951785E-2</v>
      </c>
      <c r="DT38" s="88">
        <f t="shared" si="64"/>
        <v>7.887472648369781E-2</v>
      </c>
      <c r="DU38" s="88">
        <f t="shared" si="65"/>
        <v>7.7955706362272489E-2</v>
      </c>
      <c r="DV38" s="88">
        <f t="shared" si="66"/>
        <v>3.1727004225331069E-2</v>
      </c>
      <c r="DW38" s="88">
        <f t="shared" si="67"/>
        <v>1.9407119558682635E-2</v>
      </c>
      <c r="DY38" s="316">
        <v>2012</v>
      </c>
      <c r="DZ38" s="61">
        <v>500474.7</v>
      </c>
      <c r="EA38" s="61">
        <v>517864.4</v>
      </c>
      <c r="EB38" s="89">
        <v>-1.2</v>
      </c>
      <c r="EC38" s="46">
        <f t="shared" si="35"/>
        <v>506553.34008097165</v>
      </c>
      <c r="ED38" s="46">
        <f t="shared" si="36"/>
        <v>524154.25101214577</v>
      </c>
      <c r="EF38" s="316">
        <v>2012</v>
      </c>
      <c r="EG38" s="88">
        <f t="shared" si="68"/>
        <v>3.6599052859215463E-2</v>
      </c>
      <c r="EH38" s="88">
        <f t="shared" si="69"/>
        <v>8.9834710925447382E-4</v>
      </c>
      <c r="EI38" s="88">
        <f t="shared" si="70"/>
        <v>2.399182216403746E-2</v>
      </c>
      <c r="EJ38" s="88">
        <f t="shared" si="71"/>
        <v>5.4156583739397813E-3</v>
      </c>
      <c r="EK38" s="88">
        <f t="shared" si="72"/>
        <v>9.6176689850655771E-3</v>
      </c>
      <c r="EL38" s="88">
        <f t="shared" si="73"/>
        <v>2.8741113187140128E-2</v>
      </c>
      <c r="EM38" s="140"/>
      <c r="EN38" s="316">
        <v>2012</v>
      </c>
      <c r="EO38" s="88">
        <f t="shared" si="74"/>
        <v>3.7571997611730024E-2</v>
      </c>
      <c r="EP38" s="88">
        <f t="shared" si="75"/>
        <v>9.2031813733479267E-4</v>
      </c>
      <c r="EQ38" s="88">
        <f t="shared" si="76"/>
        <v>2.4132185954469934E-2</v>
      </c>
      <c r="ER38" s="88">
        <f t="shared" si="77"/>
        <v>5.5657426924886127E-3</v>
      </c>
      <c r="ES38" s="88">
        <f t="shared" si="78"/>
        <v>9.6185410698244565E-3</v>
      </c>
      <c r="ET38" s="88">
        <f t="shared" si="79"/>
        <v>2.9448249387291344E-2</v>
      </c>
      <c r="EV38" s="316">
        <v>2012</v>
      </c>
      <c r="EW38" s="88">
        <f t="shared" si="80"/>
        <v>0.7428232532034087</v>
      </c>
      <c r="EX38" s="88">
        <f t="shared" si="81"/>
        <v>3.2095336687349034E-2</v>
      </c>
      <c r="EY38" s="88">
        <f t="shared" si="82"/>
        <v>0.33812924809186157</v>
      </c>
      <c r="EZ38" s="88">
        <f t="shared" si="83"/>
        <v>8.0475236810172421E-2</v>
      </c>
      <c r="FA38" s="88">
        <f t="shared" si="84"/>
        <v>0.39085952916301264</v>
      </c>
      <c r="FB38" s="88">
        <f t="shared" si="85"/>
        <v>1.2236498132672842</v>
      </c>
      <c r="FD38" s="316">
        <v>2012</v>
      </c>
      <c r="FE38" s="88">
        <f t="shared" si="86"/>
        <v>0.76304560962290502</v>
      </c>
      <c r="FF38" s="88">
        <f t="shared" si="87"/>
        <v>3.2905008338090048E-2</v>
      </c>
      <c r="FG38" s="88">
        <f t="shared" si="88"/>
        <v>0.34075808725218415</v>
      </c>
      <c r="FH38" s="88">
        <f t="shared" si="89"/>
        <v>8.2537535308470716E-2</v>
      </c>
      <c r="FI38" s="88">
        <f t="shared" si="90"/>
        <v>0.39122052259240059</v>
      </c>
      <c r="FJ38" s="88">
        <f t="shared" si="91"/>
        <v>1.2504782680562709</v>
      </c>
      <c r="FL38" s="316">
        <v>2012</v>
      </c>
      <c r="FM38" s="317">
        <f t="shared" si="92"/>
        <v>127515</v>
      </c>
      <c r="FN38" s="318">
        <v>16547</v>
      </c>
      <c r="FO38" s="318">
        <v>80175</v>
      </c>
      <c r="FP38" s="318">
        <v>30793</v>
      </c>
      <c r="FQ38" s="88">
        <f t="shared" si="93"/>
        <v>0.12976512567148962</v>
      </c>
      <c r="FR38" s="88">
        <f t="shared" si="94"/>
        <v>0.62874955887542638</v>
      </c>
      <c r="FS38" s="88">
        <f t="shared" si="95"/>
        <v>0.24148531545308394</v>
      </c>
      <c r="FT38" s="88">
        <f t="shared" si="109"/>
        <v>-9.4794720075508376E-4</v>
      </c>
      <c r="FU38" s="88">
        <f t="shared" si="110"/>
        <v>-7.7342946758534037E-3</v>
      </c>
      <c r="FV38" s="88">
        <f t="shared" si="111"/>
        <v>8.6822418766083764E-3</v>
      </c>
      <c r="FX38" s="316">
        <v>2012</v>
      </c>
      <c r="FY38" s="159">
        <v>8.5788709677419289E-3</v>
      </c>
      <c r="FZ38" s="62">
        <v>6.9999999999999993E-3</v>
      </c>
      <c r="GA38" s="319">
        <f t="shared" si="112"/>
        <v>1.5788709677419296E-3</v>
      </c>
      <c r="GC38" s="302">
        <f t="shared" si="113"/>
        <v>-2.882013229986935E-3</v>
      </c>
      <c r="GD38" s="302">
        <f t="shared" si="114"/>
        <v>-5.5046122034568823E-3</v>
      </c>
      <c r="GE38" s="302">
        <f t="shared" si="115"/>
        <v>-2.9079901810487221E-3</v>
      </c>
    </row>
    <row r="39" spans="1:187">
      <c r="A39" s="316">
        <v>2013</v>
      </c>
      <c r="B39" s="61">
        <v>343061.9</v>
      </c>
      <c r="C39" s="61">
        <v>19063.8</v>
      </c>
      <c r="D39" s="61">
        <v>132805.29999999999</v>
      </c>
      <c r="E39" s="61">
        <v>36256.400000000001</v>
      </c>
      <c r="F39" s="61">
        <v>205214.1</v>
      </c>
      <c r="G39" s="61">
        <v>597632.19999999995</v>
      </c>
      <c r="I39" s="316">
        <v>2013</v>
      </c>
      <c r="J39" s="61">
        <v>333719.2</v>
      </c>
      <c r="K39" s="61">
        <v>18652</v>
      </c>
      <c r="L39" s="61">
        <v>130168.8</v>
      </c>
      <c r="M39" s="61">
        <v>35554.699999999997</v>
      </c>
      <c r="N39" s="61">
        <v>202400.8</v>
      </c>
      <c r="O39" s="61">
        <v>588149.5</v>
      </c>
      <c r="Q39" s="316">
        <v>2013</v>
      </c>
      <c r="R39" s="75">
        <v>387618.7</v>
      </c>
      <c r="S39" s="75">
        <v>16462.5</v>
      </c>
      <c r="T39" s="75">
        <v>174727.8</v>
      </c>
      <c r="U39" s="75">
        <v>42010.9</v>
      </c>
      <c r="V39" s="75">
        <v>201142.6</v>
      </c>
      <c r="W39" s="75">
        <v>637446</v>
      </c>
      <c r="Y39" s="316">
        <v>2013</v>
      </c>
      <c r="Z39" s="75">
        <v>399062.1</v>
      </c>
      <c r="AA39" s="75">
        <v>16956.599999999999</v>
      </c>
      <c r="AB39" s="75">
        <v>177701.1</v>
      </c>
      <c r="AC39" s="75">
        <v>43476.2</v>
      </c>
      <c r="AD39" s="75">
        <v>204182.6</v>
      </c>
      <c r="AE39" s="75">
        <v>658469.30000000005</v>
      </c>
      <c r="AG39" s="316">
        <v>2013</v>
      </c>
      <c r="AH39" s="48">
        <f t="shared" si="120"/>
        <v>0.97132426256464854</v>
      </c>
      <c r="AI39" s="48">
        <f t="shared" si="121"/>
        <v>0.97086090371890599</v>
      </c>
      <c r="AJ39" s="48">
        <f t="shared" si="122"/>
        <v>0.98326797076664119</v>
      </c>
      <c r="AK39" s="48">
        <f t="shared" si="123"/>
        <v>0.96629650245421639</v>
      </c>
      <c r="AL39" s="48">
        <f t="shared" si="124"/>
        <v>0.98511136600278382</v>
      </c>
      <c r="AM39" s="48">
        <f t="shared" si="125"/>
        <v>0.96807246746355513</v>
      </c>
      <c r="AO39" s="316">
        <v>2013</v>
      </c>
      <c r="AP39" s="48">
        <f t="shared" si="133"/>
        <v>1.0324360809889146</v>
      </c>
      <c r="AQ39" s="48">
        <f t="shared" si="42"/>
        <v>1.0299378315113228</v>
      </c>
      <c r="AR39" s="48">
        <f t="shared" si="43"/>
        <v>1.0253431978832128</v>
      </c>
      <c r="AS39" s="48">
        <f t="shared" si="44"/>
        <v>1.0254950523187856</v>
      </c>
      <c r="AT39" s="48">
        <f t="shared" si="45"/>
        <v>1.0202819024350287</v>
      </c>
      <c r="AU39" s="48">
        <f t="shared" si="46"/>
        <v>1.0236719379313868</v>
      </c>
      <c r="AW39" s="316">
        <v>2013</v>
      </c>
      <c r="AX39" s="61">
        <v>16101.7</v>
      </c>
      <c r="AY39" s="61">
        <v>602.1</v>
      </c>
      <c r="AZ39" s="61">
        <v>7985.6</v>
      </c>
      <c r="BA39" s="61">
        <v>2503.1</v>
      </c>
      <c r="BB39" s="61">
        <v>8494.9</v>
      </c>
      <c r="BC39" s="61">
        <v>15585.2</v>
      </c>
      <c r="BE39" s="316">
        <v>2013</v>
      </c>
      <c r="BF39" s="61">
        <v>15877.2</v>
      </c>
      <c r="BG39" s="61">
        <v>595.20000000000005</v>
      </c>
      <c r="BH39" s="61">
        <v>7896.2</v>
      </c>
      <c r="BI39" s="61">
        <v>2481.1999999999998</v>
      </c>
      <c r="BJ39" s="61">
        <v>8443.5</v>
      </c>
      <c r="BK39" s="61">
        <v>15456.5</v>
      </c>
      <c r="BM39" s="316">
        <v>2013</v>
      </c>
      <c r="BN39" s="75">
        <v>20171.5</v>
      </c>
      <c r="BO39" s="75">
        <v>588.6</v>
      </c>
      <c r="BP39" s="75">
        <v>12848.8</v>
      </c>
      <c r="BQ39" s="75">
        <v>3424.4</v>
      </c>
      <c r="BR39" s="75">
        <v>5485.5</v>
      </c>
      <c r="BS39" s="75">
        <v>15008.2</v>
      </c>
      <c r="BU39" s="316">
        <v>2013</v>
      </c>
      <c r="BV39" s="75">
        <v>21046.5</v>
      </c>
      <c r="BW39" s="75">
        <v>614.70000000000005</v>
      </c>
      <c r="BX39" s="75">
        <v>13202.3</v>
      </c>
      <c r="BY39" s="75">
        <v>3591</v>
      </c>
      <c r="BZ39" s="75">
        <v>5630.4</v>
      </c>
      <c r="CA39" s="75">
        <v>15717.6</v>
      </c>
      <c r="CC39" s="316">
        <v>2013</v>
      </c>
      <c r="CD39" s="48">
        <f t="shared" si="126"/>
        <v>0.95842539139524385</v>
      </c>
      <c r="CE39" s="48">
        <f t="shared" si="127"/>
        <v>0.95754026354319177</v>
      </c>
      <c r="CF39" s="48">
        <f t="shared" si="128"/>
        <v>0.9732243624216993</v>
      </c>
      <c r="CG39" s="48">
        <f t="shared" si="129"/>
        <v>0.95360623781676412</v>
      </c>
      <c r="CH39" s="48">
        <f t="shared" si="130"/>
        <v>0.97426470588235303</v>
      </c>
      <c r="CI39" s="48">
        <f t="shared" si="131"/>
        <v>0.95486588283198459</v>
      </c>
      <c r="CK39" s="316">
        <v>2013</v>
      </c>
      <c r="CL39" s="48">
        <f t="shared" si="134"/>
        <v>1.0180911904009706</v>
      </c>
      <c r="CM39" s="48">
        <f t="shared" si="135"/>
        <v>1.015043793604727</v>
      </c>
      <c r="CN39" s="48">
        <f t="shared" si="136"/>
        <v>1.0129320914823867</v>
      </c>
      <c r="CO39" s="48">
        <f t="shared" si="137"/>
        <v>1.0140862084043902</v>
      </c>
      <c r="CP39" s="48">
        <f t="shared" si="138"/>
        <v>1.0082083197886296</v>
      </c>
      <c r="CQ39" s="48">
        <f t="shared" si="139"/>
        <v>1.0123535327904458</v>
      </c>
      <c r="CS39" s="316">
        <v>2013</v>
      </c>
      <c r="CT39" s="46">
        <f t="shared" si="97"/>
        <v>8832.3999999999651</v>
      </c>
      <c r="CU39" s="46">
        <f t="shared" si="98"/>
        <v>384.1</v>
      </c>
      <c r="CV39" s="46">
        <f t="shared" si="99"/>
        <v>9401.5000000000109</v>
      </c>
      <c r="CW39" s="46">
        <f t="shared" si="100"/>
        <v>2178.4999999999986</v>
      </c>
      <c r="CX39" s="46">
        <f t="shared" si="101"/>
        <v>2334.1000000000058</v>
      </c>
      <c r="CY39" s="46">
        <f t="shared" si="102"/>
        <v>-2593.899999999976</v>
      </c>
      <c r="CZ39" s="37"/>
      <c r="DA39" s="316">
        <v>2013</v>
      </c>
      <c r="DB39" s="46">
        <f t="shared" si="103"/>
        <v>21938</v>
      </c>
      <c r="DC39" s="46">
        <f t="shared" si="104"/>
        <v>905.40000000000077</v>
      </c>
      <c r="DD39" s="46">
        <f t="shared" si="105"/>
        <v>14110.999999999982</v>
      </c>
      <c r="DE39" s="46">
        <f t="shared" si="106"/>
        <v>3377.2000000000044</v>
      </c>
      <c r="DF39" s="46">
        <f t="shared" si="107"/>
        <v>6507.699999999988</v>
      </c>
      <c r="DG39" s="46">
        <f t="shared" si="108"/>
        <v>12691.799999999954</v>
      </c>
      <c r="DI39" s="316">
        <v>2013</v>
      </c>
      <c r="DJ39" s="88">
        <f t="shared" si="56"/>
        <v>2.3472970631413358E-2</v>
      </c>
      <c r="DK39" s="88">
        <f t="shared" si="57"/>
        <v>2.3625292163857795E-2</v>
      </c>
      <c r="DL39" s="88">
        <f t="shared" si="58"/>
        <v>5.4889494133891548E-2</v>
      </c>
      <c r="DM39" s="88">
        <f t="shared" si="59"/>
        <v>5.3440451367594718E-2</v>
      </c>
      <c r="DN39" s="88">
        <f t="shared" si="60"/>
        <v>1.1788907789841194E-2</v>
      </c>
      <c r="DO39" s="88">
        <f t="shared" si="61"/>
        <v>-4.1847632928225572E-3</v>
      </c>
      <c r="DP39" s="37"/>
      <c r="DQ39" s="316">
        <v>2013</v>
      </c>
      <c r="DR39" s="88">
        <f t="shared" si="62"/>
        <v>5.485136275807994E-2</v>
      </c>
      <c r="DS39" s="88">
        <f t="shared" si="63"/>
        <v>5.2495173157537746E-2</v>
      </c>
      <c r="DT39" s="88">
        <f t="shared" si="64"/>
        <v>7.9004623486505124E-2</v>
      </c>
      <c r="DU39" s="88">
        <f t="shared" si="65"/>
        <v>7.8063168016568762E-2</v>
      </c>
      <c r="DV39" s="88">
        <f t="shared" si="66"/>
        <v>3.1735605059789791E-2</v>
      </c>
      <c r="DW39" s="88">
        <f t="shared" si="67"/>
        <v>1.9363682758315483E-2</v>
      </c>
      <c r="DY39" s="316">
        <v>2013</v>
      </c>
      <c r="DZ39" s="61">
        <v>508700.6</v>
      </c>
      <c r="EA39" s="61">
        <v>528248.1</v>
      </c>
      <c r="EB39" s="89">
        <v>-0.1</v>
      </c>
      <c r="EC39" s="46">
        <f t="shared" si="35"/>
        <v>509209.80980980978</v>
      </c>
      <c r="ED39" s="46">
        <f t="shared" si="36"/>
        <v>528776.87687687681</v>
      </c>
      <c r="EF39" s="316">
        <v>2013</v>
      </c>
      <c r="EG39" s="88">
        <f t="shared" si="68"/>
        <v>3.9652990383734557E-2</v>
      </c>
      <c r="EH39" s="88">
        <f t="shared" si="69"/>
        <v>1.1570656688826395E-3</v>
      </c>
      <c r="EI39" s="88">
        <f t="shared" si="70"/>
        <v>2.5258079113726226E-2</v>
      </c>
      <c r="EJ39" s="88">
        <f t="shared" si="71"/>
        <v>6.7316610202543502E-3</v>
      </c>
      <c r="EK39" s="88">
        <f t="shared" si="72"/>
        <v>1.0783356654189124E-2</v>
      </c>
      <c r="EL39" s="88">
        <f t="shared" si="73"/>
        <v>2.9503012184377217E-2</v>
      </c>
      <c r="EM39" s="140"/>
      <c r="EN39" s="316">
        <v>2013</v>
      </c>
      <c r="EO39" s="88">
        <f t="shared" si="74"/>
        <v>3.9842074207176517E-2</v>
      </c>
      <c r="EP39" s="88">
        <f t="shared" si="75"/>
        <v>1.1636577585418671E-3</v>
      </c>
      <c r="EQ39" s="88">
        <f t="shared" si="76"/>
        <v>2.4992612372860403E-2</v>
      </c>
      <c r="ER39" s="88">
        <f t="shared" si="77"/>
        <v>6.7979421033412145E-3</v>
      </c>
      <c r="ES39" s="88">
        <f t="shared" si="78"/>
        <v>1.0658628019674845E-2</v>
      </c>
      <c r="ET39" s="88">
        <f t="shared" si="79"/>
        <v>2.9754200725000242E-2</v>
      </c>
      <c r="EV39" s="316">
        <v>2013</v>
      </c>
      <c r="EW39" s="88">
        <f t="shared" si="80"/>
        <v>0.76121608918880779</v>
      </c>
      <c r="EX39" s="88">
        <f t="shared" si="81"/>
        <v>3.232950285492095E-2</v>
      </c>
      <c r="EY39" s="88">
        <f t="shared" si="82"/>
        <v>0.34313518049713326</v>
      </c>
      <c r="EZ39" s="88">
        <f t="shared" si="83"/>
        <v>8.2502141927884506E-2</v>
      </c>
      <c r="FA39" s="88">
        <f t="shared" si="84"/>
        <v>0.39500927932854812</v>
      </c>
      <c r="FB39" s="88">
        <f t="shared" si="85"/>
        <v>1.2518336994294876</v>
      </c>
      <c r="FD39" s="316">
        <v>2013</v>
      </c>
      <c r="FE39" s="88">
        <f t="shared" si="86"/>
        <v>0.75468901430975333</v>
      </c>
      <c r="FF39" s="88">
        <f t="shared" si="87"/>
        <v>3.2067589831369009E-2</v>
      </c>
      <c r="FG39" s="88">
        <f t="shared" si="88"/>
        <v>0.33606064820678017</v>
      </c>
      <c r="FH39" s="88">
        <f t="shared" si="89"/>
        <v>8.2220312387304387E-2</v>
      </c>
      <c r="FI39" s="88">
        <f t="shared" si="90"/>
        <v>0.38614131768765481</v>
      </c>
      <c r="FJ39" s="88">
        <f t="shared" si="91"/>
        <v>1.2452687112362546</v>
      </c>
      <c r="FL39" s="316">
        <v>2013</v>
      </c>
      <c r="FM39" s="317">
        <f t="shared" si="92"/>
        <v>127298</v>
      </c>
      <c r="FN39" s="318">
        <v>16390</v>
      </c>
      <c r="FO39" s="318">
        <v>79010</v>
      </c>
      <c r="FP39" s="318">
        <v>31898</v>
      </c>
      <c r="FQ39" s="88">
        <f t="shared" si="93"/>
        <v>0.12875300476048326</v>
      </c>
      <c r="FR39" s="88">
        <f t="shared" si="94"/>
        <v>0.62066960989175002</v>
      </c>
      <c r="FS39" s="88">
        <f t="shared" si="95"/>
        <v>0.25057738534776663</v>
      </c>
      <c r="FT39" s="88">
        <f t="shared" si="109"/>
        <v>-1.0121209110063589E-3</v>
      </c>
      <c r="FU39" s="88">
        <f t="shared" si="110"/>
        <v>-8.079948983676366E-3</v>
      </c>
      <c r="FV39" s="88">
        <f t="shared" si="111"/>
        <v>9.0920698946826972E-3</v>
      </c>
      <c r="FX39" s="316">
        <v>2013</v>
      </c>
      <c r="FY39" s="159">
        <v>7.1467755102040823E-3</v>
      </c>
      <c r="FZ39" s="62">
        <v>8.0000000000000002E-3</v>
      </c>
      <c r="GA39" s="319">
        <f t="shared" si="112"/>
        <v>-8.5322448979591788E-4</v>
      </c>
      <c r="GC39" s="302">
        <f t="shared" si="113"/>
        <v>1.849002110285114E-2</v>
      </c>
      <c r="GD39" s="302">
        <f t="shared" si="114"/>
        <v>2.0273851169549939E-3</v>
      </c>
      <c r="GE39" s="302">
        <f t="shared" si="115"/>
        <v>-1.954533593756835E-3</v>
      </c>
    </row>
    <row r="40" spans="1:187">
      <c r="A40" s="316">
        <v>2014</v>
      </c>
      <c r="B40" s="61">
        <v>350860.1</v>
      </c>
      <c r="C40" s="61">
        <v>19527.7</v>
      </c>
      <c r="D40" s="61">
        <v>132975.4</v>
      </c>
      <c r="E40" s="61">
        <v>36709.199999999997</v>
      </c>
      <c r="F40" s="61">
        <v>208916.2</v>
      </c>
      <c r="G40" s="61">
        <v>615366.5</v>
      </c>
      <c r="I40" s="316">
        <v>2014</v>
      </c>
      <c r="J40" s="61">
        <v>331888.3</v>
      </c>
      <c r="K40" s="61">
        <v>18560.8</v>
      </c>
      <c r="L40" s="61">
        <v>128935.8</v>
      </c>
      <c r="M40" s="61">
        <v>35053.9</v>
      </c>
      <c r="N40" s="61">
        <v>204492.5</v>
      </c>
      <c r="O40" s="61">
        <v>591121.5</v>
      </c>
      <c r="Q40" s="316">
        <v>2014</v>
      </c>
      <c r="R40" s="75">
        <v>397074.1</v>
      </c>
      <c r="S40" s="75">
        <v>16811.900000000001</v>
      </c>
      <c r="T40" s="75">
        <v>175450.4</v>
      </c>
      <c r="U40" s="75">
        <v>43468.6</v>
      </c>
      <c r="V40" s="75">
        <v>201805</v>
      </c>
      <c r="W40" s="75">
        <v>656684.1</v>
      </c>
      <c r="Y40" s="316">
        <v>2014</v>
      </c>
      <c r="Z40" s="75">
        <v>397563.9</v>
      </c>
      <c r="AA40" s="75">
        <v>16824.7</v>
      </c>
      <c r="AB40" s="75">
        <v>176737.1</v>
      </c>
      <c r="AC40" s="75">
        <v>43806.1</v>
      </c>
      <c r="AD40" s="75">
        <v>203210.7</v>
      </c>
      <c r="AE40" s="75">
        <v>661075.9</v>
      </c>
      <c r="AG40" s="316">
        <v>2014</v>
      </c>
      <c r="AH40" s="48">
        <f t="shared" si="120"/>
        <v>0.9987679967924652</v>
      </c>
      <c r="AI40" s="48">
        <f t="shared" si="121"/>
        <v>0.99923921377498559</v>
      </c>
      <c r="AJ40" s="48">
        <f t="shared" si="122"/>
        <v>0.9927196949593492</v>
      </c>
      <c r="AK40" s="48">
        <f t="shared" si="123"/>
        <v>0.99229559353606001</v>
      </c>
      <c r="AL40" s="48">
        <f t="shared" si="124"/>
        <v>0.99308254929489437</v>
      </c>
      <c r="AM40" s="48">
        <f t="shared" si="125"/>
        <v>0.9933565873449629</v>
      </c>
      <c r="AO40" s="316">
        <v>2014</v>
      </c>
      <c r="AP40" s="48">
        <f t="shared" si="133"/>
        <v>1.0282539366980861</v>
      </c>
      <c r="AQ40" s="48">
        <f t="shared" si="42"/>
        <v>1.0292300472162137</v>
      </c>
      <c r="AR40" s="48">
        <f t="shared" si="43"/>
        <v>1.0096125618587359</v>
      </c>
      <c r="AS40" s="48">
        <f t="shared" si="44"/>
        <v>1.0269059145053414</v>
      </c>
      <c r="AT40" s="48">
        <f t="shared" si="45"/>
        <v>1.0080916570117902</v>
      </c>
      <c r="AU40" s="48">
        <f t="shared" si="46"/>
        <v>1.0261180032809472</v>
      </c>
      <c r="AW40" s="316">
        <v>2014</v>
      </c>
      <c r="AX40" s="61">
        <v>15959</v>
      </c>
      <c r="AY40" s="61">
        <v>749.2</v>
      </c>
      <c r="AZ40" s="61">
        <v>8989.5</v>
      </c>
      <c r="BA40" s="61">
        <v>2323.6</v>
      </c>
      <c r="BB40" s="61">
        <v>8694.5</v>
      </c>
      <c r="BC40" s="61">
        <v>16533.8</v>
      </c>
      <c r="BE40" s="316">
        <v>2014</v>
      </c>
      <c r="BF40" s="61">
        <v>15200.9</v>
      </c>
      <c r="BG40" s="61">
        <v>717.4</v>
      </c>
      <c r="BH40" s="61">
        <v>8696</v>
      </c>
      <c r="BI40" s="61">
        <v>2225.1999999999998</v>
      </c>
      <c r="BJ40" s="61">
        <v>8477.2000000000007</v>
      </c>
      <c r="BK40" s="61">
        <v>15858.4</v>
      </c>
      <c r="BM40" s="316">
        <v>2014</v>
      </c>
      <c r="BN40" s="75">
        <v>20204.5</v>
      </c>
      <c r="BO40" s="75">
        <v>753.9</v>
      </c>
      <c r="BP40" s="75">
        <v>13007.2</v>
      </c>
      <c r="BQ40" s="75">
        <v>3685.9</v>
      </c>
      <c r="BR40" s="75">
        <v>5466.7</v>
      </c>
      <c r="BS40" s="75">
        <v>15181.2</v>
      </c>
      <c r="BU40" s="316">
        <v>2014</v>
      </c>
      <c r="BV40" s="75">
        <v>20396.3</v>
      </c>
      <c r="BW40" s="75">
        <v>760.5</v>
      </c>
      <c r="BX40" s="75">
        <v>13097.3</v>
      </c>
      <c r="BY40" s="75">
        <v>3729.7</v>
      </c>
      <c r="BZ40" s="75">
        <v>5519</v>
      </c>
      <c r="CA40" s="75">
        <v>15350.3</v>
      </c>
      <c r="CC40" s="316">
        <v>2014</v>
      </c>
      <c r="CD40" s="48">
        <f t="shared" si="126"/>
        <v>0.9905963336487501</v>
      </c>
      <c r="CE40" s="48">
        <f t="shared" si="127"/>
        <v>0.99132149901380673</v>
      </c>
      <c r="CF40" s="48">
        <f t="shared" si="128"/>
        <v>0.99312071953761472</v>
      </c>
      <c r="CG40" s="48">
        <f t="shared" si="129"/>
        <v>0.98825642813094894</v>
      </c>
      <c r="CH40" s="48">
        <f t="shared" si="130"/>
        <v>0.99052364558796879</v>
      </c>
      <c r="CI40" s="48">
        <f t="shared" si="131"/>
        <v>0.98898392865286033</v>
      </c>
      <c r="CK40" s="316">
        <v>2014</v>
      </c>
      <c r="CL40" s="48">
        <f t="shared" si="134"/>
        <v>1.033566454459927</v>
      </c>
      <c r="CM40" s="48">
        <f t="shared" si="135"/>
        <v>1.035279180162737</v>
      </c>
      <c r="CN40" s="48">
        <f t="shared" si="136"/>
        <v>1.020443751599484</v>
      </c>
      <c r="CO40" s="48">
        <f t="shared" si="137"/>
        <v>1.0363359518217024</v>
      </c>
      <c r="CP40" s="48">
        <f t="shared" si="138"/>
        <v>1.0166884211318019</v>
      </c>
      <c r="CQ40" s="48">
        <f t="shared" si="139"/>
        <v>1.035730720339161</v>
      </c>
      <c r="CS40" s="316">
        <v>2014</v>
      </c>
      <c r="CT40" s="46">
        <f t="shared" si="97"/>
        <v>10749.100000000035</v>
      </c>
      <c r="CU40" s="46">
        <f t="shared" si="98"/>
        <v>404.49999999999852</v>
      </c>
      <c r="CV40" s="46">
        <f t="shared" si="99"/>
        <v>12284.599999999995</v>
      </c>
      <c r="CW40" s="46">
        <f t="shared" si="100"/>
        <v>2228.200000000003</v>
      </c>
      <c r="CX40" s="46">
        <f t="shared" si="101"/>
        <v>4804.3000000000056</v>
      </c>
      <c r="CY40" s="46">
        <f t="shared" si="102"/>
        <v>-4056.899999999976</v>
      </c>
      <c r="CZ40" s="37"/>
      <c r="DA40" s="316">
        <v>2014</v>
      </c>
      <c r="DB40" s="46">
        <f t="shared" si="103"/>
        <v>21894.499999999953</v>
      </c>
      <c r="DC40" s="46">
        <f t="shared" si="104"/>
        <v>892.39999999999782</v>
      </c>
      <c r="DD40" s="46">
        <f t="shared" si="105"/>
        <v>14061.3</v>
      </c>
      <c r="DE40" s="46">
        <f t="shared" si="106"/>
        <v>3399.7999999999984</v>
      </c>
      <c r="DF40" s="46">
        <f t="shared" si="107"/>
        <v>6490.8999999999942</v>
      </c>
      <c r="DG40" s="46">
        <f t="shared" si="108"/>
        <v>12743.700000000023</v>
      </c>
      <c r="DI40" s="316">
        <v>2014</v>
      </c>
      <c r="DJ40" s="88">
        <f t="shared" si="56"/>
        <v>2.7731118235523815E-2</v>
      </c>
      <c r="DK40" s="88">
        <f t="shared" si="57"/>
        <v>2.457099468488981E-2</v>
      </c>
      <c r="DL40" s="88">
        <f t="shared" si="58"/>
        <v>7.0307071914142996E-2</v>
      </c>
      <c r="DM40" s="88">
        <f t="shared" si="59"/>
        <v>5.3038616168661061E-2</v>
      </c>
      <c r="DN40" s="88">
        <f t="shared" si="60"/>
        <v>2.3885044739403814E-2</v>
      </c>
      <c r="DO40" s="88">
        <f t="shared" si="61"/>
        <v>-6.3643037998512442E-3</v>
      </c>
      <c r="DP40" s="37"/>
      <c r="DQ40" s="316">
        <v>2014</v>
      </c>
      <c r="DR40" s="88">
        <f t="shared" si="62"/>
        <v>5.4864894461287991E-2</v>
      </c>
      <c r="DS40" s="88">
        <f t="shared" si="63"/>
        <v>5.2628475048063755E-2</v>
      </c>
      <c r="DT40" s="88">
        <f t="shared" si="64"/>
        <v>7.9128941801710845E-2</v>
      </c>
      <c r="DU40" s="88">
        <f t="shared" si="65"/>
        <v>7.8199106637654586E-2</v>
      </c>
      <c r="DV40" s="88">
        <f t="shared" si="66"/>
        <v>3.1789682372542975E-2</v>
      </c>
      <c r="DW40" s="88">
        <f t="shared" si="67"/>
        <v>1.9353521872621886E-2</v>
      </c>
      <c r="DY40" s="316">
        <v>2014</v>
      </c>
      <c r="DZ40" s="61">
        <v>518811</v>
      </c>
      <c r="EA40" s="61">
        <v>529812.80000000005</v>
      </c>
      <c r="EB40" s="89">
        <v>-0.7</v>
      </c>
      <c r="EC40" s="46">
        <f t="shared" si="35"/>
        <v>522468.27794561937</v>
      </c>
      <c r="ED40" s="46">
        <f t="shared" si="36"/>
        <v>533547.63343403826</v>
      </c>
      <c r="EF40" s="316">
        <v>2014</v>
      </c>
      <c r="EG40" s="88">
        <f t="shared" si="68"/>
        <v>3.8943854313035001E-2</v>
      </c>
      <c r="EH40" s="88">
        <f t="shared" si="69"/>
        <v>1.4531303306984625E-3</v>
      </c>
      <c r="EI40" s="88">
        <f t="shared" si="70"/>
        <v>2.507117235370877E-2</v>
      </c>
      <c r="EJ40" s="88">
        <f t="shared" si="71"/>
        <v>7.1045139752241183E-3</v>
      </c>
      <c r="EK40" s="88">
        <f t="shared" si="72"/>
        <v>1.0536977820439428E-2</v>
      </c>
      <c r="EL40" s="88">
        <f t="shared" si="73"/>
        <v>2.9261522982357738E-2</v>
      </c>
      <c r="EM40" s="140"/>
      <c r="EN40" s="316">
        <v>2014</v>
      </c>
      <c r="EO40" s="88">
        <f t="shared" si="74"/>
        <v>3.8497182401029187E-2</v>
      </c>
      <c r="EP40" s="88">
        <f t="shared" si="75"/>
        <v>1.4354126589618068E-3</v>
      </c>
      <c r="EQ40" s="88">
        <f t="shared" si="76"/>
        <v>2.472061830140759E-2</v>
      </c>
      <c r="ER40" s="88">
        <f t="shared" si="77"/>
        <v>7.0396562710451681E-3</v>
      </c>
      <c r="ES40" s="88">
        <f t="shared" si="78"/>
        <v>1.041688687023039E-2</v>
      </c>
      <c r="ET40" s="88">
        <f t="shared" si="79"/>
        <v>2.8973063693440396E-2</v>
      </c>
      <c r="EV40" s="316">
        <v>2014</v>
      </c>
      <c r="EW40" s="88">
        <f t="shared" si="80"/>
        <v>0.75999657158387146</v>
      </c>
      <c r="EX40" s="88">
        <f t="shared" si="81"/>
        <v>3.2177838750527647E-2</v>
      </c>
      <c r="EY40" s="88">
        <f t="shared" si="82"/>
        <v>0.33581062699133207</v>
      </c>
      <c r="EZ40" s="88">
        <f t="shared" si="83"/>
        <v>8.3198543978443007E-2</v>
      </c>
      <c r="FA40" s="88">
        <f t="shared" si="84"/>
        <v>0.38625311529632178</v>
      </c>
      <c r="FB40" s="88">
        <f t="shared" si="85"/>
        <v>1.25688798290707</v>
      </c>
      <c r="FD40" s="316">
        <v>2014</v>
      </c>
      <c r="FE40" s="88">
        <f t="shared" si="86"/>
        <v>0.74513290864244885</v>
      </c>
      <c r="FF40" s="88">
        <f t="shared" si="87"/>
        <v>3.1533641882566826E-2</v>
      </c>
      <c r="FG40" s="88">
        <f t="shared" si="88"/>
        <v>0.33124896246372304</v>
      </c>
      <c r="FH40" s="88">
        <f t="shared" si="89"/>
        <v>8.2103447293081624E-2</v>
      </c>
      <c r="FI40" s="88">
        <f t="shared" si="90"/>
        <v>0.38086702529648209</v>
      </c>
      <c r="FJ40" s="88">
        <f t="shared" si="91"/>
        <v>1.2390194587597734</v>
      </c>
      <c r="FL40" s="316">
        <v>2014</v>
      </c>
      <c r="FM40" s="317">
        <f t="shared" si="92"/>
        <v>127083</v>
      </c>
      <c r="FN40" s="318">
        <v>16233</v>
      </c>
      <c r="FO40" s="318">
        <v>77850</v>
      </c>
      <c r="FP40" s="318">
        <v>33000</v>
      </c>
      <c r="FQ40" s="88">
        <f t="shared" si="93"/>
        <v>0.12773541701092986</v>
      </c>
      <c r="FR40" s="88">
        <f t="shared" si="94"/>
        <v>0.61259177073251336</v>
      </c>
      <c r="FS40" s="88">
        <f t="shared" si="95"/>
        <v>0.25967281225655675</v>
      </c>
      <c r="FT40" s="88">
        <f t="shared" si="109"/>
        <v>-1.0175877495534058E-3</v>
      </c>
      <c r="FU40" s="88">
        <f t="shared" si="110"/>
        <v>-8.077839159236655E-3</v>
      </c>
      <c r="FV40" s="88">
        <f t="shared" si="111"/>
        <v>9.0954269087901163E-3</v>
      </c>
      <c r="FX40" s="316">
        <v>2014</v>
      </c>
      <c r="FY40" s="159">
        <v>5.5259426229508192E-3</v>
      </c>
      <c r="FZ40" s="62">
        <v>9.0000000000000011E-3</v>
      </c>
      <c r="GA40" s="319">
        <f t="shared" si="112"/>
        <v>-3.4740573770491818E-3</v>
      </c>
      <c r="GC40" s="302">
        <f t="shared" si="113"/>
        <v>1.8607252625205462E-2</v>
      </c>
      <c r="GD40" s="302">
        <f t="shared" si="114"/>
        <v>-2.7600613719967471E-3</v>
      </c>
      <c r="GE40" s="302">
        <f t="shared" si="115"/>
        <v>-2.3385876383085966E-3</v>
      </c>
    </row>
    <row r="41" spans="1:187">
      <c r="A41" s="316">
        <v>2015</v>
      </c>
      <c r="B41" s="61">
        <v>349077.8</v>
      </c>
      <c r="C41" s="61">
        <v>19489.3</v>
      </c>
      <c r="D41" s="61">
        <v>133365.1</v>
      </c>
      <c r="E41" s="61">
        <v>36489.300000000003</v>
      </c>
      <c r="F41" s="61">
        <v>213062.9</v>
      </c>
      <c r="G41" s="61">
        <v>621213</v>
      </c>
      <c r="I41" s="316">
        <v>2015</v>
      </c>
      <c r="J41" s="61">
        <v>330041.59999999998</v>
      </c>
      <c r="K41" s="61">
        <v>18524.2</v>
      </c>
      <c r="L41" s="61">
        <v>128390.3</v>
      </c>
      <c r="M41" s="61">
        <v>34591</v>
      </c>
      <c r="N41" s="61">
        <v>206533.7</v>
      </c>
      <c r="O41" s="61">
        <v>593676.4</v>
      </c>
      <c r="Q41" s="316">
        <v>2015</v>
      </c>
      <c r="R41" s="75">
        <v>396088.2</v>
      </c>
      <c r="S41" s="75">
        <v>16738.099999999999</v>
      </c>
      <c r="T41" s="75">
        <v>176466.6</v>
      </c>
      <c r="U41" s="75">
        <v>44223.1</v>
      </c>
      <c r="V41" s="75">
        <v>203187.6</v>
      </c>
      <c r="W41" s="75">
        <v>662351.19999999995</v>
      </c>
      <c r="Y41" s="316">
        <v>2015</v>
      </c>
      <c r="Z41" s="75">
        <v>396088.2</v>
      </c>
      <c r="AA41" s="75">
        <v>16738.099999999999</v>
      </c>
      <c r="AB41" s="75">
        <v>176466.6</v>
      </c>
      <c r="AC41" s="75">
        <v>44223.1</v>
      </c>
      <c r="AD41" s="75">
        <v>203187.6</v>
      </c>
      <c r="AE41" s="75">
        <v>662351.19999999995</v>
      </c>
      <c r="AG41" s="316">
        <v>2015</v>
      </c>
      <c r="AH41" s="48">
        <f t="shared" si="120"/>
        <v>1</v>
      </c>
      <c r="AI41" s="48">
        <f t="shared" si="121"/>
        <v>1</v>
      </c>
      <c r="AJ41" s="48">
        <f t="shared" si="122"/>
        <v>1</v>
      </c>
      <c r="AK41" s="48">
        <f t="shared" si="123"/>
        <v>1</v>
      </c>
      <c r="AL41" s="48">
        <f t="shared" si="124"/>
        <v>1</v>
      </c>
      <c r="AM41" s="48">
        <f t="shared" si="125"/>
        <v>1</v>
      </c>
      <c r="AO41" s="316">
        <v>2015</v>
      </c>
      <c r="AP41" s="48">
        <f t="shared" si="133"/>
        <v>1.0012335229117186</v>
      </c>
      <c r="AQ41" s="48">
        <f t="shared" si="42"/>
        <v>1.0007613654613696</v>
      </c>
      <c r="AR41" s="48">
        <f t="shared" si="43"/>
        <v>1.0073336965888935</v>
      </c>
      <c r="AS41" s="48">
        <f t="shared" si="44"/>
        <v>1.0077642252108419</v>
      </c>
      <c r="AT41" s="48">
        <f t="shared" si="45"/>
        <v>1.006965635142836</v>
      </c>
      <c r="AU41" s="48">
        <f t="shared" si="46"/>
        <v>1.0066878427542254</v>
      </c>
      <c r="AW41" s="316">
        <v>2015</v>
      </c>
      <c r="AX41" s="61">
        <v>15926.1</v>
      </c>
      <c r="AY41" s="61">
        <v>806.6</v>
      </c>
      <c r="AZ41" s="61">
        <v>9665.1</v>
      </c>
      <c r="BA41" s="61">
        <v>2345.1</v>
      </c>
      <c r="BB41" s="61">
        <v>8771.7000000000007</v>
      </c>
      <c r="BC41" s="61">
        <v>16332.2</v>
      </c>
      <c r="BE41" s="316">
        <v>2015</v>
      </c>
      <c r="BF41" s="61">
        <v>15041.1</v>
      </c>
      <c r="BG41" s="61">
        <v>763.5</v>
      </c>
      <c r="BH41" s="61">
        <v>9285</v>
      </c>
      <c r="BI41" s="61">
        <v>2222.9</v>
      </c>
      <c r="BJ41" s="61">
        <v>8480.4</v>
      </c>
      <c r="BK41" s="61">
        <v>15511</v>
      </c>
      <c r="BM41" s="316">
        <v>2015</v>
      </c>
      <c r="BN41" s="75">
        <v>20306.099999999999</v>
      </c>
      <c r="BO41" s="75">
        <v>799.2</v>
      </c>
      <c r="BP41" s="75">
        <v>13733.5</v>
      </c>
      <c r="BQ41" s="75">
        <v>3845.7</v>
      </c>
      <c r="BR41" s="75">
        <v>6435.7</v>
      </c>
      <c r="BS41" s="75">
        <v>14036.3</v>
      </c>
      <c r="BU41" s="316">
        <v>2015</v>
      </c>
      <c r="BV41" s="75">
        <v>20306.099999999999</v>
      </c>
      <c r="BW41" s="75">
        <v>799.2</v>
      </c>
      <c r="BX41" s="75">
        <v>13733.5</v>
      </c>
      <c r="BY41" s="75">
        <v>3845.7</v>
      </c>
      <c r="BZ41" s="75">
        <v>6435.7</v>
      </c>
      <c r="CA41" s="75">
        <v>14036.3</v>
      </c>
      <c r="CC41" s="316">
        <v>2015</v>
      </c>
      <c r="CD41" s="48">
        <f t="shared" si="126"/>
        <v>1</v>
      </c>
      <c r="CE41" s="48">
        <f t="shared" si="127"/>
        <v>1</v>
      </c>
      <c r="CF41" s="48">
        <f t="shared" si="128"/>
        <v>1</v>
      </c>
      <c r="CG41" s="48">
        <f t="shared" si="129"/>
        <v>1</v>
      </c>
      <c r="CH41" s="48">
        <f t="shared" si="130"/>
        <v>1</v>
      </c>
      <c r="CI41" s="48">
        <f t="shared" si="131"/>
        <v>1</v>
      </c>
      <c r="CK41" s="316">
        <v>2015</v>
      </c>
      <c r="CL41" s="48">
        <f t="shared" si="134"/>
        <v>1.0094929347422603</v>
      </c>
      <c r="CM41" s="48">
        <f t="shared" si="135"/>
        <v>1.0087544767210506</v>
      </c>
      <c r="CN41" s="48">
        <f t="shared" si="136"/>
        <v>1.0069269327756933</v>
      </c>
      <c r="CO41" s="48">
        <f t="shared" si="137"/>
        <v>1.0118831221682627</v>
      </c>
      <c r="CP41" s="48">
        <f t="shared" si="138"/>
        <v>1.0095670148352753</v>
      </c>
      <c r="CQ41" s="48">
        <f t="shared" si="139"/>
        <v>1.0111387769082811</v>
      </c>
      <c r="CS41" s="316">
        <v>2015</v>
      </c>
      <c r="CT41" s="46">
        <f t="shared" si="97"/>
        <v>21291.999999999964</v>
      </c>
      <c r="CU41" s="46">
        <f t="shared" si="98"/>
        <v>873.00000000000296</v>
      </c>
      <c r="CV41" s="46">
        <f t="shared" si="99"/>
        <v>12717.299999999988</v>
      </c>
      <c r="CW41" s="46">
        <f t="shared" si="100"/>
        <v>3091.2</v>
      </c>
      <c r="CX41" s="46">
        <f t="shared" si="101"/>
        <v>5053.099999999994</v>
      </c>
      <c r="CY41" s="46">
        <f t="shared" si="102"/>
        <v>8369.2000000000226</v>
      </c>
      <c r="CZ41" s="37"/>
      <c r="DA41" s="316">
        <v>2015</v>
      </c>
      <c r="DB41" s="46">
        <f t="shared" si="103"/>
        <v>21781.80000000001</v>
      </c>
      <c r="DC41" s="46">
        <f t="shared" si="104"/>
        <v>885.80000000000223</v>
      </c>
      <c r="DD41" s="46">
        <f t="shared" si="105"/>
        <v>14004</v>
      </c>
      <c r="DE41" s="46">
        <f t="shared" si="106"/>
        <v>3428.7</v>
      </c>
      <c r="DF41" s="46">
        <f t="shared" si="107"/>
        <v>6458.8000000000056</v>
      </c>
      <c r="DG41" s="46">
        <f t="shared" si="108"/>
        <v>12761.000000000069</v>
      </c>
      <c r="DI41" s="316">
        <v>2015</v>
      </c>
      <c r="DJ41" s="88">
        <f t="shared" si="56"/>
        <v>5.3622233230522877E-2</v>
      </c>
      <c r="DK41" s="88">
        <f t="shared" si="57"/>
        <v>5.1927503732475386E-2</v>
      </c>
      <c r="DL41" s="88">
        <f t="shared" si="58"/>
        <v>7.2483733294423883E-2</v>
      </c>
      <c r="DM41" s="88">
        <f t="shared" si="59"/>
        <v>7.1113401397790585E-2</v>
      </c>
      <c r="DN41" s="88">
        <f t="shared" si="60"/>
        <v>2.5039518346919025E-2</v>
      </c>
      <c r="DO41" s="88">
        <f t="shared" si="61"/>
        <v>1.2744636271839112E-2</v>
      </c>
      <c r="DP41" s="37"/>
      <c r="DQ41" s="316">
        <v>2015</v>
      </c>
      <c r="DR41" s="88">
        <f t="shared" si="62"/>
        <v>5.4788173674722503E-2</v>
      </c>
      <c r="DS41" s="88">
        <f t="shared" si="63"/>
        <v>5.2648784227950704E-2</v>
      </c>
      <c r="DT41" s="88">
        <f t="shared" si="64"/>
        <v>7.9236334646206136E-2</v>
      </c>
      <c r="DU41" s="88">
        <f t="shared" si="65"/>
        <v>7.8269921312328641E-2</v>
      </c>
      <c r="DV41" s="88">
        <f t="shared" si="66"/>
        <v>3.178375941818027E-2</v>
      </c>
      <c r="DW41" s="88">
        <f t="shared" si="67"/>
        <v>1.930338104898404E-2</v>
      </c>
      <c r="DY41" s="316">
        <v>2015</v>
      </c>
      <c r="DZ41" s="61">
        <v>538032.30000000005</v>
      </c>
      <c r="EA41" s="61">
        <v>538081.19999999995</v>
      </c>
      <c r="EB41" s="89">
        <v>0</v>
      </c>
      <c r="EC41" s="46">
        <f t="shared" si="35"/>
        <v>538032.30000000005</v>
      </c>
      <c r="ED41" s="46">
        <f t="shared" si="36"/>
        <v>538081.19999999995</v>
      </c>
      <c r="EF41" s="316">
        <v>2015</v>
      </c>
      <c r="EG41" s="88">
        <f t="shared" si="68"/>
        <v>3.7741414409506638E-2</v>
      </c>
      <c r="EH41" s="88">
        <f t="shared" si="69"/>
        <v>1.485412678755532E-3</v>
      </c>
      <c r="EI41" s="88">
        <f t="shared" si="70"/>
        <v>2.5525419198810181E-2</v>
      </c>
      <c r="EJ41" s="88">
        <f t="shared" si="71"/>
        <v>7.1477121354981835E-3</v>
      </c>
      <c r="EK41" s="88">
        <f t="shared" si="72"/>
        <v>1.1961549520354074E-2</v>
      </c>
      <c r="EL41" s="88">
        <f t="shared" si="73"/>
        <v>2.6088210689209548E-2</v>
      </c>
      <c r="EM41" s="140"/>
      <c r="EN41" s="316">
        <v>2015</v>
      </c>
      <c r="EO41" s="88">
        <f t="shared" si="74"/>
        <v>3.7737984527242356E-2</v>
      </c>
      <c r="EP41" s="88">
        <f t="shared" si="75"/>
        <v>1.4852776867134553E-3</v>
      </c>
      <c r="EQ41" s="88">
        <f t="shared" si="76"/>
        <v>2.5523099487586635E-2</v>
      </c>
      <c r="ER41" s="88">
        <f t="shared" si="77"/>
        <v>7.1470625623047228E-3</v>
      </c>
      <c r="ES41" s="88">
        <f t="shared" si="78"/>
        <v>1.1960462472950181E-2</v>
      </c>
      <c r="ET41" s="88">
        <f t="shared" si="79"/>
        <v>2.608583983235244E-2</v>
      </c>
      <c r="EV41" s="316">
        <v>2015</v>
      </c>
      <c r="EW41" s="88">
        <f t="shared" si="80"/>
        <v>0.73617922195377483</v>
      </c>
      <c r="EX41" s="88">
        <f t="shared" si="81"/>
        <v>3.1109842290137593E-2</v>
      </c>
      <c r="EY41" s="88">
        <f t="shared" si="82"/>
        <v>0.32798514141251367</v>
      </c>
      <c r="EZ41" s="88">
        <f t="shared" si="83"/>
        <v>8.2194135928270462E-2</v>
      </c>
      <c r="FA41" s="88">
        <f t="shared" si="84"/>
        <v>0.37764944595333771</v>
      </c>
      <c r="FB41" s="88">
        <f t="shared" si="85"/>
        <v>1.2310621499861623</v>
      </c>
      <c r="FD41" s="316">
        <v>2015</v>
      </c>
      <c r="FE41" s="88">
        <f t="shared" si="86"/>
        <v>0.73611231910722774</v>
      </c>
      <c r="FF41" s="88">
        <f t="shared" si="87"/>
        <v>3.1107015075048153E-2</v>
      </c>
      <c r="FG41" s="88">
        <f t="shared" si="88"/>
        <v>0.32795533462235815</v>
      </c>
      <c r="FH41" s="88">
        <f t="shared" si="89"/>
        <v>8.2186666250372631E-2</v>
      </c>
      <c r="FI41" s="88">
        <f t="shared" si="90"/>
        <v>0.37761512574682043</v>
      </c>
      <c r="FJ41" s="88">
        <f t="shared" si="91"/>
        <v>1.2309502729327841</v>
      </c>
      <c r="FL41" s="316">
        <v>2015</v>
      </c>
      <c r="FM41" s="317">
        <f t="shared" si="92"/>
        <v>127095</v>
      </c>
      <c r="FN41" s="318">
        <v>15945</v>
      </c>
      <c r="FO41" s="318">
        <v>77282</v>
      </c>
      <c r="FP41" s="318">
        <v>33868</v>
      </c>
      <c r="FQ41" s="88">
        <f t="shared" si="93"/>
        <v>0.12545733506432197</v>
      </c>
      <c r="FR41" s="88">
        <f t="shared" si="94"/>
        <v>0.60806483339234429</v>
      </c>
      <c r="FS41" s="88">
        <f t="shared" si="95"/>
        <v>0.26647783154333371</v>
      </c>
      <c r="FT41" s="88">
        <f t="shared" si="109"/>
        <v>-2.2780819466078905E-3</v>
      </c>
      <c r="FU41" s="88">
        <f t="shared" si="110"/>
        <v>-4.5269373401690682E-3</v>
      </c>
      <c r="FV41" s="88">
        <f t="shared" si="111"/>
        <v>6.8050192867769588E-3</v>
      </c>
      <c r="FX41" s="316">
        <v>2015</v>
      </c>
      <c r="FY41" s="159">
        <v>3.637786885245897E-3</v>
      </c>
      <c r="FZ41" s="62">
        <v>9.0000000000000011E-3</v>
      </c>
      <c r="GA41" s="319">
        <f t="shared" si="112"/>
        <v>-5.362213114754104E-3</v>
      </c>
      <c r="GC41" s="302">
        <f t="shared" si="113"/>
        <v>2.5675150238741451E-2</v>
      </c>
      <c r="GD41" s="302">
        <f t="shared" si="114"/>
        <v>-1.6198717975116628E-3</v>
      </c>
      <c r="GE41" s="302">
        <f t="shared" si="115"/>
        <v>-2.5148037177635599E-3</v>
      </c>
    </row>
    <row r="42" spans="1:187">
      <c r="A42" s="316">
        <v>2016</v>
      </c>
      <c r="B42" s="61">
        <v>348254.1</v>
      </c>
      <c r="C42" s="61">
        <v>19489.2</v>
      </c>
      <c r="D42" s="61">
        <v>133526.39999999999</v>
      </c>
      <c r="E42" s="61">
        <v>35981.5</v>
      </c>
      <c r="F42" s="61">
        <v>214934.3</v>
      </c>
      <c r="G42" s="61">
        <v>626883.30000000005</v>
      </c>
      <c r="I42" s="316">
        <v>2016</v>
      </c>
      <c r="J42" s="61">
        <v>328929.3</v>
      </c>
      <c r="K42" s="61">
        <v>18486.599999999999</v>
      </c>
      <c r="L42" s="61">
        <v>128300.7</v>
      </c>
      <c r="M42" s="61">
        <v>34012.6</v>
      </c>
      <c r="N42" s="61">
        <v>208858.5</v>
      </c>
      <c r="O42" s="61">
        <v>595391.1</v>
      </c>
      <c r="Q42" s="316">
        <v>2016</v>
      </c>
      <c r="R42" s="75">
        <v>395649.9</v>
      </c>
      <c r="S42" s="75">
        <v>16677.599999999999</v>
      </c>
      <c r="T42" s="75">
        <v>176968.4</v>
      </c>
      <c r="U42" s="75">
        <v>44790.6</v>
      </c>
      <c r="V42" s="75">
        <v>203913.5</v>
      </c>
      <c r="W42" s="75">
        <v>667259.69999999995</v>
      </c>
      <c r="Y42" s="316">
        <v>2016</v>
      </c>
      <c r="Z42" s="75">
        <v>395142.6</v>
      </c>
      <c r="AA42" s="75">
        <v>16656.8</v>
      </c>
      <c r="AB42" s="75">
        <v>177048.3</v>
      </c>
      <c r="AC42" s="75">
        <v>44746.400000000001</v>
      </c>
      <c r="AD42" s="75">
        <v>204271.2</v>
      </c>
      <c r="AE42" s="75">
        <v>663206.30000000005</v>
      </c>
      <c r="AG42" s="316">
        <v>2016</v>
      </c>
      <c r="AH42" s="48">
        <f t="shared" si="120"/>
        <v>1.0012838403148636</v>
      </c>
      <c r="AI42" s="48">
        <f t="shared" si="121"/>
        <v>1.0012487392536382</v>
      </c>
      <c r="AJ42" s="48">
        <f t="shared" si="122"/>
        <v>0.99954871071905238</v>
      </c>
      <c r="AK42" s="48">
        <f t="shared" si="123"/>
        <v>1.0009877889617935</v>
      </c>
      <c r="AL42" s="48">
        <f t="shared" si="124"/>
        <v>0.99824889656495863</v>
      </c>
      <c r="AM42" s="48">
        <f t="shared" si="125"/>
        <v>1.0061118237266442</v>
      </c>
      <c r="AO42" s="316">
        <v>2016</v>
      </c>
      <c r="AP42" s="48">
        <f t="shared" si="133"/>
        <v>1.0012838403148636</v>
      </c>
      <c r="AQ42" s="48">
        <f t="shared" si="42"/>
        <v>1.0012487392536382</v>
      </c>
      <c r="AR42" s="48">
        <f t="shared" si="43"/>
        <v>0.99954871071905238</v>
      </c>
      <c r="AS42" s="48">
        <f t="shared" si="44"/>
        <v>1.0009877889617935</v>
      </c>
      <c r="AT42" s="48">
        <f t="shared" si="45"/>
        <v>0.99824889656495863</v>
      </c>
      <c r="AU42" s="48">
        <f t="shared" si="46"/>
        <v>1.0061118237266442</v>
      </c>
      <c r="AW42" s="316">
        <v>2016</v>
      </c>
      <c r="AX42" s="61">
        <v>16753.400000000001</v>
      </c>
      <c r="AY42" s="61">
        <v>805.8</v>
      </c>
      <c r="AZ42" s="61">
        <v>9970</v>
      </c>
      <c r="BA42" s="61">
        <v>2259.5</v>
      </c>
      <c r="BB42" s="61">
        <v>8156.9</v>
      </c>
      <c r="BC42" s="61">
        <v>16498.2</v>
      </c>
      <c r="BE42" s="316">
        <v>2016</v>
      </c>
      <c r="BF42" s="61">
        <v>15932.3</v>
      </c>
      <c r="BG42" s="61">
        <v>769</v>
      </c>
      <c r="BH42" s="61">
        <v>9631.9</v>
      </c>
      <c r="BI42" s="61">
        <v>2128.8000000000002</v>
      </c>
      <c r="BJ42" s="61">
        <v>7951.1</v>
      </c>
      <c r="BK42" s="61">
        <v>15765.9</v>
      </c>
      <c r="BM42" s="316">
        <v>2016</v>
      </c>
      <c r="BN42" s="75">
        <v>20990.2</v>
      </c>
      <c r="BO42" s="75">
        <v>803.9</v>
      </c>
      <c r="BP42" s="75">
        <v>14394.1</v>
      </c>
      <c r="BQ42" s="75">
        <v>4070.2</v>
      </c>
      <c r="BR42" s="75">
        <v>6604.7</v>
      </c>
      <c r="BS42" s="75">
        <v>14600.8</v>
      </c>
      <c r="BU42" s="316">
        <v>2016</v>
      </c>
      <c r="BV42" s="75">
        <v>21092.400000000001</v>
      </c>
      <c r="BW42" s="75">
        <v>810.5</v>
      </c>
      <c r="BX42" s="75">
        <v>14496.8</v>
      </c>
      <c r="BY42" s="75">
        <v>4065</v>
      </c>
      <c r="BZ42" s="75">
        <v>6674.8</v>
      </c>
      <c r="CA42" s="75">
        <v>14672.5</v>
      </c>
      <c r="CC42" s="316">
        <v>2016</v>
      </c>
      <c r="CD42" s="48">
        <f t="shared" si="126"/>
        <v>0.995154652860746</v>
      </c>
      <c r="CE42" s="48">
        <f t="shared" si="127"/>
        <v>0.99185687847008019</v>
      </c>
      <c r="CF42" s="48">
        <f t="shared" si="128"/>
        <v>0.99291567794271851</v>
      </c>
      <c r="CG42" s="48">
        <f t="shared" si="129"/>
        <v>1.0012792127921279</v>
      </c>
      <c r="CH42" s="48">
        <f t="shared" si="130"/>
        <v>0.98949781266854431</v>
      </c>
      <c r="CI42" s="48">
        <f t="shared" si="131"/>
        <v>0.99511330720736069</v>
      </c>
      <c r="CK42" s="316">
        <v>2016</v>
      </c>
      <c r="CL42" s="48">
        <f t="shared" si="134"/>
        <v>0.995154652860746</v>
      </c>
      <c r="CM42" s="48">
        <f t="shared" si="135"/>
        <v>0.99185687847008019</v>
      </c>
      <c r="CN42" s="48">
        <f t="shared" si="136"/>
        <v>0.99291567794271851</v>
      </c>
      <c r="CO42" s="48">
        <f t="shared" si="137"/>
        <v>1.0012792127921279</v>
      </c>
      <c r="CP42" s="48">
        <f t="shared" si="138"/>
        <v>0.98949781266854431</v>
      </c>
      <c r="CQ42" s="48">
        <f t="shared" si="139"/>
        <v>0.99511330720736069</v>
      </c>
      <c r="CS42" s="316">
        <v>2016</v>
      </c>
      <c r="CT42" s="46">
        <f t="shared" si="97"/>
        <v>21428.499999999989</v>
      </c>
      <c r="CU42" s="46">
        <f t="shared" si="98"/>
        <v>864.4</v>
      </c>
      <c r="CV42" s="46">
        <f t="shared" si="99"/>
        <v>13892.300000000012</v>
      </c>
      <c r="CW42" s="46">
        <f t="shared" si="100"/>
        <v>3502.7</v>
      </c>
      <c r="CX42" s="46">
        <f t="shared" si="101"/>
        <v>5878.8000000000056</v>
      </c>
      <c r="CY42" s="46">
        <f t="shared" si="102"/>
        <v>9692.2999999999993</v>
      </c>
      <c r="CZ42" s="37"/>
      <c r="DA42" s="316">
        <v>2016</v>
      </c>
      <c r="DB42" s="46">
        <f t="shared" si="103"/>
        <v>22038.000000000036</v>
      </c>
      <c r="DC42" s="46">
        <f t="shared" si="104"/>
        <v>891.79999999999927</v>
      </c>
      <c r="DD42" s="46">
        <f t="shared" si="105"/>
        <v>13915.100000000017</v>
      </c>
      <c r="DE42" s="46">
        <f t="shared" si="106"/>
        <v>3541.6999999999971</v>
      </c>
      <c r="DF42" s="46">
        <f t="shared" si="107"/>
        <v>5591.1999999999944</v>
      </c>
      <c r="DG42" s="46">
        <f t="shared" si="108"/>
        <v>13817.399999999907</v>
      </c>
      <c r="DI42" s="316">
        <v>2016</v>
      </c>
      <c r="DJ42" s="88">
        <f t="shared" si="56"/>
        <v>5.4100324119728857E-2</v>
      </c>
      <c r="DK42" s="88">
        <f t="shared" si="57"/>
        <v>5.1642659561121039E-2</v>
      </c>
      <c r="DL42" s="88">
        <f t="shared" si="58"/>
        <v>7.8724812514096215E-2</v>
      </c>
      <c r="DM42" s="88">
        <f t="shared" si="59"/>
        <v>7.9205211755847049E-2</v>
      </c>
      <c r="DN42" s="88">
        <f t="shared" si="60"/>
        <v>2.8932867950603312E-2</v>
      </c>
      <c r="DO42" s="88">
        <f t="shared" si="61"/>
        <v>1.4633173458431117E-2</v>
      </c>
      <c r="DP42" s="37"/>
      <c r="DQ42" s="316">
        <v>2016</v>
      </c>
      <c r="DR42" s="88">
        <f t="shared" si="62"/>
        <v>5.5639122801436743E-2</v>
      </c>
      <c r="DS42" s="88">
        <f t="shared" si="63"/>
        <v>5.3279643448181056E-2</v>
      </c>
      <c r="DT42" s="88">
        <f t="shared" si="64"/>
        <v>7.8854015434082242E-2</v>
      </c>
      <c r="DU42" s="88">
        <f t="shared" si="65"/>
        <v>8.0087103798693382E-2</v>
      </c>
      <c r="DV42" s="88">
        <f t="shared" si="66"/>
        <v>2.7517427244575919E-2</v>
      </c>
      <c r="DW42" s="88">
        <f t="shared" si="67"/>
        <v>2.0861138320576619E-2</v>
      </c>
      <c r="DY42" s="316">
        <v>2016</v>
      </c>
      <c r="DZ42" s="61">
        <v>544364.6</v>
      </c>
      <c r="EA42" s="61">
        <v>542137.4</v>
      </c>
      <c r="EB42" s="89">
        <v>-0.2</v>
      </c>
      <c r="EC42" s="46">
        <f t="shared" si="35"/>
        <v>545455.51102204411</v>
      </c>
      <c r="ED42" s="46">
        <f t="shared" si="36"/>
        <v>543223.84769539081</v>
      </c>
      <c r="EF42" s="316">
        <v>2016</v>
      </c>
      <c r="EG42" s="88">
        <f t="shared" si="68"/>
        <v>3.8559083379044123E-2</v>
      </c>
      <c r="EH42" s="88">
        <f t="shared" si="69"/>
        <v>1.4767675928963786E-3</v>
      </c>
      <c r="EI42" s="88">
        <f t="shared" si="70"/>
        <v>2.6442020660417672E-2</v>
      </c>
      <c r="EJ42" s="88">
        <f t="shared" si="71"/>
        <v>7.4769740721567857E-3</v>
      </c>
      <c r="EK42" s="88">
        <f t="shared" si="72"/>
        <v>1.2132860953853354E-2</v>
      </c>
      <c r="EL42" s="88">
        <f t="shared" si="73"/>
        <v>2.682172940709223E-2</v>
      </c>
      <c r="EM42" s="140"/>
      <c r="EN42" s="316">
        <v>2016</v>
      </c>
      <c r="EO42" s="88">
        <f t="shared" si="74"/>
        <v>3.890600427124194E-2</v>
      </c>
      <c r="EP42" s="88">
        <f t="shared" si="75"/>
        <v>1.495008460954732E-3</v>
      </c>
      <c r="EQ42" s="88">
        <f t="shared" si="76"/>
        <v>2.6740084709153063E-2</v>
      </c>
      <c r="ER42" s="88">
        <f t="shared" si="77"/>
        <v>7.4980991903528509E-3</v>
      </c>
      <c r="ES42" s="88">
        <f t="shared" si="78"/>
        <v>1.2312007989118625E-2</v>
      </c>
      <c r="ET42" s="88">
        <f t="shared" si="79"/>
        <v>2.7064172292854172E-2</v>
      </c>
      <c r="EV42" s="316">
        <v>2016</v>
      </c>
      <c r="EW42" s="88">
        <f t="shared" si="80"/>
        <v>0.72535686596813975</v>
      </c>
      <c r="EX42" s="88">
        <f t="shared" si="81"/>
        <v>3.0575545874952186E-2</v>
      </c>
      <c r="EY42" s="88">
        <f t="shared" si="82"/>
        <v>0.32444149233803959</v>
      </c>
      <c r="EZ42" s="88">
        <f t="shared" si="83"/>
        <v>8.2115954637755645E-2</v>
      </c>
      <c r="FA42" s="88">
        <f t="shared" si="84"/>
        <v>0.37384075489111523</v>
      </c>
      <c r="FB42" s="88">
        <f t="shared" si="85"/>
        <v>1.2233072844927828</v>
      </c>
      <c r="FD42" s="316">
        <v>2016</v>
      </c>
      <c r="FE42" s="88">
        <f t="shared" si="86"/>
        <v>0.72740289601861075</v>
      </c>
      <c r="FF42" s="88">
        <f t="shared" si="87"/>
        <v>3.0662865908162761E-2</v>
      </c>
      <c r="FG42" s="88">
        <f t="shared" si="88"/>
        <v>0.32592144242400539</v>
      </c>
      <c r="FH42" s="88">
        <f t="shared" si="89"/>
        <v>8.2371935970475374E-2</v>
      </c>
      <c r="FI42" s="88">
        <f t="shared" si="90"/>
        <v>0.37603503761223633</v>
      </c>
      <c r="FJ42" s="88">
        <f t="shared" si="91"/>
        <v>1.2208711064759599</v>
      </c>
      <c r="FL42" s="316">
        <v>2016</v>
      </c>
      <c r="FM42" s="317">
        <f t="shared" si="92"/>
        <v>126933</v>
      </c>
      <c r="FN42" s="318">
        <v>15780</v>
      </c>
      <c r="FO42" s="318">
        <v>76562</v>
      </c>
      <c r="FP42" s="318">
        <v>34591</v>
      </c>
      <c r="FQ42" s="88">
        <f t="shared" si="93"/>
        <v>0.12431755335491952</v>
      </c>
      <c r="FR42" s="88">
        <f t="shared" si="94"/>
        <v>0.60316860075788015</v>
      </c>
      <c r="FS42" s="88">
        <f t="shared" si="95"/>
        <v>0.27251384588720035</v>
      </c>
      <c r="FT42" s="88">
        <f t="shared" si="109"/>
        <v>-1.1397817094024459E-3</v>
      </c>
      <c r="FU42" s="88">
        <f t="shared" si="110"/>
        <v>-4.8962326344641482E-3</v>
      </c>
      <c r="FV42" s="88">
        <f t="shared" si="111"/>
        <v>6.0360143438666358E-3</v>
      </c>
      <c r="FX42" s="316">
        <v>2016</v>
      </c>
      <c r="FY42" s="159">
        <v>-4.9832653061224468E-4</v>
      </c>
      <c r="FZ42" s="62">
        <v>9.0000000000000011E-3</v>
      </c>
      <c r="GA42" s="319">
        <f t="shared" si="112"/>
        <v>-9.4983265306122465E-3</v>
      </c>
      <c r="GC42" s="302">
        <f t="shared" si="113"/>
        <v>-9.6478769742992521E-3</v>
      </c>
      <c r="GD42" s="302">
        <f t="shared" si="114"/>
        <v>-4.2111296393911868E-3</v>
      </c>
      <c r="GE42" s="302">
        <f t="shared" si="115"/>
        <v>-8.9788697070547312E-4</v>
      </c>
    </row>
    <row r="43" spans="1:187">
      <c r="A43" s="316">
        <v>2017</v>
      </c>
      <c r="B43" s="61">
        <v>353533.6</v>
      </c>
      <c r="C43" s="61">
        <v>19652.900000000001</v>
      </c>
      <c r="D43" s="61">
        <v>136327.9</v>
      </c>
      <c r="E43" s="61">
        <v>36002.6</v>
      </c>
      <c r="F43" s="61">
        <v>219924.7</v>
      </c>
      <c r="G43" s="61">
        <v>640013.1</v>
      </c>
      <c r="I43" s="316">
        <v>2017</v>
      </c>
      <c r="J43" s="61">
        <v>328469.59999999998</v>
      </c>
      <c r="K43" s="61">
        <v>18311.400000000001</v>
      </c>
      <c r="L43" s="61">
        <v>128980.7</v>
      </c>
      <c r="M43" s="61">
        <v>33500.699999999997</v>
      </c>
      <c r="N43" s="61">
        <v>210770.8</v>
      </c>
      <c r="O43" s="61">
        <v>598352</v>
      </c>
      <c r="Q43" s="316">
        <v>2017</v>
      </c>
      <c r="R43" s="75">
        <v>402402.8</v>
      </c>
      <c r="S43" s="75">
        <v>16761.7</v>
      </c>
      <c r="T43" s="75">
        <v>181151.3</v>
      </c>
      <c r="U43" s="75">
        <v>45781.3</v>
      </c>
      <c r="V43" s="75">
        <v>206241.2</v>
      </c>
      <c r="W43" s="75">
        <v>680584.1</v>
      </c>
      <c r="Y43" s="316">
        <v>2017</v>
      </c>
      <c r="Z43" s="75">
        <v>394739.20000000001</v>
      </c>
      <c r="AA43" s="75">
        <v>16447.599999999999</v>
      </c>
      <c r="AB43" s="75">
        <v>178437.9</v>
      </c>
      <c r="AC43" s="75">
        <v>45007.4</v>
      </c>
      <c r="AD43" s="75">
        <v>204073.8</v>
      </c>
      <c r="AE43" s="75">
        <v>665578.1</v>
      </c>
      <c r="AG43" s="316">
        <v>2017</v>
      </c>
      <c r="AH43" s="48">
        <f t="shared" si="120"/>
        <v>1.0194143373650248</v>
      </c>
      <c r="AI43" s="48">
        <f t="shared" si="121"/>
        <v>1.0190970111140836</v>
      </c>
      <c r="AJ43" s="48">
        <f t="shared" si="122"/>
        <v>1.0152064107456991</v>
      </c>
      <c r="AK43" s="48">
        <f t="shared" si="123"/>
        <v>1.0171949501637509</v>
      </c>
      <c r="AL43" s="48">
        <f t="shared" si="124"/>
        <v>1.0106206676212235</v>
      </c>
      <c r="AM43" s="48">
        <f t="shared" si="125"/>
        <v>1.0225458139322794</v>
      </c>
      <c r="AO43" s="316">
        <v>2017</v>
      </c>
      <c r="AP43" s="48">
        <f t="shared" si="133"/>
        <v>1.0181072502323216</v>
      </c>
      <c r="AQ43" s="48">
        <f t="shared" si="42"/>
        <v>1.0178260118197502</v>
      </c>
      <c r="AR43" s="48">
        <f t="shared" si="43"/>
        <v>1.0156647693691514</v>
      </c>
      <c r="AS43" s="48">
        <f t="shared" si="44"/>
        <v>1.0161911677451803</v>
      </c>
      <c r="AT43" s="48">
        <f t="shared" si="45"/>
        <v>1.01239347330995</v>
      </c>
      <c r="AU43" s="48">
        <f t="shared" si="46"/>
        <v>1.0163341587068957</v>
      </c>
      <c r="AW43" s="316">
        <v>2017</v>
      </c>
      <c r="AX43" s="61">
        <v>17310.900000000001</v>
      </c>
      <c r="AY43" s="61">
        <v>658.8</v>
      </c>
      <c r="AZ43" s="61">
        <v>11006.4</v>
      </c>
      <c r="BA43" s="61">
        <v>2232.3000000000002</v>
      </c>
      <c r="BB43" s="61">
        <v>8835.2999999999993</v>
      </c>
      <c r="BC43" s="61">
        <v>17015.3</v>
      </c>
      <c r="BE43" s="316">
        <v>2017</v>
      </c>
      <c r="BF43" s="61">
        <v>16196.3</v>
      </c>
      <c r="BG43" s="61">
        <v>617.29999999999995</v>
      </c>
      <c r="BH43" s="61">
        <v>10454.799999999999</v>
      </c>
      <c r="BI43" s="61">
        <v>2067</v>
      </c>
      <c r="BJ43" s="61">
        <v>8490.5</v>
      </c>
      <c r="BK43" s="61">
        <v>15967.8</v>
      </c>
      <c r="BM43" s="316">
        <v>2017</v>
      </c>
      <c r="BN43" s="75">
        <v>21455.7</v>
      </c>
      <c r="BO43" s="75">
        <v>673</v>
      </c>
      <c r="BP43" s="75">
        <v>15586.2</v>
      </c>
      <c r="BQ43" s="75">
        <v>3803.7</v>
      </c>
      <c r="BR43" s="75">
        <v>6326.3</v>
      </c>
      <c r="BS43" s="75">
        <v>15256.2</v>
      </c>
      <c r="BU43" s="316">
        <v>2017</v>
      </c>
      <c r="BV43" s="75">
        <v>21194.400000000001</v>
      </c>
      <c r="BW43" s="75">
        <v>667.8</v>
      </c>
      <c r="BX43" s="75">
        <v>15455.5</v>
      </c>
      <c r="BY43" s="75">
        <v>3741.6</v>
      </c>
      <c r="BZ43" s="75">
        <v>6309.6</v>
      </c>
      <c r="CA43" s="75">
        <v>15064.4</v>
      </c>
      <c r="CC43" s="316">
        <v>2017</v>
      </c>
      <c r="CD43" s="48">
        <f t="shared" si="126"/>
        <v>1.012328728343336</v>
      </c>
      <c r="CE43" s="48">
        <f t="shared" si="127"/>
        <v>1.0077867625037438</v>
      </c>
      <c r="CF43" s="48">
        <f t="shared" si="128"/>
        <v>1.0084565365080393</v>
      </c>
      <c r="CG43" s="48">
        <f t="shared" si="129"/>
        <v>1.0165971776779987</v>
      </c>
      <c r="CH43" s="48">
        <f t="shared" si="130"/>
        <v>1.0026467604919487</v>
      </c>
      <c r="CI43" s="48">
        <f t="shared" si="131"/>
        <v>1.0127320039297949</v>
      </c>
      <c r="CK43" s="316">
        <v>2017</v>
      </c>
      <c r="CL43" s="48">
        <f t="shared" si="134"/>
        <v>1.0172576950057159</v>
      </c>
      <c r="CM43" s="48">
        <f t="shared" si="135"/>
        <v>1.0160606680050805</v>
      </c>
      <c r="CN43" s="48">
        <f t="shared" si="136"/>
        <v>1.015651740536035</v>
      </c>
      <c r="CO43" s="48">
        <f t="shared" si="137"/>
        <v>1.0152983949833092</v>
      </c>
      <c r="CP43" s="48">
        <f t="shared" si="138"/>
        <v>1.0132885062049237</v>
      </c>
      <c r="CQ43" s="48">
        <f t="shared" si="139"/>
        <v>1.0177052166771625</v>
      </c>
      <c r="CS43" s="316">
        <v>2017</v>
      </c>
      <c r="CT43" s="46">
        <f t="shared" si="97"/>
        <v>14702.800000000036</v>
      </c>
      <c r="CU43" s="46">
        <f t="shared" si="98"/>
        <v>588.89999999999782</v>
      </c>
      <c r="CV43" s="46">
        <f t="shared" si="99"/>
        <v>11403.300000000007</v>
      </c>
      <c r="CW43" s="46">
        <f t="shared" si="100"/>
        <v>2812.9999999999955</v>
      </c>
      <c r="CX43" s="46">
        <f t="shared" si="101"/>
        <v>3998.5999999999885</v>
      </c>
      <c r="CY43" s="46">
        <f t="shared" si="102"/>
        <v>1931.7999999999774</v>
      </c>
      <c r="CZ43" s="37"/>
      <c r="DA43" s="316">
        <v>2017</v>
      </c>
      <c r="DB43" s="46">
        <f t="shared" si="103"/>
        <v>21597.799999999967</v>
      </c>
      <c r="DC43" s="46">
        <f t="shared" si="104"/>
        <v>877.00000000000068</v>
      </c>
      <c r="DD43" s="46">
        <f t="shared" si="105"/>
        <v>14065.899999999994</v>
      </c>
      <c r="DE43" s="46">
        <f t="shared" si="106"/>
        <v>3480.6</v>
      </c>
      <c r="DF43" s="46">
        <f t="shared" si="107"/>
        <v>6507.0000000000236</v>
      </c>
      <c r="DG43" s="46">
        <f t="shared" si="108"/>
        <v>12692.600000000069</v>
      </c>
      <c r="DI43" s="316">
        <v>2017</v>
      </c>
      <c r="DJ43" s="88">
        <f t="shared" si="56"/>
        <v>3.7161136651367874E-2</v>
      </c>
      <c r="DK43" s="88">
        <f t="shared" si="57"/>
        <v>3.5310836091523835E-2</v>
      </c>
      <c r="DL43" s="88">
        <f t="shared" si="58"/>
        <v>6.443692772268951E-2</v>
      </c>
      <c r="DM43" s="88">
        <f t="shared" si="59"/>
        <v>6.2803356061316332E-2</v>
      </c>
      <c r="DN43" s="88">
        <f t="shared" si="60"/>
        <v>1.960929511778273E-2</v>
      </c>
      <c r="DO43" s="88">
        <f t="shared" si="61"/>
        <v>2.8951246418747866E-3</v>
      </c>
      <c r="DP43" s="37"/>
      <c r="DQ43" s="316">
        <v>2017</v>
      </c>
      <c r="DR43" s="88">
        <f t="shared" si="62"/>
        <v>5.4658242366173546E-2</v>
      </c>
      <c r="DS43" s="88">
        <f t="shared" si="63"/>
        <v>5.2651169492339507E-2</v>
      </c>
      <c r="DT43" s="88">
        <f t="shared" si="64"/>
        <v>7.944668206359505E-2</v>
      </c>
      <c r="DU43" s="88">
        <f t="shared" si="65"/>
        <v>7.7785028516260526E-2</v>
      </c>
      <c r="DV43" s="88">
        <f t="shared" si="66"/>
        <v>3.1854710796235704E-2</v>
      </c>
      <c r="DW43" s="88">
        <f t="shared" si="67"/>
        <v>1.9138237981153178E-2</v>
      </c>
      <c r="DY43" s="316">
        <v>2017</v>
      </c>
      <c r="DZ43" s="61">
        <v>553073</v>
      </c>
      <c r="EA43" s="61">
        <v>551220</v>
      </c>
      <c r="EB43" s="89">
        <v>0.7</v>
      </c>
      <c r="EC43" s="46">
        <f t="shared" si="35"/>
        <v>549228.40119165846</v>
      </c>
      <c r="ED43" s="46">
        <f t="shared" si="36"/>
        <v>547388.2820258193</v>
      </c>
      <c r="EF43" s="316">
        <v>2017</v>
      </c>
      <c r="EG43" s="88">
        <f t="shared" si="68"/>
        <v>3.8793613139675956E-2</v>
      </c>
      <c r="EH43" s="88">
        <f t="shared" si="69"/>
        <v>1.2168375603220552E-3</v>
      </c>
      <c r="EI43" s="88">
        <f t="shared" si="70"/>
        <v>2.8181090018858272E-2</v>
      </c>
      <c r="EJ43" s="88">
        <f t="shared" si="71"/>
        <v>6.8773923153001501E-3</v>
      </c>
      <c r="EK43" s="88">
        <f t="shared" si="72"/>
        <v>1.1438453874985762E-2</v>
      </c>
      <c r="EL43" s="88">
        <f t="shared" si="73"/>
        <v>2.7584423755996044E-2</v>
      </c>
      <c r="EM43" s="140"/>
      <c r="EN43" s="316">
        <v>2017</v>
      </c>
      <c r="EO43" s="88">
        <f t="shared" si="74"/>
        <v>3.8449983672580824E-2</v>
      </c>
      <c r="EP43" s="88">
        <f t="shared" si="75"/>
        <v>1.2114945031022097E-3</v>
      </c>
      <c r="EQ43" s="88">
        <f t="shared" si="76"/>
        <v>2.8038714125031748E-2</v>
      </c>
      <c r="ER43" s="88">
        <f t="shared" si="77"/>
        <v>6.7878524001306192E-3</v>
      </c>
      <c r="ES43" s="88">
        <f t="shared" si="78"/>
        <v>1.1446609339283771E-2</v>
      </c>
      <c r="ET43" s="88">
        <f t="shared" si="79"/>
        <v>2.7329197053807916E-2</v>
      </c>
      <c r="EV43" s="316">
        <v>2017</v>
      </c>
      <c r="EW43" s="88">
        <f t="shared" si="80"/>
        <v>0.73266932140965102</v>
      </c>
      <c r="EX43" s="88">
        <f t="shared" si="81"/>
        <v>3.0518632983349392E-2</v>
      </c>
      <c r="EY43" s="88">
        <f t="shared" si="82"/>
        <v>0.32982871899369515</v>
      </c>
      <c r="EZ43" s="88">
        <f t="shared" si="83"/>
        <v>8.3355667515861376E-2</v>
      </c>
      <c r="FA43" s="88">
        <f t="shared" si="84"/>
        <v>0.37551080671086817</v>
      </c>
      <c r="FB43" s="88">
        <f t="shared" si="85"/>
        <v>1.2391640682152263</v>
      </c>
      <c r="FD43" s="316">
        <v>2017</v>
      </c>
      <c r="FE43" s="88">
        <f t="shared" si="86"/>
        <v>0.72113198795399291</v>
      </c>
      <c r="FF43" s="88">
        <f t="shared" si="87"/>
        <v>3.0047409745655087E-2</v>
      </c>
      <c r="FG43" s="88">
        <f t="shared" si="88"/>
        <v>0.32598048927832807</v>
      </c>
      <c r="FH43" s="88">
        <f t="shared" si="89"/>
        <v>8.2222074307898838E-2</v>
      </c>
      <c r="FI43" s="88">
        <f t="shared" si="90"/>
        <v>0.37281360727114399</v>
      </c>
      <c r="FJ43" s="88">
        <f t="shared" si="91"/>
        <v>1.2159158715213525</v>
      </c>
      <c r="FL43" s="316">
        <v>2017</v>
      </c>
      <c r="FM43" s="317">
        <f t="shared" si="92"/>
        <v>126706</v>
      </c>
      <c r="FN43" s="318">
        <v>15592</v>
      </c>
      <c r="FO43" s="318">
        <v>75962</v>
      </c>
      <c r="FP43" s="318">
        <v>35152</v>
      </c>
      <c r="FQ43" s="88">
        <f t="shared" si="93"/>
        <v>0.12305652455290199</v>
      </c>
      <c r="FR43" s="88">
        <f t="shared" si="94"/>
        <v>0.59951383517749757</v>
      </c>
      <c r="FS43" s="88">
        <f t="shared" si="95"/>
        <v>0.27742964026960049</v>
      </c>
      <c r="FT43" s="88">
        <f t="shared" si="109"/>
        <v>-1.2610288020175331E-3</v>
      </c>
      <c r="FU43" s="88">
        <f t="shared" si="110"/>
        <v>-3.6547655803825796E-3</v>
      </c>
      <c r="FV43" s="88">
        <f t="shared" si="111"/>
        <v>4.9157943824001404E-3</v>
      </c>
      <c r="FX43" s="316">
        <v>2017</v>
      </c>
      <c r="FY43" s="159">
        <v>5.3663967611336061E-4</v>
      </c>
      <c r="FZ43" s="62">
        <v>8.0000000000000002E-3</v>
      </c>
      <c r="GA43" s="319">
        <f t="shared" si="112"/>
        <v>-7.4633603238866393E-3</v>
      </c>
      <c r="GC43" s="302">
        <f t="shared" si="113"/>
        <v>-3.3706785237996861E-4</v>
      </c>
      <c r="GD43" s="302">
        <f t="shared" si="114"/>
        <v>1.5383256664930345E-4</v>
      </c>
      <c r="GE43" s="302">
        <f t="shared" si="115"/>
        <v>-1.6155415252492311E-3</v>
      </c>
    </row>
    <row r="44" spans="1:187">
      <c r="A44" s="316">
        <v>2018</v>
      </c>
      <c r="B44" s="61">
        <v>356235</v>
      </c>
      <c r="C44" s="61">
        <v>19711.5</v>
      </c>
      <c r="D44" s="61">
        <v>139813.5</v>
      </c>
      <c r="E44" s="61">
        <v>36239.4</v>
      </c>
      <c r="F44" s="61">
        <v>226245.4</v>
      </c>
      <c r="G44" s="61">
        <v>653013.69999999995</v>
      </c>
      <c r="I44" s="316">
        <v>2018</v>
      </c>
      <c r="J44" s="61">
        <v>326995.90000000002</v>
      </c>
      <c r="K44" s="61">
        <v>18108.599999999999</v>
      </c>
      <c r="L44" s="61">
        <v>130508.6</v>
      </c>
      <c r="M44" s="61">
        <v>33190.400000000001</v>
      </c>
      <c r="N44" s="61">
        <v>213297.6</v>
      </c>
      <c r="O44" s="61">
        <v>599993.30000000005</v>
      </c>
      <c r="Q44" s="316">
        <v>2018</v>
      </c>
      <c r="R44" s="75">
        <v>405214.7</v>
      </c>
      <c r="S44" s="75">
        <v>16738.099999999999</v>
      </c>
      <c r="T44" s="75">
        <v>185494.39999999999</v>
      </c>
      <c r="U44" s="75">
        <v>46707.4</v>
      </c>
      <c r="V44" s="75">
        <v>209695.9</v>
      </c>
      <c r="W44" s="75">
        <v>693402.8</v>
      </c>
      <c r="Y44" s="316">
        <v>2018</v>
      </c>
      <c r="Z44" s="75">
        <v>393033.3</v>
      </c>
      <c r="AA44" s="75">
        <v>16202.6</v>
      </c>
      <c r="AB44" s="75">
        <v>180182.5</v>
      </c>
      <c r="AC44" s="75">
        <v>45212</v>
      </c>
      <c r="AD44" s="75">
        <v>204681.7</v>
      </c>
      <c r="AE44" s="75">
        <v>666935</v>
      </c>
      <c r="AG44" s="316">
        <v>2018</v>
      </c>
      <c r="AH44" s="48">
        <f t="shared" si="120"/>
        <v>1.0309933026031128</v>
      </c>
      <c r="AI44" s="48">
        <f t="shared" si="121"/>
        <v>1.0330502511942528</v>
      </c>
      <c r="AJ44" s="48">
        <f t="shared" si="122"/>
        <v>1.0294806654364326</v>
      </c>
      <c r="AK44" s="48">
        <f t="shared" si="123"/>
        <v>1.0330752897460851</v>
      </c>
      <c r="AL44" s="48">
        <f t="shared" si="124"/>
        <v>1.0244975491213919</v>
      </c>
      <c r="AM44" s="48">
        <f t="shared" si="125"/>
        <v>1.0396857264950858</v>
      </c>
      <c r="AO44" s="316">
        <v>2018</v>
      </c>
      <c r="AP44" s="48">
        <f t="shared" si="133"/>
        <v>1.011358448487214</v>
      </c>
      <c r="AQ44" s="48">
        <f t="shared" si="42"/>
        <v>1.0136917682301074</v>
      </c>
      <c r="AR44" s="48">
        <f t="shared" si="43"/>
        <v>1.0140604457769811</v>
      </c>
      <c r="AS44" s="48">
        <f t="shared" si="44"/>
        <v>1.0156118938456957</v>
      </c>
      <c r="AT44" s="48">
        <f t="shared" si="45"/>
        <v>1.0137310485969295</v>
      </c>
      <c r="AU44" s="48">
        <f t="shared" si="46"/>
        <v>1.0167619996378388</v>
      </c>
      <c r="AW44" s="316">
        <v>2018</v>
      </c>
      <c r="AX44" s="61">
        <v>16440.900000000001</v>
      </c>
      <c r="AY44" s="61">
        <v>631.29999999999995</v>
      </c>
      <c r="AZ44" s="61">
        <v>12106.2</v>
      </c>
      <c r="BA44" s="61">
        <v>2483.4</v>
      </c>
      <c r="BB44" s="61">
        <v>8798.5</v>
      </c>
      <c r="BC44" s="61">
        <v>16959.8</v>
      </c>
      <c r="BE44" s="316">
        <v>2018</v>
      </c>
      <c r="BF44" s="61">
        <v>15117.5</v>
      </c>
      <c r="BG44" s="61">
        <v>580.5</v>
      </c>
      <c r="BH44" s="61">
        <v>11325.1</v>
      </c>
      <c r="BI44" s="61">
        <v>2251.4</v>
      </c>
      <c r="BJ44" s="61">
        <v>8309.7000000000007</v>
      </c>
      <c r="BK44" s="61">
        <v>15574.4</v>
      </c>
      <c r="BM44" s="316">
        <v>2018</v>
      </c>
      <c r="BN44" s="75">
        <v>20411.8</v>
      </c>
      <c r="BO44" s="75">
        <v>638.4</v>
      </c>
      <c r="BP44" s="75">
        <v>16256.8</v>
      </c>
      <c r="BQ44" s="75">
        <v>3896.1</v>
      </c>
      <c r="BR44" s="75">
        <v>6333.8</v>
      </c>
      <c r="BS44" s="75">
        <v>15458.7</v>
      </c>
      <c r="BU44" s="316">
        <v>2018</v>
      </c>
      <c r="BV44" s="75">
        <v>19834.5</v>
      </c>
      <c r="BW44" s="75">
        <v>622.4</v>
      </c>
      <c r="BX44" s="75">
        <v>15876.4</v>
      </c>
      <c r="BY44" s="75">
        <v>3758</v>
      </c>
      <c r="BZ44" s="75">
        <v>6229.4</v>
      </c>
      <c r="CA44" s="75">
        <v>14963</v>
      </c>
      <c r="CC44" s="316">
        <v>2018</v>
      </c>
      <c r="CD44" s="48">
        <f t="shared" si="126"/>
        <v>1.0291058509163327</v>
      </c>
      <c r="CE44" s="48">
        <f t="shared" si="127"/>
        <v>1.025706940874036</v>
      </c>
      <c r="CF44" s="48">
        <f t="shared" si="128"/>
        <v>1.0239600917084477</v>
      </c>
      <c r="CG44" s="48">
        <f t="shared" si="129"/>
        <v>1.0367482703565727</v>
      </c>
      <c r="CH44" s="48">
        <f t="shared" si="130"/>
        <v>1.0167592384499311</v>
      </c>
      <c r="CI44" s="48">
        <f t="shared" si="131"/>
        <v>1.0331283833455858</v>
      </c>
      <c r="CK44" s="316">
        <v>2018</v>
      </c>
      <c r="CL44" s="48">
        <f t="shared" si="134"/>
        <v>1.0165728010114385</v>
      </c>
      <c r="CM44" s="48">
        <f t="shared" si="135"/>
        <v>1.0177817163680256</v>
      </c>
      <c r="CN44" s="48">
        <f t="shared" si="136"/>
        <v>1.0153735482285555</v>
      </c>
      <c r="CO44" s="48">
        <f t="shared" si="137"/>
        <v>1.0198221017341411</v>
      </c>
      <c r="CP44" s="48">
        <f t="shared" si="138"/>
        <v>1.0140752242106263</v>
      </c>
      <c r="CQ44" s="48">
        <f t="shared" si="139"/>
        <v>1.0201399573990404</v>
      </c>
      <c r="CS44" s="316">
        <v>2018</v>
      </c>
      <c r="CT44" s="46">
        <f t="shared" si="97"/>
        <v>17599.899999999976</v>
      </c>
      <c r="CU44" s="46">
        <f t="shared" si="98"/>
        <v>662.00000000000216</v>
      </c>
      <c r="CV44" s="46">
        <f t="shared" si="99"/>
        <v>11913.699999999993</v>
      </c>
      <c r="CW44" s="46">
        <f t="shared" si="100"/>
        <v>2970.0000000000014</v>
      </c>
      <c r="CX44" s="46">
        <f t="shared" si="101"/>
        <v>2879.1000000000176</v>
      </c>
      <c r="CY44" s="46">
        <f t="shared" si="102"/>
        <v>2639.9999999999309</v>
      </c>
      <c r="CZ44" s="37"/>
      <c r="DA44" s="316">
        <v>2018</v>
      </c>
      <c r="DB44" s="46">
        <f t="shared" si="103"/>
        <v>21540.400000000023</v>
      </c>
      <c r="DC44" s="46">
        <f t="shared" si="104"/>
        <v>867.39999999999816</v>
      </c>
      <c r="DD44" s="46">
        <f t="shared" si="105"/>
        <v>14131.799999999994</v>
      </c>
      <c r="DE44" s="46">
        <f t="shared" si="106"/>
        <v>3553.4000000000015</v>
      </c>
      <c r="DF44" s="46">
        <f t="shared" si="107"/>
        <v>5621.4999999999764</v>
      </c>
      <c r="DG44" s="46">
        <f t="shared" si="108"/>
        <v>13606.099999999977</v>
      </c>
      <c r="DI44" s="316">
        <v>2018</v>
      </c>
      <c r="DJ44" s="88">
        <f t="shared" si="56"/>
        <v>4.373702171058446E-2</v>
      </c>
      <c r="DK44" s="88">
        <f t="shared" si="57"/>
        <v>3.9494800646712576E-2</v>
      </c>
      <c r="DL44" s="88">
        <f t="shared" si="58"/>
        <v>6.576657192081975E-2</v>
      </c>
      <c r="DM44" s="88">
        <f t="shared" si="59"/>
        <v>6.4873649284751658E-2</v>
      </c>
      <c r="DN44" s="88">
        <f t="shared" si="60"/>
        <v>1.395986834832234E-2</v>
      </c>
      <c r="DO44" s="88">
        <f t="shared" si="61"/>
        <v>3.8790209762466256E-3</v>
      </c>
      <c r="DP44" s="37"/>
      <c r="DQ44" s="316">
        <v>2018</v>
      </c>
      <c r="DR44" s="88">
        <f t="shared" si="62"/>
        <v>5.4568687376374131E-2</v>
      </c>
      <c r="DS44" s="88">
        <f t="shared" si="63"/>
        <v>5.2737177460541247E-2</v>
      </c>
      <c r="DT44" s="88">
        <f t="shared" si="64"/>
        <v>7.9197300573476792E-2</v>
      </c>
      <c r="DU44" s="88">
        <f t="shared" si="65"/>
        <v>7.895146131525041E-2</v>
      </c>
      <c r="DV44" s="88">
        <f t="shared" si="66"/>
        <v>2.7546407231109415E-2</v>
      </c>
      <c r="DW44" s="88">
        <f t="shared" si="67"/>
        <v>2.0442529584431907E-2</v>
      </c>
      <c r="DY44" s="316">
        <v>2018</v>
      </c>
      <c r="DZ44" s="61">
        <v>556293.80000000005</v>
      </c>
      <c r="EA44" s="61">
        <v>554439.5</v>
      </c>
      <c r="EB44" s="89">
        <v>0.5</v>
      </c>
      <c r="EC44" s="46">
        <f t="shared" si="35"/>
        <v>553526.16915422899</v>
      </c>
      <c r="ED44" s="46">
        <f t="shared" si="36"/>
        <v>551681.0945273632</v>
      </c>
      <c r="EF44" s="316">
        <v>2018</v>
      </c>
      <c r="EG44" s="88">
        <f t="shared" si="68"/>
        <v>3.6692481562800083E-2</v>
      </c>
      <c r="EH44" s="88">
        <f t="shared" si="69"/>
        <v>1.147595029820573E-3</v>
      </c>
      <c r="EI44" s="88">
        <f t="shared" si="70"/>
        <v>2.9223406768150207E-2</v>
      </c>
      <c r="EJ44" s="88">
        <f t="shared" si="71"/>
        <v>7.0036732388532811E-3</v>
      </c>
      <c r="EK44" s="88">
        <f t="shared" si="72"/>
        <v>1.1385710212840768E-2</v>
      </c>
      <c r="EL44" s="88">
        <f t="shared" si="73"/>
        <v>2.7788733219748268E-2</v>
      </c>
      <c r="EM44" s="140"/>
      <c r="EN44" s="316">
        <v>2018</v>
      </c>
      <c r="EO44" s="88">
        <f t="shared" si="74"/>
        <v>3.5773966320942138E-2</v>
      </c>
      <c r="EP44" s="88">
        <f t="shared" si="75"/>
        <v>1.1225751412011591E-3</v>
      </c>
      <c r="EQ44" s="88">
        <f t="shared" si="76"/>
        <v>2.8635044941783549E-2</v>
      </c>
      <c r="ER44" s="88">
        <f t="shared" si="77"/>
        <v>6.7780163570596973E-3</v>
      </c>
      <c r="ES44" s="88">
        <f t="shared" si="78"/>
        <v>1.1235490977825353E-2</v>
      </c>
      <c r="ET44" s="88">
        <f t="shared" si="79"/>
        <v>2.6987615420618481E-2</v>
      </c>
      <c r="EV44" s="316">
        <v>2018</v>
      </c>
      <c r="EW44" s="88">
        <f t="shared" si="80"/>
        <v>0.73206060089111169</v>
      </c>
      <c r="EX44" s="88">
        <f t="shared" si="81"/>
        <v>3.0239040054014614E-2</v>
      </c>
      <c r="EY44" s="88">
        <f t="shared" si="82"/>
        <v>0.33511405663697841</v>
      </c>
      <c r="EZ44" s="88">
        <f t="shared" si="83"/>
        <v>8.4381557011780448E-2</v>
      </c>
      <c r="FA44" s="88">
        <f t="shared" si="84"/>
        <v>0.37883647004514509</v>
      </c>
      <c r="FB44" s="88">
        <f t="shared" si="85"/>
        <v>1.2527010259686515</v>
      </c>
      <c r="FD44" s="316">
        <v>2018</v>
      </c>
      <c r="FE44" s="88">
        <f t="shared" si="86"/>
        <v>0.71242843718746585</v>
      </c>
      <c r="FF44" s="88">
        <f t="shared" si="87"/>
        <v>2.9369503796176137E-2</v>
      </c>
      <c r="FG44" s="88">
        <f t="shared" si="88"/>
        <v>0.32660626181936891</v>
      </c>
      <c r="FH44" s="88">
        <f t="shared" si="89"/>
        <v>8.1953143670319306E-2</v>
      </c>
      <c r="FI44" s="88">
        <f t="shared" si="90"/>
        <v>0.3710145263820489</v>
      </c>
      <c r="FJ44" s="88">
        <f t="shared" si="91"/>
        <v>1.2089140023392995</v>
      </c>
      <c r="FL44" s="316">
        <v>2018</v>
      </c>
      <c r="FM44" s="317">
        <f t="shared" si="92"/>
        <v>126444</v>
      </c>
      <c r="FN44" s="318">
        <v>15415</v>
      </c>
      <c r="FO44" s="318">
        <v>75451</v>
      </c>
      <c r="FP44" s="318">
        <v>35578</v>
      </c>
      <c r="FQ44" s="88">
        <f t="shared" si="93"/>
        <v>0.12191167631520673</v>
      </c>
      <c r="FR44" s="88">
        <f t="shared" si="94"/>
        <v>0.59671475119420458</v>
      </c>
      <c r="FS44" s="88">
        <f t="shared" si="95"/>
        <v>0.2813735724905887</v>
      </c>
      <c r="FT44" s="88">
        <f t="shared" si="109"/>
        <v>-1.1448482376952562E-3</v>
      </c>
      <c r="FU44" s="88">
        <f t="shared" si="110"/>
        <v>-2.7990839832929826E-3</v>
      </c>
      <c r="FV44" s="88">
        <f t="shared" si="111"/>
        <v>3.9439322209882111E-3</v>
      </c>
      <c r="FX44" s="316">
        <v>2018</v>
      </c>
      <c r="FY44" s="159">
        <v>7.6175510204081647E-4</v>
      </c>
      <c r="FZ44" s="62">
        <v>6.9999999999999993E-3</v>
      </c>
      <c r="GA44" s="319">
        <f t="shared" si="112"/>
        <v>-6.2382448979591831E-3</v>
      </c>
      <c r="GC44" s="302">
        <f t="shared" si="113"/>
        <v>-4.2132902877758394E-3</v>
      </c>
      <c r="GD44" s="302">
        <f t="shared" si="114"/>
        <v>4.5336632317937164E-3</v>
      </c>
      <c r="GE44" s="302">
        <f t="shared" si="115"/>
        <v>-1.3900070451041656E-3</v>
      </c>
    </row>
    <row r="45" spans="1:187">
      <c r="A45" s="316">
        <v>2019</v>
      </c>
      <c r="I45" s="316">
        <v>2019</v>
      </c>
      <c r="Q45" s="316">
        <v>2019</v>
      </c>
      <c r="R45" s="75">
        <v>414491.5</v>
      </c>
      <c r="S45" s="75">
        <v>16878.099999999999</v>
      </c>
      <c r="T45" s="75">
        <v>189073.6</v>
      </c>
      <c r="U45" s="75">
        <v>48166.7</v>
      </c>
      <c r="V45" s="75">
        <v>212358.5</v>
      </c>
      <c r="W45" s="75">
        <v>717992.6</v>
      </c>
      <c r="Y45" s="316">
        <v>2019</v>
      </c>
      <c r="Z45" s="75">
        <v>392264</v>
      </c>
      <c r="AA45" s="75">
        <v>15902.7</v>
      </c>
      <c r="AB45" s="75">
        <v>180999.5</v>
      </c>
      <c r="AC45" s="75">
        <v>45387.9</v>
      </c>
      <c r="AD45" s="75">
        <v>205143</v>
      </c>
      <c r="AE45" s="75">
        <v>669795.30000000005</v>
      </c>
      <c r="AG45" s="316">
        <v>2019</v>
      </c>
      <c r="AH45" s="48">
        <f t="shared" si="120"/>
        <v>1.0566646442191994</v>
      </c>
      <c r="AI45" s="48">
        <f t="shared" si="121"/>
        <v>1.0613354964880177</v>
      </c>
      <c r="AJ45" s="48">
        <f t="shared" si="122"/>
        <v>1.0446084105204712</v>
      </c>
      <c r="AK45" s="48">
        <f t="shared" si="123"/>
        <v>1.0612233656987875</v>
      </c>
      <c r="AL45" s="48">
        <f t="shared" si="124"/>
        <v>1.0351730256455254</v>
      </c>
      <c r="AM45" s="48">
        <f t="shared" si="125"/>
        <v>1.0719582535141705</v>
      </c>
      <c r="AO45" s="316">
        <v>2019</v>
      </c>
      <c r="AP45" s="48">
        <f t="shared" si="133"/>
        <v>1.0248996201539524</v>
      </c>
      <c r="AQ45" s="48">
        <f t="shared" si="42"/>
        <v>1.0273803188770982</v>
      </c>
      <c r="AR45" s="48">
        <f t="shared" si="43"/>
        <v>1.0146945402589231</v>
      </c>
      <c r="AS45" s="48">
        <f t="shared" si="44"/>
        <v>1.0272468775820016</v>
      </c>
      <c r="AT45" s="48">
        <f t="shared" si="45"/>
        <v>1.010420206991504</v>
      </c>
      <c r="AU45" s="48">
        <f t="shared" si="46"/>
        <v>1.0310406560335108</v>
      </c>
      <c r="AW45" s="316">
        <v>2019</v>
      </c>
      <c r="BE45" s="316">
        <v>2019</v>
      </c>
      <c r="BM45" s="316">
        <v>2019</v>
      </c>
      <c r="BN45" s="75">
        <v>21511.4</v>
      </c>
      <c r="BO45" s="75">
        <v>579.79999999999995</v>
      </c>
      <c r="BP45" s="75">
        <v>15757.3</v>
      </c>
      <c r="BQ45" s="75">
        <v>3901.6</v>
      </c>
      <c r="BR45" s="75">
        <v>7234.1</v>
      </c>
      <c r="BS45" s="75">
        <v>16389.400000000001</v>
      </c>
      <c r="BU45" s="316">
        <v>2019</v>
      </c>
      <c r="BV45" s="75">
        <v>20645.7</v>
      </c>
      <c r="BW45" s="75">
        <v>555.70000000000005</v>
      </c>
      <c r="BX45" s="75">
        <v>15149.7</v>
      </c>
      <c r="BY45" s="75">
        <v>3685.5</v>
      </c>
      <c r="BZ45" s="75">
        <v>7024</v>
      </c>
      <c r="CA45" s="75">
        <v>15534.1</v>
      </c>
      <c r="CC45" s="316">
        <v>2019</v>
      </c>
      <c r="CD45" s="48">
        <f t="shared" si="126"/>
        <v>1.0419312496064557</v>
      </c>
      <c r="CE45" s="48">
        <f t="shared" si="127"/>
        <v>1.0433687241317255</v>
      </c>
      <c r="CF45" s="48">
        <f t="shared" si="128"/>
        <v>1.0401064047472885</v>
      </c>
      <c r="CG45" s="48">
        <f t="shared" si="129"/>
        <v>1.0586351919685253</v>
      </c>
      <c r="CH45" s="48">
        <f t="shared" si="130"/>
        <v>1.0299117312072894</v>
      </c>
      <c r="CI45" s="48">
        <f t="shared" si="131"/>
        <v>1.0550595142299843</v>
      </c>
      <c r="CK45" s="316">
        <v>2019</v>
      </c>
      <c r="CL45" s="48">
        <f t="shared" si="134"/>
        <v>1.0124626622992212</v>
      </c>
      <c r="CM45" s="48">
        <f t="shared" si="135"/>
        <v>1.0172191320482236</v>
      </c>
      <c r="CN45" s="48">
        <f t="shared" si="136"/>
        <v>1.0157684983717492</v>
      </c>
      <c r="CO45" s="48">
        <f t="shared" si="137"/>
        <v>1.0211111243083386</v>
      </c>
      <c r="CP45" s="48">
        <f t="shared" si="138"/>
        <v>1.0129357002719832</v>
      </c>
      <c r="CQ45" s="48">
        <f t="shared" si="139"/>
        <v>1.0212278853605579</v>
      </c>
      <c r="CS45" s="316">
        <v>2019</v>
      </c>
      <c r="CT45" s="46">
        <f t="shared" si="97"/>
        <v>12234.600000000013</v>
      </c>
      <c r="CU45" s="46">
        <f t="shared" si="98"/>
        <v>439.79999999999995</v>
      </c>
      <c r="CV45" s="46">
        <f t="shared" si="99"/>
        <v>12178.099999999988</v>
      </c>
      <c r="CW45" s="46">
        <f t="shared" si="100"/>
        <v>2442.3000000000043</v>
      </c>
      <c r="CX45" s="46">
        <f t="shared" si="101"/>
        <v>4571.4999999999945</v>
      </c>
      <c r="CY45" s="46">
        <f>-(W45-W44-BS45)</f>
        <v>-8200.3999999999287</v>
      </c>
      <c r="CZ45" s="37"/>
      <c r="DA45" s="316">
        <v>2019</v>
      </c>
      <c r="DB45" s="46">
        <f t="shared" si="103"/>
        <v>21414.999999999989</v>
      </c>
      <c r="DC45" s="46">
        <f t="shared" si="104"/>
        <v>855.59999999999968</v>
      </c>
      <c r="DD45" s="46">
        <f t="shared" si="105"/>
        <v>14332.7</v>
      </c>
      <c r="DE45" s="46">
        <f t="shared" si="106"/>
        <v>3509.5999999999985</v>
      </c>
      <c r="DF45" s="46">
        <f t="shared" si="107"/>
        <v>6562.7000000000116</v>
      </c>
      <c r="DG45" s="46">
        <f t="shared" si="108"/>
        <v>12673.799999999954</v>
      </c>
      <c r="DI45" s="316">
        <v>2019</v>
      </c>
      <c r="DJ45" s="88">
        <f t="shared" si="56"/>
        <v>3.0192882933417799E-2</v>
      </c>
      <c r="DK45" s="88">
        <f t="shared" si="57"/>
        <v>2.6275383705438492E-2</v>
      </c>
      <c r="DL45" s="88">
        <f t="shared" si="58"/>
        <v>6.5652116721582901E-2</v>
      </c>
      <c r="DM45" s="88">
        <f t="shared" si="59"/>
        <v>5.2289358859624047E-2</v>
      </c>
      <c r="DN45" s="88">
        <f t="shared" si="60"/>
        <v>2.1800616988696463E-2</v>
      </c>
      <c r="DO45" s="88">
        <f t="shared" si="61"/>
        <v>-1.1826315094199112E-2</v>
      </c>
      <c r="DP45" s="37"/>
      <c r="DQ45" s="316">
        <v>2019</v>
      </c>
      <c r="DR45" s="88">
        <f t="shared" si="62"/>
        <v>5.4486477354463325E-2</v>
      </c>
      <c r="DS45" s="88">
        <f t="shared" si="63"/>
        <v>5.280633972325427E-2</v>
      </c>
      <c r="DT45" s="88">
        <f t="shared" si="64"/>
        <v>7.9545460852191538E-2</v>
      </c>
      <c r="DU45" s="88">
        <f t="shared" si="65"/>
        <v>7.7625409183402605E-2</v>
      </c>
      <c r="DV45" s="88">
        <f t="shared" si="66"/>
        <v>3.2062954333484682E-2</v>
      </c>
      <c r="DW45" s="88">
        <f t="shared" si="67"/>
        <v>1.9003051271863004E-2</v>
      </c>
      <c r="DY45" s="316">
        <v>2019</v>
      </c>
      <c r="DZ45" s="61">
        <v>558491.19999999995</v>
      </c>
      <c r="EA45" s="61">
        <v>553106.9</v>
      </c>
      <c r="EB45" s="89">
        <v>-0.2</v>
      </c>
      <c r="EC45" s="46">
        <f t="shared" si="35"/>
        <v>559610.42084168328</v>
      </c>
      <c r="ED45" s="46">
        <f t="shared" si="36"/>
        <v>554215.33066132269</v>
      </c>
      <c r="EF45" s="316">
        <v>2019</v>
      </c>
      <c r="EG45" s="88">
        <f t="shared" si="68"/>
        <v>3.851699006179507E-2</v>
      </c>
      <c r="EH45" s="88">
        <f t="shared" si="69"/>
        <v>1.0381542269600667E-3</v>
      </c>
      <c r="EI45" s="88">
        <f t="shared" si="70"/>
        <v>2.8214052432697239E-2</v>
      </c>
      <c r="EJ45" s="88">
        <f t="shared" si="71"/>
        <v>6.9859650429586004E-3</v>
      </c>
      <c r="EK45" s="88">
        <f t="shared" si="72"/>
        <v>1.2952934620993135E-2</v>
      </c>
      <c r="EL45" s="88">
        <f t="shared" si="73"/>
        <v>2.9345851823627665E-2</v>
      </c>
      <c r="EM45" s="140"/>
      <c r="EN45" s="316">
        <v>2019</v>
      </c>
      <c r="EO45" s="88">
        <f t="shared" si="74"/>
        <v>3.7326780772396803E-2</v>
      </c>
      <c r="EP45" s="88">
        <f t="shared" si="75"/>
        <v>1.0046882438096505E-3</v>
      </c>
      <c r="EQ45" s="88">
        <f t="shared" si="76"/>
        <v>2.7390184429085952E-2</v>
      </c>
      <c r="ER45" s="88">
        <f t="shared" si="77"/>
        <v>6.663268890697259E-3</v>
      </c>
      <c r="ES45" s="88">
        <f t="shared" si="78"/>
        <v>1.2699172619253168E-2</v>
      </c>
      <c r="ET45" s="88">
        <f t="shared" si="79"/>
        <v>2.8085167623112278E-2</v>
      </c>
      <c r="EV45" s="316">
        <v>2019</v>
      </c>
      <c r="EW45" s="88">
        <f t="shared" si="80"/>
        <v>0.74067866602016297</v>
      </c>
      <c r="EX45" s="88">
        <f t="shared" si="81"/>
        <v>3.0160446216520514E-2</v>
      </c>
      <c r="EY45" s="88">
        <f t="shared" si="82"/>
        <v>0.33786647452994789</v>
      </c>
      <c r="EZ45" s="88">
        <f t="shared" si="83"/>
        <v>8.6071842492773387E-2</v>
      </c>
      <c r="FA45" s="88">
        <f t="shared" si="84"/>
        <v>0.37947559961553562</v>
      </c>
      <c r="FB45" s="88">
        <f t="shared" si="85"/>
        <v>1.2830222119883001</v>
      </c>
      <c r="FD45" s="316">
        <v>2019</v>
      </c>
      <c r="FE45" s="88">
        <f t="shared" si="86"/>
        <v>0.70778265828902143</v>
      </c>
      <c r="FF45" s="88">
        <f t="shared" si="87"/>
        <v>2.8694081740799109E-2</v>
      </c>
      <c r="FG45" s="88">
        <f t="shared" si="88"/>
        <v>0.3265869599529494</v>
      </c>
      <c r="FH45" s="88">
        <f t="shared" si="89"/>
        <v>8.1895785787521366E-2</v>
      </c>
      <c r="FI45" s="88">
        <f t="shared" si="90"/>
        <v>0.37015035249063061</v>
      </c>
      <c r="FJ45" s="88">
        <f t="shared" si="91"/>
        <v>1.2085470447032933</v>
      </c>
      <c r="FL45" s="316">
        <v>2019</v>
      </c>
      <c r="FM45" s="317">
        <f t="shared" si="92"/>
        <v>126167</v>
      </c>
      <c r="FN45" s="318">
        <v>15210</v>
      </c>
      <c r="FO45" s="318">
        <v>75072</v>
      </c>
      <c r="FP45" s="318">
        <v>35885</v>
      </c>
      <c r="FQ45" s="88">
        <f t="shared" si="93"/>
        <v>0.12055450315851213</v>
      </c>
      <c r="FR45" s="88">
        <f t="shared" si="94"/>
        <v>0.59502088501747685</v>
      </c>
      <c r="FS45" s="88">
        <f t="shared" si="95"/>
        <v>0.28442461182401102</v>
      </c>
      <c r="FT45" s="88">
        <f t="shared" si="109"/>
        <v>-1.3571731566946049E-3</v>
      </c>
      <c r="FU45" s="88">
        <f t="shared" si="110"/>
        <v>-1.6938661767277319E-3</v>
      </c>
      <c r="FV45" s="88">
        <f t="shared" si="111"/>
        <v>3.0510393334223229E-3</v>
      </c>
      <c r="FX45" s="316">
        <v>2019</v>
      </c>
      <c r="FY45" s="159">
        <v>-9.4958506224066344E-4</v>
      </c>
      <c r="FZ45" s="62">
        <v>6.9999999999999993E-3</v>
      </c>
      <c r="GA45" s="319">
        <f t="shared" si="112"/>
        <v>-7.9495850622406626E-3</v>
      </c>
      <c r="GC45" s="302">
        <f t="shared" si="113"/>
        <v>1.0874792935490873E-2</v>
      </c>
      <c r="GD45" s="302">
        <f t="shared" si="114"/>
        <v>1.0954719592634832E-2</v>
      </c>
      <c r="GE45" s="302">
        <f t="shared" si="115"/>
        <v>-9.2428571367084156E-5</v>
      </c>
    </row>
    <row r="46" spans="1:187">
      <c r="A46" s="316">
        <v>2020</v>
      </c>
      <c r="I46" s="316">
        <v>2020</v>
      </c>
      <c r="Q46" s="316">
        <v>2020</v>
      </c>
      <c r="R46" s="75">
        <v>409718.4</v>
      </c>
      <c r="S46" s="75">
        <v>16441.900000000001</v>
      </c>
      <c r="T46" s="75">
        <v>187890.6</v>
      </c>
      <c r="U46" s="75">
        <v>48187</v>
      </c>
      <c r="V46" s="75">
        <v>212032.9</v>
      </c>
      <c r="W46" s="75">
        <v>718087</v>
      </c>
      <c r="Y46" s="316">
        <v>2020</v>
      </c>
      <c r="Z46" s="75">
        <v>389929.7</v>
      </c>
      <c r="AA46" s="75">
        <v>15595.4</v>
      </c>
      <c r="AB46" s="75">
        <v>181090.8</v>
      </c>
      <c r="AC46" s="75">
        <v>45691.8</v>
      </c>
      <c r="AD46" s="75">
        <v>205698.1</v>
      </c>
      <c r="AE46" s="75">
        <v>673581.3</v>
      </c>
      <c r="AG46" s="316">
        <v>2020</v>
      </c>
      <c r="AH46" s="48">
        <f t="shared" si="120"/>
        <v>1.0507494043157011</v>
      </c>
      <c r="AI46" s="48">
        <f t="shared" si="121"/>
        <v>1.0542788258076101</v>
      </c>
      <c r="AJ46" s="48">
        <f t="shared" si="122"/>
        <v>1.0375491190054935</v>
      </c>
      <c r="AK46" s="48">
        <f t="shared" si="123"/>
        <v>1.0546093609794316</v>
      </c>
      <c r="AL46" s="48">
        <f t="shared" si="124"/>
        <v>1.0307965897594582</v>
      </c>
      <c r="AM46" s="48">
        <f t="shared" si="125"/>
        <v>1.0660732416413579</v>
      </c>
      <c r="AO46" s="316">
        <v>2020</v>
      </c>
      <c r="AP46" s="48">
        <f t="shared" si="133"/>
        <v>0.99440197044931955</v>
      </c>
      <c r="AQ46" s="48">
        <f t="shared" si="42"/>
        <v>0.99335114042283679</v>
      </c>
      <c r="AR46" s="48">
        <f t="shared" si="43"/>
        <v>0.9932421647730556</v>
      </c>
      <c r="AS46" s="48">
        <f t="shared" si="44"/>
        <v>0.99376756587431458</v>
      </c>
      <c r="AT46" s="48">
        <f t="shared" si="45"/>
        <v>0.99577226629979265</v>
      </c>
      <c r="AU46" s="48">
        <f t="shared" si="46"/>
        <v>0.99451003632509005</v>
      </c>
      <c r="AW46" s="316">
        <v>2020</v>
      </c>
      <c r="BE46" s="316">
        <v>2020</v>
      </c>
      <c r="BM46" s="316">
        <v>2020</v>
      </c>
      <c r="BN46" s="75">
        <v>20021.3</v>
      </c>
      <c r="BO46" s="75">
        <v>564.20000000000005</v>
      </c>
      <c r="BP46" s="75">
        <v>15025.3</v>
      </c>
      <c r="BQ46" s="75">
        <v>4089.3</v>
      </c>
      <c r="BR46" s="75">
        <v>7292.9</v>
      </c>
      <c r="BS46" s="75">
        <v>17562.5</v>
      </c>
      <c r="BU46" s="316">
        <v>2020</v>
      </c>
      <c r="BV46" s="75">
        <v>19015.900000000001</v>
      </c>
      <c r="BW46" s="75">
        <v>534.9</v>
      </c>
      <c r="BX46" s="75">
        <v>14502.2</v>
      </c>
      <c r="BY46" s="75">
        <v>3823.2</v>
      </c>
      <c r="BZ46" s="75">
        <v>7136.7</v>
      </c>
      <c r="CA46" s="75">
        <v>16496.5</v>
      </c>
      <c r="CC46" s="316">
        <v>2020</v>
      </c>
      <c r="CD46" s="48">
        <f t="shared" si="126"/>
        <v>1.0528715443392107</v>
      </c>
      <c r="CE46" s="48">
        <f t="shared" si="127"/>
        <v>1.0547765937558424</v>
      </c>
      <c r="CF46" s="48">
        <f t="shared" si="128"/>
        <v>1.036070389320241</v>
      </c>
      <c r="CG46" s="48">
        <f t="shared" si="129"/>
        <v>1.069601381042059</v>
      </c>
      <c r="CH46" s="48">
        <f t="shared" si="130"/>
        <v>1.0218868664789047</v>
      </c>
      <c r="CI46" s="48">
        <f t="shared" si="131"/>
        <v>1.0646197678295397</v>
      </c>
      <c r="CK46" s="316">
        <v>2020</v>
      </c>
      <c r="CL46" s="48">
        <f t="shared" si="134"/>
        <v>1.0105000159433621</v>
      </c>
      <c r="CM46" s="48">
        <f t="shared" si="135"/>
        <v>1.0109336894620935</v>
      </c>
      <c r="CN46" s="48">
        <f t="shared" si="136"/>
        <v>0.99611961294668872</v>
      </c>
      <c r="CO46" s="48">
        <f t="shared" si="137"/>
        <v>1.0103587989108336</v>
      </c>
      <c r="CP46" s="48">
        <f t="shared" si="138"/>
        <v>0.99220820145530553</v>
      </c>
      <c r="CQ46" s="48">
        <f t="shared" si="139"/>
        <v>1.0090613405884812</v>
      </c>
      <c r="CS46" s="316">
        <v>2020</v>
      </c>
      <c r="CT46" s="46">
        <f t="shared" si="97"/>
        <v>24794.399999999976</v>
      </c>
      <c r="CU46" s="46">
        <f t="shared" si="98"/>
        <v>1000.3999999999971</v>
      </c>
      <c r="CV46" s="46">
        <f t="shared" si="99"/>
        <v>16208.3</v>
      </c>
      <c r="CW46" s="46">
        <f t="shared" si="100"/>
        <v>4068.9999999999973</v>
      </c>
      <c r="CX46" s="46">
        <f t="shared" si="101"/>
        <v>7618.5000000000055</v>
      </c>
      <c r="CY46" s="46">
        <f t="shared" si="102"/>
        <v>17468.099999999977</v>
      </c>
      <c r="DA46" s="316">
        <v>2020</v>
      </c>
      <c r="DB46" s="46">
        <f>-(Z46-Z45-BV46)</f>
        <v>21350.19999999999</v>
      </c>
      <c r="DC46" s="46">
        <f t="shared" si="104"/>
        <v>842.20000000000107</v>
      </c>
      <c r="DD46" s="46">
        <f t="shared" si="105"/>
        <v>14410.900000000012</v>
      </c>
      <c r="DE46" s="46">
        <f t="shared" si="106"/>
        <v>3519.2999999999984</v>
      </c>
      <c r="DF46" s="46">
        <f t="shared" si="107"/>
        <v>6581.599999999994</v>
      </c>
      <c r="DG46" s="46">
        <f t="shared" si="108"/>
        <v>12710.5</v>
      </c>
      <c r="DI46" s="316">
        <v>2020</v>
      </c>
      <c r="DJ46" s="88">
        <f t="shared" si="56"/>
        <v>5.9818838263269516E-2</v>
      </c>
      <c r="DK46" s="88">
        <f t="shared" si="57"/>
        <v>5.927207446335768E-2</v>
      </c>
      <c r="DL46" s="88">
        <f t="shared" si="58"/>
        <v>8.5724818271826417E-2</v>
      </c>
      <c r="DM46" s="88">
        <f t="shared" si="59"/>
        <v>8.447745018861573E-2</v>
      </c>
      <c r="DN46" s="88">
        <f t="shared" si="60"/>
        <v>3.5875653670561836E-2</v>
      </c>
      <c r="DO46" s="88">
        <f t="shared" si="61"/>
        <v>2.4329080828966728E-2</v>
      </c>
      <c r="DP46" s="37"/>
      <c r="DQ46" s="316">
        <v>2020</v>
      </c>
      <c r="DR46" s="88">
        <f t="shared" si="62"/>
        <v>5.442814023208857E-2</v>
      </c>
      <c r="DS46" s="88">
        <f t="shared" si="63"/>
        <v>5.2959560326233973E-2</v>
      </c>
      <c r="DT46" s="88">
        <f t="shared" si="64"/>
        <v>7.9618451984674057E-2</v>
      </c>
      <c r="DU46" s="88">
        <f t="shared" si="65"/>
        <v>7.7538286635865469E-2</v>
      </c>
      <c r="DV46" s="88">
        <f t="shared" si="66"/>
        <v>3.2082986014633663E-2</v>
      </c>
      <c r="DW46" s="88">
        <f t="shared" si="67"/>
        <v>1.8976693327050816E-2</v>
      </c>
      <c r="DY46" s="316">
        <v>2020</v>
      </c>
      <c r="DZ46" s="61">
        <v>538155.4</v>
      </c>
      <c r="EA46" s="61">
        <v>528178.9</v>
      </c>
      <c r="EB46" s="89">
        <v>-5.4</v>
      </c>
      <c r="EC46" s="46">
        <f t="shared" si="35"/>
        <v>568874.63002114173</v>
      </c>
      <c r="ED46" s="46">
        <f t="shared" si="36"/>
        <v>558328.64693446096</v>
      </c>
      <c r="EF46" s="316">
        <v>2020</v>
      </c>
      <c r="EG46" s="88">
        <f>BN46/$DZ46</f>
        <v>3.7203566107484938E-2</v>
      </c>
      <c r="EH46" s="88">
        <f t="shared" si="69"/>
        <v>1.0483960580902839E-3</v>
      </c>
      <c r="EI46" s="88">
        <f t="shared" si="70"/>
        <v>2.7920002289301565E-2</v>
      </c>
      <c r="EJ46" s="88">
        <f t="shared" si="71"/>
        <v>7.5987344919329989E-3</v>
      </c>
      <c r="EK46" s="88">
        <f t="shared" si="72"/>
        <v>1.3551661843400623E-2</v>
      </c>
      <c r="EL46" s="88">
        <f t="shared" si="73"/>
        <v>3.2634625611858578E-2</v>
      </c>
      <c r="EN46" s="316">
        <v>2020</v>
      </c>
      <c r="EO46" s="88">
        <f>BV46/$EA46</f>
        <v>3.6002763457608777E-2</v>
      </c>
      <c r="EP46" s="88">
        <f t="shared" si="75"/>
        <v>1.0127250444877671E-3</v>
      </c>
      <c r="EQ46" s="88">
        <f t="shared" si="76"/>
        <v>2.7456984745130864E-2</v>
      </c>
      <c r="ER46" s="88">
        <f t="shared" si="77"/>
        <v>7.2384565153965821E-3</v>
      </c>
      <c r="ES46" s="88">
        <f t="shared" si="78"/>
        <v>1.3511899093280703E-2</v>
      </c>
      <c r="ET46" s="88">
        <f t="shared" si="79"/>
        <v>3.1232788738815579E-2</v>
      </c>
      <c r="EV46" s="316">
        <v>2020</v>
      </c>
      <c r="EW46" s="88">
        <f>R46/$EC46</f>
        <v>0.72022617704848813</v>
      </c>
      <c r="EX46" s="88">
        <f t="shared" si="81"/>
        <v>2.8902501768076655E-2</v>
      </c>
      <c r="EY46" s="88">
        <f t="shared" si="82"/>
        <v>0.33028472370620082</v>
      </c>
      <c r="EZ46" s="88">
        <f t="shared" si="83"/>
        <v>8.4705834039758759E-2</v>
      </c>
      <c r="FA46" s="88">
        <f t="shared" si="84"/>
        <v>0.37272342412619097</v>
      </c>
      <c r="FB46" s="88">
        <f t="shared" si="85"/>
        <v>1.2622939433479621</v>
      </c>
      <c r="FD46" s="316">
        <v>2020</v>
      </c>
      <c r="FE46" s="88">
        <f>Z46/$ED46</f>
        <v>0.69838741418863937</v>
      </c>
      <c r="FF46" s="88">
        <f t="shared" si="87"/>
        <v>2.7932294152606243E-2</v>
      </c>
      <c r="FG46" s="88">
        <f t="shared" si="88"/>
        <v>0.32434445374474435</v>
      </c>
      <c r="FH46" s="88">
        <f t="shared" si="89"/>
        <v>8.183674660233492E-2</v>
      </c>
      <c r="FI46" s="88">
        <f t="shared" si="90"/>
        <v>0.3684175997943121</v>
      </c>
      <c r="FJ46" s="88">
        <f>AE46/$ED46</f>
        <v>1.2064243948404603</v>
      </c>
      <c r="FL46" s="316">
        <v>2020</v>
      </c>
      <c r="FM46" s="317">
        <f>SUM(FN46:FP46)</f>
        <v>126146</v>
      </c>
      <c r="FN46" s="318">
        <v>15032</v>
      </c>
      <c r="FO46" s="318">
        <v>75087</v>
      </c>
      <c r="FP46" s="318">
        <v>36027</v>
      </c>
      <c r="FQ46" s="88">
        <f t="shared" ref="FQ46" si="140">FN46/$FM46</f>
        <v>0.11916350894994689</v>
      </c>
      <c r="FR46" s="88">
        <f t="shared" ref="FR46" si="141">FO46/$FM46</f>
        <v>0.59523885022117229</v>
      </c>
      <c r="FS46" s="88">
        <f t="shared" ref="FS46" si="142">FP46/$FM46</f>
        <v>0.28559764082888084</v>
      </c>
      <c r="FT46" s="88">
        <f t="shared" ref="FT46" si="143">FQ46-FQ45</f>
        <v>-1.390994208565241E-3</v>
      </c>
      <c r="FU46" s="88">
        <f t="shared" ref="FU46" si="144">FR46-FR45</f>
        <v>2.1796520369543604E-4</v>
      </c>
      <c r="FV46" s="88">
        <f t="shared" ref="FV46" si="145">FS46-FS45</f>
        <v>1.1730290048698189E-3</v>
      </c>
      <c r="FX46" s="316">
        <v>2020</v>
      </c>
      <c r="FY46" s="159">
        <v>1.0518518518518499E-4</v>
      </c>
      <c r="FZ46" s="62">
        <v>6.0000000000000001E-3</v>
      </c>
      <c r="GA46" s="319">
        <f t="shared" si="112"/>
        <v>-5.8948148148148154E-3</v>
      </c>
      <c r="GC46" s="302">
        <f t="shared" si="113"/>
        <v>-1.090356376785917E-2</v>
      </c>
      <c r="GD46" s="302">
        <f t="shared" si="114"/>
        <v>1.9010546571585629E-3</v>
      </c>
      <c r="GE46" s="302">
        <f t="shared" si="115"/>
        <v>5.9407948311005973E-4</v>
      </c>
    </row>
    <row r="47" spans="1:187">
      <c r="BN47" s="315"/>
      <c r="BO47" s="315"/>
      <c r="BP47" s="315"/>
      <c r="BQ47" s="315"/>
      <c r="BR47" s="315"/>
      <c r="BS47" s="315"/>
    </row>
    <row r="87" spans="131:135">
      <c r="EA87" s="38"/>
      <c r="EB87" s="38"/>
      <c r="EC87" s="38"/>
      <c r="ED87" s="38"/>
      <c r="EE87" s="38"/>
    </row>
    <row r="88" spans="131:135">
      <c r="EA88" s="38"/>
      <c r="EB88" s="38"/>
      <c r="EC88" s="38"/>
      <c r="ED88" s="38"/>
      <c r="EE88" s="38"/>
    </row>
  </sheetData>
  <mergeCells count="23">
    <mergeCell ref="EW3:FB3"/>
    <mergeCell ref="FE3:FJ3"/>
    <mergeCell ref="B3:G3"/>
    <mergeCell ref="J3:O3"/>
    <mergeCell ref="AH3:AM3"/>
    <mergeCell ref="AP3:AU3"/>
    <mergeCell ref="AX3:BC3"/>
    <mergeCell ref="GC3:GD3"/>
    <mergeCell ref="BF3:BK3"/>
    <mergeCell ref="R3:W3"/>
    <mergeCell ref="Z3:AE3"/>
    <mergeCell ref="DZ3:ED3"/>
    <mergeCell ref="CT3:CY3"/>
    <mergeCell ref="DB3:DG3"/>
    <mergeCell ref="DJ3:DO3"/>
    <mergeCell ref="FM3:FV3"/>
    <mergeCell ref="DR3:DW3"/>
    <mergeCell ref="BN3:BS3"/>
    <mergeCell ref="BV3:CA3"/>
    <mergeCell ref="CD3:CI3"/>
    <mergeCell ref="CL3:CQ3"/>
    <mergeCell ref="EG3:EL3"/>
    <mergeCell ref="EO3:ET3"/>
  </mergeCells>
  <phoneticPr fontId="1"/>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9BBF5-B2BB-47ED-A398-1E281578FF8F}">
  <dimension ref="A1:AF44"/>
  <sheetViews>
    <sheetView zoomScale="85" zoomScaleNormal="85" workbookViewId="0">
      <selection activeCell="N5" sqref="N5:N44"/>
    </sheetView>
  </sheetViews>
  <sheetFormatPr defaultRowHeight="13.3" outlineLevelCol="1"/>
  <cols>
    <col min="2" max="2" width="30" customWidth="1" outlineLevel="1"/>
    <col min="3" max="5" width="13" customWidth="1" outlineLevel="1"/>
    <col min="6" max="8" width="18.765625" customWidth="1" outlineLevel="1"/>
    <col min="9" max="9" width="30" style="143" bestFit="1" customWidth="1"/>
    <col min="10" max="12" width="13" style="143" bestFit="1" customWidth="1"/>
    <col min="14" max="14" width="24.4609375" customWidth="1" outlineLevel="1"/>
    <col min="15" max="17" width="13" customWidth="1" outlineLevel="1"/>
    <col min="18" max="19" width="18.765625" customWidth="1" outlineLevel="1"/>
    <col min="20" max="20" width="24.4609375" style="143" bestFit="1" customWidth="1"/>
    <col min="21" max="23" width="13" style="143" bestFit="1" customWidth="1"/>
    <col min="25" max="28" width="9.69140625" style="143" bestFit="1" customWidth="1"/>
    <col min="29" max="31" width="14.07421875" style="143" bestFit="1" customWidth="1"/>
    <col min="32" max="32" width="15.69140625" bestFit="1" customWidth="1"/>
  </cols>
  <sheetData>
    <row r="1" spans="1:32">
      <c r="I1" s="144" t="s">
        <v>515</v>
      </c>
      <c r="J1" s="144" t="s">
        <v>516</v>
      </c>
      <c r="K1" s="144" t="s">
        <v>517</v>
      </c>
      <c r="L1" s="144" t="s">
        <v>518</v>
      </c>
      <c r="T1" s="144" t="s">
        <v>519</v>
      </c>
      <c r="U1" s="144" t="s">
        <v>520</v>
      </c>
      <c r="V1" s="144" t="s">
        <v>521</v>
      </c>
      <c r="W1" s="144" t="s">
        <v>522</v>
      </c>
      <c r="Y1" s="144" t="s">
        <v>523</v>
      </c>
      <c r="Z1" s="144" t="s">
        <v>524</v>
      </c>
      <c r="AA1" s="144" t="s">
        <v>525</v>
      </c>
      <c r="AB1" s="144" t="s">
        <v>526</v>
      </c>
      <c r="AC1" s="144" t="s">
        <v>527</v>
      </c>
      <c r="AD1" s="144" t="s">
        <v>528</v>
      </c>
      <c r="AE1" s="144" t="s">
        <v>529</v>
      </c>
      <c r="AF1" s="144" t="s">
        <v>530</v>
      </c>
    </row>
    <row r="2" spans="1:32">
      <c r="B2" t="s">
        <v>482</v>
      </c>
      <c r="I2" s="143" t="s">
        <v>482</v>
      </c>
      <c r="N2" s="14" t="s">
        <v>531</v>
      </c>
      <c r="T2" s="144" t="s">
        <v>531</v>
      </c>
      <c r="Y2" s="143" t="s">
        <v>532</v>
      </c>
      <c r="Z2" s="143" t="s">
        <v>532</v>
      </c>
      <c r="AA2" s="143" t="s">
        <v>532</v>
      </c>
      <c r="AB2" s="143" t="s">
        <v>532</v>
      </c>
    </row>
    <row r="3" spans="1:32">
      <c r="B3" t="s">
        <v>489</v>
      </c>
      <c r="C3" t="s">
        <v>490</v>
      </c>
      <c r="D3" t="s">
        <v>177</v>
      </c>
      <c r="E3" t="s">
        <v>491</v>
      </c>
      <c r="F3" t="s">
        <v>533</v>
      </c>
      <c r="G3" t="s">
        <v>534</v>
      </c>
      <c r="I3" s="144" t="s">
        <v>164</v>
      </c>
      <c r="J3" s="144" t="s">
        <v>165</v>
      </c>
      <c r="K3" s="144" t="s">
        <v>167</v>
      </c>
      <c r="L3" s="144" t="s">
        <v>535</v>
      </c>
      <c r="N3" t="s">
        <v>489</v>
      </c>
      <c r="O3" t="s">
        <v>490</v>
      </c>
      <c r="P3" t="s">
        <v>177</v>
      </c>
      <c r="Q3" t="s">
        <v>491</v>
      </c>
      <c r="R3" t="s">
        <v>533</v>
      </c>
      <c r="S3" t="s">
        <v>534</v>
      </c>
      <c r="T3" s="144" t="s">
        <v>164</v>
      </c>
      <c r="U3" s="144" t="s">
        <v>165</v>
      </c>
      <c r="V3" s="144" t="s">
        <v>167</v>
      </c>
      <c r="W3" s="144" t="s">
        <v>535</v>
      </c>
      <c r="Y3" s="143" t="s">
        <v>498</v>
      </c>
      <c r="Z3" s="143" t="s">
        <v>499</v>
      </c>
      <c r="AA3" s="143" t="s">
        <v>536</v>
      </c>
      <c r="AB3" s="143" t="s">
        <v>537</v>
      </c>
      <c r="AC3" s="143" t="s">
        <v>502</v>
      </c>
      <c r="AD3" s="143" t="s">
        <v>538</v>
      </c>
      <c r="AE3" s="143" t="s">
        <v>539</v>
      </c>
    </row>
    <row r="4" spans="1:32">
      <c r="B4" t="s">
        <v>540</v>
      </c>
      <c r="C4" t="s">
        <v>540</v>
      </c>
      <c r="D4" t="s">
        <v>540</v>
      </c>
      <c r="E4" t="s">
        <v>540</v>
      </c>
      <c r="F4" t="s">
        <v>540</v>
      </c>
      <c r="G4" t="s">
        <v>540</v>
      </c>
      <c r="N4" t="s">
        <v>540</v>
      </c>
      <c r="O4" t="s">
        <v>540</v>
      </c>
      <c r="P4" t="s">
        <v>540</v>
      </c>
      <c r="Q4" t="s">
        <v>540</v>
      </c>
      <c r="R4" t="s">
        <v>540</v>
      </c>
      <c r="S4" t="s">
        <v>540</v>
      </c>
      <c r="Y4" s="143" t="s">
        <v>541</v>
      </c>
      <c r="Z4" s="143" t="s">
        <v>541</v>
      </c>
      <c r="AA4" s="143" t="s">
        <v>541</v>
      </c>
      <c r="AB4" s="143" t="s">
        <v>541</v>
      </c>
    </row>
    <row r="5" spans="1:32">
      <c r="A5">
        <v>1980</v>
      </c>
      <c r="B5">
        <v>0.68835214767928388</v>
      </c>
      <c r="C5">
        <v>4.043000167118399E-2</v>
      </c>
      <c r="D5">
        <v>0.38837464538078836</v>
      </c>
      <c r="E5">
        <v>0.102233615143473</v>
      </c>
      <c r="F5">
        <v>0.3201450949908527</v>
      </c>
      <c r="G5">
        <v>0.71917734782096709</v>
      </c>
      <c r="I5" s="143">
        <f>SUM(B5:C5)</f>
        <v>0.72878214935046781</v>
      </c>
      <c r="J5" s="143">
        <f>SUM(D5:E5)</f>
        <v>0.49060826052426137</v>
      </c>
      <c r="K5" s="143">
        <f>SUM(F5:G5)</f>
        <v>1.0393224428118197</v>
      </c>
      <c r="L5" s="143">
        <f>F5</f>
        <v>0.3201450949908527</v>
      </c>
      <c r="N5">
        <v>7.2586230822765302E-2</v>
      </c>
      <c r="O5">
        <v>3.4682775673809075E-3</v>
      </c>
      <c r="P5">
        <v>5.0886687605095675E-2</v>
      </c>
      <c r="Q5">
        <v>1.2681591395303256E-2</v>
      </c>
      <c r="R5">
        <v>2.5221288762135689E-2</v>
      </c>
      <c r="S5">
        <v>5.6310682153458136E-2</v>
      </c>
      <c r="T5" s="143">
        <f>SUM(N5:O5)</f>
        <v>7.6054508390146214E-2</v>
      </c>
      <c r="U5" s="143">
        <f>SUM(P5:Q5)</f>
        <v>6.3568279000398936E-2</v>
      </c>
      <c r="V5" s="143">
        <f>SUM(R5:S5)</f>
        <v>8.1531970915593832E-2</v>
      </c>
      <c r="W5" s="143">
        <f>R5</f>
        <v>2.5221288762135689E-2</v>
      </c>
      <c r="Y5" s="143">
        <v>11706</v>
      </c>
      <c r="Z5" s="143">
        <v>2752.4</v>
      </c>
      <c r="AA5" s="143">
        <v>7888.4</v>
      </c>
      <c r="AB5" s="143">
        <v>1065.3</v>
      </c>
      <c r="AC5" s="143">
        <v>0.23512728515291303</v>
      </c>
      <c r="AD5" s="143">
        <v>0.67387664445583462</v>
      </c>
      <c r="AE5" s="143">
        <v>9.1004613018964634E-2</v>
      </c>
      <c r="AF5" s="156">
        <f>SUM(AD5:AE5)</f>
        <v>0.76488125747479929</v>
      </c>
    </row>
    <row r="6" spans="1:32">
      <c r="A6">
        <v>1981</v>
      </c>
      <c r="B6">
        <v>0.67527292413736428</v>
      </c>
      <c r="C6">
        <v>3.9536883196384875E-2</v>
      </c>
      <c r="D6">
        <v>0.38285310350962032</v>
      </c>
      <c r="E6">
        <v>0.10283942776157724</v>
      </c>
      <c r="F6">
        <v>0.32071303195870027</v>
      </c>
      <c r="G6">
        <v>0.7297867822238735</v>
      </c>
      <c r="I6" s="143">
        <f t="shared" ref="I6:I44" si="0">SUM(B6:C6)</f>
        <v>0.71480980733374921</v>
      </c>
      <c r="J6" s="143">
        <f t="shared" ref="J6:J44" si="1">SUM(D6:E6)</f>
        <v>0.48569253127119755</v>
      </c>
      <c r="K6" s="143">
        <f t="shared" ref="K6:K44" si="2">SUM(F6:G6)</f>
        <v>1.0504998141825737</v>
      </c>
      <c r="L6" s="143">
        <f t="shared" ref="L6:L44" si="3">F6</f>
        <v>0.32071303195870027</v>
      </c>
      <c r="N6">
        <v>6.5483064484801498E-2</v>
      </c>
      <c r="O6">
        <v>3.2339050194652142E-3</v>
      </c>
      <c r="P6">
        <v>4.6431660525981085E-2</v>
      </c>
      <c r="Q6">
        <v>1.2951037954274647E-2</v>
      </c>
      <c r="R6">
        <v>2.2824727890315821E-2</v>
      </c>
      <c r="S6">
        <v>5.3969781099476796E-2</v>
      </c>
      <c r="T6" s="143">
        <f t="shared" ref="T6:T44" si="4">SUM(N6:O6)</f>
        <v>6.8716969504266714E-2</v>
      </c>
      <c r="U6" s="143">
        <f t="shared" ref="U6:U44" si="5">SUM(P6:Q6)</f>
        <v>5.9382698480255736E-2</v>
      </c>
      <c r="V6" s="143">
        <f t="shared" ref="V6:V44" si="6">SUM(R6:S6)</f>
        <v>7.679450898979262E-2</v>
      </c>
      <c r="W6" s="143">
        <f t="shared" ref="W6:W44" si="7">R6</f>
        <v>2.2824727890315821E-2</v>
      </c>
      <c r="Y6" s="143">
        <v>11788.4</v>
      </c>
      <c r="Z6" s="143">
        <v>2760.3</v>
      </c>
      <c r="AA6" s="143">
        <v>7927.2</v>
      </c>
      <c r="AB6" s="143">
        <v>1100.9000000000001</v>
      </c>
      <c r="AC6" s="143">
        <v>0.23415391401716945</v>
      </c>
      <c r="AD6" s="143">
        <v>0.67245767025211223</v>
      </c>
      <c r="AE6" s="143">
        <v>9.3388415730718349E-2</v>
      </c>
      <c r="AF6" s="156">
        <f t="shared" ref="AF6:AF44" si="8">SUM(AD6:AE6)</f>
        <v>0.76584608598283055</v>
      </c>
    </row>
    <row r="7" spans="1:32">
      <c r="A7">
        <v>1982</v>
      </c>
      <c r="B7">
        <v>0.67394246986203377</v>
      </c>
      <c r="C7">
        <v>3.9296754523781056E-2</v>
      </c>
      <c r="D7">
        <v>0.38018002314889626</v>
      </c>
      <c r="E7">
        <v>0.1032902272416989</v>
      </c>
      <c r="F7">
        <v>0.3206883856046025</v>
      </c>
      <c r="G7">
        <v>0.74433596314360462</v>
      </c>
      <c r="I7" s="143">
        <f t="shared" si="0"/>
        <v>0.71323922438581477</v>
      </c>
      <c r="J7" s="143">
        <f t="shared" si="1"/>
        <v>0.48347025039059516</v>
      </c>
      <c r="K7" s="143">
        <f t="shared" si="2"/>
        <v>1.0650243487482072</v>
      </c>
      <c r="L7" s="143">
        <f t="shared" si="3"/>
        <v>0.3206883856046025</v>
      </c>
      <c r="N7">
        <v>6.2969736658117087E-2</v>
      </c>
      <c r="O7">
        <v>3.0310418849364864E-3</v>
      </c>
      <c r="P7">
        <v>4.1979164637169025E-2</v>
      </c>
      <c r="Q7">
        <v>1.1211388324969483E-2</v>
      </c>
      <c r="R7">
        <v>1.9541894174245563E-2</v>
      </c>
      <c r="S7">
        <v>5.3079584387938618E-2</v>
      </c>
      <c r="T7" s="143">
        <f t="shared" si="4"/>
        <v>6.600077854305357E-2</v>
      </c>
      <c r="U7" s="143">
        <f t="shared" si="5"/>
        <v>5.319055296213851E-2</v>
      </c>
      <c r="V7" s="143">
        <f t="shared" si="6"/>
        <v>7.2621478562184177E-2</v>
      </c>
      <c r="W7" s="143">
        <f t="shared" si="7"/>
        <v>1.9541894174245563E-2</v>
      </c>
      <c r="Y7" s="143">
        <v>11869.3</v>
      </c>
      <c r="Z7" s="143">
        <v>2725.4</v>
      </c>
      <c r="AA7" s="143">
        <v>8008.9</v>
      </c>
      <c r="AB7" s="143">
        <v>1135</v>
      </c>
      <c r="AC7" s="143">
        <v>0.22961758486178632</v>
      </c>
      <c r="AD7" s="143">
        <v>0.67475756784309104</v>
      </c>
      <c r="AE7" s="143">
        <v>9.5624847295122717E-2</v>
      </c>
      <c r="AF7" s="156">
        <f t="shared" si="8"/>
        <v>0.77038241513821371</v>
      </c>
    </row>
    <row r="8" spans="1:32">
      <c r="A8">
        <v>1983</v>
      </c>
      <c r="B8">
        <v>0.65463922769881377</v>
      </c>
      <c r="C8">
        <v>3.8435611608991303E-2</v>
      </c>
      <c r="D8">
        <v>0.37119262934972247</v>
      </c>
      <c r="E8">
        <v>0.10068901268943548</v>
      </c>
      <c r="F8">
        <v>0.3085565407041036</v>
      </c>
      <c r="G8">
        <v>0.7450586324382783</v>
      </c>
      <c r="I8" s="143">
        <f t="shared" si="0"/>
        <v>0.69307483930780511</v>
      </c>
      <c r="J8" s="143">
        <f t="shared" si="1"/>
        <v>0.47188164203915794</v>
      </c>
      <c r="K8" s="143">
        <f t="shared" si="2"/>
        <v>1.053615173142382</v>
      </c>
      <c r="L8" s="143">
        <f t="shared" si="3"/>
        <v>0.3085565407041036</v>
      </c>
      <c r="N8">
        <v>5.7673394510670009E-2</v>
      </c>
      <c r="O8">
        <v>3.0086320721675738E-3</v>
      </c>
      <c r="P8">
        <v>4.1817103575700648E-2</v>
      </c>
      <c r="Q8">
        <v>9.9214326571439825E-3</v>
      </c>
      <c r="R8">
        <v>1.2818495874326666E-2</v>
      </c>
      <c r="S8">
        <v>5.159290646079015E-2</v>
      </c>
      <c r="T8" s="143">
        <f t="shared" si="4"/>
        <v>6.0682026582837584E-2</v>
      </c>
      <c r="U8" s="143">
        <f t="shared" si="5"/>
        <v>5.1738536232844634E-2</v>
      </c>
      <c r="V8" s="143">
        <f t="shared" si="6"/>
        <v>6.4411402335116816E-2</v>
      </c>
      <c r="W8" s="143">
        <f t="shared" si="7"/>
        <v>1.2818495874326666E-2</v>
      </c>
      <c r="Y8" s="143">
        <v>11948.3</v>
      </c>
      <c r="Z8" s="143">
        <v>2690.7</v>
      </c>
      <c r="AA8" s="143">
        <v>8090.4</v>
      </c>
      <c r="AB8" s="143">
        <v>1167.2</v>
      </c>
      <c r="AC8" s="143">
        <v>0.22519521605584059</v>
      </c>
      <c r="AD8" s="143">
        <v>0.67711724680498486</v>
      </c>
      <c r="AE8" s="143">
        <v>9.7687537139174621E-2</v>
      </c>
      <c r="AF8" s="156">
        <f t="shared" si="8"/>
        <v>0.77480478394415953</v>
      </c>
    </row>
    <row r="9" spans="1:32">
      <c r="A9">
        <v>1984</v>
      </c>
      <c r="B9">
        <v>0.64552075220769578</v>
      </c>
      <c r="C9">
        <v>3.7810431103725332E-2</v>
      </c>
      <c r="D9">
        <v>0.36891405153138201</v>
      </c>
      <c r="E9">
        <v>9.9655344762486123E-2</v>
      </c>
      <c r="F9">
        <v>0.30120169623899939</v>
      </c>
      <c r="G9">
        <v>0.74877274794269189</v>
      </c>
      <c r="I9" s="143">
        <f t="shared" si="0"/>
        <v>0.68333118331142106</v>
      </c>
      <c r="J9" s="143">
        <f t="shared" si="1"/>
        <v>0.46856939629386812</v>
      </c>
      <c r="K9" s="143">
        <f t="shared" si="2"/>
        <v>1.0499744441816912</v>
      </c>
      <c r="L9" s="143">
        <f t="shared" si="3"/>
        <v>0.30120169623899939</v>
      </c>
      <c r="N9">
        <v>5.4206845038485593E-2</v>
      </c>
      <c r="O9">
        <v>2.7134393976006423E-3</v>
      </c>
      <c r="P9">
        <v>4.2474846479622227E-2</v>
      </c>
      <c r="Q9">
        <v>9.9130709644265434E-3</v>
      </c>
      <c r="R9">
        <v>1.2186185957832201E-2</v>
      </c>
      <c r="S9">
        <v>4.7478548548781731E-2</v>
      </c>
      <c r="T9" s="143">
        <f t="shared" si="4"/>
        <v>5.6920284436086238E-2</v>
      </c>
      <c r="U9" s="143">
        <f t="shared" si="5"/>
        <v>5.2387917444048769E-2</v>
      </c>
      <c r="V9" s="143">
        <f t="shared" si="6"/>
        <v>5.9664734506613928E-2</v>
      </c>
      <c r="W9" s="143">
        <f t="shared" si="7"/>
        <v>1.2186185957832201E-2</v>
      </c>
      <c r="Y9" s="143">
        <v>12023.5</v>
      </c>
      <c r="Z9" s="143">
        <v>2650.4</v>
      </c>
      <c r="AA9" s="143">
        <v>8177.6</v>
      </c>
      <c r="AB9" s="143">
        <v>1195.5999999999999</v>
      </c>
      <c r="AC9" s="143">
        <v>0.22043498149457313</v>
      </c>
      <c r="AD9" s="143">
        <v>0.68013473614172248</v>
      </c>
      <c r="AE9" s="143">
        <v>9.9438599409489736E-2</v>
      </c>
      <c r="AF9" s="156">
        <f t="shared" si="8"/>
        <v>0.77957333555121222</v>
      </c>
    </row>
    <row r="10" spans="1:32">
      <c r="A10">
        <v>1985</v>
      </c>
      <c r="B10">
        <v>0.62717802541304879</v>
      </c>
      <c r="C10">
        <v>3.639948270991325E-2</v>
      </c>
      <c r="D10">
        <v>0.36030503138407199</v>
      </c>
      <c r="E10">
        <v>9.5605711478221639E-2</v>
      </c>
      <c r="F10">
        <v>0.29061763029049525</v>
      </c>
      <c r="G10">
        <v>0.73568737951185426</v>
      </c>
      <c r="I10" s="143">
        <f t="shared" si="0"/>
        <v>0.66357750812296201</v>
      </c>
      <c r="J10" s="143">
        <f t="shared" si="1"/>
        <v>0.45591074286229361</v>
      </c>
      <c r="K10" s="143">
        <f t="shared" si="2"/>
        <v>1.0263050098023494</v>
      </c>
      <c r="L10" s="143">
        <f t="shared" si="3"/>
        <v>0.29061763029049525</v>
      </c>
      <c r="N10">
        <v>5.313755344789959E-2</v>
      </c>
      <c r="O10">
        <v>2.4302512056567521E-3</v>
      </c>
      <c r="P10">
        <v>4.1627715106077469E-2</v>
      </c>
      <c r="Q10">
        <v>8.3781770475376827E-3</v>
      </c>
      <c r="R10">
        <v>1.3676019043293026E-2</v>
      </c>
      <c r="S10">
        <v>4.4167793091201217E-2</v>
      </c>
      <c r="T10" s="143">
        <f t="shared" si="4"/>
        <v>5.5567804653556339E-2</v>
      </c>
      <c r="U10" s="143">
        <f t="shared" si="5"/>
        <v>5.0005892153615152E-2</v>
      </c>
      <c r="V10" s="143">
        <f t="shared" si="6"/>
        <v>5.7843812134494244E-2</v>
      </c>
      <c r="W10" s="143">
        <f t="shared" si="7"/>
        <v>1.3676019043293026E-2</v>
      </c>
      <c r="Y10" s="143">
        <v>12104.9</v>
      </c>
      <c r="Z10" s="143">
        <v>2604.1999999999998</v>
      </c>
      <c r="AA10" s="143">
        <v>8253.5</v>
      </c>
      <c r="AB10" s="143">
        <v>1247.2</v>
      </c>
      <c r="AC10" s="143">
        <v>0.21513601929797024</v>
      </c>
      <c r="AD10" s="143">
        <v>0.68183132450495254</v>
      </c>
      <c r="AE10" s="143">
        <v>0.10303265619707723</v>
      </c>
      <c r="AF10" s="156">
        <f t="shared" si="8"/>
        <v>0.78486398070202978</v>
      </c>
    </row>
    <row r="11" spans="1:32">
      <c r="A11">
        <v>1986</v>
      </c>
      <c r="B11">
        <v>0.59917093872491145</v>
      </c>
      <c r="C11">
        <v>3.41821979486258E-2</v>
      </c>
      <c r="D11">
        <v>0.34493452932209939</v>
      </c>
      <c r="E11">
        <v>8.9124885843260712E-2</v>
      </c>
      <c r="F11">
        <v>0.27546758255740011</v>
      </c>
      <c r="G11">
        <v>0.71220464120236027</v>
      </c>
      <c r="I11" s="143">
        <f t="shared" si="0"/>
        <v>0.63335313667353721</v>
      </c>
      <c r="J11" s="143">
        <f t="shared" si="1"/>
        <v>0.43405941516536012</v>
      </c>
      <c r="K11" s="143">
        <f t="shared" si="2"/>
        <v>0.98767222375976038</v>
      </c>
      <c r="L11" s="143">
        <f t="shared" si="3"/>
        <v>0.27546758255740011</v>
      </c>
      <c r="N11">
        <v>5.3692354262225656E-2</v>
      </c>
      <c r="O11">
        <v>2.369732366775863E-3</v>
      </c>
      <c r="P11">
        <v>4.2618069139666544E-2</v>
      </c>
      <c r="Q11">
        <v>7.7734388294724965E-3</v>
      </c>
      <c r="R11">
        <v>1.488572561118592E-2</v>
      </c>
      <c r="S11">
        <v>4.4939402292270676E-2</v>
      </c>
      <c r="T11" s="143">
        <f t="shared" si="4"/>
        <v>5.6062086629001522E-2</v>
      </c>
      <c r="U11" s="143">
        <f t="shared" si="5"/>
        <v>5.0391507969139042E-2</v>
      </c>
      <c r="V11" s="143">
        <f t="shared" si="6"/>
        <v>5.9825127903456593E-2</v>
      </c>
      <c r="W11" s="143">
        <f t="shared" si="7"/>
        <v>1.488572561118592E-2</v>
      </c>
      <c r="Y11" s="143">
        <v>12167.2</v>
      </c>
      <c r="Z11" s="143">
        <v>2543.4</v>
      </c>
      <c r="AA11" s="143">
        <v>8336.7999999999993</v>
      </c>
      <c r="AB11" s="143">
        <v>1287</v>
      </c>
      <c r="AC11" s="143">
        <v>0.20903741205864948</v>
      </c>
      <c r="AD11" s="143">
        <v>0.68518640278782295</v>
      </c>
      <c r="AE11" s="143">
        <v>0.1057761851535275</v>
      </c>
      <c r="AF11" s="156">
        <f t="shared" si="8"/>
        <v>0.79096258794135044</v>
      </c>
    </row>
    <row r="12" spans="1:32">
      <c r="A12">
        <v>1987</v>
      </c>
      <c r="B12">
        <v>0.61778956573758959</v>
      </c>
      <c r="C12">
        <v>3.3833044823520189E-2</v>
      </c>
      <c r="D12">
        <v>0.35071550929520146</v>
      </c>
      <c r="E12">
        <v>8.7868255408456566E-2</v>
      </c>
      <c r="F12">
        <v>0.27615233189653515</v>
      </c>
      <c r="G12">
        <v>0.72656888983292722</v>
      </c>
      <c r="I12" s="143">
        <f t="shared" si="0"/>
        <v>0.65162261056110982</v>
      </c>
      <c r="J12" s="143">
        <f t="shared" si="1"/>
        <v>0.43858376470365801</v>
      </c>
      <c r="K12" s="143">
        <f t="shared" si="2"/>
        <v>1.0027212217294623</v>
      </c>
      <c r="L12" s="143">
        <f t="shared" si="3"/>
        <v>0.27615233189653515</v>
      </c>
      <c r="N12">
        <v>6.3491968330899651E-2</v>
      </c>
      <c r="O12">
        <v>2.0950705008655635E-3</v>
      </c>
      <c r="P12">
        <v>4.4410627105632088E-2</v>
      </c>
      <c r="Q12">
        <v>7.6948339709924478E-3</v>
      </c>
      <c r="R12">
        <v>1.6242622699694089E-2</v>
      </c>
      <c r="S12">
        <v>4.6858696725620812E-2</v>
      </c>
      <c r="T12" s="143">
        <f t="shared" si="4"/>
        <v>6.5587038831765213E-2</v>
      </c>
      <c r="U12" s="143">
        <f t="shared" si="5"/>
        <v>5.2105461076624532E-2</v>
      </c>
      <c r="V12" s="143">
        <f t="shared" si="6"/>
        <v>6.3101319425314897E-2</v>
      </c>
      <c r="W12" s="143">
        <f t="shared" si="7"/>
        <v>1.6242622699694089E-2</v>
      </c>
      <c r="Y12" s="143">
        <v>12226.4</v>
      </c>
      <c r="Z12" s="143">
        <v>2475.3000000000002</v>
      </c>
      <c r="AA12" s="143">
        <v>8418.9</v>
      </c>
      <c r="AB12" s="143">
        <v>1332.2</v>
      </c>
      <c r="AC12" s="143">
        <v>0.20245534253745995</v>
      </c>
      <c r="AD12" s="143">
        <v>0.68858372047372896</v>
      </c>
      <c r="AE12" s="143">
        <v>0.10896093698881111</v>
      </c>
      <c r="AF12" s="156">
        <f t="shared" si="8"/>
        <v>0.79754465746254011</v>
      </c>
    </row>
    <row r="13" spans="1:32">
      <c r="A13">
        <v>1988</v>
      </c>
      <c r="B13">
        <v>0.62472135658262706</v>
      </c>
      <c r="C13">
        <v>3.2933371050611851E-2</v>
      </c>
      <c r="D13">
        <v>0.35987188926253516</v>
      </c>
      <c r="E13">
        <v>8.4794881816666792E-2</v>
      </c>
      <c r="F13">
        <v>0.27495621061091075</v>
      </c>
      <c r="G13">
        <v>0.73558093267006786</v>
      </c>
      <c r="I13" s="143">
        <f t="shared" si="0"/>
        <v>0.65765472763323896</v>
      </c>
      <c r="J13" s="143">
        <f t="shared" si="1"/>
        <v>0.44466677107920194</v>
      </c>
      <c r="K13" s="143">
        <f t="shared" si="2"/>
        <v>1.0105371432809787</v>
      </c>
      <c r="L13" s="143">
        <f t="shared" si="3"/>
        <v>0.27495621061091075</v>
      </c>
      <c r="N13">
        <v>6.7880358102206592E-2</v>
      </c>
      <c r="O13">
        <v>2.0222481845224077E-3</v>
      </c>
      <c r="P13">
        <v>5.116188719334213E-2</v>
      </c>
      <c r="Q13">
        <v>6.2827315893967273E-3</v>
      </c>
      <c r="R13">
        <v>1.5256420798937666E-2</v>
      </c>
      <c r="S13">
        <v>4.8036757428334888E-2</v>
      </c>
      <c r="T13" s="143">
        <f t="shared" si="4"/>
        <v>6.9902606286728994E-2</v>
      </c>
      <c r="U13" s="143">
        <f t="shared" si="5"/>
        <v>5.7444618782738856E-2</v>
      </c>
      <c r="V13" s="143">
        <f t="shared" si="6"/>
        <v>6.3293178227272553E-2</v>
      </c>
      <c r="W13" s="143">
        <f t="shared" si="7"/>
        <v>1.5256420798937666E-2</v>
      </c>
      <c r="Y13" s="143">
        <v>12278.3</v>
      </c>
      <c r="Z13" s="143">
        <v>2398.5</v>
      </c>
      <c r="AA13" s="143">
        <v>8501.2999999999993</v>
      </c>
      <c r="AB13" s="143">
        <v>1378.5</v>
      </c>
      <c r="AC13" s="143">
        <v>0.19534463240025085</v>
      </c>
      <c r="AD13" s="143">
        <v>0.69238412483812906</v>
      </c>
      <c r="AE13" s="143">
        <v>0.11227124276162011</v>
      </c>
      <c r="AF13" s="156">
        <f t="shared" si="8"/>
        <v>0.8046553675997492</v>
      </c>
    </row>
    <row r="14" spans="1:32">
      <c r="A14">
        <v>1989</v>
      </c>
      <c r="B14">
        <v>0.65789679567022041</v>
      </c>
      <c r="C14">
        <v>3.3447049376907359E-2</v>
      </c>
      <c r="D14">
        <v>0.37426303069766953</v>
      </c>
      <c r="E14">
        <v>8.4635986723038209E-2</v>
      </c>
      <c r="F14">
        <v>0.27621366587103885</v>
      </c>
      <c r="G14">
        <v>0.75406765719979474</v>
      </c>
      <c r="I14" s="143">
        <f t="shared" si="0"/>
        <v>0.69134384504712776</v>
      </c>
      <c r="J14" s="143">
        <f t="shared" si="1"/>
        <v>0.45889901742070771</v>
      </c>
      <c r="K14" s="143">
        <f t="shared" si="2"/>
        <v>1.0302813230708336</v>
      </c>
      <c r="L14" s="143">
        <f t="shared" si="3"/>
        <v>0.27621366587103885</v>
      </c>
      <c r="N14">
        <v>6.6436168435876367E-2</v>
      </c>
      <c r="O14">
        <v>2.1895738195606661E-3</v>
      </c>
      <c r="P14">
        <v>5.4143082658560757E-2</v>
      </c>
      <c r="Q14">
        <v>6.9660337164746088E-3</v>
      </c>
      <c r="R14">
        <v>1.9522606404320613E-2</v>
      </c>
      <c r="S14">
        <v>4.5027143280440975E-2</v>
      </c>
      <c r="T14" s="143">
        <f t="shared" si="4"/>
        <v>6.8625742255437036E-2</v>
      </c>
      <c r="U14" s="143">
        <f t="shared" si="5"/>
        <v>6.1109116375035369E-2</v>
      </c>
      <c r="V14" s="143">
        <f t="shared" si="6"/>
        <v>6.4549749684761584E-2</v>
      </c>
      <c r="W14" s="143">
        <f t="shared" si="7"/>
        <v>1.9522606404320613E-2</v>
      </c>
      <c r="Y14" s="143">
        <v>12325.5</v>
      </c>
      <c r="Z14" s="143">
        <v>2320.1</v>
      </c>
      <c r="AA14" s="143">
        <v>8574.5</v>
      </c>
      <c r="AB14" s="143">
        <v>1430.9</v>
      </c>
      <c r="AC14" s="143">
        <v>0.18823577136830147</v>
      </c>
      <c r="AD14" s="143">
        <v>0.69567157518964751</v>
      </c>
      <c r="AE14" s="143">
        <v>0.11609265344205104</v>
      </c>
      <c r="AF14" s="156">
        <f t="shared" si="8"/>
        <v>0.8117642286316985</v>
      </c>
    </row>
    <row r="15" spans="1:32">
      <c r="A15">
        <v>1990</v>
      </c>
      <c r="B15">
        <v>0.6771291096159765</v>
      </c>
      <c r="C15">
        <v>3.4014442277594197E-2</v>
      </c>
      <c r="D15">
        <v>0.39811472485185734</v>
      </c>
      <c r="E15">
        <v>8.4382691730930687E-2</v>
      </c>
      <c r="F15">
        <v>0.28691206156138399</v>
      </c>
      <c r="G15">
        <v>0.78346239915817029</v>
      </c>
      <c r="I15" s="143">
        <f t="shared" si="0"/>
        <v>0.7111435518935707</v>
      </c>
      <c r="J15" s="143">
        <f t="shared" si="1"/>
        <v>0.482497416582788</v>
      </c>
      <c r="K15" s="143">
        <f t="shared" si="2"/>
        <v>1.0703744607195542</v>
      </c>
      <c r="L15" s="143">
        <f t="shared" si="3"/>
        <v>0.28691206156138399</v>
      </c>
      <c r="N15">
        <v>6.4950591788786288E-2</v>
      </c>
      <c r="O15">
        <v>2.576754403703601E-3</v>
      </c>
      <c r="P15">
        <v>5.8731420411438001E-2</v>
      </c>
      <c r="Q15">
        <v>6.6000753863970163E-3</v>
      </c>
      <c r="R15">
        <v>2.0489817970241093E-2</v>
      </c>
      <c r="S15">
        <v>4.6483345408429896E-2</v>
      </c>
      <c r="T15" s="143">
        <f t="shared" si="4"/>
        <v>6.7527346192489887E-2</v>
      </c>
      <c r="U15" s="143">
        <f t="shared" si="5"/>
        <v>6.5331495797835024E-2</v>
      </c>
      <c r="V15" s="143">
        <f t="shared" si="6"/>
        <v>6.6973163378670986E-2</v>
      </c>
      <c r="W15" s="143">
        <f t="shared" si="7"/>
        <v>2.0489817970241093E-2</v>
      </c>
      <c r="Y15" s="143">
        <v>12361.1</v>
      </c>
      <c r="Z15" s="143">
        <v>2254.4</v>
      </c>
      <c r="AA15" s="143">
        <v>8614</v>
      </c>
      <c r="AB15" s="143">
        <v>1492.8</v>
      </c>
      <c r="AC15" s="143">
        <v>0.18237859090210418</v>
      </c>
      <c r="AD15" s="143">
        <v>0.6968635477425148</v>
      </c>
      <c r="AE15" s="143">
        <v>0.12076595125029325</v>
      </c>
      <c r="AF15" s="156">
        <f t="shared" si="8"/>
        <v>0.81762949899280801</v>
      </c>
    </row>
    <row r="16" spans="1:32">
      <c r="A16">
        <v>1991</v>
      </c>
      <c r="B16">
        <v>0.67296539703248026</v>
      </c>
      <c r="C16">
        <v>3.3415868199730046E-2</v>
      </c>
      <c r="D16">
        <v>0.40629056069382191</v>
      </c>
      <c r="E16">
        <v>8.3711408054449793E-2</v>
      </c>
      <c r="F16">
        <v>0.29163629875421188</v>
      </c>
      <c r="G16">
        <v>0.7847156215131581</v>
      </c>
      <c r="I16" s="143">
        <f t="shared" si="0"/>
        <v>0.70638126523221034</v>
      </c>
      <c r="J16" s="143">
        <f t="shared" si="1"/>
        <v>0.49000196874827173</v>
      </c>
      <c r="K16" s="143">
        <f t="shared" si="2"/>
        <v>1.0763519202673699</v>
      </c>
      <c r="L16" s="143">
        <f t="shared" si="3"/>
        <v>0.29163629875421188</v>
      </c>
      <c r="N16">
        <v>5.9686382890545661E-2</v>
      </c>
      <c r="O16">
        <v>2.352556168455261E-3</v>
      </c>
      <c r="P16">
        <v>5.5825888079583795E-2</v>
      </c>
      <c r="Q16">
        <v>8.3851112234019799E-3</v>
      </c>
      <c r="R16">
        <v>2.4275630861137598E-2</v>
      </c>
      <c r="S16">
        <v>4.3888578041161669E-2</v>
      </c>
      <c r="T16" s="143">
        <f t="shared" si="4"/>
        <v>6.2038939059000923E-2</v>
      </c>
      <c r="U16" s="143">
        <f t="shared" si="5"/>
        <v>6.421099930298578E-2</v>
      </c>
      <c r="V16" s="143">
        <f t="shared" si="6"/>
        <v>6.8164208902299267E-2</v>
      </c>
      <c r="W16" s="143">
        <f t="shared" si="7"/>
        <v>2.4275630861137598E-2</v>
      </c>
      <c r="Y16" s="143">
        <v>12404.3</v>
      </c>
      <c r="Z16" s="143">
        <v>2190.4</v>
      </c>
      <c r="AA16" s="143">
        <v>8655.7000000000007</v>
      </c>
      <c r="AB16" s="143">
        <v>1558.2</v>
      </c>
      <c r="AC16" s="143">
        <v>0.17658392654160252</v>
      </c>
      <c r="AD16" s="143">
        <v>0.69779834412260278</v>
      </c>
      <c r="AE16" s="143">
        <v>0.12561772933579485</v>
      </c>
      <c r="AF16" s="156">
        <f t="shared" si="8"/>
        <v>0.82341607345839762</v>
      </c>
    </row>
    <row r="17" spans="1:32">
      <c r="A17">
        <v>1992</v>
      </c>
      <c r="B17">
        <v>0.67047776554895511</v>
      </c>
      <c r="C17">
        <v>3.3004742741020311E-2</v>
      </c>
      <c r="D17">
        <v>0.40548985399947135</v>
      </c>
      <c r="E17">
        <v>8.4297317075722869E-2</v>
      </c>
      <c r="F17">
        <v>0.29385570545789041</v>
      </c>
      <c r="G17">
        <v>0.78839279040575783</v>
      </c>
      <c r="I17" s="143">
        <f t="shared" si="0"/>
        <v>0.70348250828997538</v>
      </c>
      <c r="J17" s="143">
        <f t="shared" si="1"/>
        <v>0.48978717107519421</v>
      </c>
      <c r="K17" s="143">
        <f t="shared" si="2"/>
        <v>1.0822484958636482</v>
      </c>
      <c r="L17" s="143">
        <f t="shared" si="3"/>
        <v>0.29385570545789041</v>
      </c>
      <c r="N17">
        <v>5.5700306739102839E-2</v>
      </c>
      <c r="O17">
        <v>2.4361688111661957E-3</v>
      </c>
      <c r="P17">
        <v>4.9752133553772046E-2</v>
      </c>
      <c r="Q17">
        <v>1.01243697896145E-2</v>
      </c>
      <c r="R17">
        <v>2.2775292623842598E-2</v>
      </c>
      <c r="S17">
        <v>4.9869078893554228E-2</v>
      </c>
      <c r="T17" s="143">
        <f t="shared" si="4"/>
        <v>5.8136475550269032E-2</v>
      </c>
      <c r="U17" s="143">
        <f t="shared" si="5"/>
        <v>5.9876503343386546E-2</v>
      </c>
      <c r="V17" s="143">
        <f t="shared" si="6"/>
        <v>7.2644371517396833E-2</v>
      </c>
      <c r="W17" s="143">
        <f t="shared" si="7"/>
        <v>2.2775292623842598E-2</v>
      </c>
      <c r="Y17" s="143">
        <v>12445.2</v>
      </c>
      <c r="Z17" s="143">
        <v>2136.4</v>
      </c>
      <c r="AA17" s="143">
        <v>8684.5</v>
      </c>
      <c r="AB17" s="143">
        <v>1624.2</v>
      </c>
      <c r="AC17" s="143">
        <v>0.17166457750779418</v>
      </c>
      <c r="AD17" s="143">
        <v>0.69781923954617042</v>
      </c>
      <c r="AE17" s="143">
        <v>0.13050814771960273</v>
      </c>
      <c r="AF17" s="156">
        <f t="shared" si="8"/>
        <v>0.82832738726577315</v>
      </c>
    </row>
    <row r="18" spans="1:32">
      <c r="A18">
        <v>1993</v>
      </c>
      <c r="B18">
        <v>0.67855647395211871</v>
      </c>
      <c r="C18">
        <v>3.339578691531387E-2</v>
      </c>
      <c r="D18">
        <v>0.39499991662317302</v>
      </c>
      <c r="E18">
        <v>8.5881499437916328E-2</v>
      </c>
      <c r="F18">
        <v>0.31140045133861699</v>
      </c>
      <c r="G18">
        <v>0.7845983843605201</v>
      </c>
      <c r="I18" s="143">
        <f t="shared" si="0"/>
        <v>0.71195226086743257</v>
      </c>
      <c r="J18" s="143">
        <f t="shared" si="1"/>
        <v>0.48088141606108936</v>
      </c>
      <c r="K18" s="143">
        <f t="shared" si="2"/>
        <v>1.095998835699137</v>
      </c>
      <c r="L18" s="143">
        <f t="shared" si="3"/>
        <v>0.31140045133861699</v>
      </c>
      <c r="N18">
        <v>5.6840548480433344E-2</v>
      </c>
      <c r="O18">
        <v>2.7749776757854997E-3</v>
      </c>
      <c r="P18">
        <v>3.5592000188163664E-2</v>
      </c>
      <c r="Q18">
        <v>1.1507124513803466E-2</v>
      </c>
      <c r="R18">
        <v>2.2713272737544216E-2</v>
      </c>
      <c r="S18">
        <v>5.2999890917441284E-2</v>
      </c>
      <c r="T18" s="143">
        <f t="shared" si="4"/>
        <v>5.9615526156218845E-2</v>
      </c>
      <c r="U18" s="143">
        <f t="shared" si="5"/>
        <v>4.7099124701967129E-2</v>
      </c>
      <c r="V18" s="143">
        <f t="shared" si="6"/>
        <v>7.5713163654985496E-2</v>
      </c>
      <c r="W18" s="143">
        <f t="shared" si="7"/>
        <v>2.2713272737544216E-2</v>
      </c>
      <c r="Y18" s="143">
        <v>12476.4</v>
      </c>
      <c r="Z18" s="143">
        <v>2084.1</v>
      </c>
      <c r="AA18" s="143">
        <v>8702.2999999999993</v>
      </c>
      <c r="AB18" s="143">
        <v>1690</v>
      </c>
      <c r="AC18" s="143">
        <v>0.16704337789747042</v>
      </c>
      <c r="AD18" s="143">
        <v>0.69750088166458268</v>
      </c>
      <c r="AE18" s="143">
        <v>0.13545574043794684</v>
      </c>
      <c r="AF18" s="156">
        <f t="shared" si="8"/>
        <v>0.83295662210252952</v>
      </c>
    </row>
    <row r="19" spans="1:32">
      <c r="A19">
        <v>1994</v>
      </c>
      <c r="B19">
        <v>0.68952905261744546</v>
      </c>
      <c r="C19">
        <v>3.3884032231515114E-2</v>
      </c>
      <c r="D19">
        <v>0.3833364202067619</v>
      </c>
      <c r="E19">
        <v>8.7775147426358266E-2</v>
      </c>
      <c r="F19">
        <v>0.31453947135351579</v>
      </c>
      <c r="G19">
        <v>0.81564284703496337</v>
      </c>
      <c r="I19" s="143">
        <f t="shared" si="0"/>
        <v>0.72341308484896061</v>
      </c>
      <c r="J19" s="143">
        <f t="shared" si="1"/>
        <v>0.47111156763312018</v>
      </c>
      <c r="K19" s="143">
        <f t="shared" si="2"/>
        <v>1.1301823183884792</v>
      </c>
      <c r="L19" s="143">
        <f t="shared" si="3"/>
        <v>0.31453947135351579</v>
      </c>
      <c r="N19">
        <v>5.974444727813432E-2</v>
      </c>
      <c r="O19">
        <v>2.7458520097526778E-3</v>
      </c>
      <c r="P19">
        <v>2.9651443749766353E-2</v>
      </c>
      <c r="Q19">
        <v>1.0408166820344867E-2</v>
      </c>
      <c r="R19">
        <v>1.9227814508096339E-2</v>
      </c>
      <c r="S19">
        <v>5.4977519792388616E-2</v>
      </c>
      <c r="T19" s="143">
        <f t="shared" si="4"/>
        <v>6.2490299287886998E-2</v>
      </c>
      <c r="U19" s="143">
        <f t="shared" si="5"/>
        <v>4.0059610570111218E-2</v>
      </c>
      <c r="V19" s="143">
        <f t="shared" si="6"/>
        <v>7.4205334300484954E-2</v>
      </c>
      <c r="W19" s="143">
        <f t="shared" si="7"/>
        <v>1.9227814508096339E-2</v>
      </c>
      <c r="Y19" s="143">
        <v>12503.4</v>
      </c>
      <c r="Z19" s="143">
        <v>2041.5</v>
      </c>
      <c r="AA19" s="143">
        <v>8703.4</v>
      </c>
      <c r="AB19" s="143">
        <v>1758.5</v>
      </c>
      <c r="AC19" s="143">
        <v>0.16327558903978118</v>
      </c>
      <c r="AD19" s="143">
        <v>0.69608266551497988</v>
      </c>
      <c r="AE19" s="143">
        <v>0.14064174544523889</v>
      </c>
      <c r="AF19" s="156">
        <f t="shared" si="8"/>
        <v>0.83672441096021877</v>
      </c>
    </row>
    <row r="20" spans="1:32">
      <c r="A20">
        <v>1995</v>
      </c>
      <c r="B20">
        <v>0.685259447464454</v>
      </c>
      <c r="C20">
        <v>3.42705524301039E-2</v>
      </c>
      <c r="D20">
        <v>0.37433591078451767</v>
      </c>
      <c r="E20">
        <v>8.9425201226578682E-2</v>
      </c>
      <c r="F20">
        <v>0.32039236982938518</v>
      </c>
      <c r="G20">
        <v>0.84134453843698453</v>
      </c>
      <c r="I20" s="143">
        <f t="shared" si="0"/>
        <v>0.7195299998945579</v>
      </c>
      <c r="J20" s="143">
        <f t="shared" si="1"/>
        <v>0.46376111201109638</v>
      </c>
      <c r="K20" s="143">
        <f t="shared" si="2"/>
        <v>1.1617369082663698</v>
      </c>
      <c r="L20" s="143">
        <f t="shared" si="3"/>
        <v>0.32039236982938518</v>
      </c>
      <c r="N20">
        <v>5.5657685240125113E-2</v>
      </c>
      <c r="O20">
        <v>2.9293720350412711E-3</v>
      </c>
      <c r="P20">
        <v>2.7438515299163076E-2</v>
      </c>
      <c r="Q20">
        <v>9.841578103327463E-3</v>
      </c>
      <c r="R20">
        <v>2.0745245282186908E-2</v>
      </c>
      <c r="S20">
        <v>5.4392763990962656E-2</v>
      </c>
      <c r="T20" s="143">
        <f t="shared" si="4"/>
        <v>5.8587057275166381E-2</v>
      </c>
      <c r="U20" s="143">
        <f t="shared" si="5"/>
        <v>3.7280093402490541E-2</v>
      </c>
      <c r="V20" s="143">
        <f t="shared" si="6"/>
        <v>7.5138009273149564E-2</v>
      </c>
      <c r="W20" s="143">
        <f t="shared" si="7"/>
        <v>2.0745245282186908E-2</v>
      </c>
      <c r="Y20" s="143">
        <v>12557</v>
      </c>
      <c r="Z20" s="143">
        <v>2003.3</v>
      </c>
      <c r="AA20" s="143">
        <v>8726</v>
      </c>
      <c r="AB20" s="143">
        <v>1827.7</v>
      </c>
      <c r="AC20" s="143">
        <v>0.15953651349844708</v>
      </c>
      <c r="AD20" s="143">
        <v>0.6949112049056303</v>
      </c>
      <c r="AE20" s="143">
        <v>0.14555228159592259</v>
      </c>
      <c r="AF20" s="156">
        <f t="shared" si="8"/>
        <v>0.84046348650155289</v>
      </c>
    </row>
    <row r="21" spans="1:32">
      <c r="A21">
        <v>1996</v>
      </c>
      <c r="B21">
        <v>0.71136484228439623</v>
      </c>
      <c r="C21">
        <v>3.5639648137909687E-2</v>
      </c>
      <c r="D21">
        <v>0.37705155013769648</v>
      </c>
      <c r="E21">
        <v>9.1698532065655883E-2</v>
      </c>
      <c r="F21">
        <v>0.33284149195770202</v>
      </c>
      <c r="G21">
        <v>0.8787923775786225</v>
      </c>
      <c r="I21" s="143">
        <f t="shared" si="0"/>
        <v>0.74700449042230588</v>
      </c>
      <c r="J21" s="143">
        <f t="shared" si="1"/>
        <v>0.46875008220335235</v>
      </c>
      <c r="K21" s="143">
        <f t="shared" si="2"/>
        <v>1.2116338695363245</v>
      </c>
      <c r="L21" s="143">
        <f t="shared" si="3"/>
        <v>0.33284149195770202</v>
      </c>
      <c r="N21">
        <v>6.0334926612618779E-2</v>
      </c>
      <c r="O21">
        <v>2.9079727635693419E-3</v>
      </c>
      <c r="P21">
        <v>2.8569609387968268E-2</v>
      </c>
      <c r="Q21">
        <v>8.7224245330280083E-3</v>
      </c>
      <c r="R21">
        <v>1.6615813553647652E-2</v>
      </c>
      <c r="S21">
        <v>5.6884719811203965E-2</v>
      </c>
      <c r="T21" s="143">
        <f t="shared" si="4"/>
        <v>6.3242899376188128E-2</v>
      </c>
      <c r="U21" s="143">
        <f t="shared" si="5"/>
        <v>3.7292033920996275E-2</v>
      </c>
      <c r="V21" s="143">
        <f t="shared" si="6"/>
        <v>7.3500533364851614E-2</v>
      </c>
      <c r="W21" s="143">
        <f t="shared" si="7"/>
        <v>1.6615813553647652E-2</v>
      </c>
      <c r="Y21" s="143">
        <v>12586.4</v>
      </c>
      <c r="Z21" s="143">
        <v>1968.6</v>
      </c>
      <c r="AA21" s="143">
        <v>8716.1</v>
      </c>
      <c r="AB21" s="143">
        <v>1901.7</v>
      </c>
      <c r="AC21" s="143">
        <v>0.15640691540075002</v>
      </c>
      <c r="AD21" s="143">
        <v>0.69250143011504484</v>
      </c>
      <c r="AE21" s="143">
        <v>0.1510916544842052</v>
      </c>
      <c r="AF21" s="156">
        <f t="shared" si="8"/>
        <v>0.84359308459925009</v>
      </c>
    </row>
    <row r="22" spans="1:32">
      <c r="A22">
        <v>1997</v>
      </c>
      <c r="B22">
        <v>0.71156324807458571</v>
      </c>
      <c r="C22">
        <v>3.6261833878090032E-2</v>
      </c>
      <c r="D22">
        <v>0.36782519933017549</v>
      </c>
      <c r="E22">
        <v>9.1210017599265836E-2</v>
      </c>
      <c r="F22">
        <v>0.33470534420859777</v>
      </c>
      <c r="G22">
        <v>0.89667593341788909</v>
      </c>
      <c r="I22" s="143">
        <f t="shared" si="0"/>
        <v>0.74782508195267572</v>
      </c>
      <c r="J22" s="143">
        <f t="shared" si="1"/>
        <v>0.45903521692944133</v>
      </c>
      <c r="K22" s="143">
        <f t="shared" si="2"/>
        <v>1.231381277626487</v>
      </c>
      <c r="L22" s="143">
        <f t="shared" si="3"/>
        <v>0.33470534420859777</v>
      </c>
      <c r="N22">
        <v>5.4546133588840966E-2</v>
      </c>
      <c r="O22">
        <v>2.9322297640638666E-3</v>
      </c>
      <c r="P22">
        <v>2.8172071734946149E-2</v>
      </c>
      <c r="Q22">
        <v>7.9801981582403245E-3</v>
      </c>
      <c r="R22">
        <v>1.7127916085758428E-2</v>
      </c>
      <c r="S22">
        <v>5.1382828370914374E-2</v>
      </c>
      <c r="T22" s="143">
        <f t="shared" si="4"/>
        <v>5.7478363352904835E-2</v>
      </c>
      <c r="U22" s="143">
        <f t="shared" si="5"/>
        <v>3.615226989318647E-2</v>
      </c>
      <c r="V22" s="143">
        <f t="shared" si="6"/>
        <v>6.8510744456672795E-2</v>
      </c>
      <c r="W22" s="143">
        <f t="shared" si="7"/>
        <v>1.7127916085758428E-2</v>
      </c>
      <c r="Y22" s="143">
        <v>12616.6</v>
      </c>
      <c r="Z22" s="143">
        <v>1936.6</v>
      </c>
      <c r="AA22" s="143">
        <v>8704.2000000000007</v>
      </c>
      <c r="AB22" s="143">
        <v>1975.8</v>
      </c>
      <c r="AC22" s="143">
        <v>0.15349618756241776</v>
      </c>
      <c r="AD22" s="143">
        <v>0.6899006071366296</v>
      </c>
      <c r="AE22" s="143">
        <v>0.1566032053009527</v>
      </c>
      <c r="AF22" s="156">
        <f t="shared" si="8"/>
        <v>0.84650381243758233</v>
      </c>
    </row>
    <row r="23" spans="1:32">
      <c r="A23">
        <v>1998</v>
      </c>
      <c r="B23">
        <v>0.69786301126529215</v>
      </c>
      <c r="C23">
        <v>3.589654563097603E-2</v>
      </c>
      <c r="D23">
        <v>0.35701862357580855</v>
      </c>
      <c r="E23">
        <v>8.8931509453727076E-2</v>
      </c>
      <c r="F23">
        <v>0.33238233027783548</v>
      </c>
      <c r="G23">
        <v>0.90394879639677661</v>
      </c>
      <c r="I23" s="143">
        <f t="shared" si="0"/>
        <v>0.73375955689626815</v>
      </c>
      <c r="J23" s="143">
        <f t="shared" si="1"/>
        <v>0.44595013302953562</v>
      </c>
      <c r="K23" s="143">
        <f t="shared" si="2"/>
        <v>1.236331126674612</v>
      </c>
      <c r="L23" s="143">
        <f t="shared" si="3"/>
        <v>0.33238233027783548</v>
      </c>
      <c r="N23">
        <v>4.694915576478096E-2</v>
      </c>
      <c r="O23">
        <v>2.549313379710694E-3</v>
      </c>
      <c r="P23">
        <v>2.7978700362760376E-2</v>
      </c>
      <c r="Q23">
        <v>7.2143872458654973E-3</v>
      </c>
      <c r="R23">
        <v>1.8409222486446344E-2</v>
      </c>
      <c r="S23">
        <v>5.1173407364136343E-2</v>
      </c>
      <c r="T23" s="143">
        <f t="shared" si="4"/>
        <v>4.9498469144491651E-2</v>
      </c>
      <c r="U23" s="143">
        <f t="shared" si="5"/>
        <v>3.519308760862587E-2</v>
      </c>
      <c r="V23" s="143">
        <f t="shared" si="6"/>
        <v>6.9582629850582695E-2</v>
      </c>
      <c r="W23" s="143">
        <f t="shared" si="7"/>
        <v>1.8409222486446344E-2</v>
      </c>
      <c r="Y23" s="143">
        <v>12648.6</v>
      </c>
      <c r="Z23" s="143">
        <v>1905.9</v>
      </c>
      <c r="AA23" s="143">
        <v>8692</v>
      </c>
      <c r="AB23" s="143">
        <v>2050.8000000000002</v>
      </c>
      <c r="AC23" s="143">
        <v>0.15068070774631184</v>
      </c>
      <c r="AD23" s="143">
        <v>0.68719067722910043</v>
      </c>
      <c r="AE23" s="143">
        <v>0.16213652103790144</v>
      </c>
      <c r="AF23" s="156">
        <f t="shared" si="8"/>
        <v>0.84932719826700187</v>
      </c>
    </row>
    <row r="24" spans="1:32">
      <c r="A24">
        <v>1999</v>
      </c>
      <c r="B24">
        <v>0.69953973138783332</v>
      </c>
      <c r="C24">
        <v>3.6160413611910087E-2</v>
      </c>
      <c r="D24">
        <v>0.35281302153370225</v>
      </c>
      <c r="E24">
        <v>8.8340791626260087E-2</v>
      </c>
      <c r="F24">
        <v>0.33554030631172121</v>
      </c>
      <c r="G24">
        <v>0.92722517227359491</v>
      </c>
      <c r="I24" s="143">
        <f t="shared" si="0"/>
        <v>0.73570014499974346</v>
      </c>
      <c r="J24" s="143">
        <f t="shared" si="1"/>
        <v>0.44115381315996233</v>
      </c>
      <c r="K24" s="143">
        <f t="shared" si="2"/>
        <v>1.2627654785853162</v>
      </c>
      <c r="L24" s="143">
        <f t="shared" si="3"/>
        <v>0.33554030631172121</v>
      </c>
      <c r="N24">
        <v>4.7109293674947199E-2</v>
      </c>
      <c r="O24">
        <v>2.4186192017382549E-3</v>
      </c>
      <c r="P24">
        <v>2.6863867832648668E-2</v>
      </c>
      <c r="Q24">
        <v>7.3675852382421338E-3</v>
      </c>
      <c r="R24">
        <v>1.3144282603496241E-2</v>
      </c>
      <c r="S24">
        <v>5.3779622735550731E-2</v>
      </c>
      <c r="T24" s="143">
        <f t="shared" si="4"/>
        <v>4.9527912876685454E-2</v>
      </c>
      <c r="U24" s="143">
        <f t="shared" si="5"/>
        <v>3.4231453070890802E-2</v>
      </c>
      <c r="V24" s="143">
        <f t="shared" si="6"/>
        <v>6.6923905339046977E-2</v>
      </c>
      <c r="W24" s="143">
        <f t="shared" si="7"/>
        <v>1.3144282603496241E-2</v>
      </c>
      <c r="Y24" s="143">
        <v>12668.6</v>
      </c>
      <c r="Z24" s="143">
        <v>1874.2</v>
      </c>
      <c r="AA24" s="143">
        <v>8675.7999999999993</v>
      </c>
      <c r="AB24" s="143">
        <v>2118.6</v>
      </c>
      <c r="AC24" s="143">
        <v>0.14794057749080403</v>
      </c>
      <c r="AD24" s="143">
        <v>0.68482705271300692</v>
      </c>
      <c r="AE24" s="143">
        <v>0.167232369796189</v>
      </c>
      <c r="AF24" s="156">
        <f t="shared" si="8"/>
        <v>0.85205942250919597</v>
      </c>
    </row>
    <row r="25" spans="1:32">
      <c r="A25">
        <v>2000</v>
      </c>
      <c r="B25">
        <v>0.70764000218894518</v>
      </c>
      <c r="C25">
        <v>3.6490021902525822E-2</v>
      </c>
      <c r="D25">
        <v>0.35471053721234841</v>
      </c>
      <c r="E25">
        <v>8.8561657935477295E-2</v>
      </c>
      <c r="F25">
        <v>0.34393350014390639</v>
      </c>
      <c r="G25">
        <v>0.96116729424522207</v>
      </c>
      <c r="I25" s="143">
        <f t="shared" si="0"/>
        <v>0.744130024091471</v>
      </c>
      <c r="J25" s="143">
        <f t="shared" si="1"/>
        <v>0.44327219514782568</v>
      </c>
      <c r="K25" s="143">
        <f t="shared" si="2"/>
        <v>1.3051007943891284</v>
      </c>
      <c r="L25" s="143">
        <f t="shared" si="3"/>
        <v>0.34393350014390639</v>
      </c>
      <c r="N25">
        <v>4.6998446259808001E-2</v>
      </c>
      <c r="O25">
        <v>2.0374746669749623E-3</v>
      </c>
      <c r="P25">
        <v>2.7078858244693818E-2</v>
      </c>
      <c r="Q25">
        <v>6.3759565662472508E-3</v>
      </c>
      <c r="R25">
        <v>1.6691827707601001E-2</v>
      </c>
      <c r="S25">
        <v>4.6722586870026901E-2</v>
      </c>
      <c r="T25" s="143">
        <f t="shared" si="4"/>
        <v>4.9035920926782967E-2</v>
      </c>
      <c r="U25" s="143">
        <f t="shared" si="5"/>
        <v>3.3454814810941071E-2</v>
      </c>
      <c r="V25" s="143">
        <f t="shared" si="6"/>
        <v>6.3414414577627906E-2</v>
      </c>
      <c r="W25" s="143">
        <f t="shared" si="7"/>
        <v>1.6691827707601001E-2</v>
      </c>
      <c r="Y25" s="143">
        <v>12692.6</v>
      </c>
      <c r="Z25" s="143">
        <v>1850.5</v>
      </c>
      <c r="AA25" s="143">
        <v>8638</v>
      </c>
      <c r="AB25" s="143">
        <v>2204.1</v>
      </c>
      <c r="AC25" s="143">
        <v>0.14579361202590485</v>
      </c>
      <c r="AD25" s="143">
        <v>0.68055402360430484</v>
      </c>
      <c r="AE25" s="143">
        <v>0.17365236436979026</v>
      </c>
      <c r="AF25" s="156">
        <f t="shared" si="8"/>
        <v>0.85420638797409509</v>
      </c>
    </row>
    <row r="26" spans="1:32">
      <c r="A26">
        <v>2001</v>
      </c>
      <c r="B26">
        <v>0.70320658289161408</v>
      </c>
      <c r="C26">
        <v>3.6062975932274734E-2</v>
      </c>
      <c r="D26">
        <v>0.3477085765758513</v>
      </c>
      <c r="E26">
        <v>8.6534797544041323E-2</v>
      </c>
      <c r="F26">
        <v>0.34252634730978171</v>
      </c>
      <c r="G26">
        <v>0.97291306844546788</v>
      </c>
      <c r="I26" s="143">
        <f t="shared" si="0"/>
        <v>0.73926955882388878</v>
      </c>
      <c r="J26" s="143">
        <f t="shared" si="1"/>
        <v>0.43424337411989261</v>
      </c>
      <c r="K26" s="143">
        <f t="shared" si="2"/>
        <v>1.3154394157552496</v>
      </c>
      <c r="L26" s="143">
        <f t="shared" si="3"/>
        <v>0.34252634730978171</v>
      </c>
      <c r="N26">
        <v>4.5297890225201018E-2</v>
      </c>
      <c r="O26">
        <v>1.9550312712838182E-3</v>
      </c>
      <c r="P26">
        <v>2.5438353786175552E-2</v>
      </c>
      <c r="Q26">
        <v>5.8744984283948627E-3</v>
      </c>
      <c r="R26">
        <v>1.4310437673832542E-2</v>
      </c>
      <c r="S26">
        <v>4.6250389586157459E-2</v>
      </c>
      <c r="T26" s="143">
        <f t="shared" si="4"/>
        <v>4.7252921496484836E-2</v>
      </c>
      <c r="U26" s="143">
        <f t="shared" si="5"/>
        <v>3.1312852214570412E-2</v>
      </c>
      <c r="V26" s="143">
        <f t="shared" si="6"/>
        <v>6.0560827259989999E-2</v>
      </c>
      <c r="W26" s="143">
        <f t="shared" si="7"/>
        <v>1.4310437673832542E-2</v>
      </c>
      <c r="Y26" s="143">
        <v>12731.6</v>
      </c>
      <c r="Z26" s="143">
        <v>1828.3</v>
      </c>
      <c r="AA26" s="143">
        <v>8613.9</v>
      </c>
      <c r="AB26" s="143">
        <v>2286.9</v>
      </c>
      <c r="AC26" s="143">
        <v>0.14360331772911494</v>
      </c>
      <c r="AD26" s="143">
        <v>0.67657639259794522</v>
      </c>
      <c r="AE26" s="143">
        <v>0.17962392786452605</v>
      </c>
      <c r="AF26" s="156">
        <f t="shared" si="8"/>
        <v>0.8562003204624713</v>
      </c>
    </row>
    <row r="27" spans="1:32">
      <c r="A27">
        <v>2002</v>
      </c>
      <c r="B27">
        <v>0.70148450070517632</v>
      </c>
      <c r="C27">
        <v>3.5725298853890537E-2</v>
      </c>
      <c r="D27">
        <v>0.34210622318885398</v>
      </c>
      <c r="E27">
        <v>8.5219895297940607E-2</v>
      </c>
      <c r="F27">
        <v>0.34231604353046174</v>
      </c>
      <c r="G27">
        <v>0.99004219809117122</v>
      </c>
      <c r="I27" s="143">
        <f t="shared" si="0"/>
        <v>0.73720979955906685</v>
      </c>
      <c r="J27" s="143">
        <f t="shared" si="1"/>
        <v>0.42732611848679458</v>
      </c>
      <c r="K27" s="143">
        <f t="shared" si="2"/>
        <v>1.3323582416216331</v>
      </c>
      <c r="L27" s="143">
        <f t="shared" si="3"/>
        <v>0.34231604353046174</v>
      </c>
      <c r="N27">
        <v>4.4205036353239892E-2</v>
      </c>
      <c r="O27">
        <v>1.7937811392531289E-3</v>
      </c>
      <c r="P27">
        <v>2.3756541495393427E-2</v>
      </c>
      <c r="Q27">
        <v>5.844851278040462E-3</v>
      </c>
      <c r="R27">
        <v>1.2521004189493302E-2</v>
      </c>
      <c r="S27">
        <v>4.3391085281442324E-2</v>
      </c>
      <c r="T27" s="143">
        <f t="shared" si="4"/>
        <v>4.5998817492493023E-2</v>
      </c>
      <c r="U27" s="143">
        <f t="shared" si="5"/>
        <v>2.9601392773433891E-2</v>
      </c>
      <c r="V27" s="143">
        <f t="shared" si="6"/>
        <v>5.5912089470935622E-2</v>
      </c>
      <c r="W27" s="143">
        <f t="shared" si="7"/>
        <v>1.2521004189493302E-2</v>
      </c>
      <c r="Y27" s="143">
        <v>12748.6</v>
      </c>
      <c r="Z27" s="143">
        <v>1810.2</v>
      </c>
      <c r="AA27" s="143">
        <v>8570.6</v>
      </c>
      <c r="AB27" s="143">
        <v>2362.8000000000002</v>
      </c>
      <c r="AC27" s="143">
        <v>0.14199206187346061</v>
      </c>
      <c r="AD27" s="143">
        <v>0.67227774030089582</v>
      </c>
      <c r="AE27" s="143">
        <v>0.18533799789780839</v>
      </c>
      <c r="AF27" s="156">
        <f t="shared" si="8"/>
        <v>0.85761573819870418</v>
      </c>
    </row>
    <row r="28" spans="1:32">
      <c r="A28">
        <v>2003</v>
      </c>
      <c r="B28">
        <v>0.71051104970794055</v>
      </c>
      <c r="C28">
        <v>3.5839875137555953E-2</v>
      </c>
      <c r="D28">
        <v>0.34256092139872502</v>
      </c>
      <c r="E28">
        <v>8.5268418756391129E-2</v>
      </c>
      <c r="F28">
        <v>0.34779764130904028</v>
      </c>
      <c r="G28">
        <v>1.0246065458884368</v>
      </c>
      <c r="I28" s="143">
        <f t="shared" si="0"/>
        <v>0.74635092484549648</v>
      </c>
      <c r="J28" s="143">
        <f t="shared" si="1"/>
        <v>0.42782934015511614</v>
      </c>
      <c r="K28" s="143">
        <f t="shared" si="2"/>
        <v>1.372404187197477</v>
      </c>
      <c r="L28" s="143">
        <f t="shared" si="3"/>
        <v>0.34779764130904028</v>
      </c>
      <c r="N28">
        <v>4.3932403582962798E-2</v>
      </c>
      <c r="O28">
        <v>1.5764303433450021E-3</v>
      </c>
      <c r="P28">
        <v>2.3566488526220848E-2</v>
      </c>
      <c r="Q28">
        <v>5.6199932591380472E-3</v>
      </c>
      <c r="R28">
        <v>1.201598721755464E-2</v>
      </c>
      <c r="S28">
        <v>3.9813836172625613E-2</v>
      </c>
      <c r="T28" s="143">
        <f t="shared" si="4"/>
        <v>4.55088339263078E-2</v>
      </c>
      <c r="U28" s="143">
        <f t="shared" si="5"/>
        <v>2.9186481785358896E-2</v>
      </c>
      <c r="V28" s="143">
        <f t="shared" si="6"/>
        <v>5.1829823390180253E-2</v>
      </c>
      <c r="W28" s="143">
        <f t="shared" si="7"/>
        <v>1.201598721755464E-2</v>
      </c>
      <c r="Y28" s="143">
        <v>12769.4</v>
      </c>
      <c r="Z28" s="143">
        <v>1790.5</v>
      </c>
      <c r="AA28" s="143">
        <v>8540.4</v>
      </c>
      <c r="AB28" s="143">
        <v>2431.1</v>
      </c>
      <c r="AC28" s="143">
        <v>0.14021802120694787</v>
      </c>
      <c r="AD28" s="143">
        <v>0.66881764217582662</v>
      </c>
      <c r="AE28" s="143">
        <v>0.19038482622519459</v>
      </c>
      <c r="AF28" s="156">
        <f t="shared" si="8"/>
        <v>0.85920246840102121</v>
      </c>
    </row>
    <row r="29" spans="1:32">
      <c r="A29">
        <v>2004</v>
      </c>
      <c r="B29">
        <v>0.71794799668833209</v>
      </c>
      <c r="C29">
        <v>3.5778453720044678E-2</v>
      </c>
      <c r="D29">
        <v>0.34149749499859178</v>
      </c>
      <c r="E29">
        <v>8.4644992481123477E-2</v>
      </c>
      <c r="F29">
        <v>0.3550325494346534</v>
      </c>
      <c r="G29">
        <v>1.0511697460280101</v>
      </c>
      <c r="I29" s="143">
        <f t="shared" si="0"/>
        <v>0.75372645040837671</v>
      </c>
      <c r="J29" s="143">
        <f t="shared" si="1"/>
        <v>0.42614248747971528</v>
      </c>
      <c r="K29" s="143">
        <f t="shared" si="2"/>
        <v>1.4062022954626634</v>
      </c>
      <c r="L29" s="143">
        <f t="shared" si="3"/>
        <v>0.3550325494346534</v>
      </c>
      <c r="N29">
        <v>4.4820097585780448E-2</v>
      </c>
      <c r="O29">
        <v>1.4642967172892982E-3</v>
      </c>
      <c r="P29">
        <v>2.2761200443746882E-2</v>
      </c>
      <c r="Q29">
        <v>5.0434368358648427E-3</v>
      </c>
      <c r="R29">
        <v>1.2622759047066221E-2</v>
      </c>
      <c r="S29">
        <v>3.5293102070661386E-2</v>
      </c>
      <c r="T29" s="143">
        <f t="shared" si="4"/>
        <v>4.6284394303069749E-2</v>
      </c>
      <c r="U29" s="143">
        <f t="shared" si="5"/>
        <v>2.7804637279611723E-2</v>
      </c>
      <c r="V29" s="143">
        <f t="shared" si="6"/>
        <v>4.7915861117727609E-2</v>
      </c>
      <c r="W29" s="143">
        <f t="shared" si="7"/>
        <v>1.2622759047066221E-2</v>
      </c>
      <c r="Y29" s="143">
        <v>12778.7</v>
      </c>
      <c r="Z29" s="143">
        <v>1773.4</v>
      </c>
      <c r="AA29" s="143">
        <v>8507.7000000000007</v>
      </c>
      <c r="AB29" s="143">
        <v>2487.6</v>
      </c>
      <c r="AC29" s="143">
        <v>0.13877780994936886</v>
      </c>
      <c r="AD29" s="143">
        <v>0.6657719486332726</v>
      </c>
      <c r="AE29" s="143">
        <v>0.19466768920156197</v>
      </c>
      <c r="AF29" s="156">
        <f t="shared" si="8"/>
        <v>0.86043963783483457</v>
      </c>
    </row>
    <row r="30" spans="1:32">
      <c r="A30">
        <v>2005</v>
      </c>
      <c r="B30">
        <v>0.72591534445188088</v>
      </c>
      <c r="C30">
        <v>3.546740940547094E-2</v>
      </c>
      <c r="D30">
        <v>0.34319807870417318</v>
      </c>
      <c r="E30">
        <v>8.3767037810723297E-2</v>
      </c>
      <c r="F30">
        <v>0.36365821846345914</v>
      </c>
      <c r="G30">
        <v>1.0779314589093729</v>
      </c>
      <c r="I30" s="143">
        <f t="shared" si="0"/>
        <v>0.76138275385735188</v>
      </c>
      <c r="J30" s="143">
        <f t="shared" si="1"/>
        <v>0.42696511651489649</v>
      </c>
      <c r="K30" s="143">
        <f t="shared" si="2"/>
        <v>1.4415896773728321</v>
      </c>
      <c r="L30" s="143">
        <f t="shared" si="3"/>
        <v>0.36365821846345914</v>
      </c>
      <c r="N30">
        <v>4.4614655420423366E-2</v>
      </c>
      <c r="O30">
        <v>1.2737655009543382E-3</v>
      </c>
      <c r="P30">
        <v>2.384024054882148E-2</v>
      </c>
      <c r="Q30">
        <v>4.8693409169609306E-3</v>
      </c>
      <c r="R30">
        <v>1.398437904917715E-2</v>
      </c>
      <c r="S30">
        <v>3.1829865641494828E-2</v>
      </c>
      <c r="T30" s="143">
        <f t="shared" si="4"/>
        <v>4.5888420921377703E-2</v>
      </c>
      <c r="U30" s="143">
        <f t="shared" si="5"/>
        <v>2.8709581465782411E-2</v>
      </c>
      <c r="V30" s="143">
        <f t="shared" si="6"/>
        <v>4.5814244690671982E-2</v>
      </c>
      <c r="W30" s="143">
        <f t="shared" si="7"/>
        <v>1.398437904917715E-2</v>
      </c>
      <c r="Y30" s="143">
        <v>12776.8</v>
      </c>
      <c r="Z30" s="143">
        <v>1758.5</v>
      </c>
      <c r="AA30" s="143">
        <v>8442.2000000000007</v>
      </c>
      <c r="AB30" s="143">
        <v>2576.1</v>
      </c>
      <c r="AC30" s="143">
        <v>0.13763227099117151</v>
      </c>
      <c r="AD30" s="143">
        <v>0.66074447435977723</v>
      </c>
      <c r="AE30" s="143">
        <v>0.2016232546490514</v>
      </c>
      <c r="AF30" s="156">
        <f t="shared" si="8"/>
        <v>0.86236772900882863</v>
      </c>
    </row>
    <row r="31" spans="1:32">
      <c r="A31">
        <v>2006</v>
      </c>
      <c r="B31">
        <v>0.7458499901526654</v>
      </c>
      <c r="C31">
        <v>3.543924512239284E-2</v>
      </c>
      <c r="D31">
        <v>0.3485251742342903</v>
      </c>
      <c r="E31">
        <v>8.3397759254906195E-2</v>
      </c>
      <c r="F31">
        <v>0.37210036022185095</v>
      </c>
      <c r="G31">
        <v>1.1024288482430451</v>
      </c>
      <c r="I31" s="143">
        <f t="shared" si="0"/>
        <v>0.78128923527505822</v>
      </c>
      <c r="J31" s="143">
        <f t="shared" si="1"/>
        <v>0.43192293348919653</v>
      </c>
      <c r="K31" s="143">
        <f t="shared" si="2"/>
        <v>1.474529208464896</v>
      </c>
      <c r="L31" s="143">
        <f t="shared" si="3"/>
        <v>0.37210036022185095</v>
      </c>
      <c r="N31">
        <v>4.5183382781776714E-2</v>
      </c>
      <c r="O31">
        <v>1.1383294510793017E-3</v>
      </c>
      <c r="P31">
        <v>2.5707148865912195E-2</v>
      </c>
      <c r="Q31">
        <v>4.5118356739594244E-3</v>
      </c>
      <c r="R31">
        <v>1.1823715147069102E-2</v>
      </c>
      <c r="S31">
        <v>3.0708922133556766E-2</v>
      </c>
      <c r="T31" s="143">
        <f t="shared" si="4"/>
        <v>4.6321712232856013E-2</v>
      </c>
      <c r="U31" s="143">
        <f t="shared" si="5"/>
        <v>3.021898453987162E-2</v>
      </c>
      <c r="V31" s="143">
        <f t="shared" si="6"/>
        <v>4.2532637280625868E-2</v>
      </c>
      <c r="W31" s="143">
        <f t="shared" si="7"/>
        <v>1.1823715147069102E-2</v>
      </c>
      <c r="Y31" s="143">
        <v>12790.1</v>
      </c>
      <c r="Z31" s="143">
        <v>1743.5</v>
      </c>
      <c r="AA31" s="143">
        <v>8373.1</v>
      </c>
      <c r="AB31" s="143">
        <v>2660.4</v>
      </c>
      <c r="AC31" s="143">
        <v>0.1363163696921838</v>
      </c>
      <c r="AD31" s="143">
        <v>0.65465477205025768</v>
      </c>
      <c r="AE31" s="143">
        <v>0.20800462857991728</v>
      </c>
      <c r="AF31" s="156">
        <f t="shared" si="8"/>
        <v>0.86265940063017499</v>
      </c>
    </row>
    <row r="32" spans="1:32">
      <c r="A32">
        <v>2007</v>
      </c>
      <c r="B32">
        <v>0.76059365040571569</v>
      </c>
      <c r="C32">
        <v>3.5353968065298717E-2</v>
      </c>
      <c r="D32">
        <v>0.35311389947035104</v>
      </c>
      <c r="E32">
        <v>8.3061619187152103E-2</v>
      </c>
      <c r="F32">
        <v>0.38138765398492108</v>
      </c>
      <c r="G32">
        <v>1.1429381816590476</v>
      </c>
      <c r="I32" s="143">
        <f t="shared" si="0"/>
        <v>0.79594761847101436</v>
      </c>
      <c r="J32" s="143">
        <f t="shared" si="1"/>
        <v>0.43617551865750315</v>
      </c>
      <c r="K32" s="143">
        <f t="shared" si="2"/>
        <v>1.5243258356439686</v>
      </c>
      <c r="L32" s="143">
        <f t="shared" si="3"/>
        <v>0.38138765398492108</v>
      </c>
      <c r="N32">
        <v>4.1340360705731348E-2</v>
      </c>
      <c r="O32">
        <v>1.0387891893976749E-3</v>
      </c>
      <c r="P32">
        <v>2.4763866454211227E-2</v>
      </c>
      <c r="Q32">
        <v>4.2002166956527547E-3</v>
      </c>
      <c r="R32">
        <v>1.0826252772901435E-2</v>
      </c>
      <c r="S32">
        <v>2.8848188247440995E-2</v>
      </c>
      <c r="T32" s="143">
        <f t="shared" si="4"/>
        <v>4.2379149895129024E-2</v>
      </c>
      <c r="U32" s="143">
        <f t="shared" si="5"/>
        <v>2.896408314986398E-2</v>
      </c>
      <c r="V32" s="143">
        <f t="shared" si="6"/>
        <v>3.9674441020342427E-2</v>
      </c>
      <c r="W32" s="143">
        <f t="shared" si="7"/>
        <v>1.0826252772901435E-2</v>
      </c>
      <c r="Y32" s="143">
        <v>12803.3</v>
      </c>
      <c r="Z32" s="143">
        <v>1729.3</v>
      </c>
      <c r="AA32" s="143">
        <v>8301.5</v>
      </c>
      <c r="AB32" s="143">
        <v>2746.4</v>
      </c>
      <c r="AC32" s="143">
        <v>0.13506674060593754</v>
      </c>
      <c r="AD32" s="143">
        <v>0.64838752509118747</v>
      </c>
      <c r="AE32" s="143">
        <v>0.21450719736317983</v>
      </c>
      <c r="AF32" s="156">
        <f t="shared" si="8"/>
        <v>0.86289472245436727</v>
      </c>
    </row>
    <row r="33" spans="1:32">
      <c r="A33">
        <v>2008</v>
      </c>
      <c r="B33">
        <v>0.77662137326888236</v>
      </c>
      <c r="C33">
        <v>3.5404336068210633E-2</v>
      </c>
      <c r="D33">
        <v>0.3582798289883859</v>
      </c>
      <c r="E33">
        <v>8.2949524443573772E-2</v>
      </c>
      <c r="F33">
        <v>0.39392535766670611</v>
      </c>
      <c r="G33">
        <v>1.1821376717002907</v>
      </c>
      <c r="I33" s="143">
        <f t="shared" si="0"/>
        <v>0.81202570933709295</v>
      </c>
      <c r="J33" s="143">
        <f t="shared" si="1"/>
        <v>0.44122935343195968</v>
      </c>
      <c r="K33" s="143">
        <f t="shared" si="2"/>
        <v>1.5760630293669968</v>
      </c>
      <c r="L33" s="143">
        <f t="shared" si="3"/>
        <v>0.39392535766670611</v>
      </c>
      <c r="N33">
        <v>4.06321200370275E-2</v>
      </c>
      <c r="O33">
        <v>9.8138810716758115E-4</v>
      </c>
      <c r="P33">
        <v>2.4540575851259454E-2</v>
      </c>
      <c r="Q33">
        <v>4.3048456700891463E-3</v>
      </c>
      <c r="R33">
        <v>1.1135913158898858E-2</v>
      </c>
      <c r="S33">
        <v>2.7947205108977653E-2</v>
      </c>
      <c r="T33" s="143">
        <f t="shared" si="4"/>
        <v>4.161350814419508E-2</v>
      </c>
      <c r="U33" s="143">
        <f t="shared" si="5"/>
        <v>2.8845421521348599E-2</v>
      </c>
      <c r="V33" s="143">
        <f t="shared" si="6"/>
        <v>3.9083118267876513E-2</v>
      </c>
      <c r="W33" s="143">
        <f t="shared" si="7"/>
        <v>1.1135913158898858E-2</v>
      </c>
      <c r="Y33" s="143">
        <v>12808.4</v>
      </c>
      <c r="Z33" s="143">
        <v>1717.6</v>
      </c>
      <c r="AA33" s="143">
        <v>8230</v>
      </c>
      <c r="AB33" s="143">
        <v>2821.6</v>
      </c>
      <c r="AC33" s="143">
        <v>0.13409949720495926</v>
      </c>
      <c r="AD33" s="143">
        <v>0.64254707847974768</v>
      </c>
      <c r="AE33" s="143">
        <v>0.22029293276287437</v>
      </c>
      <c r="AF33" s="156">
        <f t="shared" si="8"/>
        <v>0.862840011242622</v>
      </c>
    </row>
    <row r="34" spans="1:32">
      <c r="A34">
        <v>2009</v>
      </c>
      <c r="B34">
        <v>0.748587993980665</v>
      </c>
      <c r="C34">
        <v>3.36064730479591E-2</v>
      </c>
      <c r="D34">
        <v>0.34286034221632428</v>
      </c>
      <c r="E34">
        <v>8.0039737470359931E-2</v>
      </c>
      <c r="F34">
        <v>0.38202527668089603</v>
      </c>
      <c r="G34">
        <v>1.1625681030204971</v>
      </c>
      <c r="I34" s="143">
        <f t="shared" si="0"/>
        <v>0.78219446702862405</v>
      </c>
      <c r="J34" s="143">
        <f t="shared" si="1"/>
        <v>0.42290007968668419</v>
      </c>
      <c r="K34" s="143">
        <f t="shared" si="2"/>
        <v>1.5445933797013931</v>
      </c>
      <c r="L34" s="143">
        <f t="shared" si="3"/>
        <v>0.38202527668089603</v>
      </c>
      <c r="N34">
        <v>3.4877875711401662E-2</v>
      </c>
      <c r="O34">
        <v>1.0811446434546199E-3</v>
      </c>
      <c r="P34">
        <v>2.2908911492824157E-2</v>
      </c>
      <c r="Q34">
        <v>5.8867931847680433E-3</v>
      </c>
      <c r="R34">
        <v>1.1058749937365941E-2</v>
      </c>
      <c r="S34">
        <v>3.0429241295482426E-2</v>
      </c>
      <c r="T34" s="143">
        <f t="shared" si="4"/>
        <v>3.5959020354856285E-2</v>
      </c>
      <c r="U34" s="143">
        <f t="shared" si="5"/>
        <v>2.8795704677592199E-2</v>
      </c>
      <c r="V34" s="143">
        <f t="shared" si="6"/>
        <v>4.1487991232848367E-2</v>
      </c>
      <c r="W34" s="143">
        <f t="shared" si="7"/>
        <v>1.1058749937365941E-2</v>
      </c>
      <c r="Y34" s="143">
        <v>12803.2</v>
      </c>
      <c r="Z34" s="143">
        <v>1701.1</v>
      </c>
      <c r="AA34" s="143">
        <v>8149.3</v>
      </c>
      <c r="AB34" s="143">
        <v>2900.5</v>
      </c>
      <c r="AC34" s="143">
        <v>0.13286522119470132</v>
      </c>
      <c r="AD34" s="143">
        <v>0.63650493626593352</v>
      </c>
      <c r="AE34" s="143">
        <v>0.22654492626843287</v>
      </c>
      <c r="AF34" s="156">
        <f t="shared" si="8"/>
        <v>0.86304986253436633</v>
      </c>
    </row>
    <row r="35" spans="1:32">
      <c r="A35">
        <v>2010</v>
      </c>
      <c r="B35">
        <v>0.75512037154625267</v>
      </c>
      <c r="C35">
        <v>3.3630209526386734E-2</v>
      </c>
      <c r="D35">
        <v>0.34378335554761674</v>
      </c>
      <c r="E35">
        <v>8.1355490646856987E-2</v>
      </c>
      <c r="F35">
        <v>0.38862376481265432</v>
      </c>
      <c r="G35">
        <v>1.197333855754726</v>
      </c>
      <c r="I35" s="143">
        <f t="shared" si="0"/>
        <v>0.7887505810726394</v>
      </c>
      <c r="J35" s="143">
        <f t="shared" si="1"/>
        <v>0.42513884619447373</v>
      </c>
      <c r="K35" s="143">
        <f t="shared" si="2"/>
        <v>1.5859576205673802</v>
      </c>
      <c r="L35" s="143">
        <f t="shared" si="3"/>
        <v>0.38862376481265432</v>
      </c>
      <c r="N35">
        <v>3.3366526180611027E-2</v>
      </c>
      <c r="O35">
        <v>9.9064230731037844E-4</v>
      </c>
      <c r="P35">
        <v>2.0638117653016458E-2</v>
      </c>
      <c r="Q35">
        <v>5.8087482735960988E-3</v>
      </c>
      <c r="R35">
        <v>1.1041863736834131E-2</v>
      </c>
      <c r="S35">
        <v>2.8355553551061004E-2</v>
      </c>
      <c r="T35" s="143">
        <f t="shared" si="4"/>
        <v>3.4357168487921405E-2</v>
      </c>
      <c r="U35" s="143">
        <f t="shared" si="5"/>
        <v>2.6446865926612557E-2</v>
      </c>
      <c r="V35" s="143">
        <f t="shared" si="6"/>
        <v>3.9397417287895135E-2</v>
      </c>
      <c r="W35" s="143">
        <f t="shared" si="7"/>
        <v>1.1041863736834131E-2</v>
      </c>
      <c r="Y35" s="143">
        <v>12805.7</v>
      </c>
      <c r="Z35" s="143">
        <v>1683.9</v>
      </c>
      <c r="AA35" s="143">
        <v>8173.5</v>
      </c>
      <c r="AB35" s="143">
        <v>2948.4</v>
      </c>
      <c r="AC35" s="143">
        <v>0.13149613062932913</v>
      </c>
      <c r="AD35" s="143">
        <v>0.63827045768681134</v>
      </c>
      <c r="AE35" s="143">
        <v>0.23024122070640418</v>
      </c>
      <c r="AF35" s="156">
        <f t="shared" si="8"/>
        <v>0.86851167839321552</v>
      </c>
    </row>
    <row r="36" spans="1:32">
      <c r="A36">
        <v>2011</v>
      </c>
      <c r="B36">
        <v>0.75207004438043779</v>
      </c>
      <c r="C36">
        <v>3.3150556971781417E-2</v>
      </c>
      <c r="D36">
        <v>0.34278694675975763</v>
      </c>
      <c r="E36">
        <v>8.1793040249963367E-2</v>
      </c>
      <c r="F36">
        <v>0.39507360313793033</v>
      </c>
      <c r="G36">
        <v>1.2216658929188504</v>
      </c>
      <c r="I36" s="143">
        <f t="shared" si="0"/>
        <v>0.78522060135221916</v>
      </c>
      <c r="J36" s="143">
        <f t="shared" si="1"/>
        <v>0.42457998700972099</v>
      </c>
      <c r="K36" s="143">
        <f t="shared" si="2"/>
        <v>1.6167394960567807</v>
      </c>
      <c r="L36" s="143">
        <f t="shared" si="3"/>
        <v>0.39507360313793033</v>
      </c>
      <c r="N36">
        <v>3.6253170928712469E-2</v>
      </c>
      <c r="O36">
        <v>9.4301143293311135E-4</v>
      </c>
      <c r="P36">
        <v>2.2234042531805775E-2</v>
      </c>
      <c r="Q36">
        <v>5.76782861516027E-3</v>
      </c>
      <c r="R36">
        <v>1.3500080108730767E-2</v>
      </c>
      <c r="S36">
        <v>2.735296027390954E-2</v>
      </c>
      <c r="T36" s="143">
        <f t="shared" si="4"/>
        <v>3.7196182361645583E-2</v>
      </c>
      <c r="U36" s="143">
        <f t="shared" si="5"/>
        <v>2.8001871146966045E-2</v>
      </c>
      <c r="V36" s="143">
        <f t="shared" si="6"/>
        <v>4.0853040382640309E-2</v>
      </c>
      <c r="W36" s="143">
        <f t="shared" si="7"/>
        <v>1.3500080108730767E-2</v>
      </c>
      <c r="Y36" s="143">
        <v>12783.4</v>
      </c>
      <c r="Z36" s="143">
        <v>1670.5</v>
      </c>
      <c r="AA36" s="143">
        <v>8134.2</v>
      </c>
      <c r="AB36" s="143">
        <v>2975.2</v>
      </c>
      <c r="AC36" s="143">
        <v>0.13067728460347014</v>
      </c>
      <c r="AD36" s="143">
        <v>0.63630958899823209</v>
      </c>
      <c r="AE36" s="143">
        <v>0.23273933382355241</v>
      </c>
      <c r="AF36" s="156">
        <f t="shared" si="8"/>
        <v>0.86904892282178448</v>
      </c>
    </row>
    <row r="37" spans="1:32">
      <c r="A37">
        <v>2012</v>
      </c>
      <c r="B37">
        <v>0.7428232532034087</v>
      </c>
      <c r="C37">
        <v>3.2095336687349034E-2</v>
      </c>
      <c r="D37">
        <v>0.33812924809186157</v>
      </c>
      <c r="E37">
        <v>8.0475236810172421E-2</v>
      </c>
      <c r="F37">
        <v>0.39085952916301264</v>
      </c>
      <c r="G37">
        <v>1.2236498132672842</v>
      </c>
      <c r="I37" s="143">
        <f t="shared" si="0"/>
        <v>0.77491858989075768</v>
      </c>
      <c r="J37" s="143">
        <f t="shared" si="1"/>
        <v>0.418604484902034</v>
      </c>
      <c r="K37" s="143">
        <f t="shared" si="2"/>
        <v>1.6145093424302968</v>
      </c>
      <c r="L37" s="143">
        <f t="shared" si="3"/>
        <v>0.39085952916301264</v>
      </c>
      <c r="N37">
        <v>3.6599052859215463E-2</v>
      </c>
      <c r="O37">
        <v>8.9834710925447382E-4</v>
      </c>
      <c r="P37">
        <v>2.399182216403746E-2</v>
      </c>
      <c r="Q37">
        <v>5.4156583739397813E-3</v>
      </c>
      <c r="R37">
        <v>9.6176689850655771E-3</v>
      </c>
      <c r="S37">
        <v>2.8741113187140128E-2</v>
      </c>
      <c r="T37" s="143">
        <f t="shared" si="4"/>
        <v>3.7497399968469937E-2</v>
      </c>
      <c r="U37" s="143">
        <f t="shared" si="5"/>
        <v>2.9407480537977242E-2</v>
      </c>
      <c r="V37" s="143">
        <f t="shared" si="6"/>
        <v>3.8358782172205702E-2</v>
      </c>
      <c r="W37" s="143">
        <f t="shared" si="7"/>
        <v>9.6176689850655771E-3</v>
      </c>
      <c r="Y37" s="143">
        <v>12759.3</v>
      </c>
      <c r="Z37" s="143">
        <v>1654.7</v>
      </c>
      <c r="AA37" s="143">
        <v>8017.5</v>
      </c>
      <c r="AB37" s="143">
        <v>3079.3</v>
      </c>
      <c r="AC37" s="143">
        <v>0.12968579781022471</v>
      </c>
      <c r="AD37" s="143">
        <v>0.6283651924478616</v>
      </c>
      <c r="AE37" s="143">
        <v>0.24133769093915813</v>
      </c>
      <c r="AF37" s="156">
        <f t="shared" si="8"/>
        <v>0.86970288338701973</v>
      </c>
    </row>
    <row r="38" spans="1:32">
      <c r="A38">
        <v>2013</v>
      </c>
      <c r="B38">
        <v>0.76121608918880779</v>
      </c>
      <c r="C38">
        <v>3.232950285492095E-2</v>
      </c>
      <c r="D38">
        <v>0.34313518049713326</v>
      </c>
      <c r="E38">
        <v>8.2502141927884506E-2</v>
      </c>
      <c r="F38">
        <v>0.39500927932854812</v>
      </c>
      <c r="G38">
        <v>1.2518336994294876</v>
      </c>
      <c r="I38" s="143">
        <f t="shared" si="0"/>
        <v>0.79354559204372876</v>
      </c>
      <c r="J38" s="143">
        <f t="shared" si="1"/>
        <v>0.42563732242501778</v>
      </c>
      <c r="K38" s="143">
        <f t="shared" si="2"/>
        <v>1.6468429787580359</v>
      </c>
      <c r="L38" s="143">
        <f t="shared" si="3"/>
        <v>0.39500927932854812</v>
      </c>
      <c r="N38">
        <v>3.9652990383734557E-2</v>
      </c>
      <c r="O38">
        <v>1.1570656688826395E-3</v>
      </c>
      <c r="P38">
        <v>2.5258079113726226E-2</v>
      </c>
      <c r="Q38">
        <v>6.7316610202543502E-3</v>
      </c>
      <c r="R38">
        <v>1.0783356654189124E-2</v>
      </c>
      <c r="S38">
        <v>2.9503012184377217E-2</v>
      </c>
      <c r="T38" s="143">
        <f t="shared" si="4"/>
        <v>4.08100560526172E-2</v>
      </c>
      <c r="U38" s="143">
        <f t="shared" si="5"/>
        <v>3.1989740133980579E-2</v>
      </c>
      <c r="V38" s="143">
        <f t="shared" si="6"/>
        <v>4.0286368838566344E-2</v>
      </c>
      <c r="W38" s="143">
        <f t="shared" si="7"/>
        <v>1.0783356654189124E-2</v>
      </c>
      <c r="Y38" s="143">
        <v>12741.4</v>
      </c>
      <c r="Z38" s="143">
        <v>1639</v>
      </c>
      <c r="AA38" s="143">
        <v>7901</v>
      </c>
      <c r="AB38" s="143">
        <v>3189.8</v>
      </c>
      <c r="AC38" s="143">
        <v>0.1286357857064373</v>
      </c>
      <c r="AD38" s="143">
        <v>0.62010454110223368</v>
      </c>
      <c r="AE38" s="143">
        <v>0.25034925518388879</v>
      </c>
      <c r="AF38" s="156">
        <f t="shared" si="8"/>
        <v>0.87045379628612252</v>
      </c>
    </row>
    <row r="39" spans="1:32">
      <c r="A39">
        <v>2014</v>
      </c>
      <c r="B39">
        <v>0.75999657158387146</v>
      </c>
      <c r="C39">
        <v>3.2177838750527647E-2</v>
      </c>
      <c r="D39">
        <v>0.33581062699133207</v>
      </c>
      <c r="E39">
        <v>8.3198543978443007E-2</v>
      </c>
      <c r="F39">
        <v>0.38625311529632178</v>
      </c>
      <c r="G39">
        <v>1.25688798290707</v>
      </c>
      <c r="I39" s="143">
        <f t="shared" si="0"/>
        <v>0.79217441033439906</v>
      </c>
      <c r="J39" s="143">
        <f t="shared" si="1"/>
        <v>0.41900917096977508</v>
      </c>
      <c r="K39" s="143">
        <f t="shared" si="2"/>
        <v>1.6431410982033918</v>
      </c>
      <c r="L39" s="143">
        <f t="shared" si="3"/>
        <v>0.38625311529632178</v>
      </c>
      <c r="N39">
        <v>3.8943854313035001E-2</v>
      </c>
      <c r="O39">
        <v>1.4531303306984625E-3</v>
      </c>
      <c r="P39">
        <v>2.507117235370877E-2</v>
      </c>
      <c r="Q39">
        <v>7.1045139752241183E-3</v>
      </c>
      <c r="R39">
        <v>1.0536977820439428E-2</v>
      </c>
      <c r="S39">
        <v>2.9261522982357738E-2</v>
      </c>
      <c r="T39" s="143">
        <f t="shared" si="4"/>
        <v>4.0396984643733466E-2</v>
      </c>
      <c r="U39" s="143">
        <f t="shared" si="5"/>
        <v>3.217568632893289E-2</v>
      </c>
      <c r="V39" s="143">
        <f t="shared" si="6"/>
        <v>3.9798500802797163E-2</v>
      </c>
      <c r="W39" s="143">
        <f t="shared" si="7"/>
        <v>1.0536977820439428E-2</v>
      </c>
      <c r="Y39" s="143">
        <v>12723.7</v>
      </c>
      <c r="Z39" s="143">
        <v>1623.3</v>
      </c>
      <c r="AA39" s="143">
        <v>7785</v>
      </c>
      <c r="AB39" s="143">
        <v>3300</v>
      </c>
      <c r="AC39" s="143">
        <v>0.12758081375700464</v>
      </c>
      <c r="AD39" s="143">
        <v>0.61185032655595462</v>
      </c>
      <c r="AE39" s="143">
        <v>0.25935851992737963</v>
      </c>
      <c r="AF39" s="156">
        <f t="shared" si="8"/>
        <v>0.8712088464833343</v>
      </c>
    </row>
    <row r="40" spans="1:32">
      <c r="A40">
        <v>2015</v>
      </c>
      <c r="B40">
        <v>0.73617922195377483</v>
      </c>
      <c r="C40">
        <v>3.1109842290137593E-2</v>
      </c>
      <c r="D40">
        <v>0.32798514141251367</v>
      </c>
      <c r="E40">
        <v>8.2194135928270462E-2</v>
      </c>
      <c r="F40">
        <v>0.37764944595333771</v>
      </c>
      <c r="G40">
        <v>1.2310621499861623</v>
      </c>
      <c r="I40" s="143">
        <f t="shared" si="0"/>
        <v>0.76728906424391241</v>
      </c>
      <c r="J40" s="143">
        <f t="shared" si="1"/>
        <v>0.41017927734078413</v>
      </c>
      <c r="K40" s="143">
        <f t="shared" si="2"/>
        <v>1.6087115959395</v>
      </c>
      <c r="L40" s="143">
        <f t="shared" si="3"/>
        <v>0.37764944595333771</v>
      </c>
      <c r="N40">
        <v>3.7741414409506638E-2</v>
      </c>
      <c r="O40">
        <v>1.485412678755532E-3</v>
      </c>
      <c r="P40">
        <v>2.5525419198810181E-2</v>
      </c>
      <c r="Q40">
        <v>7.1477121354981835E-3</v>
      </c>
      <c r="R40">
        <v>1.1961549520354074E-2</v>
      </c>
      <c r="S40">
        <v>2.6088210689209548E-2</v>
      </c>
      <c r="T40" s="143">
        <f t="shared" si="4"/>
        <v>3.9226827088262167E-2</v>
      </c>
      <c r="U40" s="143">
        <f t="shared" si="5"/>
        <v>3.2673131334308367E-2</v>
      </c>
      <c r="V40" s="143">
        <f t="shared" si="6"/>
        <v>3.8049760209563618E-2</v>
      </c>
      <c r="W40" s="143">
        <f t="shared" si="7"/>
        <v>1.1961549520354074E-2</v>
      </c>
      <c r="Y40" s="143">
        <v>12709.5</v>
      </c>
      <c r="Z40" s="143">
        <v>1594.5</v>
      </c>
      <c r="AA40" s="143">
        <v>7728.2</v>
      </c>
      <c r="AB40" s="143">
        <v>3386.8</v>
      </c>
      <c r="AC40" s="143">
        <v>0.12545733506432197</v>
      </c>
      <c r="AD40" s="143">
        <v>0.60806483339234429</v>
      </c>
      <c r="AE40" s="143">
        <v>0.26647783154333377</v>
      </c>
      <c r="AF40" s="156">
        <f t="shared" si="8"/>
        <v>0.874542664935678</v>
      </c>
    </row>
    <row r="41" spans="1:32">
      <c r="A41">
        <v>2016</v>
      </c>
      <c r="B41">
        <v>0.72535686596813975</v>
      </c>
      <c r="C41">
        <v>3.0575545874952186E-2</v>
      </c>
      <c r="D41">
        <v>0.32444149233803959</v>
      </c>
      <c r="E41">
        <v>8.2115954637755645E-2</v>
      </c>
      <c r="F41">
        <v>0.37384075489111523</v>
      </c>
      <c r="G41">
        <v>1.2233072844927828</v>
      </c>
      <c r="I41" s="143">
        <f t="shared" si="0"/>
        <v>0.7559324118430919</v>
      </c>
      <c r="J41" s="143">
        <f t="shared" si="1"/>
        <v>0.40655744697579521</v>
      </c>
      <c r="K41" s="143">
        <f t="shared" si="2"/>
        <v>1.5971480393838982</v>
      </c>
      <c r="L41" s="143">
        <f t="shared" si="3"/>
        <v>0.37384075489111523</v>
      </c>
      <c r="N41">
        <v>3.8559083379044123E-2</v>
      </c>
      <c r="O41">
        <v>1.4767675928963786E-3</v>
      </c>
      <c r="P41">
        <v>2.6442020660417672E-2</v>
      </c>
      <c r="Q41">
        <v>7.4769740721567857E-3</v>
      </c>
      <c r="R41">
        <v>1.2132860953853354E-2</v>
      </c>
      <c r="S41">
        <v>2.682172940709223E-2</v>
      </c>
      <c r="T41" s="143">
        <f t="shared" si="4"/>
        <v>4.0035850971940505E-2</v>
      </c>
      <c r="U41" s="143">
        <f t="shared" si="5"/>
        <v>3.391899473257446E-2</v>
      </c>
      <c r="V41" s="143">
        <f t="shared" si="6"/>
        <v>3.8954590360945583E-2</v>
      </c>
      <c r="W41" s="143">
        <f t="shared" si="7"/>
        <v>1.2132860953853354E-2</v>
      </c>
      <c r="Y41" s="143">
        <v>12693.3</v>
      </c>
      <c r="Z41" s="143">
        <v>1578</v>
      </c>
      <c r="AA41" s="143">
        <v>7656.2</v>
      </c>
      <c r="AB41" s="143">
        <v>3459.1</v>
      </c>
      <c r="AC41" s="143">
        <v>0.12431755335491954</v>
      </c>
      <c r="AD41" s="143">
        <v>0.60316860075788015</v>
      </c>
      <c r="AE41" s="143">
        <v>0.27251384588720035</v>
      </c>
      <c r="AF41" s="156">
        <f t="shared" si="8"/>
        <v>0.87568244664508055</v>
      </c>
    </row>
    <row r="42" spans="1:32">
      <c r="A42">
        <v>2017</v>
      </c>
      <c r="B42">
        <v>0.73266932140965102</v>
      </c>
      <c r="C42">
        <v>3.0518632983349392E-2</v>
      </c>
      <c r="D42">
        <v>0.32982871899369515</v>
      </c>
      <c r="E42">
        <v>8.3355667515861376E-2</v>
      </c>
      <c r="F42">
        <v>0.37551080671086817</v>
      </c>
      <c r="G42">
        <v>1.2391640682152263</v>
      </c>
      <c r="I42" s="143">
        <f t="shared" si="0"/>
        <v>0.76318795439300047</v>
      </c>
      <c r="J42" s="143">
        <f t="shared" si="1"/>
        <v>0.41318438650955652</v>
      </c>
      <c r="K42" s="143">
        <f t="shared" si="2"/>
        <v>1.6146748749260944</v>
      </c>
      <c r="L42" s="143">
        <f t="shared" si="3"/>
        <v>0.37551080671086817</v>
      </c>
      <c r="N42">
        <v>3.8793613139675956E-2</v>
      </c>
      <c r="O42">
        <v>1.2168375603220552E-3</v>
      </c>
      <c r="P42">
        <v>2.8181090018858272E-2</v>
      </c>
      <c r="Q42">
        <v>6.8773923153001501E-3</v>
      </c>
      <c r="R42">
        <v>1.1438453874985762E-2</v>
      </c>
      <c r="S42">
        <v>2.7584423755996044E-2</v>
      </c>
      <c r="T42" s="143">
        <f t="shared" si="4"/>
        <v>4.0010450699998014E-2</v>
      </c>
      <c r="U42" s="143">
        <f t="shared" si="5"/>
        <v>3.5058482334158425E-2</v>
      </c>
      <c r="V42" s="143">
        <f t="shared" si="6"/>
        <v>3.9022877630981806E-2</v>
      </c>
      <c r="W42" s="143">
        <f t="shared" si="7"/>
        <v>1.1438453874985762E-2</v>
      </c>
      <c r="Y42" s="143">
        <v>12670.6</v>
      </c>
      <c r="Z42" s="143">
        <v>1559.2</v>
      </c>
      <c r="AA42" s="143">
        <v>7596.2</v>
      </c>
      <c r="AB42" s="143">
        <v>3515.2</v>
      </c>
      <c r="AC42" s="143">
        <v>0.12305652455290199</v>
      </c>
      <c r="AD42" s="143">
        <v>0.59951383517749746</v>
      </c>
      <c r="AE42" s="143">
        <v>0.27742964026960049</v>
      </c>
      <c r="AF42" s="156">
        <f t="shared" si="8"/>
        <v>0.87694347544709794</v>
      </c>
    </row>
    <row r="43" spans="1:32">
      <c r="A43">
        <v>2018</v>
      </c>
      <c r="B43">
        <v>0.73228592821584571</v>
      </c>
      <c r="C43">
        <v>3.0249583954824032E-2</v>
      </c>
      <c r="D43">
        <v>0.33522689115366411</v>
      </c>
      <c r="E43">
        <v>8.4420313684398257E-2</v>
      </c>
      <c r="F43">
        <v>0.37896382007142887</v>
      </c>
      <c r="G43">
        <v>1.2532354857048744</v>
      </c>
      <c r="I43" s="143">
        <f t="shared" si="0"/>
        <v>0.76253551217066973</v>
      </c>
      <c r="J43" s="143">
        <f t="shared" si="1"/>
        <v>0.41964720483806239</v>
      </c>
      <c r="K43" s="143">
        <f t="shared" si="2"/>
        <v>1.6321993057763033</v>
      </c>
      <c r="L43" s="143">
        <f t="shared" si="3"/>
        <v>0.37896382007142887</v>
      </c>
      <c r="N43">
        <v>3.6698097195632565E-2</v>
      </c>
      <c r="O43">
        <v>1.147810027371961E-3</v>
      </c>
      <c r="P43">
        <v>2.9220970690570267E-2</v>
      </c>
      <c r="Q43">
        <v>7.0132559112935592E-3</v>
      </c>
      <c r="R43">
        <v>1.1391079588687025E-2</v>
      </c>
      <c r="S43">
        <v>2.7790882821253762E-2</v>
      </c>
      <c r="T43" s="143">
        <f t="shared" si="4"/>
        <v>3.7845907223004523E-2</v>
      </c>
      <c r="U43" s="143">
        <f t="shared" si="5"/>
        <v>3.6234226601863824E-2</v>
      </c>
      <c r="V43" s="143">
        <f t="shared" si="6"/>
        <v>3.918196240994079E-2</v>
      </c>
      <c r="W43" s="143">
        <f t="shared" si="7"/>
        <v>1.1391079588687025E-2</v>
      </c>
      <c r="Y43" s="143">
        <v>12644.3</v>
      </c>
      <c r="Z43" s="143">
        <v>1541.5</v>
      </c>
      <c r="AA43" s="143">
        <v>7545.1</v>
      </c>
      <c r="AB43" s="143">
        <v>3557.8</v>
      </c>
      <c r="AC43" s="143">
        <v>0.1219126404783183</v>
      </c>
      <c r="AD43" s="143">
        <v>0.59671947043331786</v>
      </c>
      <c r="AE43" s="143">
        <v>0.28137579779030869</v>
      </c>
      <c r="AF43" s="156">
        <f t="shared" si="8"/>
        <v>0.87809526822362649</v>
      </c>
    </row>
    <row r="44" spans="1:32">
      <c r="A44">
        <v>2019</v>
      </c>
      <c r="B44">
        <v>0.7366805705662367</v>
      </c>
      <c r="C44">
        <v>3.0004527969754145E-2</v>
      </c>
      <c r="D44">
        <v>0.33597539210393623</v>
      </c>
      <c r="E44">
        <v>8.5585709831506207E-2</v>
      </c>
      <c r="F44">
        <v>0.37575655650519268</v>
      </c>
      <c r="G44">
        <v>1.2752680977146349</v>
      </c>
      <c r="I44" s="143">
        <f t="shared" si="0"/>
        <v>0.76668509853599087</v>
      </c>
      <c r="J44" s="143">
        <f t="shared" si="1"/>
        <v>0.42156110193544244</v>
      </c>
      <c r="K44" s="143">
        <f t="shared" si="2"/>
        <v>1.6510246542198277</v>
      </c>
      <c r="L44" s="143">
        <f t="shared" si="3"/>
        <v>0.37575655650519268</v>
      </c>
      <c r="N44">
        <v>3.823812909007656E-2</v>
      </c>
      <c r="O44">
        <v>1.0356924600947498E-3</v>
      </c>
      <c r="P44">
        <v>2.866443243589949E-2</v>
      </c>
      <c r="Q44">
        <v>6.9745771620280542E-3</v>
      </c>
      <c r="R44">
        <v>1.1985739407447791E-2</v>
      </c>
      <c r="S44">
        <v>2.8997607199425585E-2</v>
      </c>
      <c r="T44" s="143">
        <f t="shared" si="4"/>
        <v>3.9273821550171312E-2</v>
      </c>
      <c r="U44" s="143">
        <f t="shared" si="5"/>
        <v>3.5639009597927547E-2</v>
      </c>
      <c r="V44" s="143">
        <f t="shared" si="6"/>
        <v>4.0983346606873375E-2</v>
      </c>
      <c r="W44" s="143">
        <f t="shared" si="7"/>
        <v>1.1985739407447791E-2</v>
      </c>
      <c r="Y44" s="143">
        <v>12616.7</v>
      </c>
      <c r="Z44" s="143">
        <v>1521</v>
      </c>
      <c r="AA44" s="143">
        <v>7507.2</v>
      </c>
      <c r="AB44" s="143">
        <v>3588.5</v>
      </c>
      <c r="AC44" s="143">
        <v>0.12055450315851213</v>
      </c>
      <c r="AD44" s="143">
        <v>0.59502088501747674</v>
      </c>
      <c r="AE44" s="143">
        <v>0.28442461182401102</v>
      </c>
      <c r="AF44" s="156">
        <f t="shared" si="8"/>
        <v>0.87944549684148776</v>
      </c>
    </row>
  </sheetData>
  <phoneticPr fontId="1"/>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14218-A985-4F9E-8003-8FBAB89C3E21}">
  <dimension ref="A1:R55"/>
  <sheetViews>
    <sheetView showGridLines="0" zoomScale="85" zoomScaleNormal="85" workbookViewId="0">
      <selection activeCell="C49" sqref="C49:C52"/>
    </sheetView>
  </sheetViews>
  <sheetFormatPr defaultColWidth="8.84375" defaultRowHeight="18.45" outlineLevelRow="1" outlineLevelCol="1"/>
  <cols>
    <col min="1" max="1" width="21.4609375" style="57" bestFit="1" customWidth="1"/>
    <col min="2" max="2" width="15.4609375" style="57" bestFit="1" customWidth="1"/>
    <col min="3" max="3" width="20.765625" style="24" bestFit="1" customWidth="1"/>
    <col min="4" max="4" width="25.4609375" style="24" bestFit="1" customWidth="1"/>
    <col min="5" max="5" width="20.765625" style="24" bestFit="1" customWidth="1"/>
    <col min="6" max="9" width="14.4609375" style="24" hidden="1" customWidth="1" outlineLevel="1"/>
    <col min="10" max="10" width="13.23046875" style="24" hidden="1" customWidth="1" outlineLevel="1" collapsed="1"/>
    <col min="11" max="11" width="20.765625" style="24" bestFit="1" customWidth="1" collapsed="1"/>
    <col min="12" max="12" width="25.4609375" style="24" bestFit="1" customWidth="1"/>
    <col min="13" max="13" width="20.765625" style="24" bestFit="1" customWidth="1"/>
    <col min="14" max="17" width="21.3046875" style="24" hidden="1" customWidth="1" outlineLevel="1"/>
    <col min="18" max="18" width="8.84375" style="24" collapsed="1"/>
    <col min="19" max="16384" width="8.84375" style="24"/>
  </cols>
  <sheetData>
    <row r="1" spans="1:17">
      <c r="A1" s="434" t="s">
        <v>164</v>
      </c>
      <c r="B1" s="434"/>
      <c r="C1" s="434"/>
      <c r="D1" s="434"/>
      <c r="E1" s="434"/>
      <c r="F1" s="434"/>
      <c r="G1" s="434"/>
      <c r="H1" s="434"/>
      <c r="I1" s="434"/>
      <c r="J1" s="434"/>
      <c r="K1" s="434"/>
      <c r="L1" s="434"/>
      <c r="M1" s="434"/>
      <c r="N1" s="24" t="s">
        <v>164</v>
      </c>
      <c r="O1" s="24" t="s">
        <v>164</v>
      </c>
      <c r="P1" s="24" t="s">
        <v>164</v>
      </c>
      <c r="Q1" s="24" t="s">
        <v>164</v>
      </c>
    </row>
    <row r="2" spans="1:17">
      <c r="A2" s="432" t="s">
        <v>542</v>
      </c>
      <c r="B2" s="432"/>
      <c r="C2" s="435" t="s">
        <v>543</v>
      </c>
      <c r="D2" s="432"/>
      <c r="E2" s="432"/>
      <c r="F2" s="57" t="s">
        <v>544</v>
      </c>
      <c r="G2" s="57" t="s">
        <v>544</v>
      </c>
      <c r="H2" s="57" t="s">
        <v>544</v>
      </c>
      <c r="I2" s="57" t="s">
        <v>544</v>
      </c>
      <c r="J2" s="57"/>
      <c r="K2" s="432" t="s">
        <v>545</v>
      </c>
      <c r="L2" s="432"/>
      <c r="M2" s="432"/>
      <c r="N2" s="24" t="s">
        <v>546</v>
      </c>
      <c r="O2" s="24" t="s">
        <v>546</v>
      </c>
      <c r="P2" s="24" t="s">
        <v>546</v>
      </c>
      <c r="Q2" s="24" t="s">
        <v>546</v>
      </c>
    </row>
    <row r="3" spans="1:17">
      <c r="A3" s="436" t="s">
        <v>547</v>
      </c>
      <c r="B3" s="436"/>
      <c r="C3" s="153" t="s">
        <v>548</v>
      </c>
      <c r="D3" s="154" t="s">
        <v>549</v>
      </c>
      <c r="E3" s="154" t="s">
        <v>550</v>
      </c>
      <c r="F3" s="154" t="s">
        <v>551</v>
      </c>
      <c r="G3" s="154">
        <v>1565</v>
      </c>
      <c r="H3" s="154" t="s">
        <v>552</v>
      </c>
      <c r="I3" s="154" t="s">
        <v>553</v>
      </c>
      <c r="J3" s="154"/>
      <c r="K3" s="153" t="s">
        <v>548</v>
      </c>
      <c r="L3" s="158" t="s">
        <v>549</v>
      </c>
      <c r="M3" s="154" t="s">
        <v>550</v>
      </c>
      <c r="N3" s="24" t="s">
        <v>551</v>
      </c>
      <c r="O3" s="24">
        <v>1565</v>
      </c>
      <c r="P3" s="24" t="s">
        <v>552</v>
      </c>
      <c r="Q3" s="24" t="s">
        <v>553</v>
      </c>
    </row>
    <row r="4" spans="1:17" s="44" customFormat="1">
      <c r="A4" s="437" t="s">
        <v>554</v>
      </c>
      <c r="B4" s="147" t="s">
        <v>555</v>
      </c>
      <c r="C4" s="149">
        <v>0.15049999999999999</v>
      </c>
      <c r="D4" s="151">
        <v>0.41320000000000001</v>
      </c>
      <c r="E4" s="151">
        <v>0.88109999999999999</v>
      </c>
      <c r="F4" s="146"/>
      <c r="G4" s="146"/>
      <c r="H4" s="146"/>
      <c r="I4" s="146"/>
      <c r="J4" s="146"/>
      <c r="K4" s="146">
        <v>0.12959999999999999</v>
      </c>
      <c r="L4" s="148">
        <v>4.7199999999999999E-2</v>
      </c>
      <c r="M4" s="146">
        <v>0.372</v>
      </c>
      <c r="N4" s="44">
        <v>0.2112</v>
      </c>
      <c r="O4" s="44">
        <v>0.85370000000000001</v>
      </c>
      <c r="P4" s="44">
        <v>0.4299</v>
      </c>
      <c r="Q4" s="44">
        <v>0.23219999999999999</v>
      </c>
    </row>
    <row r="5" spans="1:17" s="44" customFormat="1">
      <c r="A5" s="437"/>
      <c r="B5" s="147" t="s">
        <v>556</v>
      </c>
      <c r="C5" s="149">
        <v>0.1205</v>
      </c>
      <c r="D5" s="151">
        <v>0.2918</v>
      </c>
      <c r="E5" s="151">
        <v>0.87890000000000001</v>
      </c>
      <c r="F5" s="146"/>
      <c r="G5" s="146"/>
      <c r="H5" s="146"/>
      <c r="I5" s="146"/>
      <c r="J5" s="146"/>
      <c r="K5" s="146">
        <v>0.1457</v>
      </c>
      <c r="L5" s="148">
        <v>3.9300000000000002E-2</v>
      </c>
      <c r="M5" s="146">
        <v>0.43269999999999997</v>
      </c>
      <c r="N5" s="44">
        <v>0.36609999999999998</v>
      </c>
      <c r="O5" s="44">
        <v>0.89090000000000003</v>
      </c>
      <c r="P5" s="44">
        <v>0.4541</v>
      </c>
      <c r="Q5" s="44">
        <v>0.44369999999999998</v>
      </c>
    </row>
    <row r="6" spans="1:17" s="44" customFormat="1">
      <c r="A6" s="437" t="s">
        <v>557</v>
      </c>
      <c r="B6" s="147" t="s">
        <v>558</v>
      </c>
      <c r="C6" s="149">
        <v>0.13239999999999999</v>
      </c>
      <c r="D6" s="151">
        <v>0.4002</v>
      </c>
      <c r="E6" s="151">
        <v>0.86850000000000005</v>
      </c>
      <c r="F6" s="146"/>
      <c r="G6" s="146"/>
      <c r="H6" s="146"/>
      <c r="I6" s="146"/>
      <c r="J6" s="146"/>
      <c r="K6" s="148">
        <v>8.8099999999999998E-2</v>
      </c>
      <c r="L6" s="148">
        <v>4.2900000000000001E-2</v>
      </c>
      <c r="M6" s="146">
        <v>0.38850000000000001</v>
      </c>
      <c r="N6" s="44">
        <v>0.15870000000000001</v>
      </c>
      <c r="O6" s="44">
        <v>0.79569999999999996</v>
      </c>
      <c r="P6" s="44">
        <v>0.27779999999999999</v>
      </c>
      <c r="Q6" s="44">
        <v>0.17369999999999999</v>
      </c>
    </row>
    <row r="7" spans="1:17" s="44" customFormat="1">
      <c r="A7" s="437"/>
      <c r="B7" s="147" t="s">
        <v>556</v>
      </c>
      <c r="C7" s="149">
        <v>0.1101</v>
      </c>
      <c r="D7" s="151">
        <v>0.29670000000000002</v>
      </c>
      <c r="E7" s="151">
        <v>0.86709999999999998</v>
      </c>
      <c r="F7" s="146"/>
      <c r="G7" s="146"/>
      <c r="H7" s="146"/>
      <c r="I7" s="146"/>
      <c r="J7" s="146"/>
      <c r="K7" s="148">
        <v>7.7600000000000002E-2</v>
      </c>
      <c r="L7" s="148">
        <v>4.1700000000000001E-2</v>
      </c>
      <c r="M7" s="146">
        <v>0.50039999999999996</v>
      </c>
      <c r="N7" s="44">
        <v>0.23250000000000001</v>
      </c>
      <c r="O7" s="44">
        <v>0.82540000000000002</v>
      </c>
      <c r="P7" s="44">
        <v>0.2492</v>
      </c>
      <c r="Q7" s="44">
        <v>0.26540000000000002</v>
      </c>
    </row>
    <row r="8" spans="1:17" s="44" customFormat="1" hidden="1" outlineLevel="1">
      <c r="A8" s="147"/>
      <c r="B8" s="147"/>
      <c r="C8" s="44">
        <f>AVERAGE(C4:C7)</f>
        <v>0.12837499999999999</v>
      </c>
      <c r="D8" s="44">
        <f t="shared" ref="D8:Q8" si="0">AVERAGE(D4:D7)</f>
        <v>0.35047499999999998</v>
      </c>
      <c r="E8" s="44">
        <f t="shared" si="0"/>
        <v>0.8738999999999999</v>
      </c>
      <c r="F8" s="44" t="e">
        <f t="shared" si="0"/>
        <v>#DIV/0!</v>
      </c>
      <c r="G8" s="44" t="e">
        <f t="shared" si="0"/>
        <v>#DIV/0!</v>
      </c>
      <c r="H8" s="44" t="e">
        <f t="shared" si="0"/>
        <v>#DIV/0!</v>
      </c>
      <c r="I8" s="44" t="e">
        <f t="shared" si="0"/>
        <v>#DIV/0!</v>
      </c>
      <c r="K8" s="44">
        <f t="shared" si="0"/>
        <v>0.11025</v>
      </c>
      <c r="L8" s="44">
        <f t="shared" si="0"/>
        <v>4.2774999999999994E-2</v>
      </c>
      <c r="M8" s="44">
        <f t="shared" si="0"/>
        <v>0.4234</v>
      </c>
      <c r="N8" s="44">
        <f t="shared" si="0"/>
        <v>0.24212500000000001</v>
      </c>
      <c r="O8" s="44">
        <f t="shared" si="0"/>
        <v>0.84142500000000009</v>
      </c>
      <c r="P8" s="44">
        <f t="shared" si="0"/>
        <v>0.35275000000000001</v>
      </c>
      <c r="Q8" s="44">
        <f t="shared" si="0"/>
        <v>0.27875</v>
      </c>
    </row>
    <row r="9" spans="1:17" collapsed="1"/>
    <row r="10" spans="1:17">
      <c r="A10" s="434" t="s">
        <v>559</v>
      </c>
      <c r="B10" s="434"/>
      <c r="C10" s="434"/>
      <c r="D10" s="434"/>
      <c r="E10" s="434"/>
      <c r="F10" s="434"/>
      <c r="G10" s="434"/>
      <c r="H10" s="434"/>
      <c r="I10" s="434"/>
      <c r="J10" s="434"/>
      <c r="K10" s="434"/>
      <c r="L10" s="434"/>
      <c r="M10" s="434"/>
      <c r="N10" s="24" t="s">
        <v>165</v>
      </c>
      <c r="O10" s="24" t="s">
        <v>165</v>
      </c>
      <c r="P10" s="24" t="s">
        <v>165</v>
      </c>
      <c r="Q10" s="24" t="s">
        <v>165</v>
      </c>
    </row>
    <row r="11" spans="1:17">
      <c r="A11" s="432" t="s">
        <v>542</v>
      </c>
      <c r="B11" s="432"/>
      <c r="C11" s="435" t="s">
        <v>543</v>
      </c>
      <c r="D11" s="432"/>
      <c r="E11" s="432"/>
      <c r="F11" s="57" t="s">
        <v>544</v>
      </c>
      <c r="G11" s="57" t="s">
        <v>544</v>
      </c>
      <c r="H11" s="57" t="s">
        <v>544</v>
      </c>
      <c r="I11" s="57" t="s">
        <v>544</v>
      </c>
      <c r="J11" s="57"/>
      <c r="K11" s="432" t="s">
        <v>545</v>
      </c>
      <c r="L11" s="432"/>
      <c r="M11" s="432"/>
      <c r="N11" s="24" t="s">
        <v>546</v>
      </c>
      <c r="O11" s="24" t="s">
        <v>546</v>
      </c>
      <c r="P11" s="24" t="s">
        <v>546</v>
      </c>
      <c r="Q11" s="24" t="s">
        <v>546</v>
      </c>
    </row>
    <row r="12" spans="1:17">
      <c r="A12" s="436" t="s">
        <v>547</v>
      </c>
      <c r="B12" s="436"/>
      <c r="C12" s="153" t="s">
        <v>548</v>
      </c>
      <c r="D12" s="154" t="s">
        <v>549</v>
      </c>
      <c r="E12" s="154" t="s">
        <v>550</v>
      </c>
      <c r="F12" s="155" t="s">
        <v>560</v>
      </c>
      <c r="G12" s="155">
        <v>1565</v>
      </c>
      <c r="H12" s="155" t="s">
        <v>561</v>
      </c>
      <c r="I12" s="155" t="s">
        <v>562</v>
      </c>
      <c r="J12" s="155"/>
      <c r="K12" s="153" t="s">
        <v>548</v>
      </c>
      <c r="L12" s="158" t="s">
        <v>549</v>
      </c>
      <c r="M12" s="154" t="s">
        <v>550</v>
      </c>
      <c r="N12" s="24" t="s">
        <v>551</v>
      </c>
      <c r="O12" s="24">
        <v>1565</v>
      </c>
      <c r="P12" s="24" t="s">
        <v>552</v>
      </c>
      <c r="Q12" s="24" t="s">
        <v>553</v>
      </c>
    </row>
    <row r="13" spans="1:17" s="44" customFormat="1">
      <c r="A13" s="437" t="s">
        <v>554</v>
      </c>
      <c r="B13" s="147" t="s">
        <v>555</v>
      </c>
      <c r="C13" s="149">
        <v>0.1067</v>
      </c>
      <c r="D13" s="151">
        <v>0.3735</v>
      </c>
      <c r="E13" s="151">
        <v>0.86280000000000001</v>
      </c>
      <c r="F13" s="146"/>
      <c r="G13" s="146"/>
      <c r="H13" s="146"/>
      <c r="I13" s="146"/>
      <c r="J13" s="146"/>
      <c r="K13" s="146">
        <v>0.16039999999999999</v>
      </c>
      <c r="L13" s="148">
        <v>6.6400000000000001E-2</v>
      </c>
      <c r="M13" s="146">
        <v>0.41849999999999998</v>
      </c>
      <c r="N13" s="44">
        <v>0.20219999999999999</v>
      </c>
      <c r="O13" s="44">
        <v>0.1749</v>
      </c>
      <c r="P13" s="44">
        <v>7.8E-2</v>
      </c>
      <c r="Q13" s="44">
        <v>0.4582</v>
      </c>
    </row>
    <row r="14" spans="1:17" s="44" customFormat="1">
      <c r="A14" s="437"/>
      <c r="B14" s="147" t="s">
        <v>556</v>
      </c>
      <c r="C14" s="152">
        <v>8.1699999999999995E-2</v>
      </c>
      <c r="D14" s="151">
        <v>0.2596</v>
      </c>
      <c r="E14" s="151">
        <v>0.85870000000000002</v>
      </c>
      <c r="F14" s="146"/>
      <c r="G14" s="146"/>
      <c r="H14" s="146"/>
      <c r="I14" s="146"/>
      <c r="J14" s="146"/>
      <c r="K14" s="146">
        <v>0.1804</v>
      </c>
      <c r="L14" s="148">
        <v>5.2600000000000001E-2</v>
      </c>
      <c r="M14" s="146">
        <v>0.47049999999999997</v>
      </c>
      <c r="N14" s="44">
        <v>7.8100000000000003E-2</v>
      </c>
      <c r="O14" s="44">
        <v>0.26200000000000001</v>
      </c>
      <c r="P14" s="44">
        <v>1.0699999999999999E-2</v>
      </c>
      <c r="Q14" s="44">
        <v>0.27610000000000001</v>
      </c>
    </row>
    <row r="15" spans="1:17" s="44" customFormat="1">
      <c r="A15" s="437" t="s">
        <v>557</v>
      </c>
      <c r="B15" s="147" t="s">
        <v>558</v>
      </c>
      <c r="C15" s="152">
        <v>9.1499999999999998E-2</v>
      </c>
      <c r="D15" s="151">
        <v>0.36399999999999999</v>
      </c>
      <c r="E15" s="151">
        <v>0.85250000000000004</v>
      </c>
      <c r="F15" s="146"/>
      <c r="G15" s="146"/>
      <c r="H15" s="146"/>
      <c r="I15" s="146"/>
      <c r="J15" s="146"/>
      <c r="K15" s="148">
        <v>0.10829999999999999</v>
      </c>
      <c r="L15" s="148">
        <v>6.0299999999999999E-2</v>
      </c>
      <c r="M15" s="146">
        <v>0.43609999999999999</v>
      </c>
      <c r="N15" s="44">
        <v>0.39350000000000002</v>
      </c>
      <c r="O15" s="44">
        <v>0.2238</v>
      </c>
      <c r="P15" s="44">
        <v>0.24460000000000001</v>
      </c>
      <c r="Q15" s="44">
        <v>0.62329999999999997</v>
      </c>
    </row>
    <row r="16" spans="1:17" s="44" customFormat="1">
      <c r="A16" s="437"/>
      <c r="B16" s="147" t="s">
        <v>556</v>
      </c>
      <c r="C16" s="152">
        <v>7.1999999999999995E-2</v>
      </c>
      <c r="D16" s="151">
        <v>0.26860000000000001</v>
      </c>
      <c r="E16" s="151">
        <v>0.85109999999999997</v>
      </c>
      <c r="F16" s="146"/>
      <c r="G16" s="146"/>
      <c r="H16" s="146"/>
      <c r="I16" s="146"/>
      <c r="J16" s="146"/>
      <c r="K16" s="148">
        <v>9.64E-2</v>
      </c>
      <c r="L16" s="148">
        <v>5.4100000000000002E-2</v>
      </c>
      <c r="M16" s="146">
        <v>0.53439999999999999</v>
      </c>
      <c r="N16" s="44">
        <v>0.32300000000000001</v>
      </c>
      <c r="O16" s="44">
        <v>0.46379999999999999</v>
      </c>
      <c r="P16" s="44">
        <v>0.17449999999999999</v>
      </c>
      <c r="Q16" s="44">
        <v>0.54530000000000001</v>
      </c>
    </row>
    <row r="17" spans="1:17" s="44" customFormat="1" hidden="1" outlineLevel="1">
      <c r="A17" s="147"/>
      <c r="B17" s="147"/>
      <c r="C17" s="44">
        <f>AVERAGE(C13:C16)</f>
        <v>8.7975000000000012E-2</v>
      </c>
      <c r="D17" s="44">
        <f t="shared" ref="D17:Q17" si="1">AVERAGE(D13:D16)</f>
        <v>0.31642500000000001</v>
      </c>
      <c r="E17" s="44">
        <f t="shared" si="1"/>
        <v>0.8562749999999999</v>
      </c>
      <c r="F17" s="44" t="e">
        <f t="shared" si="1"/>
        <v>#DIV/0!</v>
      </c>
      <c r="G17" s="44" t="e">
        <f t="shared" si="1"/>
        <v>#DIV/0!</v>
      </c>
      <c r="H17" s="44" t="e">
        <f t="shared" si="1"/>
        <v>#DIV/0!</v>
      </c>
      <c r="I17" s="44" t="e">
        <f t="shared" si="1"/>
        <v>#DIV/0!</v>
      </c>
      <c r="J17" s="44" t="e">
        <f t="shared" si="1"/>
        <v>#DIV/0!</v>
      </c>
      <c r="K17" s="44">
        <f t="shared" si="1"/>
        <v>0.136375</v>
      </c>
      <c r="L17" s="44">
        <f t="shared" si="1"/>
        <v>5.8349999999999999E-2</v>
      </c>
      <c r="M17" s="44">
        <f t="shared" si="1"/>
        <v>0.46487499999999998</v>
      </c>
      <c r="N17" s="44">
        <f t="shared" si="1"/>
        <v>0.24919999999999998</v>
      </c>
      <c r="O17" s="44">
        <f t="shared" si="1"/>
        <v>0.28112500000000001</v>
      </c>
      <c r="P17" s="44">
        <f t="shared" si="1"/>
        <v>0.12695000000000001</v>
      </c>
      <c r="Q17" s="44">
        <f t="shared" si="1"/>
        <v>0.47572499999999995</v>
      </c>
    </row>
    <row r="18" spans="1:17" collapsed="1"/>
    <row r="19" spans="1:17">
      <c r="A19" s="434" t="s">
        <v>563</v>
      </c>
      <c r="B19" s="434"/>
      <c r="C19" s="434"/>
      <c r="D19" s="434"/>
      <c r="E19" s="434"/>
      <c r="F19" s="434"/>
      <c r="G19" s="434"/>
      <c r="H19" s="434"/>
      <c r="I19" s="434"/>
      <c r="J19" s="434"/>
      <c r="K19" s="434"/>
      <c r="L19" s="434"/>
      <c r="M19" s="434"/>
      <c r="N19" s="24" t="s">
        <v>165</v>
      </c>
      <c r="O19" s="24" t="s">
        <v>165</v>
      </c>
      <c r="P19" s="24" t="s">
        <v>165</v>
      </c>
      <c r="Q19" s="24" t="s">
        <v>165</v>
      </c>
    </row>
    <row r="20" spans="1:17">
      <c r="A20" s="432" t="s">
        <v>542</v>
      </c>
      <c r="B20" s="432"/>
      <c r="C20" s="435" t="s">
        <v>543</v>
      </c>
      <c r="D20" s="432"/>
      <c r="E20" s="432"/>
      <c r="F20" s="57" t="s">
        <v>544</v>
      </c>
      <c r="G20" s="57" t="s">
        <v>544</v>
      </c>
      <c r="H20" s="57" t="s">
        <v>544</v>
      </c>
      <c r="I20" s="57" t="s">
        <v>544</v>
      </c>
      <c r="J20" s="57"/>
      <c r="K20" s="432" t="s">
        <v>545</v>
      </c>
      <c r="L20" s="432"/>
      <c r="M20" s="432"/>
      <c r="N20" s="24" t="s">
        <v>546</v>
      </c>
      <c r="O20" s="24" t="s">
        <v>546</v>
      </c>
      <c r="P20" s="24" t="s">
        <v>546</v>
      </c>
      <c r="Q20" s="24" t="s">
        <v>546</v>
      </c>
    </row>
    <row r="21" spans="1:17">
      <c r="A21" s="436" t="s">
        <v>547</v>
      </c>
      <c r="B21" s="436"/>
      <c r="C21" s="153" t="s">
        <v>548</v>
      </c>
      <c r="D21" s="154" t="s">
        <v>549</v>
      </c>
      <c r="E21" s="154" t="s">
        <v>550</v>
      </c>
      <c r="F21" s="155" t="s">
        <v>560</v>
      </c>
      <c r="G21" s="155">
        <v>1565</v>
      </c>
      <c r="H21" s="155" t="s">
        <v>561</v>
      </c>
      <c r="I21" s="155" t="s">
        <v>562</v>
      </c>
      <c r="J21" s="155"/>
      <c r="K21" s="153" t="s">
        <v>548</v>
      </c>
      <c r="L21" s="154" t="s">
        <v>549</v>
      </c>
      <c r="M21" s="154" t="s">
        <v>550</v>
      </c>
      <c r="N21" s="24" t="s">
        <v>551</v>
      </c>
      <c r="O21" s="24">
        <v>1565</v>
      </c>
      <c r="P21" s="24" t="s">
        <v>552</v>
      </c>
      <c r="Q21" s="24" t="s">
        <v>553</v>
      </c>
    </row>
    <row r="22" spans="1:17" s="44" customFormat="1">
      <c r="A22" s="437" t="s">
        <v>554</v>
      </c>
      <c r="B22" s="147" t="s">
        <v>555</v>
      </c>
      <c r="C22" s="149">
        <v>0.24399999999999999</v>
      </c>
      <c r="D22" s="151">
        <v>0.22850000000000001</v>
      </c>
      <c r="E22" s="151">
        <v>0.78169999999999995</v>
      </c>
      <c r="F22" s="146"/>
      <c r="G22" s="146"/>
      <c r="H22" s="146"/>
      <c r="I22" s="146"/>
      <c r="J22" s="146"/>
      <c r="K22" s="146">
        <v>0.2591</v>
      </c>
      <c r="L22" s="146">
        <v>0.58709999999999996</v>
      </c>
      <c r="M22" s="146">
        <v>0.90500000000000003</v>
      </c>
      <c r="N22" s="44">
        <v>0.20219999999999999</v>
      </c>
      <c r="O22" s="44">
        <v>0.1749</v>
      </c>
      <c r="P22" s="44">
        <v>7.8E-2</v>
      </c>
      <c r="Q22" s="44">
        <v>0.4582</v>
      </c>
    </row>
    <row r="23" spans="1:17" s="44" customFormat="1">
      <c r="A23" s="437"/>
      <c r="B23" s="147" t="s">
        <v>556</v>
      </c>
      <c r="C23" s="149">
        <v>0.2301</v>
      </c>
      <c r="D23" s="151">
        <v>0.18179999999999999</v>
      </c>
      <c r="E23" s="151">
        <v>0.79110000000000003</v>
      </c>
      <c r="F23" s="146"/>
      <c r="G23" s="146"/>
      <c r="H23" s="146"/>
      <c r="I23" s="146"/>
      <c r="J23" s="146"/>
      <c r="K23" s="146">
        <v>0.41899999999999998</v>
      </c>
      <c r="L23" s="146">
        <v>0.57899999999999996</v>
      </c>
      <c r="M23" s="146">
        <v>0.90800000000000003</v>
      </c>
      <c r="N23" s="44">
        <v>7.8100000000000003E-2</v>
      </c>
      <c r="O23" s="44">
        <v>0.26200000000000001</v>
      </c>
      <c r="P23" s="44">
        <v>1.0699999999999999E-2</v>
      </c>
      <c r="Q23" s="44">
        <v>0.27610000000000001</v>
      </c>
    </row>
    <row r="24" spans="1:17" s="44" customFormat="1">
      <c r="A24" s="437" t="s">
        <v>557</v>
      </c>
      <c r="B24" s="147" t="s">
        <v>558</v>
      </c>
      <c r="C24" s="149">
        <v>0.1668</v>
      </c>
      <c r="D24" s="151">
        <v>0.19409999999999999</v>
      </c>
      <c r="E24" s="151">
        <v>0.70379999999999998</v>
      </c>
      <c r="F24" s="146"/>
      <c r="G24" s="146"/>
      <c r="H24" s="146"/>
      <c r="I24" s="146"/>
      <c r="J24" s="146"/>
      <c r="K24" s="146">
        <v>0.2019</v>
      </c>
      <c r="L24" s="146">
        <v>0.4572</v>
      </c>
      <c r="M24" s="146">
        <v>0.81469999999999998</v>
      </c>
      <c r="N24" s="44">
        <v>0.39350000000000002</v>
      </c>
      <c r="O24" s="44">
        <v>0.2238</v>
      </c>
      <c r="P24" s="44">
        <v>0.24460000000000001</v>
      </c>
      <c r="Q24" s="44">
        <v>0.62329999999999997</v>
      </c>
    </row>
    <row r="25" spans="1:17" s="44" customFormat="1">
      <c r="A25" s="437"/>
      <c r="B25" s="147" t="s">
        <v>556</v>
      </c>
      <c r="C25" s="149">
        <v>0.13089999999999999</v>
      </c>
      <c r="D25" s="151">
        <v>0.15329999999999999</v>
      </c>
      <c r="E25" s="151">
        <v>0.69669999999999999</v>
      </c>
      <c r="F25" s="146"/>
      <c r="G25" s="146"/>
      <c r="H25" s="146"/>
      <c r="I25" s="146"/>
      <c r="J25" s="146"/>
      <c r="K25" s="146">
        <v>0.28170000000000001</v>
      </c>
      <c r="L25" s="146">
        <v>0.41620000000000001</v>
      </c>
      <c r="M25" s="146">
        <v>0.78500000000000003</v>
      </c>
      <c r="N25" s="44">
        <v>0.32300000000000001</v>
      </c>
      <c r="O25" s="44">
        <v>0.46379999999999999</v>
      </c>
      <c r="P25" s="44">
        <v>0.17449999999999999</v>
      </c>
      <c r="Q25" s="44">
        <v>0.54530000000000001</v>
      </c>
    </row>
    <row r="26" spans="1:17" s="44" customFormat="1" hidden="1" outlineLevel="1">
      <c r="A26" s="147"/>
      <c r="B26" s="147"/>
      <c r="C26" s="44">
        <f>AVERAGE(C22:C25)</f>
        <v>0.19295000000000001</v>
      </c>
      <c r="D26" s="44">
        <f t="shared" ref="D26:Q26" si="2">AVERAGE(D22:D25)</f>
        <v>0.18942500000000001</v>
      </c>
      <c r="E26" s="44">
        <f t="shared" si="2"/>
        <v>0.74332500000000001</v>
      </c>
      <c r="F26" s="44" t="e">
        <f t="shared" si="2"/>
        <v>#DIV/0!</v>
      </c>
      <c r="G26" s="44" t="e">
        <f t="shared" si="2"/>
        <v>#DIV/0!</v>
      </c>
      <c r="H26" s="44" t="e">
        <f t="shared" si="2"/>
        <v>#DIV/0!</v>
      </c>
      <c r="I26" s="44" t="e">
        <f t="shared" si="2"/>
        <v>#DIV/0!</v>
      </c>
      <c r="K26" s="44">
        <f t="shared" si="2"/>
        <v>0.29042499999999999</v>
      </c>
      <c r="L26" s="44">
        <f t="shared" si="2"/>
        <v>0.50987499999999997</v>
      </c>
      <c r="M26" s="44">
        <f t="shared" si="2"/>
        <v>0.85317500000000002</v>
      </c>
      <c r="N26" s="44">
        <f t="shared" si="2"/>
        <v>0.24919999999999998</v>
      </c>
      <c r="O26" s="44">
        <f>AVERAGE(O22:O25)</f>
        <v>0.28112500000000001</v>
      </c>
      <c r="P26" s="44">
        <f t="shared" si="2"/>
        <v>0.12695000000000001</v>
      </c>
      <c r="Q26" s="44">
        <f t="shared" si="2"/>
        <v>0.47572499999999995</v>
      </c>
    </row>
    <row r="27" spans="1:17" collapsed="1"/>
    <row r="28" spans="1:17">
      <c r="A28" s="434" t="s">
        <v>564</v>
      </c>
      <c r="B28" s="434"/>
      <c r="C28" s="434"/>
      <c r="D28" s="434"/>
      <c r="E28" s="434"/>
      <c r="F28" s="434"/>
      <c r="G28" s="434"/>
      <c r="H28" s="434"/>
      <c r="I28" s="434"/>
      <c r="J28" s="434"/>
      <c r="K28" s="434"/>
      <c r="L28" s="434"/>
      <c r="M28" s="434"/>
      <c r="N28" s="24" t="s">
        <v>167</v>
      </c>
      <c r="O28" s="24" t="s">
        <v>167</v>
      </c>
      <c r="P28" s="24" t="s">
        <v>167</v>
      </c>
      <c r="Q28" s="24" t="s">
        <v>167</v>
      </c>
    </row>
    <row r="29" spans="1:17">
      <c r="A29" s="432" t="s">
        <v>542</v>
      </c>
      <c r="B29" s="432"/>
      <c r="C29" s="435" t="s">
        <v>565</v>
      </c>
      <c r="D29" s="432"/>
      <c r="E29" s="432"/>
      <c r="F29" s="57" t="s">
        <v>544</v>
      </c>
      <c r="G29" s="57" t="s">
        <v>544</v>
      </c>
      <c r="H29" s="57" t="s">
        <v>544</v>
      </c>
      <c r="I29" s="57" t="s">
        <v>544</v>
      </c>
      <c r="J29" s="57"/>
      <c r="K29" s="432" t="s">
        <v>545</v>
      </c>
      <c r="L29" s="432"/>
      <c r="M29" s="432"/>
      <c r="N29" s="24" t="s">
        <v>546</v>
      </c>
      <c r="O29" s="24" t="s">
        <v>546</v>
      </c>
      <c r="P29" s="24" t="s">
        <v>546</v>
      </c>
      <c r="Q29" s="24" t="s">
        <v>546</v>
      </c>
    </row>
    <row r="30" spans="1:17">
      <c r="A30" s="436" t="s">
        <v>547</v>
      </c>
      <c r="B30" s="436"/>
      <c r="C30" s="153" t="s">
        <v>548</v>
      </c>
      <c r="D30" s="154" t="s">
        <v>549</v>
      </c>
      <c r="E30" s="154" t="s">
        <v>550</v>
      </c>
      <c r="F30" s="154" t="s">
        <v>560</v>
      </c>
      <c r="G30" s="154">
        <v>1565</v>
      </c>
      <c r="H30" s="154" t="s">
        <v>561</v>
      </c>
      <c r="I30" s="154" t="s">
        <v>562</v>
      </c>
      <c r="J30" s="154"/>
      <c r="K30" s="153" t="s">
        <v>548</v>
      </c>
      <c r="L30" s="154" t="s">
        <v>549</v>
      </c>
      <c r="M30" s="154" t="s">
        <v>550</v>
      </c>
      <c r="N30" s="24" t="s">
        <v>551</v>
      </c>
      <c r="O30" s="24">
        <v>1565</v>
      </c>
      <c r="P30" s="24" t="s">
        <v>552</v>
      </c>
      <c r="Q30" s="24" t="s">
        <v>553</v>
      </c>
    </row>
    <row r="31" spans="1:17">
      <c r="A31" s="437" t="s">
        <v>554</v>
      </c>
      <c r="B31" s="147" t="s">
        <v>555</v>
      </c>
      <c r="C31" s="149">
        <v>0.248</v>
      </c>
      <c r="D31" s="150">
        <v>6.8400000000000002E-2</v>
      </c>
      <c r="E31" s="151">
        <v>0.74180000000000001</v>
      </c>
      <c r="F31" s="146"/>
      <c r="G31" s="146"/>
      <c r="H31" s="146"/>
      <c r="I31" s="146"/>
      <c r="J31" s="146"/>
      <c r="K31" s="146">
        <v>0.21809999999999999</v>
      </c>
      <c r="L31" s="146">
        <v>0.16159999999999999</v>
      </c>
      <c r="M31" s="146">
        <v>0.90129999999999999</v>
      </c>
      <c r="N31" s="44">
        <v>0.85089999999999999</v>
      </c>
      <c r="O31" s="44">
        <v>0.72570000000000001</v>
      </c>
      <c r="P31" s="44">
        <v>0.72009999999999996</v>
      </c>
      <c r="Q31" s="44">
        <v>0.95540000000000003</v>
      </c>
    </row>
    <row r="32" spans="1:17">
      <c r="A32" s="437"/>
      <c r="B32" s="147" t="s">
        <v>556</v>
      </c>
      <c r="C32" s="149">
        <v>0.22509999999999999</v>
      </c>
      <c r="D32" s="150">
        <v>4.4000000000000003E-3</v>
      </c>
      <c r="E32" s="151">
        <v>0.74250000000000005</v>
      </c>
      <c r="F32" s="146"/>
      <c r="G32" s="146"/>
      <c r="H32" s="146"/>
      <c r="I32" s="146"/>
      <c r="J32" s="146"/>
      <c r="K32" s="146">
        <v>0.39879999999999999</v>
      </c>
      <c r="L32" s="148">
        <v>3.0200000000000001E-2</v>
      </c>
      <c r="M32" s="146">
        <v>0.90310000000000001</v>
      </c>
      <c r="N32" s="44">
        <v>0.93259999999999998</v>
      </c>
      <c r="O32" s="44">
        <v>0.81130000000000002</v>
      </c>
      <c r="P32" s="44">
        <v>0.74160000000000004</v>
      </c>
      <c r="Q32" s="44">
        <v>0.93879999999999997</v>
      </c>
    </row>
    <row r="33" spans="1:17">
      <c r="A33" s="437" t="s">
        <v>557</v>
      </c>
      <c r="B33" s="147" t="s">
        <v>558</v>
      </c>
      <c r="C33" s="149">
        <v>0.16089999999999999</v>
      </c>
      <c r="D33" s="151">
        <v>0.18740000000000001</v>
      </c>
      <c r="E33" s="151">
        <v>0.64939999999999998</v>
      </c>
      <c r="F33" s="146"/>
      <c r="G33" s="146"/>
      <c r="H33" s="146"/>
      <c r="I33" s="146"/>
      <c r="J33" s="146"/>
      <c r="K33" s="146">
        <v>0.1593</v>
      </c>
      <c r="L33" s="146">
        <v>0.40239999999999998</v>
      </c>
      <c r="M33" s="146">
        <v>0.77380000000000004</v>
      </c>
      <c r="N33" s="44">
        <v>0.76839999999999997</v>
      </c>
      <c r="O33" s="44">
        <v>0.39560000000000001</v>
      </c>
      <c r="P33" s="44">
        <v>0.55449999999999999</v>
      </c>
      <c r="Q33" s="44">
        <v>0.93440000000000001</v>
      </c>
    </row>
    <row r="34" spans="1:17">
      <c r="A34" s="437"/>
      <c r="B34" s="147" t="s">
        <v>556</v>
      </c>
      <c r="C34" s="149">
        <v>0.1164</v>
      </c>
      <c r="D34" s="151">
        <v>0.1449</v>
      </c>
      <c r="E34" s="151">
        <v>0.62909999999999999</v>
      </c>
      <c r="F34" s="146"/>
      <c r="G34" s="146"/>
      <c r="H34" s="146"/>
      <c r="I34" s="146"/>
      <c r="J34" s="146"/>
      <c r="K34" s="146">
        <v>0.22320000000000001</v>
      </c>
      <c r="L34" s="146">
        <v>0.35289999999999999</v>
      </c>
      <c r="M34" s="146">
        <v>0.72609999999999997</v>
      </c>
      <c r="N34" s="44">
        <v>0.8387</v>
      </c>
      <c r="O34" s="44">
        <v>0.8821</v>
      </c>
      <c r="P34" s="44">
        <v>0.52980000000000005</v>
      </c>
      <c r="Q34" s="44">
        <v>0.94110000000000005</v>
      </c>
    </row>
    <row r="35" spans="1:17" s="44" customFormat="1" hidden="1" outlineLevel="1">
      <c r="A35" s="147"/>
      <c r="B35" s="147"/>
      <c r="C35" s="44">
        <f>AVERAGE(C31:C34)</f>
        <v>0.18759999999999999</v>
      </c>
      <c r="D35" s="44">
        <f t="shared" ref="D35:M35" si="3">AVERAGE(D31:D34)</f>
        <v>0.101275</v>
      </c>
      <c r="E35" s="44">
        <f t="shared" si="3"/>
        <v>0.69070000000000009</v>
      </c>
      <c r="F35" s="44" t="e">
        <f t="shared" si="3"/>
        <v>#DIV/0!</v>
      </c>
      <c r="G35" s="44" t="e">
        <f t="shared" si="3"/>
        <v>#DIV/0!</v>
      </c>
      <c r="H35" s="44" t="e">
        <f t="shared" si="3"/>
        <v>#DIV/0!</v>
      </c>
      <c r="I35" s="44" t="e">
        <f t="shared" si="3"/>
        <v>#DIV/0!</v>
      </c>
      <c r="J35" s="44" t="e">
        <f t="shared" si="3"/>
        <v>#DIV/0!</v>
      </c>
      <c r="K35" s="44">
        <f t="shared" si="3"/>
        <v>0.24985000000000002</v>
      </c>
      <c r="L35" s="44">
        <f t="shared" si="3"/>
        <v>0.23677499999999999</v>
      </c>
      <c r="M35" s="44">
        <f t="shared" si="3"/>
        <v>0.82607499999999989</v>
      </c>
      <c r="N35" s="44">
        <f t="shared" ref="N35:Q35" si="4">AVERAGE(N22:N25)</f>
        <v>0.24919999999999998</v>
      </c>
      <c r="O35" s="44">
        <f>AVERAGE(O22:O25)</f>
        <v>0.28112500000000001</v>
      </c>
      <c r="P35" s="44">
        <f t="shared" si="4"/>
        <v>0.12695000000000001</v>
      </c>
      <c r="Q35" s="44">
        <f t="shared" si="4"/>
        <v>0.47572499999999995</v>
      </c>
    </row>
    <row r="36" spans="1:17" collapsed="1"/>
    <row r="37" spans="1:17">
      <c r="A37" s="434" t="s">
        <v>566</v>
      </c>
      <c r="B37" s="434"/>
      <c r="C37" s="434"/>
      <c r="D37" s="434"/>
      <c r="E37" s="434"/>
      <c r="F37" s="434"/>
      <c r="G37" s="434"/>
      <c r="H37" s="434"/>
      <c r="I37" s="434"/>
      <c r="J37" s="434"/>
      <c r="K37" s="434"/>
      <c r="L37" s="434"/>
      <c r="M37" s="434"/>
      <c r="N37" s="24" t="s">
        <v>167</v>
      </c>
      <c r="O37" s="24" t="s">
        <v>167</v>
      </c>
      <c r="P37" s="24" t="s">
        <v>167</v>
      </c>
      <c r="Q37" s="24" t="s">
        <v>167</v>
      </c>
    </row>
    <row r="38" spans="1:17">
      <c r="A38" s="432" t="s">
        <v>542</v>
      </c>
      <c r="B38" s="432"/>
      <c r="C38" s="435" t="s">
        <v>565</v>
      </c>
      <c r="D38" s="432"/>
      <c r="E38" s="432"/>
      <c r="F38" s="57" t="s">
        <v>544</v>
      </c>
      <c r="G38" s="57" t="s">
        <v>544</v>
      </c>
      <c r="H38" s="57" t="s">
        <v>544</v>
      </c>
      <c r="I38" s="57" t="s">
        <v>544</v>
      </c>
      <c r="J38" s="57"/>
      <c r="K38" s="432" t="s">
        <v>545</v>
      </c>
      <c r="L38" s="432"/>
      <c r="M38" s="432"/>
      <c r="N38" s="24" t="s">
        <v>546</v>
      </c>
      <c r="O38" s="24" t="s">
        <v>546</v>
      </c>
      <c r="P38" s="24" t="s">
        <v>546</v>
      </c>
      <c r="Q38" s="24" t="s">
        <v>546</v>
      </c>
    </row>
    <row r="39" spans="1:17">
      <c r="A39" s="436" t="s">
        <v>547</v>
      </c>
      <c r="B39" s="436"/>
      <c r="C39" s="153" t="s">
        <v>548</v>
      </c>
      <c r="D39" s="154" t="s">
        <v>549</v>
      </c>
      <c r="E39" s="158" t="s">
        <v>550</v>
      </c>
      <c r="F39" s="154" t="s">
        <v>560</v>
      </c>
      <c r="G39" s="154">
        <v>1565</v>
      </c>
      <c r="H39" s="154" t="s">
        <v>561</v>
      </c>
      <c r="I39" s="154" t="s">
        <v>562</v>
      </c>
      <c r="J39" s="154"/>
      <c r="K39" s="153" t="s">
        <v>548</v>
      </c>
      <c r="L39" s="154" t="s">
        <v>549</v>
      </c>
      <c r="M39" s="154" t="s">
        <v>550</v>
      </c>
      <c r="N39" s="24" t="s">
        <v>551</v>
      </c>
      <c r="O39" s="24">
        <v>1565</v>
      </c>
      <c r="P39" s="24" t="s">
        <v>552</v>
      </c>
      <c r="Q39" s="24" t="s">
        <v>553</v>
      </c>
    </row>
    <row r="40" spans="1:17">
      <c r="A40" s="437" t="s">
        <v>554</v>
      </c>
      <c r="B40" s="147" t="s">
        <v>555</v>
      </c>
      <c r="C40" s="149">
        <v>0.46029999999999999</v>
      </c>
      <c r="D40" s="151">
        <v>0.34520000000000001</v>
      </c>
      <c r="E40" s="150">
        <v>2.4E-2</v>
      </c>
      <c r="F40" s="146"/>
      <c r="G40" s="146"/>
      <c r="H40" s="146"/>
      <c r="I40" s="146"/>
      <c r="J40" s="146"/>
      <c r="K40" s="146">
        <v>0.94159999999999999</v>
      </c>
      <c r="L40" s="146">
        <v>0.70989999999999998</v>
      </c>
      <c r="M40" s="146">
        <v>0.95379999999999998</v>
      </c>
      <c r="N40" s="44">
        <v>0.85089999999999999</v>
      </c>
      <c r="O40" s="44">
        <v>0.72570000000000001</v>
      </c>
      <c r="P40" s="44">
        <v>0.72009999999999996</v>
      </c>
      <c r="Q40" s="44">
        <v>0.95540000000000003</v>
      </c>
    </row>
    <row r="41" spans="1:17">
      <c r="A41" s="437"/>
      <c r="B41" s="147" t="s">
        <v>556</v>
      </c>
      <c r="C41" s="149">
        <v>0.23180000000000001</v>
      </c>
      <c r="D41" s="151">
        <v>0.15890000000000001</v>
      </c>
      <c r="E41" s="150">
        <v>1.9400000000000001E-2</v>
      </c>
      <c r="F41" s="146"/>
      <c r="G41" s="146"/>
      <c r="H41" s="146"/>
      <c r="I41" s="146"/>
      <c r="J41" s="146"/>
      <c r="K41" s="146">
        <v>0.94889999999999997</v>
      </c>
      <c r="L41" s="146">
        <v>0.53359999999999996</v>
      </c>
      <c r="M41" s="146">
        <v>0.95240000000000002</v>
      </c>
      <c r="N41" s="44">
        <v>0.93259999999999998</v>
      </c>
      <c r="O41" s="44">
        <v>0.81130000000000002</v>
      </c>
      <c r="P41" s="44">
        <v>0.74160000000000004</v>
      </c>
      <c r="Q41" s="44">
        <v>0.93879999999999997</v>
      </c>
    </row>
    <row r="42" spans="1:17">
      <c r="A42" s="437" t="s">
        <v>557</v>
      </c>
      <c r="B42" s="147" t="s">
        <v>558</v>
      </c>
      <c r="C42" s="152">
        <v>6.0000000000000001E-3</v>
      </c>
      <c r="D42" s="150">
        <v>4.1000000000000003E-3</v>
      </c>
      <c r="E42" s="150">
        <v>1.6299999999999999E-2</v>
      </c>
      <c r="F42" s="146"/>
      <c r="G42" s="146"/>
      <c r="H42" s="146"/>
      <c r="I42" s="146"/>
      <c r="J42" s="146"/>
      <c r="K42" s="146">
        <v>0.91300000000000003</v>
      </c>
      <c r="L42" s="146">
        <v>0.76780000000000004</v>
      </c>
      <c r="M42" s="146">
        <v>0.96319999999999995</v>
      </c>
      <c r="N42" s="44">
        <v>0.76839999999999997</v>
      </c>
      <c r="O42" s="44">
        <v>0.39560000000000001</v>
      </c>
      <c r="P42" s="44">
        <v>0.55449999999999999</v>
      </c>
      <c r="Q42" s="44">
        <v>0.93440000000000001</v>
      </c>
    </row>
    <row r="43" spans="1:17">
      <c r="A43" s="437"/>
      <c r="B43" s="147" t="s">
        <v>556</v>
      </c>
      <c r="C43" s="152">
        <v>8.9999999999999998E-4</v>
      </c>
      <c r="D43" s="150">
        <v>8.0000000000000004E-4</v>
      </c>
      <c r="E43" s="150">
        <v>8.9999999999999993E-3</v>
      </c>
      <c r="F43" s="146"/>
      <c r="G43" s="146"/>
      <c r="H43" s="146"/>
      <c r="I43" s="146"/>
      <c r="J43" s="146"/>
      <c r="K43" s="146">
        <v>0.90720000000000001</v>
      </c>
      <c r="L43" s="146">
        <v>0.63470000000000004</v>
      </c>
      <c r="M43" s="146">
        <v>0.96460000000000001</v>
      </c>
      <c r="N43" s="44">
        <v>0.8387</v>
      </c>
      <c r="O43" s="44">
        <v>0.8821</v>
      </c>
      <c r="P43" s="44">
        <v>0.52980000000000005</v>
      </c>
      <c r="Q43" s="44">
        <v>0.94110000000000005</v>
      </c>
    </row>
    <row r="44" spans="1:17" s="44" customFormat="1" hidden="1" outlineLevel="1">
      <c r="A44" s="147"/>
      <c r="B44" s="147"/>
      <c r="C44" s="44">
        <f>AVERAGE(C40:C43)</f>
        <v>0.17474999999999999</v>
      </c>
      <c r="D44" s="44">
        <f t="shared" ref="D44" si="5">AVERAGE(D40:D43)</f>
        <v>0.12725</v>
      </c>
      <c r="E44" s="44">
        <f t="shared" ref="E44" si="6">AVERAGE(E40:E43)</f>
        <v>1.7174999999999999E-2</v>
      </c>
      <c r="F44" s="44" t="e">
        <f t="shared" ref="F44" si="7">AVERAGE(F40:F43)</f>
        <v>#DIV/0!</v>
      </c>
      <c r="G44" s="44" t="e">
        <f t="shared" ref="G44" si="8">AVERAGE(G40:G43)</f>
        <v>#DIV/0!</v>
      </c>
      <c r="H44" s="44" t="e">
        <f t="shared" ref="H44" si="9">AVERAGE(H40:H43)</f>
        <v>#DIV/0!</v>
      </c>
      <c r="I44" s="44" t="e">
        <f t="shared" ref="I44" si="10">AVERAGE(I40:I43)</f>
        <v>#DIV/0!</v>
      </c>
      <c r="K44" s="44">
        <f t="shared" ref="K44" si="11">AVERAGE(K40:K43)</f>
        <v>0.92767499999999992</v>
      </c>
      <c r="L44" s="44">
        <f t="shared" ref="L44" si="12">AVERAGE(L40:L43)</f>
        <v>0.66150000000000009</v>
      </c>
      <c r="M44" s="44">
        <f t="shared" ref="M44" si="13">AVERAGE(M40:M43)</f>
        <v>0.95850000000000002</v>
      </c>
      <c r="N44" s="44">
        <f t="shared" ref="N44" si="14">AVERAGE(N40:N43)</f>
        <v>0.84765000000000001</v>
      </c>
      <c r="O44" s="44">
        <f t="shared" ref="O44" si="15">AVERAGE(O40:O43)</f>
        <v>0.70367499999999994</v>
      </c>
      <c r="P44" s="44">
        <f t="shared" ref="P44" si="16">AVERAGE(P40:P43)</f>
        <v>0.63650000000000007</v>
      </c>
      <c r="Q44" s="44">
        <f t="shared" ref="Q44" si="17">AVERAGE(Q40:Q43)</f>
        <v>0.94242500000000007</v>
      </c>
    </row>
    <row r="45" spans="1:17" collapsed="1"/>
    <row r="46" spans="1:17">
      <c r="A46" s="434" t="s">
        <v>567</v>
      </c>
      <c r="B46" s="434"/>
      <c r="C46" s="434"/>
      <c r="D46" s="434"/>
      <c r="E46" s="434"/>
      <c r="F46" s="434"/>
      <c r="G46" s="434"/>
      <c r="H46" s="434"/>
      <c r="I46" s="434"/>
      <c r="J46" s="434"/>
      <c r="K46" s="434"/>
      <c r="L46" s="434"/>
      <c r="M46" s="434"/>
      <c r="N46" s="24" t="s">
        <v>535</v>
      </c>
      <c r="O46" s="24" t="s">
        <v>535</v>
      </c>
      <c r="P46" s="24" t="s">
        <v>535</v>
      </c>
      <c r="Q46" s="24" t="s">
        <v>535</v>
      </c>
    </row>
    <row r="47" spans="1:17">
      <c r="A47" s="432" t="s">
        <v>542</v>
      </c>
      <c r="B47" s="432"/>
      <c r="C47" s="435" t="s">
        <v>543</v>
      </c>
      <c r="D47" s="432"/>
      <c r="E47" s="432"/>
      <c r="F47" s="57" t="s">
        <v>544</v>
      </c>
      <c r="G47" s="57" t="s">
        <v>544</v>
      </c>
      <c r="H47" s="57" t="s">
        <v>544</v>
      </c>
      <c r="I47" s="57" t="s">
        <v>544</v>
      </c>
      <c r="J47" s="57"/>
      <c r="K47" s="432" t="s">
        <v>545</v>
      </c>
      <c r="L47" s="432"/>
      <c r="M47" s="432"/>
      <c r="N47" s="24" t="s">
        <v>546</v>
      </c>
      <c r="O47" s="24" t="s">
        <v>546</v>
      </c>
      <c r="P47" s="24" t="s">
        <v>546</v>
      </c>
      <c r="Q47" s="24" t="s">
        <v>546</v>
      </c>
    </row>
    <row r="48" spans="1:17">
      <c r="A48" s="436" t="s">
        <v>547</v>
      </c>
      <c r="B48" s="436"/>
      <c r="C48" s="153" t="s">
        <v>548</v>
      </c>
      <c r="D48" s="154" t="s">
        <v>549</v>
      </c>
      <c r="E48" s="154" t="s">
        <v>550</v>
      </c>
      <c r="F48" s="154" t="s">
        <v>560</v>
      </c>
      <c r="G48" s="154">
        <v>1565</v>
      </c>
      <c r="H48" s="154" t="s">
        <v>561</v>
      </c>
      <c r="I48" s="154" t="s">
        <v>562</v>
      </c>
      <c r="J48" s="154"/>
      <c r="K48" s="153" t="s">
        <v>548</v>
      </c>
      <c r="L48" s="154" t="s">
        <v>549</v>
      </c>
      <c r="M48" s="154" t="s">
        <v>550</v>
      </c>
      <c r="N48" s="24" t="s">
        <v>551</v>
      </c>
      <c r="O48" s="24">
        <v>1565</v>
      </c>
      <c r="P48" s="24" t="s">
        <v>552</v>
      </c>
      <c r="Q48" s="24" t="s">
        <v>553</v>
      </c>
    </row>
    <row r="49" spans="1:17">
      <c r="A49" s="437" t="s">
        <v>554</v>
      </c>
      <c r="B49" s="147" t="s">
        <v>555</v>
      </c>
      <c r="C49" s="149">
        <v>0.20499999999999999</v>
      </c>
      <c r="D49" s="151">
        <v>0.26390000000000002</v>
      </c>
      <c r="E49" s="151">
        <v>0.89490000000000003</v>
      </c>
      <c r="F49" s="146"/>
      <c r="G49" s="146"/>
      <c r="H49" s="146"/>
      <c r="I49" s="146"/>
      <c r="J49" s="146"/>
      <c r="K49" s="146">
        <v>0.47639999999999999</v>
      </c>
      <c r="L49" s="146">
        <v>0.28749999999999998</v>
      </c>
      <c r="M49" s="146">
        <v>0.8196</v>
      </c>
      <c r="N49" s="44">
        <v>0.56299999999999994</v>
      </c>
      <c r="O49" s="44">
        <v>0.51370000000000005</v>
      </c>
      <c r="P49" s="44">
        <v>0.69630000000000003</v>
      </c>
      <c r="Q49" s="44">
        <v>0.70009999999999994</v>
      </c>
    </row>
    <row r="50" spans="1:17">
      <c r="A50" s="437"/>
      <c r="B50" s="147" t="s">
        <v>556</v>
      </c>
      <c r="C50" s="152">
        <v>6.5799999999999997E-2</v>
      </c>
      <c r="D50" s="151">
        <v>0.2198</v>
      </c>
      <c r="E50" s="151">
        <v>0.87339999999999995</v>
      </c>
      <c r="F50" s="146"/>
      <c r="G50" s="146"/>
      <c r="H50" s="146"/>
      <c r="I50" s="146"/>
      <c r="J50" s="146"/>
      <c r="K50" s="146">
        <v>0.43709999999999999</v>
      </c>
      <c r="L50" s="146">
        <v>0.18940000000000001</v>
      </c>
      <c r="M50" s="146">
        <v>0.81510000000000005</v>
      </c>
      <c r="N50" s="44">
        <v>0.79830000000000001</v>
      </c>
      <c r="O50" s="44">
        <v>0.3911</v>
      </c>
      <c r="P50" s="44">
        <v>0.76439999999999997</v>
      </c>
      <c r="Q50" s="44">
        <v>0.86990000000000001</v>
      </c>
    </row>
    <row r="51" spans="1:17">
      <c r="A51" s="437" t="s">
        <v>557</v>
      </c>
      <c r="B51" s="147" t="s">
        <v>558</v>
      </c>
      <c r="C51" s="152">
        <v>9.7699999999999995E-2</v>
      </c>
      <c r="D51" s="151">
        <v>0.2341</v>
      </c>
      <c r="E51" s="151">
        <v>0.74319999999999997</v>
      </c>
      <c r="F51" s="146"/>
      <c r="G51" s="146"/>
      <c r="H51" s="146"/>
      <c r="I51" s="146"/>
      <c r="J51" s="146"/>
      <c r="K51" s="146">
        <v>0.4793</v>
      </c>
      <c r="L51" s="146">
        <v>0.29149999999999998</v>
      </c>
      <c r="M51" s="146">
        <v>0.84040000000000004</v>
      </c>
      <c r="N51" s="44">
        <v>0.46789999999999998</v>
      </c>
      <c r="O51" s="44">
        <v>0.81369999999999998</v>
      </c>
      <c r="P51" s="44">
        <v>0.48670000000000002</v>
      </c>
      <c r="Q51" s="44">
        <v>0.58289999999999997</v>
      </c>
    </row>
    <row r="52" spans="1:17">
      <c r="A52" s="437"/>
      <c r="B52" s="147" t="s">
        <v>556</v>
      </c>
      <c r="C52" s="149">
        <v>0.1439</v>
      </c>
      <c r="D52" s="151">
        <v>0.19869999999999999</v>
      </c>
      <c r="E52" s="151">
        <v>0.69689999999999996</v>
      </c>
      <c r="F52" s="146"/>
      <c r="G52" s="146"/>
      <c r="H52" s="146"/>
      <c r="I52" s="146"/>
      <c r="J52" s="146"/>
      <c r="K52" s="146">
        <v>0.46539999999999998</v>
      </c>
      <c r="L52" s="146">
        <v>0.21340000000000001</v>
      </c>
      <c r="M52" s="146">
        <v>0.85199999999999998</v>
      </c>
      <c r="N52" s="44">
        <v>0.60019999999999996</v>
      </c>
      <c r="O52" s="44">
        <v>0.89929999999999999</v>
      </c>
      <c r="P52" s="44">
        <v>0.48270000000000002</v>
      </c>
      <c r="Q52" s="44">
        <v>0.68430000000000002</v>
      </c>
    </row>
    <row r="53" spans="1:17" s="44" customFormat="1" hidden="1" outlineLevel="1">
      <c r="A53" s="147"/>
      <c r="B53" s="147"/>
      <c r="C53" s="44">
        <f>AVERAGE(C49:C52)</f>
        <v>0.12809999999999999</v>
      </c>
      <c r="D53" s="44">
        <f t="shared" ref="D53" si="18">AVERAGE(D49:D52)</f>
        <v>0.229125</v>
      </c>
      <c r="E53" s="44">
        <f t="shared" ref="E53" si="19">AVERAGE(E49:E52)</f>
        <v>0.80209999999999992</v>
      </c>
      <c r="F53" s="44" t="e">
        <f t="shared" ref="F53" si="20">AVERAGE(F49:F52)</f>
        <v>#DIV/0!</v>
      </c>
      <c r="G53" s="44" t="e">
        <f t="shared" ref="G53" si="21">AVERAGE(G49:G52)</f>
        <v>#DIV/0!</v>
      </c>
      <c r="H53" s="44" t="e">
        <f t="shared" ref="H53" si="22">AVERAGE(H49:H52)</f>
        <v>#DIV/0!</v>
      </c>
      <c r="I53" s="44" t="e">
        <f t="shared" ref="I53" si="23">AVERAGE(I49:I52)</f>
        <v>#DIV/0!</v>
      </c>
      <c r="K53" s="44">
        <f t="shared" ref="K53" si="24">AVERAGE(K49:K52)</f>
        <v>0.46455000000000002</v>
      </c>
      <c r="L53" s="44">
        <f t="shared" ref="L53" si="25">AVERAGE(L49:L52)</f>
        <v>0.24545</v>
      </c>
      <c r="M53" s="44">
        <f t="shared" ref="M53" si="26">AVERAGE(M49:M52)</f>
        <v>0.83177500000000004</v>
      </c>
      <c r="N53" s="44">
        <f t="shared" ref="N53" si="27">AVERAGE(N49:N52)</f>
        <v>0.60734999999999995</v>
      </c>
      <c r="O53" s="44">
        <f t="shared" ref="O53" si="28">AVERAGE(O49:O52)</f>
        <v>0.65444999999999998</v>
      </c>
      <c r="P53" s="44">
        <f t="shared" ref="P53" si="29">AVERAGE(P49:P52)</f>
        <v>0.60752499999999998</v>
      </c>
      <c r="Q53" s="44">
        <f t="shared" ref="Q53" si="30">AVERAGE(Q49:Q52)</f>
        <v>0.70929999999999993</v>
      </c>
    </row>
    <row r="54" spans="1:17" collapsed="1"/>
    <row r="55" spans="1:17">
      <c r="A55" s="433" t="s">
        <v>568</v>
      </c>
      <c r="B55" s="433"/>
      <c r="C55" s="433"/>
      <c r="D55" s="433"/>
      <c r="E55" s="433"/>
      <c r="F55" s="433"/>
      <c r="G55" s="433"/>
      <c r="H55" s="433"/>
      <c r="I55" s="433"/>
      <c r="J55" s="433"/>
      <c r="K55" s="433"/>
      <c r="L55" s="433"/>
      <c r="M55" s="433"/>
    </row>
  </sheetData>
  <mergeCells count="43">
    <mergeCell ref="C47:E47"/>
    <mergeCell ref="K20:M20"/>
    <mergeCell ref="K38:M38"/>
    <mergeCell ref="K47:M47"/>
    <mergeCell ref="A2:B2"/>
    <mergeCell ref="A3:B3"/>
    <mergeCell ref="A37:M37"/>
    <mergeCell ref="A46:M46"/>
    <mergeCell ref="A21:B21"/>
    <mergeCell ref="A22:A23"/>
    <mergeCell ref="A24:A25"/>
    <mergeCell ref="A20:B20"/>
    <mergeCell ref="C20:E20"/>
    <mergeCell ref="C38:E38"/>
    <mergeCell ref="A1:M1"/>
    <mergeCell ref="A19:M19"/>
    <mergeCell ref="A10:M10"/>
    <mergeCell ref="A11:B11"/>
    <mergeCell ref="C11:E11"/>
    <mergeCell ref="K11:M11"/>
    <mergeCell ref="A4:A5"/>
    <mergeCell ref="A6:A7"/>
    <mergeCell ref="C2:E2"/>
    <mergeCell ref="K2:M2"/>
    <mergeCell ref="A12:B12"/>
    <mergeCell ref="A13:A14"/>
    <mergeCell ref="A15:A16"/>
    <mergeCell ref="A55:M55"/>
    <mergeCell ref="A28:M28"/>
    <mergeCell ref="A29:B29"/>
    <mergeCell ref="C29:E29"/>
    <mergeCell ref="K29:M29"/>
    <mergeCell ref="A30:B30"/>
    <mergeCell ref="A31:A32"/>
    <mergeCell ref="A33:A34"/>
    <mergeCell ref="A49:A50"/>
    <mergeCell ref="A51:A52"/>
    <mergeCell ref="A47:B47"/>
    <mergeCell ref="A48:B48"/>
    <mergeCell ref="A38:B38"/>
    <mergeCell ref="A39:B39"/>
    <mergeCell ref="A40:A41"/>
    <mergeCell ref="A42:A43"/>
  </mergeCells>
  <phoneticPr fontId="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C402F-61FB-4519-B701-4CDE835A47B0}">
  <dimension ref="A1:U99"/>
  <sheetViews>
    <sheetView showGridLines="0" topLeftCell="A63" zoomScale="70" zoomScaleNormal="70" workbookViewId="0">
      <selection activeCell="J29" sqref="A1:N29"/>
    </sheetView>
  </sheetViews>
  <sheetFormatPr defaultColWidth="8.84375" defaultRowHeight="18.45" outlineLevelRow="1"/>
  <cols>
    <col min="1" max="1" width="16.84375" style="57" bestFit="1" customWidth="1"/>
    <col min="2" max="2" width="15.4609375" style="57" bestFit="1" customWidth="1"/>
    <col min="3" max="3" width="17.23046875" style="24" customWidth="1"/>
    <col min="4" max="4" width="4.84375" style="24" customWidth="1"/>
    <col min="5" max="5" width="17.23046875" style="24" customWidth="1"/>
    <col min="6" max="6" width="4.84375" style="24" customWidth="1"/>
    <col min="7" max="7" width="17.23046875" style="24" customWidth="1"/>
    <col min="8" max="8" width="4.84375" style="24" customWidth="1"/>
    <col min="9" max="9" width="17.23046875" style="24" customWidth="1"/>
    <col min="10" max="10" width="4.84375" style="24" bestFit="1" customWidth="1"/>
    <col min="11" max="11" width="17.23046875" style="24" customWidth="1"/>
    <col min="12" max="12" width="4.84375" style="24" customWidth="1"/>
    <col min="13" max="13" width="17.23046875" style="24" customWidth="1"/>
    <col min="14" max="14" width="4.84375" style="24" customWidth="1"/>
    <col min="15" max="16384" width="8.84375" style="24"/>
  </cols>
  <sheetData>
    <row r="1" spans="1:14">
      <c r="A1" s="434" t="s">
        <v>164</v>
      </c>
      <c r="B1" s="434"/>
      <c r="C1" s="434"/>
      <c r="D1" s="434"/>
      <c r="E1" s="434"/>
      <c r="F1" s="434"/>
      <c r="G1" s="434"/>
      <c r="H1" s="434"/>
      <c r="I1" s="434"/>
      <c r="J1" s="434"/>
      <c r="K1" s="434"/>
      <c r="L1" s="434"/>
      <c r="M1" s="434"/>
      <c r="N1" s="168"/>
    </row>
    <row r="2" spans="1:14">
      <c r="A2" s="432" t="s">
        <v>542</v>
      </c>
      <c r="B2" s="432"/>
      <c r="C2" s="435" t="s">
        <v>543</v>
      </c>
      <c r="D2" s="432"/>
      <c r="E2" s="432"/>
      <c r="F2" s="432"/>
      <c r="G2" s="432"/>
      <c r="H2" s="441"/>
      <c r="I2" s="447" t="s">
        <v>545</v>
      </c>
      <c r="J2" s="447"/>
      <c r="K2" s="447"/>
      <c r="L2" s="447"/>
      <c r="M2" s="447"/>
      <c r="N2" s="447"/>
    </row>
    <row r="3" spans="1:14">
      <c r="A3" s="432" t="s">
        <v>569</v>
      </c>
      <c r="B3" s="432"/>
      <c r="C3" s="435" t="s">
        <v>570</v>
      </c>
      <c r="D3" s="432"/>
      <c r="E3" s="432"/>
      <c r="F3" s="432"/>
      <c r="G3" s="432"/>
      <c r="H3" s="441"/>
      <c r="I3" s="447" t="s">
        <v>21</v>
      </c>
      <c r="J3" s="447"/>
      <c r="K3" s="447"/>
      <c r="L3" s="447"/>
      <c r="M3" s="447"/>
      <c r="N3" s="447"/>
    </row>
    <row r="4" spans="1:14">
      <c r="A4" s="436" t="s">
        <v>547</v>
      </c>
      <c r="B4" s="436"/>
      <c r="C4" s="442" t="s">
        <v>548</v>
      </c>
      <c r="D4" s="436"/>
      <c r="E4" s="436" t="s">
        <v>549</v>
      </c>
      <c r="F4" s="436"/>
      <c r="G4" s="436" t="s">
        <v>550</v>
      </c>
      <c r="H4" s="452"/>
      <c r="I4" s="451" t="s">
        <v>548</v>
      </c>
      <c r="J4" s="449"/>
      <c r="K4" s="449" t="s">
        <v>549</v>
      </c>
      <c r="L4" s="449"/>
      <c r="M4" s="436" t="s">
        <v>550</v>
      </c>
      <c r="N4" s="436"/>
    </row>
    <row r="5" spans="1:14" s="146" customFormat="1">
      <c r="A5" s="439" t="s">
        <v>571</v>
      </c>
      <c r="B5" s="440"/>
      <c r="C5" s="182">
        <v>-4.638846</v>
      </c>
      <c r="D5" s="180" t="s">
        <v>572</v>
      </c>
      <c r="E5" s="183">
        <v>2.4345919999999999</v>
      </c>
      <c r="F5" s="180" t="s">
        <v>572</v>
      </c>
      <c r="G5" s="183">
        <v>-2.234083</v>
      </c>
      <c r="H5" s="181" t="s">
        <v>573</v>
      </c>
      <c r="I5" s="184">
        <v>24.095949999999998</v>
      </c>
      <c r="J5" s="185" t="s">
        <v>574</v>
      </c>
      <c r="K5" s="184">
        <v>-7.339594</v>
      </c>
      <c r="L5" s="185" t="s">
        <v>574</v>
      </c>
      <c r="M5" s="180">
        <v>5.9563620000000004</v>
      </c>
      <c r="N5" s="180" t="s">
        <v>573</v>
      </c>
    </row>
    <row r="6" spans="1:14" s="44" customFormat="1">
      <c r="A6" s="438" t="s">
        <v>575</v>
      </c>
      <c r="B6" s="147" t="s">
        <v>555</v>
      </c>
      <c r="C6" s="149">
        <v>0.1241</v>
      </c>
      <c r="D6" s="151"/>
      <c r="E6" s="151">
        <v>0.45300000000000001</v>
      </c>
      <c r="F6" s="151"/>
      <c r="G6" s="150">
        <v>4.9799999999999997E-2</v>
      </c>
      <c r="H6" s="178"/>
      <c r="I6" s="186">
        <v>2.8000000000000001E-2</v>
      </c>
      <c r="J6" s="186"/>
      <c r="K6" s="186">
        <v>6.6900000000000001E-2</v>
      </c>
      <c r="L6" s="186"/>
      <c r="M6" s="148">
        <v>9.98E-2</v>
      </c>
      <c r="N6" s="146"/>
    </row>
    <row r="7" spans="1:14" s="44" customFormat="1">
      <c r="A7" s="437"/>
      <c r="B7" s="147" t="s">
        <v>556</v>
      </c>
      <c r="C7" s="152">
        <v>9.1399999999999995E-2</v>
      </c>
      <c r="D7" s="151"/>
      <c r="E7" s="151">
        <v>0.33650000000000002</v>
      </c>
      <c r="F7" s="151"/>
      <c r="G7" s="150">
        <v>6.6600000000000006E-2</v>
      </c>
      <c r="H7" s="178"/>
      <c r="I7" s="186">
        <v>2.3599999999999999E-2</v>
      </c>
      <c r="J7" s="186"/>
      <c r="K7" s="186">
        <v>7.7100000000000002E-2</v>
      </c>
      <c r="L7" s="186"/>
      <c r="M7" s="146">
        <v>0.1414</v>
      </c>
      <c r="N7" s="146"/>
    </row>
    <row r="8" spans="1:14" s="44" customFormat="1">
      <c r="A8" s="438" t="s">
        <v>576</v>
      </c>
      <c r="B8" s="147" t="s">
        <v>558</v>
      </c>
      <c r="C8" s="149">
        <v>0.1011</v>
      </c>
      <c r="D8" s="151"/>
      <c r="E8" s="151">
        <v>0.35680000000000001</v>
      </c>
      <c r="F8" s="151"/>
      <c r="G8" s="151">
        <v>0.40550000000000003</v>
      </c>
      <c r="H8" s="179"/>
      <c r="I8" s="186">
        <v>1.9300000000000001E-2</v>
      </c>
      <c r="J8" s="186"/>
      <c r="K8" s="186">
        <v>5.3999999999999999E-2</v>
      </c>
      <c r="L8" s="186"/>
      <c r="M8" s="148">
        <v>8.3500000000000005E-2</v>
      </c>
      <c r="N8" s="148"/>
    </row>
    <row r="9" spans="1:14" s="44" customFormat="1">
      <c r="A9" s="437"/>
      <c r="B9" s="147" t="s">
        <v>556</v>
      </c>
      <c r="C9" s="152">
        <v>7.22E-2</v>
      </c>
      <c r="D9" s="150"/>
      <c r="E9" s="151">
        <v>0.2427</v>
      </c>
      <c r="F9" s="151"/>
      <c r="G9" s="151">
        <v>0.49020000000000002</v>
      </c>
      <c r="H9" s="179"/>
      <c r="I9" s="186">
        <v>1.1900000000000001E-2</v>
      </c>
      <c r="J9" s="186"/>
      <c r="K9" s="186">
        <v>5.91E-2</v>
      </c>
      <c r="L9" s="186"/>
      <c r="M9" s="146">
        <v>0.1154</v>
      </c>
      <c r="N9" s="146"/>
    </row>
    <row r="10" spans="1:14" s="44" customFormat="1" hidden="1" outlineLevel="1">
      <c r="A10" s="147"/>
      <c r="B10" s="147" t="s">
        <v>577</v>
      </c>
      <c r="C10" s="148">
        <f>AVERAGE(C6:C9)</f>
        <v>9.7199999999999995E-2</v>
      </c>
      <c r="D10" s="146"/>
      <c r="E10" s="146">
        <f t="shared" ref="E10:M10" si="0">AVERAGE(E6:E9)</f>
        <v>0.34725</v>
      </c>
      <c r="F10" s="146"/>
      <c r="G10" s="146">
        <f t="shared" si="0"/>
        <v>0.253025</v>
      </c>
      <c r="H10" s="146"/>
      <c r="I10" s="186">
        <f t="shared" si="0"/>
        <v>2.0700000000000003E-2</v>
      </c>
      <c r="J10" s="186"/>
      <c r="K10" s="186">
        <f t="shared" si="0"/>
        <v>6.4274999999999999E-2</v>
      </c>
      <c r="L10" s="186"/>
      <c r="M10" s="146">
        <f t="shared" si="0"/>
        <v>0.110025</v>
      </c>
    </row>
    <row r="11" spans="1:14" s="44" customFormat="1" hidden="1" outlineLevel="1">
      <c r="A11" s="147"/>
      <c r="B11" s="147" t="s">
        <v>578</v>
      </c>
      <c r="C11" s="44">
        <v>0.83800799999999998</v>
      </c>
      <c r="I11" s="44">
        <v>0.79939899999999997</v>
      </c>
      <c r="K11" s="44">
        <v>0.678392</v>
      </c>
    </row>
    <row r="12" spans="1:14" collapsed="1">
      <c r="A12" s="434" t="s">
        <v>559</v>
      </c>
      <c r="B12" s="434"/>
      <c r="C12" s="434"/>
      <c r="D12" s="434"/>
      <c r="E12" s="434"/>
      <c r="F12" s="434"/>
      <c r="G12" s="434"/>
      <c r="H12" s="434"/>
      <c r="I12" s="434"/>
      <c r="J12" s="434"/>
      <c r="K12" s="434"/>
      <c r="L12" s="434"/>
      <c r="M12" s="434"/>
      <c r="N12" s="168"/>
    </row>
    <row r="13" spans="1:14">
      <c r="A13" s="432" t="s">
        <v>542</v>
      </c>
      <c r="B13" s="432"/>
      <c r="C13" s="446" t="s">
        <v>543</v>
      </c>
      <c r="D13" s="447"/>
      <c r="E13" s="447"/>
      <c r="F13" s="447"/>
      <c r="G13" s="447"/>
      <c r="H13" s="448"/>
      <c r="I13" s="447" t="s">
        <v>545</v>
      </c>
      <c r="J13" s="447"/>
      <c r="K13" s="447"/>
      <c r="L13" s="447"/>
      <c r="M13" s="447"/>
      <c r="N13" s="447"/>
    </row>
    <row r="14" spans="1:14">
      <c r="A14" s="432" t="s">
        <v>569</v>
      </c>
      <c r="B14" s="432"/>
      <c r="C14" s="446" t="s">
        <v>570</v>
      </c>
      <c r="D14" s="447"/>
      <c r="E14" s="447"/>
      <c r="F14" s="447"/>
      <c r="G14" s="447"/>
      <c r="H14" s="448"/>
      <c r="I14" s="447" t="s">
        <v>21</v>
      </c>
      <c r="J14" s="447"/>
      <c r="K14" s="447"/>
      <c r="L14" s="447"/>
      <c r="M14" s="447"/>
      <c r="N14" s="447"/>
    </row>
    <row r="15" spans="1:14">
      <c r="A15" s="436" t="s">
        <v>547</v>
      </c>
      <c r="B15" s="436"/>
      <c r="C15" s="451" t="s">
        <v>548</v>
      </c>
      <c r="D15" s="449"/>
      <c r="E15" s="449" t="s">
        <v>549</v>
      </c>
      <c r="F15" s="449"/>
      <c r="G15" s="449" t="s">
        <v>550</v>
      </c>
      <c r="H15" s="450"/>
      <c r="I15" s="451" t="s">
        <v>548</v>
      </c>
      <c r="J15" s="449"/>
      <c r="K15" s="436" t="s">
        <v>549</v>
      </c>
      <c r="L15" s="436"/>
      <c r="M15" s="436" t="s">
        <v>550</v>
      </c>
      <c r="N15" s="436"/>
    </row>
    <row r="16" spans="1:14" s="146" customFormat="1">
      <c r="A16" s="439" t="s">
        <v>571</v>
      </c>
      <c r="B16" s="440"/>
      <c r="C16" s="320">
        <v>-4.4293769999999997</v>
      </c>
      <c r="D16" s="185" t="s">
        <v>572</v>
      </c>
      <c r="E16" s="183">
        <v>2.3406069999999999</v>
      </c>
      <c r="F16" s="180" t="s">
        <v>572</v>
      </c>
      <c r="G16" s="183">
        <v>-2.1756669999999998</v>
      </c>
      <c r="H16" s="181" t="s">
        <v>573</v>
      </c>
      <c r="I16" s="184">
        <v>22.769130000000001</v>
      </c>
      <c r="J16" s="185" t="s">
        <v>574</v>
      </c>
      <c r="K16" s="183">
        <v>-6.8547750000000001</v>
      </c>
      <c r="L16" s="180" t="s">
        <v>574</v>
      </c>
      <c r="M16" s="329">
        <v>5.4875629999999997</v>
      </c>
      <c r="N16" s="329"/>
    </row>
    <row r="17" spans="1:14" s="44" customFormat="1">
      <c r="A17" s="438" t="s">
        <v>575</v>
      </c>
      <c r="B17" s="147" t="s">
        <v>555</v>
      </c>
      <c r="C17" s="321">
        <v>8.6800000000000002E-2</v>
      </c>
      <c r="D17" s="322"/>
      <c r="E17" s="150">
        <v>6.3899999999999998E-2</v>
      </c>
      <c r="F17" s="151"/>
      <c r="G17" s="150">
        <v>4.0399999999999998E-2</v>
      </c>
      <c r="H17" s="178"/>
      <c r="I17" s="186">
        <v>5.0099999999999999E-2</v>
      </c>
      <c r="J17" s="186"/>
      <c r="K17" s="148">
        <v>0.09</v>
      </c>
      <c r="L17" s="148"/>
      <c r="M17" s="330">
        <v>0.11260000000000001</v>
      </c>
      <c r="N17" s="330"/>
    </row>
    <row r="18" spans="1:14" s="44" customFormat="1">
      <c r="A18" s="437"/>
      <c r="B18" s="147" t="s">
        <v>556</v>
      </c>
      <c r="C18" s="321">
        <v>6.1499999999999999E-2</v>
      </c>
      <c r="D18" s="322"/>
      <c r="E18" s="150">
        <v>2.8999999999999998E-3</v>
      </c>
      <c r="F18" s="151"/>
      <c r="G18" s="150">
        <v>6.0299999999999999E-2</v>
      </c>
      <c r="H18" s="178"/>
      <c r="I18" s="186">
        <v>4.6100000000000002E-2</v>
      </c>
      <c r="J18" s="186"/>
      <c r="K18" s="146">
        <v>0.10299999999999999</v>
      </c>
      <c r="L18" s="148"/>
      <c r="M18" s="330">
        <v>0.16070000000000001</v>
      </c>
      <c r="N18" s="330"/>
    </row>
    <row r="19" spans="1:14" s="44" customFormat="1">
      <c r="A19" s="438" t="s">
        <v>576</v>
      </c>
      <c r="B19" s="147" t="s">
        <v>558</v>
      </c>
      <c r="C19" s="321">
        <v>7.1800000000000003E-2</v>
      </c>
      <c r="D19" s="322"/>
      <c r="E19" s="151">
        <v>0.33189999999999997</v>
      </c>
      <c r="F19" s="151"/>
      <c r="G19" s="151">
        <v>0.38800000000000001</v>
      </c>
      <c r="H19" s="179"/>
      <c r="I19" s="186">
        <v>3.4799999999999998E-2</v>
      </c>
      <c r="J19" s="186"/>
      <c r="K19" s="148">
        <v>7.1099999999999997E-2</v>
      </c>
      <c r="L19" s="148"/>
      <c r="M19" s="331">
        <v>9.2100000000000001E-2</v>
      </c>
      <c r="N19" s="330"/>
    </row>
    <row r="20" spans="1:14" s="44" customFormat="1">
      <c r="A20" s="437"/>
      <c r="B20" s="147" t="s">
        <v>556</v>
      </c>
      <c r="C20" s="321">
        <v>5.0500000000000003E-2</v>
      </c>
      <c r="D20" s="322"/>
      <c r="E20" s="151">
        <v>0.22559999999999999</v>
      </c>
      <c r="F20" s="151"/>
      <c r="G20" s="151">
        <v>0.48180000000000001</v>
      </c>
      <c r="H20" s="179"/>
      <c r="I20" s="186">
        <v>2.47E-2</v>
      </c>
      <c r="J20" s="186"/>
      <c r="K20" s="148">
        <v>7.5300000000000006E-2</v>
      </c>
      <c r="L20" s="148"/>
      <c r="M20" s="330">
        <v>0.1241</v>
      </c>
      <c r="N20" s="330"/>
    </row>
    <row r="21" spans="1:14" s="44" customFormat="1" hidden="1" outlineLevel="1">
      <c r="A21" s="147"/>
      <c r="B21" s="147" t="s">
        <v>577</v>
      </c>
      <c r="C21" s="186">
        <f>AVERAGE(C17:C20)</f>
        <v>6.7650000000000002E-2</v>
      </c>
      <c r="D21" s="186"/>
      <c r="E21" s="146">
        <f t="shared" ref="E21:M21" si="1">AVERAGE(E17:E20)</f>
        <v>0.15607499999999999</v>
      </c>
      <c r="F21" s="146"/>
      <c r="G21" s="146">
        <f t="shared" si="1"/>
        <v>0.24262500000000001</v>
      </c>
      <c r="H21" s="146"/>
      <c r="I21" s="186">
        <f t="shared" si="1"/>
        <v>3.8925000000000001E-2</v>
      </c>
      <c r="J21" s="186"/>
      <c r="K21" s="146">
        <f t="shared" si="1"/>
        <v>8.4850000000000009E-2</v>
      </c>
      <c r="L21" s="146"/>
      <c r="M21" s="146">
        <f t="shared" si="1"/>
        <v>0.122375</v>
      </c>
    </row>
    <row r="22" spans="1:14" s="44" customFormat="1" hidden="1" outlineLevel="1">
      <c r="A22" s="147"/>
      <c r="B22" s="147" t="s">
        <v>578</v>
      </c>
      <c r="C22" s="44">
        <v>0.84120600000000001</v>
      </c>
      <c r="I22" s="44">
        <v>0.79140100000000002</v>
      </c>
      <c r="K22" s="44">
        <v>0.67725800000000003</v>
      </c>
    </row>
    <row r="23" spans="1:14" collapsed="1">
      <c r="A23" s="434" t="s">
        <v>579</v>
      </c>
      <c r="B23" s="434"/>
      <c r="C23" s="434"/>
      <c r="D23" s="434"/>
      <c r="E23" s="434"/>
      <c r="F23" s="434"/>
      <c r="G23" s="434"/>
      <c r="H23" s="434"/>
      <c r="I23" s="434"/>
      <c r="J23" s="434"/>
      <c r="K23" s="434"/>
      <c r="L23" s="434"/>
      <c r="M23" s="434"/>
      <c r="N23" s="168"/>
    </row>
    <row r="24" spans="1:14">
      <c r="A24" s="432" t="s">
        <v>542</v>
      </c>
      <c r="B24" s="432"/>
      <c r="C24" s="435" t="s">
        <v>543</v>
      </c>
      <c r="D24" s="432"/>
      <c r="E24" s="432"/>
      <c r="F24" s="432"/>
      <c r="G24" s="432"/>
      <c r="H24" s="441"/>
      <c r="I24" s="453" t="s">
        <v>580</v>
      </c>
      <c r="J24" s="453"/>
      <c r="K24" s="453"/>
      <c r="L24" s="453"/>
      <c r="M24" s="453"/>
      <c r="N24" s="453"/>
    </row>
    <row r="25" spans="1:14">
      <c r="A25" s="432" t="s">
        <v>569</v>
      </c>
      <c r="B25" s="432"/>
      <c r="C25" s="435" t="s">
        <v>570</v>
      </c>
      <c r="D25" s="432"/>
      <c r="E25" s="432"/>
      <c r="F25" s="432"/>
      <c r="G25" s="432"/>
      <c r="H25" s="441"/>
      <c r="I25" s="432" t="s">
        <v>21</v>
      </c>
      <c r="J25" s="432"/>
      <c r="K25" s="432"/>
      <c r="L25" s="432"/>
      <c r="M25" s="432"/>
      <c r="N25" s="432"/>
    </row>
    <row r="26" spans="1:14">
      <c r="A26" s="436" t="s">
        <v>547</v>
      </c>
      <c r="B26" s="436"/>
      <c r="C26" s="442" t="s">
        <v>548</v>
      </c>
      <c r="D26" s="436"/>
      <c r="E26" s="436" t="s">
        <v>549</v>
      </c>
      <c r="F26" s="436"/>
      <c r="G26" s="436" t="s">
        <v>550</v>
      </c>
      <c r="H26" s="452"/>
      <c r="I26" s="442" t="s">
        <v>548</v>
      </c>
      <c r="J26" s="436"/>
      <c r="K26" s="436" t="s">
        <v>549</v>
      </c>
      <c r="L26" s="436"/>
      <c r="M26" s="436" t="s">
        <v>550</v>
      </c>
      <c r="N26" s="436"/>
    </row>
    <row r="27" spans="1:14" s="146" customFormat="1">
      <c r="A27" s="439" t="s">
        <v>571</v>
      </c>
      <c r="B27" s="440"/>
      <c r="C27" s="182">
        <v>-0.20946799999999999</v>
      </c>
      <c r="D27" s="180" t="s">
        <v>581</v>
      </c>
      <c r="E27" s="329">
        <v>9.3984999999999999E-2</v>
      </c>
      <c r="F27" s="329"/>
      <c r="G27" s="329">
        <v>-5.8416000000000003E-2</v>
      </c>
      <c r="H27" s="332"/>
      <c r="I27" s="329">
        <v>1.3268219999999999</v>
      </c>
      <c r="J27" s="329"/>
      <c r="K27" s="329">
        <v>-0.484819</v>
      </c>
      <c r="L27" s="329"/>
      <c r="M27" s="329">
        <v>0.46879799999999999</v>
      </c>
      <c r="N27" s="329"/>
    </row>
    <row r="28" spans="1:14" s="44" customFormat="1">
      <c r="A28" s="438" t="s">
        <v>575</v>
      </c>
      <c r="B28" s="147" t="s">
        <v>555</v>
      </c>
      <c r="C28" s="149">
        <v>0.36430000000000001</v>
      </c>
      <c r="D28" s="151"/>
      <c r="E28" s="333">
        <v>0.39439999999999997</v>
      </c>
      <c r="F28" s="333"/>
      <c r="G28" s="333">
        <v>0.37019999999999997</v>
      </c>
      <c r="H28" s="334"/>
      <c r="I28" s="330">
        <v>0.96099999999999997</v>
      </c>
      <c r="J28" s="330"/>
      <c r="K28" s="330">
        <v>0.89790000000000003</v>
      </c>
      <c r="L28" s="330"/>
      <c r="M28" s="330">
        <v>0.92459999999999998</v>
      </c>
      <c r="N28" s="330"/>
    </row>
    <row r="29" spans="1:14" s="44" customFormat="1">
      <c r="A29" s="437"/>
      <c r="B29" s="147" t="s">
        <v>556</v>
      </c>
      <c r="C29" s="149">
        <v>0.1072</v>
      </c>
      <c r="D29" s="151"/>
      <c r="E29" s="335">
        <v>5.4699999999999999E-2</v>
      </c>
      <c r="F29" s="333"/>
      <c r="G29" s="335">
        <v>9.2399999999999996E-2</v>
      </c>
      <c r="H29" s="334"/>
      <c r="I29" s="330">
        <v>0.9556</v>
      </c>
      <c r="J29" s="330"/>
      <c r="K29" s="330">
        <v>0.88929999999999998</v>
      </c>
      <c r="L29" s="330"/>
      <c r="M29" s="330">
        <v>0.92220000000000002</v>
      </c>
      <c r="N29" s="330"/>
    </row>
    <row r="30" spans="1:14" s="44" customFormat="1">
      <c r="A30" s="438" t="s">
        <v>576</v>
      </c>
      <c r="B30" s="147" t="s">
        <v>558</v>
      </c>
      <c r="C30" s="149">
        <v>0.63849999999999996</v>
      </c>
      <c r="D30" s="151"/>
      <c r="E30" s="333">
        <v>0.65939999999999999</v>
      </c>
      <c r="F30" s="333"/>
      <c r="G30" s="333">
        <v>0.66049999999999998</v>
      </c>
      <c r="H30" s="334"/>
      <c r="I30" s="330">
        <v>0.92659999999999998</v>
      </c>
      <c r="J30" s="330"/>
      <c r="K30" s="330">
        <v>0.86460000000000004</v>
      </c>
      <c r="L30" s="330"/>
      <c r="M30" s="330">
        <v>0.90259999999999996</v>
      </c>
      <c r="N30" s="330"/>
    </row>
    <row r="31" spans="1:14" s="44" customFormat="1">
      <c r="A31" s="437"/>
      <c r="B31" s="147" t="s">
        <v>556</v>
      </c>
      <c r="C31" s="149">
        <v>0.61570000000000003</v>
      </c>
      <c r="D31" s="151"/>
      <c r="E31" s="333">
        <v>0.58279999999999998</v>
      </c>
      <c r="F31" s="333"/>
      <c r="G31" s="333">
        <v>0.64039999999999997</v>
      </c>
      <c r="H31" s="334"/>
      <c r="I31" s="330">
        <v>0.90149999999999997</v>
      </c>
      <c r="J31" s="330"/>
      <c r="K31" s="330">
        <v>0.84540000000000004</v>
      </c>
      <c r="L31" s="330"/>
      <c r="M31" s="330">
        <v>0.89419999999999999</v>
      </c>
      <c r="N31" s="330"/>
    </row>
    <row r="32" spans="1:14" s="44" customFormat="1" hidden="1" outlineLevel="1">
      <c r="A32" s="147"/>
      <c r="B32" s="147" t="s">
        <v>577</v>
      </c>
      <c r="C32" s="146">
        <f>AVERAGE(C28:C31)</f>
        <v>0.43142499999999995</v>
      </c>
      <c r="D32" s="146"/>
      <c r="E32" s="146">
        <f t="shared" ref="E32:M32" si="2">AVERAGE(E28:E31)</f>
        <v>0.42282499999999995</v>
      </c>
      <c r="F32" s="146"/>
      <c r="G32" s="146">
        <f t="shared" si="2"/>
        <v>0.44087500000000002</v>
      </c>
      <c r="H32" s="146"/>
      <c r="I32" s="146">
        <f t="shared" si="2"/>
        <v>0.93617499999999998</v>
      </c>
      <c r="J32" s="146"/>
      <c r="K32" s="146">
        <f t="shared" si="2"/>
        <v>0.87429999999999997</v>
      </c>
      <c r="L32" s="146"/>
      <c r="M32" s="146">
        <f t="shared" si="2"/>
        <v>0.91090000000000004</v>
      </c>
    </row>
    <row r="33" spans="1:14" s="44" customFormat="1" outlineLevel="1">
      <c r="A33" s="147"/>
      <c r="B33" s="147"/>
      <c r="C33" s="146"/>
      <c r="D33" s="146"/>
      <c r="E33" s="146"/>
      <c r="F33" s="146"/>
      <c r="G33" s="146"/>
      <c r="H33" s="146"/>
      <c r="I33" s="146"/>
      <c r="J33" s="146"/>
      <c r="K33" s="146"/>
      <c r="L33" s="146"/>
      <c r="M33" s="146"/>
    </row>
    <row r="34" spans="1:14" s="44" customFormat="1" outlineLevel="1">
      <c r="A34" s="147"/>
      <c r="B34" s="147"/>
      <c r="C34" s="146"/>
      <c r="D34" s="146"/>
      <c r="E34" s="146"/>
      <c r="F34" s="146"/>
      <c r="G34" s="146"/>
      <c r="H34" s="146"/>
      <c r="I34" s="146"/>
      <c r="J34" s="146"/>
      <c r="K34" s="146"/>
      <c r="L34" s="146"/>
      <c r="M34" s="146"/>
    </row>
    <row r="35" spans="1:14">
      <c r="A35" s="434" t="s">
        <v>563</v>
      </c>
      <c r="B35" s="434"/>
      <c r="C35" s="434"/>
      <c r="D35" s="434"/>
      <c r="E35" s="434"/>
      <c r="F35" s="434"/>
      <c r="G35" s="434"/>
      <c r="H35" s="434"/>
      <c r="I35" s="434"/>
      <c r="J35" s="434"/>
      <c r="K35" s="434"/>
      <c r="L35" s="434"/>
      <c r="M35" s="434"/>
      <c r="N35" s="168"/>
    </row>
    <row r="36" spans="1:14">
      <c r="A36" s="432" t="s">
        <v>542</v>
      </c>
      <c r="B36" s="432"/>
      <c r="C36" s="435" t="s">
        <v>543</v>
      </c>
      <c r="D36" s="432"/>
      <c r="E36" s="432"/>
      <c r="F36" s="432"/>
      <c r="G36" s="432"/>
      <c r="H36" s="441"/>
      <c r="I36" s="432" t="s">
        <v>545</v>
      </c>
      <c r="J36" s="432"/>
      <c r="K36" s="432"/>
      <c r="L36" s="432"/>
      <c r="M36" s="432"/>
      <c r="N36" s="432"/>
    </row>
    <row r="37" spans="1:14">
      <c r="A37" s="432" t="s">
        <v>569</v>
      </c>
      <c r="B37" s="432"/>
      <c r="C37" s="435" t="s">
        <v>570</v>
      </c>
      <c r="D37" s="432"/>
      <c r="E37" s="432"/>
      <c r="F37" s="432"/>
      <c r="G37" s="432"/>
      <c r="H37" s="441"/>
      <c r="I37" s="432" t="s">
        <v>21</v>
      </c>
      <c r="J37" s="432"/>
      <c r="K37" s="432"/>
      <c r="L37" s="432"/>
      <c r="M37" s="432"/>
      <c r="N37" s="432"/>
    </row>
    <row r="38" spans="1:14">
      <c r="A38" s="436" t="s">
        <v>547</v>
      </c>
      <c r="B38" s="436"/>
      <c r="C38" s="442" t="s">
        <v>548</v>
      </c>
      <c r="D38" s="436"/>
      <c r="E38" s="436" t="s">
        <v>549</v>
      </c>
      <c r="F38" s="436"/>
      <c r="G38" s="436" t="s">
        <v>550</v>
      </c>
      <c r="H38" s="452"/>
      <c r="I38" s="442" t="s">
        <v>548</v>
      </c>
      <c r="J38" s="436"/>
      <c r="K38" s="436" t="s">
        <v>549</v>
      </c>
      <c r="L38" s="436"/>
      <c r="M38" s="436" t="s">
        <v>550</v>
      </c>
      <c r="N38" s="436"/>
    </row>
    <row r="39" spans="1:14" s="146" customFormat="1">
      <c r="A39" s="439" t="s">
        <v>571</v>
      </c>
      <c r="B39" s="440"/>
      <c r="C39" s="182">
        <v>-5.6817209999999996</v>
      </c>
      <c r="D39" s="180" t="s">
        <v>574</v>
      </c>
      <c r="E39" s="183">
        <v>3.307334</v>
      </c>
      <c r="F39" s="180" t="s">
        <v>574</v>
      </c>
      <c r="G39" s="183">
        <v>-3.302384</v>
      </c>
      <c r="H39" s="181" t="s">
        <v>573</v>
      </c>
      <c r="I39" s="329">
        <v>3.8918710000000001</v>
      </c>
      <c r="J39" s="329"/>
      <c r="K39" s="329">
        <v>-1.005234</v>
      </c>
      <c r="L39" s="329"/>
      <c r="M39" s="329">
        <v>0.59354200000000001</v>
      </c>
      <c r="N39" s="329"/>
    </row>
    <row r="40" spans="1:14" s="44" customFormat="1">
      <c r="A40" s="438" t="s">
        <v>575</v>
      </c>
      <c r="B40" s="147" t="s">
        <v>555</v>
      </c>
      <c r="C40" s="149">
        <v>0.23980000000000001</v>
      </c>
      <c r="D40" s="151"/>
      <c r="E40" s="151">
        <v>0.36830000000000002</v>
      </c>
      <c r="F40" s="151"/>
      <c r="G40" s="151">
        <v>0.64159999999999995</v>
      </c>
      <c r="H40" s="179"/>
      <c r="I40" s="330">
        <v>0.10059999999999999</v>
      </c>
      <c r="J40" s="330"/>
      <c r="K40" s="330">
        <v>0.11650000000000001</v>
      </c>
      <c r="L40" s="330"/>
      <c r="M40" s="331">
        <v>9.5000000000000001E-2</v>
      </c>
      <c r="N40" s="330"/>
    </row>
    <row r="41" spans="1:14" s="44" customFormat="1">
      <c r="A41" s="437"/>
      <c r="B41" s="147" t="s">
        <v>556</v>
      </c>
      <c r="C41" s="149">
        <v>0.20910000000000001</v>
      </c>
      <c r="D41" s="151"/>
      <c r="E41" s="151">
        <v>0.30359999999999998</v>
      </c>
      <c r="F41" s="151"/>
      <c r="G41" s="151">
        <v>0.71379999999999999</v>
      </c>
      <c r="H41" s="179"/>
      <c r="I41" s="330">
        <v>0.17849999999999999</v>
      </c>
      <c r="J41" s="330"/>
      <c r="K41" s="330">
        <v>0.26079999999999998</v>
      </c>
      <c r="L41" s="330"/>
      <c r="M41" s="330">
        <v>0.27989999999999998</v>
      </c>
      <c r="N41" s="330"/>
    </row>
    <row r="42" spans="1:14" s="44" customFormat="1">
      <c r="A42" s="438" t="s">
        <v>576</v>
      </c>
      <c r="B42" s="147" t="s">
        <v>558</v>
      </c>
      <c r="C42" s="149">
        <v>0.1721</v>
      </c>
      <c r="D42" s="151"/>
      <c r="E42" s="151">
        <v>0.29060000000000002</v>
      </c>
      <c r="F42" s="151"/>
      <c r="G42" s="151">
        <v>0.55779999999999996</v>
      </c>
      <c r="H42" s="179"/>
      <c r="I42" s="331">
        <v>8.8700000000000001E-2</v>
      </c>
      <c r="J42" s="330"/>
      <c r="K42" s="330">
        <v>0.10059999999999999</v>
      </c>
      <c r="L42" s="330"/>
      <c r="M42" s="331">
        <v>8.4599999999999995E-2</v>
      </c>
      <c r="N42" s="330"/>
    </row>
    <row r="43" spans="1:14" s="44" customFormat="1">
      <c r="A43" s="437"/>
      <c r="B43" s="147" t="s">
        <v>556</v>
      </c>
      <c r="C43" s="149">
        <v>0.1305</v>
      </c>
      <c r="D43" s="151"/>
      <c r="E43" s="151">
        <v>0.2228</v>
      </c>
      <c r="F43" s="151"/>
      <c r="G43" s="151">
        <v>0.60699999999999998</v>
      </c>
      <c r="H43" s="179"/>
      <c r="I43" s="330">
        <v>0.16200000000000001</v>
      </c>
      <c r="J43" s="330"/>
      <c r="K43" s="330">
        <v>0.2079</v>
      </c>
      <c r="L43" s="330"/>
      <c r="M43" s="330">
        <v>0.21790000000000001</v>
      </c>
      <c r="N43" s="330"/>
    </row>
    <row r="44" spans="1:14" s="44" customFormat="1" hidden="1" outlineLevel="1">
      <c r="A44" s="147"/>
      <c r="B44" s="147" t="s">
        <v>577</v>
      </c>
      <c r="C44" s="146">
        <f>AVERAGE(C40:C43)</f>
        <v>0.18787500000000001</v>
      </c>
      <c r="D44" s="146"/>
      <c r="E44" s="146">
        <f t="shared" ref="E44:M44" si="3">AVERAGE(E40:E43)</f>
        <v>0.29632499999999995</v>
      </c>
      <c r="F44" s="146"/>
      <c r="G44" s="146">
        <f t="shared" si="3"/>
        <v>0.63005</v>
      </c>
      <c r="H44" s="146"/>
      <c r="I44" s="146">
        <f t="shared" si="3"/>
        <v>0.13245000000000001</v>
      </c>
      <c r="J44" s="146"/>
      <c r="K44" s="146">
        <f t="shared" si="3"/>
        <v>0.17144999999999999</v>
      </c>
      <c r="L44" s="146"/>
      <c r="M44" s="146">
        <f t="shared" si="3"/>
        <v>0.16935</v>
      </c>
    </row>
    <row r="45" spans="1:14" s="44" customFormat="1" hidden="1" outlineLevel="1">
      <c r="A45" s="147"/>
      <c r="B45" s="147" t="s">
        <v>578</v>
      </c>
      <c r="C45" s="44">
        <v>0.81513899999999995</v>
      </c>
      <c r="D45" s="146"/>
      <c r="E45" s="146"/>
      <c r="F45" s="146"/>
      <c r="G45" s="146"/>
      <c r="H45" s="146"/>
      <c r="I45" s="146"/>
      <c r="J45" s="146"/>
      <c r="K45" s="146"/>
      <c r="L45" s="146"/>
      <c r="M45" s="146"/>
    </row>
    <row r="46" spans="1:14" collapsed="1">
      <c r="A46" s="434" t="s">
        <v>564</v>
      </c>
      <c r="B46" s="434"/>
      <c r="C46" s="434"/>
      <c r="D46" s="434"/>
      <c r="E46" s="434"/>
      <c r="F46" s="434"/>
      <c r="G46" s="434"/>
      <c r="H46" s="434"/>
      <c r="I46" s="434"/>
      <c r="J46" s="434"/>
      <c r="K46" s="434"/>
      <c r="L46" s="434"/>
      <c r="M46" s="434"/>
      <c r="N46" s="168"/>
    </row>
    <row r="47" spans="1:14">
      <c r="A47" s="432" t="s">
        <v>542</v>
      </c>
      <c r="B47" s="432"/>
      <c r="C47" s="435" t="s">
        <v>543</v>
      </c>
      <c r="D47" s="432"/>
      <c r="E47" s="432"/>
      <c r="F47" s="432"/>
      <c r="G47" s="432"/>
      <c r="H47" s="441"/>
      <c r="I47" s="447" t="s">
        <v>545</v>
      </c>
      <c r="J47" s="447"/>
      <c r="K47" s="447"/>
      <c r="L47" s="447"/>
      <c r="M47" s="447"/>
      <c r="N47" s="447"/>
    </row>
    <row r="48" spans="1:14">
      <c r="A48" s="432" t="s">
        <v>569</v>
      </c>
      <c r="B48" s="432"/>
      <c r="C48" s="435" t="s">
        <v>570</v>
      </c>
      <c r="D48" s="432"/>
      <c r="E48" s="432"/>
      <c r="F48" s="432"/>
      <c r="G48" s="432"/>
      <c r="H48" s="441"/>
      <c r="I48" s="447" t="s">
        <v>21</v>
      </c>
      <c r="J48" s="447"/>
      <c r="K48" s="447"/>
      <c r="L48" s="447"/>
      <c r="M48" s="447"/>
      <c r="N48" s="447"/>
    </row>
    <row r="49" spans="1:14">
      <c r="A49" s="436" t="s">
        <v>547</v>
      </c>
      <c r="B49" s="436"/>
      <c r="C49" s="442" t="s">
        <v>548</v>
      </c>
      <c r="D49" s="436"/>
      <c r="E49" s="436" t="s">
        <v>549</v>
      </c>
      <c r="F49" s="436"/>
      <c r="G49" s="436" t="s">
        <v>550</v>
      </c>
      <c r="H49" s="452"/>
      <c r="I49" s="451" t="s">
        <v>548</v>
      </c>
      <c r="J49" s="449"/>
      <c r="K49" s="449" t="s">
        <v>549</v>
      </c>
      <c r="L49" s="449"/>
      <c r="M49" s="449" t="s">
        <v>550</v>
      </c>
      <c r="N49" s="449"/>
    </row>
    <row r="50" spans="1:14" s="146" customFormat="1">
      <c r="A50" s="439" t="s">
        <v>571</v>
      </c>
      <c r="B50" s="440"/>
      <c r="C50" s="182">
        <v>-5.2117380000000004</v>
      </c>
      <c r="D50" s="180" t="s">
        <v>574</v>
      </c>
      <c r="E50" s="183">
        <v>3.0555509999999999</v>
      </c>
      <c r="F50" s="180" t="s">
        <v>574</v>
      </c>
      <c r="G50" s="183">
        <v>-3.0641829999999999</v>
      </c>
      <c r="H50" s="181" t="s">
        <v>573</v>
      </c>
      <c r="I50" s="184">
        <v>4.7922830000000003</v>
      </c>
      <c r="J50" s="185" t="s">
        <v>573</v>
      </c>
      <c r="K50" s="329">
        <v>-1.2734909999999999</v>
      </c>
      <c r="L50" s="329"/>
      <c r="M50" s="329">
        <v>0.84019699999999997</v>
      </c>
      <c r="N50" s="329"/>
    </row>
    <row r="51" spans="1:14">
      <c r="A51" s="438" t="s">
        <v>575</v>
      </c>
      <c r="B51" s="147" t="s">
        <v>555</v>
      </c>
      <c r="C51" s="149">
        <v>0.2034</v>
      </c>
      <c r="D51" s="151"/>
      <c r="E51" s="151">
        <v>0.36620000000000003</v>
      </c>
      <c r="F51" s="151"/>
      <c r="G51" s="151">
        <v>0.63439999999999996</v>
      </c>
      <c r="H51" s="179"/>
      <c r="I51" s="328">
        <v>0.1711</v>
      </c>
      <c r="J51" s="186"/>
      <c r="K51" s="331">
        <v>3.6999999999999998E-2</v>
      </c>
      <c r="L51" s="331"/>
      <c r="M51" s="331">
        <v>2.7799999999999998E-2</v>
      </c>
      <c r="N51" s="331"/>
    </row>
    <row r="52" spans="1:14">
      <c r="A52" s="437"/>
      <c r="B52" s="147" t="s">
        <v>556</v>
      </c>
      <c r="C52" s="149">
        <v>0.18129999999999999</v>
      </c>
      <c r="D52" s="151"/>
      <c r="E52" s="151">
        <v>0.29480000000000001</v>
      </c>
      <c r="F52" s="151"/>
      <c r="G52" s="151">
        <v>0.69669999999999999</v>
      </c>
      <c r="H52" s="179"/>
      <c r="I52" s="328">
        <v>0.127</v>
      </c>
      <c r="J52" s="186"/>
      <c r="K52" s="330">
        <v>0.15049999999999999</v>
      </c>
      <c r="L52" s="330"/>
      <c r="M52" s="330">
        <v>0.18360000000000001</v>
      </c>
      <c r="N52" s="330"/>
    </row>
    <row r="53" spans="1:14">
      <c r="A53" s="438" t="s">
        <v>576</v>
      </c>
      <c r="B53" s="147" t="s">
        <v>558</v>
      </c>
      <c r="C53" s="149">
        <v>0.13780000000000001</v>
      </c>
      <c r="D53" s="151"/>
      <c r="E53" s="151">
        <v>0.27700000000000002</v>
      </c>
      <c r="F53" s="151"/>
      <c r="G53" s="151">
        <v>0.52869999999999995</v>
      </c>
      <c r="H53" s="179"/>
      <c r="I53" s="186">
        <v>1.61E-2</v>
      </c>
      <c r="J53" s="186"/>
      <c r="K53" s="331">
        <v>3.2899999999999999E-2</v>
      </c>
      <c r="L53" s="331"/>
      <c r="M53" s="331">
        <v>2.76E-2</v>
      </c>
      <c r="N53" s="331"/>
    </row>
    <row r="54" spans="1:14">
      <c r="A54" s="437"/>
      <c r="B54" s="147" t="s">
        <v>556</v>
      </c>
      <c r="C54" s="149">
        <v>0.1011</v>
      </c>
      <c r="D54" s="151"/>
      <c r="E54" s="151">
        <v>0.2016</v>
      </c>
      <c r="F54" s="151"/>
      <c r="G54" s="151">
        <v>0.55810000000000004</v>
      </c>
      <c r="H54" s="179"/>
      <c r="I54" s="186">
        <v>4.5199999999999997E-2</v>
      </c>
      <c r="J54" s="186"/>
      <c r="K54" s="330">
        <v>0.10680000000000001</v>
      </c>
      <c r="L54" s="330"/>
      <c r="M54" s="330">
        <v>0.1268</v>
      </c>
      <c r="N54" s="330"/>
    </row>
    <row r="55" spans="1:14" s="44" customFormat="1" hidden="1" outlineLevel="1">
      <c r="A55" s="147"/>
      <c r="B55" s="147" t="s">
        <v>577</v>
      </c>
      <c r="C55" s="146">
        <f>AVERAGE(C51:C54)</f>
        <v>0.15589999999999998</v>
      </c>
      <c r="D55" s="146"/>
      <c r="E55" s="146">
        <f t="shared" ref="E55:M55" si="4">AVERAGE(E51:E54)</f>
        <v>0.28490000000000004</v>
      </c>
      <c r="F55" s="146"/>
      <c r="G55" s="146">
        <f t="shared" si="4"/>
        <v>0.60447499999999998</v>
      </c>
      <c r="H55" s="146"/>
      <c r="I55" s="186">
        <f t="shared" si="4"/>
        <v>8.9850000000000013E-2</v>
      </c>
      <c r="J55" s="328"/>
      <c r="K55" s="331">
        <f t="shared" si="4"/>
        <v>8.1799999999999998E-2</v>
      </c>
      <c r="L55" s="331"/>
      <c r="M55" s="331">
        <f t="shared" si="4"/>
        <v>9.1450000000000004E-2</v>
      </c>
      <c r="N55" s="340"/>
    </row>
    <row r="56" spans="1:14" s="44" customFormat="1" hidden="1" outlineLevel="1">
      <c r="A56" s="147"/>
      <c r="B56" s="147" t="s">
        <v>578</v>
      </c>
      <c r="C56" s="44">
        <v>0.77412199999999998</v>
      </c>
      <c r="I56" s="44">
        <v>0.88158999999999998</v>
      </c>
    </row>
    <row r="57" spans="1:14" collapsed="1">
      <c r="A57" s="434" t="s">
        <v>582</v>
      </c>
      <c r="B57" s="434"/>
      <c r="C57" s="434"/>
      <c r="D57" s="434"/>
      <c r="E57" s="434"/>
      <c r="F57" s="434"/>
      <c r="G57" s="434"/>
      <c r="H57" s="434"/>
      <c r="I57" s="434"/>
      <c r="J57" s="434"/>
      <c r="K57" s="434"/>
      <c r="L57" s="434"/>
      <c r="M57" s="434"/>
      <c r="N57" s="168"/>
    </row>
    <row r="58" spans="1:14">
      <c r="A58" s="432" t="s">
        <v>542</v>
      </c>
      <c r="B58" s="432"/>
      <c r="C58" s="435" t="s">
        <v>543</v>
      </c>
      <c r="D58" s="432"/>
      <c r="E58" s="432"/>
      <c r="F58" s="432"/>
      <c r="G58" s="432"/>
      <c r="H58" s="441"/>
      <c r="I58" s="432" t="s">
        <v>545</v>
      </c>
      <c r="J58" s="432"/>
      <c r="K58" s="432"/>
      <c r="L58" s="432"/>
      <c r="M58" s="432"/>
      <c r="N58" s="432"/>
    </row>
    <row r="59" spans="1:14">
      <c r="A59" s="432" t="s">
        <v>569</v>
      </c>
      <c r="B59" s="432"/>
      <c r="C59" s="435" t="s">
        <v>570</v>
      </c>
      <c r="D59" s="432"/>
      <c r="E59" s="432"/>
      <c r="F59" s="432"/>
      <c r="G59" s="432"/>
      <c r="H59" s="441"/>
      <c r="I59" s="432" t="s">
        <v>21</v>
      </c>
      <c r="J59" s="432"/>
      <c r="K59" s="432"/>
      <c r="L59" s="432"/>
      <c r="M59" s="432"/>
      <c r="N59" s="432"/>
    </row>
    <row r="60" spans="1:14">
      <c r="A60" s="436" t="s">
        <v>547</v>
      </c>
      <c r="B60" s="436"/>
      <c r="C60" s="442" t="s">
        <v>548</v>
      </c>
      <c r="D60" s="436"/>
      <c r="E60" s="436" t="s">
        <v>549</v>
      </c>
      <c r="F60" s="436"/>
      <c r="G60" s="436" t="s">
        <v>550</v>
      </c>
      <c r="H60" s="452"/>
      <c r="I60" s="442" t="s">
        <v>548</v>
      </c>
      <c r="J60" s="436"/>
      <c r="K60" s="436" t="s">
        <v>549</v>
      </c>
      <c r="L60" s="436"/>
      <c r="M60" s="436" t="s">
        <v>550</v>
      </c>
      <c r="N60" s="436"/>
    </row>
    <row r="61" spans="1:14" s="146" customFormat="1">
      <c r="A61" s="439" t="s">
        <v>571</v>
      </c>
      <c r="B61" s="440"/>
      <c r="C61" s="336">
        <v>-0.46998299999999998</v>
      </c>
      <c r="D61" s="329"/>
      <c r="E61" s="329">
        <v>0.25178299999999998</v>
      </c>
      <c r="F61" s="329"/>
      <c r="G61" s="329">
        <v>-0.238202</v>
      </c>
      <c r="H61" s="332"/>
      <c r="I61" s="329">
        <v>-0.90041199999999999</v>
      </c>
      <c r="J61" s="329"/>
      <c r="K61" s="329">
        <v>0.268258</v>
      </c>
      <c r="L61" s="329"/>
      <c r="M61" s="329">
        <v>-0.24665500000000001</v>
      </c>
      <c r="N61" s="329"/>
    </row>
    <row r="62" spans="1:14">
      <c r="A62" s="438" t="s">
        <v>575</v>
      </c>
      <c r="B62" s="147" t="s">
        <v>555</v>
      </c>
      <c r="C62" s="337">
        <v>0.74170000000000003</v>
      </c>
      <c r="D62" s="333"/>
      <c r="E62" s="333">
        <v>0.66900000000000004</v>
      </c>
      <c r="F62" s="333"/>
      <c r="G62" s="333">
        <v>0.67020000000000002</v>
      </c>
      <c r="H62" s="334"/>
      <c r="I62" s="330">
        <v>0.69979999999999998</v>
      </c>
      <c r="J62" s="330"/>
      <c r="K62" s="330">
        <v>0.75349999999999995</v>
      </c>
      <c r="L62" s="330"/>
      <c r="M62" s="330">
        <v>0.75970000000000004</v>
      </c>
      <c r="N62" s="331"/>
    </row>
    <row r="63" spans="1:14">
      <c r="A63" s="437"/>
      <c r="B63" s="147" t="s">
        <v>556</v>
      </c>
      <c r="C63" s="337">
        <v>0.70389999999999997</v>
      </c>
      <c r="D63" s="333"/>
      <c r="E63" s="333">
        <v>0.64729999999999999</v>
      </c>
      <c r="F63" s="333"/>
      <c r="G63" s="333">
        <v>0.65720000000000001</v>
      </c>
      <c r="H63" s="334"/>
      <c r="I63" s="330">
        <v>0.69699999999999995</v>
      </c>
      <c r="J63" s="330"/>
      <c r="K63" s="330">
        <v>0.76259999999999994</v>
      </c>
      <c r="L63" s="330"/>
      <c r="M63" s="330">
        <v>0.77700000000000002</v>
      </c>
      <c r="N63" s="330"/>
    </row>
    <row r="64" spans="1:14">
      <c r="A64" s="438" t="s">
        <v>576</v>
      </c>
      <c r="B64" s="147" t="s">
        <v>558</v>
      </c>
      <c r="C64" s="337">
        <v>0.5806</v>
      </c>
      <c r="D64" s="333"/>
      <c r="E64" s="333">
        <v>0.52529999999999999</v>
      </c>
      <c r="F64" s="333"/>
      <c r="G64" s="333">
        <v>0.54949999999999999</v>
      </c>
      <c r="H64" s="334"/>
      <c r="I64" s="330">
        <v>0.57909999999999995</v>
      </c>
      <c r="J64" s="330"/>
      <c r="K64" s="330">
        <v>0.59330000000000005</v>
      </c>
      <c r="L64" s="330"/>
      <c r="M64" s="330">
        <v>0.58209999999999995</v>
      </c>
      <c r="N64" s="331"/>
    </row>
    <row r="65" spans="1:21">
      <c r="A65" s="437"/>
      <c r="B65" s="147" t="s">
        <v>556</v>
      </c>
      <c r="C65" s="337">
        <v>0.4985</v>
      </c>
      <c r="D65" s="333"/>
      <c r="E65" s="333">
        <v>0.46789999999999998</v>
      </c>
      <c r="F65" s="333"/>
      <c r="G65" s="333">
        <v>0.50780000000000003</v>
      </c>
      <c r="H65" s="334"/>
      <c r="I65" s="330">
        <v>0.54600000000000004</v>
      </c>
      <c r="J65" s="330"/>
      <c r="K65" s="330">
        <v>0.55600000000000005</v>
      </c>
      <c r="L65" s="330"/>
      <c r="M65" s="330">
        <v>0.54610000000000003</v>
      </c>
      <c r="N65" s="330"/>
    </row>
    <row r="66" spans="1:21" s="44" customFormat="1" hidden="1" outlineLevel="1">
      <c r="A66" s="147"/>
      <c r="B66" s="147" t="s">
        <v>577</v>
      </c>
      <c r="C66" s="330">
        <f>AVERAGE(C62:C65)</f>
        <v>0.63117500000000004</v>
      </c>
      <c r="D66" s="330"/>
      <c r="E66" s="330">
        <f t="shared" ref="E66:M66" si="5">AVERAGE(E62:E65)</f>
        <v>0.57737499999999997</v>
      </c>
      <c r="F66" s="330"/>
      <c r="G66" s="330">
        <f t="shared" si="5"/>
        <v>0.59617500000000001</v>
      </c>
      <c r="H66" s="330"/>
      <c r="I66" s="330">
        <f t="shared" si="5"/>
        <v>0.6304749999999999</v>
      </c>
      <c r="J66" s="330"/>
      <c r="K66" s="330">
        <f t="shared" si="5"/>
        <v>0.66635</v>
      </c>
      <c r="L66" s="330"/>
      <c r="M66" s="330">
        <f t="shared" si="5"/>
        <v>0.66622500000000007</v>
      </c>
      <c r="N66" s="339"/>
    </row>
    <row r="67" spans="1:21" collapsed="1">
      <c r="A67" s="434" t="s">
        <v>566</v>
      </c>
      <c r="B67" s="434"/>
      <c r="C67" s="434"/>
      <c r="D67" s="434"/>
      <c r="E67" s="434"/>
      <c r="F67" s="434"/>
      <c r="G67" s="434"/>
      <c r="H67" s="434"/>
      <c r="I67" s="434"/>
      <c r="J67" s="434"/>
      <c r="K67" s="434"/>
      <c r="L67" s="434"/>
      <c r="M67" s="434"/>
      <c r="N67" s="168"/>
    </row>
    <row r="68" spans="1:21">
      <c r="A68" s="432" t="s">
        <v>542</v>
      </c>
      <c r="B68" s="432"/>
      <c r="C68" s="443" t="s">
        <v>583</v>
      </c>
      <c r="D68" s="444"/>
      <c r="E68" s="444"/>
      <c r="F68" s="444"/>
      <c r="G68" s="444"/>
      <c r="H68" s="445"/>
      <c r="I68" s="432" t="s">
        <v>545</v>
      </c>
      <c r="J68" s="432"/>
      <c r="K68" s="432"/>
      <c r="L68" s="432"/>
      <c r="M68" s="432"/>
      <c r="N68" s="432"/>
    </row>
    <row r="69" spans="1:21">
      <c r="A69" s="432" t="s">
        <v>569</v>
      </c>
      <c r="B69" s="432"/>
      <c r="C69" s="446" t="s">
        <v>570</v>
      </c>
      <c r="D69" s="447"/>
      <c r="E69" s="447"/>
      <c r="F69" s="447"/>
      <c r="G69" s="447"/>
      <c r="H69" s="448"/>
      <c r="I69" s="432" t="s">
        <v>21</v>
      </c>
      <c r="J69" s="432"/>
      <c r="K69" s="432"/>
      <c r="L69" s="432"/>
      <c r="M69" s="432"/>
      <c r="N69" s="432"/>
    </row>
    <row r="70" spans="1:21">
      <c r="A70" s="436" t="s">
        <v>547</v>
      </c>
      <c r="B70" s="436"/>
      <c r="C70" s="451" t="s">
        <v>548</v>
      </c>
      <c r="D70" s="449"/>
      <c r="E70" s="449" t="s">
        <v>549</v>
      </c>
      <c r="F70" s="449"/>
      <c r="G70" s="449" t="s">
        <v>550</v>
      </c>
      <c r="H70" s="450"/>
      <c r="I70" s="442" t="s">
        <v>548</v>
      </c>
      <c r="J70" s="436"/>
      <c r="K70" s="436" t="s">
        <v>549</v>
      </c>
      <c r="L70" s="436"/>
      <c r="M70" s="436" t="s">
        <v>550</v>
      </c>
      <c r="N70" s="436"/>
    </row>
    <row r="71" spans="1:21" s="146" customFormat="1">
      <c r="A71" s="439" t="s">
        <v>571</v>
      </c>
      <c r="B71" s="440"/>
      <c r="C71" s="336">
        <v>-0.63953199999999999</v>
      </c>
      <c r="D71" s="329"/>
      <c r="E71" s="184">
        <v>0.486487</v>
      </c>
      <c r="F71" s="185" t="s">
        <v>581</v>
      </c>
      <c r="G71" s="184">
        <v>-0.70857300000000001</v>
      </c>
      <c r="H71" s="325" t="s">
        <v>573</v>
      </c>
      <c r="I71" s="329">
        <v>45.648530000000001</v>
      </c>
      <c r="J71" s="329"/>
      <c r="K71" s="329">
        <v>-9.1106149999999992</v>
      </c>
      <c r="L71" s="329"/>
      <c r="M71" s="329">
        <v>3.5229870000000001</v>
      </c>
      <c r="N71" s="329"/>
      <c r="P71" s="24"/>
      <c r="Q71" s="24"/>
      <c r="R71" s="24"/>
      <c r="S71" s="24"/>
      <c r="T71" s="24"/>
      <c r="U71" s="24"/>
    </row>
    <row r="72" spans="1:21">
      <c r="A72" s="438" t="s">
        <v>575</v>
      </c>
      <c r="B72" s="147" t="s">
        <v>555</v>
      </c>
      <c r="C72" s="337">
        <v>0.64680000000000004</v>
      </c>
      <c r="D72" s="333"/>
      <c r="E72" s="322">
        <v>1.6799999999999999E-2</v>
      </c>
      <c r="F72" s="323"/>
      <c r="G72" s="322">
        <v>1.8800000000000001E-2</v>
      </c>
      <c r="H72" s="326"/>
      <c r="I72" s="330">
        <v>0.86580000000000001</v>
      </c>
      <c r="J72" s="330"/>
      <c r="K72" s="330">
        <v>0.73750000000000004</v>
      </c>
      <c r="L72" s="330"/>
      <c r="M72" s="330">
        <v>0.64410000000000001</v>
      </c>
      <c r="N72" s="330"/>
    </row>
    <row r="73" spans="1:21">
      <c r="A73" s="437"/>
      <c r="B73" s="147" t="s">
        <v>556</v>
      </c>
      <c r="C73" s="337">
        <v>0.33800000000000002</v>
      </c>
      <c r="D73" s="333"/>
      <c r="E73" s="322">
        <v>8.6999999999999994E-3</v>
      </c>
      <c r="F73" s="323"/>
      <c r="G73" s="322">
        <v>1.29E-2</v>
      </c>
      <c r="H73" s="326"/>
      <c r="I73" s="330">
        <v>0.87329999999999997</v>
      </c>
      <c r="J73" s="330"/>
      <c r="K73" s="330">
        <v>0.70679999999999998</v>
      </c>
      <c r="L73" s="330"/>
      <c r="M73" s="330">
        <v>0.63229999999999997</v>
      </c>
      <c r="N73" s="330"/>
    </row>
    <row r="74" spans="1:21">
      <c r="A74" s="438" t="s">
        <v>576</v>
      </c>
      <c r="B74" s="147" t="s">
        <v>558</v>
      </c>
      <c r="C74" s="338">
        <v>1.9400000000000001E-2</v>
      </c>
      <c r="D74" s="335"/>
      <c r="E74" s="322">
        <v>9.9000000000000008E-3</v>
      </c>
      <c r="F74" s="322"/>
      <c r="G74" s="322">
        <v>1.23E-2</v>
      </c>
      <c r="H74" s="327"/>
      <c r="I74" s="330">
        <v>0.80430000000000001</v>
      </c>
      <c r="J74" s="330"/>
      <c r="K74" s="330">
        <v>0.67010000000000003</v>
      </c>
      <c r="L74" s="330"/>
      <c r="M74" s="330">
        <v>0.56940000000000002</v>
      </c>
      <c r="N74" s="330"/>
    </row>
    <row r="75" spans="1:21">
      <c r="A75" s="437"/>
      <c r="B75" s="147" t="s">
        <v>556</v>
      </c>
      <c r="C75" s="338">
        <v>4.1999999999999997E-3</v>
      </c>
      <c r="D75" s="335"/>
      <c r="E75" s="322">
        <v>2.7000000000000001E-3</v>
      </c>
      <c r="F75" s="322"/>
      <c r="G75" s="322">
        <v>5.4999999999999997E-3</v>
      </c>
      <c r="H75" s="327"/>
      <c r="I75" s="330">
        <v>0.79669999999999996</v>
      </c>
      <c r="J75" s="330"/>
      <c r="K75" s="330">
        <v>0.62780000000000002</v>
      </c>
      <c r="L75" s="330"/>
      <c r="M75" s="330">
        <v>0.54659999999999997</v>
      </c>
      <c r="N75" s="330"/>
    </row>
    <row r="76" spans="1:21" s="44" customFormat="1" ht="18" customHeight="1" outlineLevel="1">
      <c r="A76" s="147"/>
      <c r="B76" s="147" t="s">
        <v>577</v>
      </c>
      <c r="C76" s="330">
        <f>AVERAGE(C72:C75)</f>
        <v>0.25210000000000005</v>
      </c>
      <c r="D76" s="330"/>
      <c r="E76" s="186">
        <f t="shared" ref="E76:M76" si="6">AVERAGE(E72:E75)</f>
        <v>9.5250000000000005E-3</v>
      </c>
      <c r="F76" s="328"/>
      <c r="G76" s="186">
        <f t="shared" si="6"/>
        <v>1.2374999999999999E-2</v>
      </c>
      <c r="H76" s="328"/>
      <c r="I76" s="330">
        <f t="shared" si="6"/>
        <v>0.83502500000000002</v>
      </c>
      <c r="J76" s="330"/>
      <c r="K76" s="330">
        <f t="shared" si="6"/>
        <v>0.6855500000000001</v>
      </c>
      <c r="L76" s="330"/>
      <c r="M76" s="330">
        <f t="shared" si="6"/>
        <v>0.59810000000000008</v>
      </c>
      <c r="N76" s="339"/>
      <c r="P76" s="24"/>
      <c r="Q76" s="24"/>
      <c r="R76" s="24"/>
      <c r="S76" s="24"/>
      <c r="T76" s="24"/>
      <c r="U76" s="24"/>
    </row>
    <row r="77" spans="1:21" s="44" customFormat="1" ht="18" customHeight="1" outlineLevel="1">
      <c r="A77" s="147"/>
      <c r="B77" s="147" t="s">
        <v>578</v>
      </c>
      <c r="E77" s="44">
        <v>5.8962000000000001E-2</v>
      </c>
      <c r="G77" s="44">
        <v>2.6598E-2</v>
      </c>
      <c r="P77" s="24"/>
      <c r="Q77" s="24"/>
      <c r="R77" s="24"/>
      <c r="S77" s="24"/>
      <c r="T77" s="24"/>
      <c r="U77" s="24"/>
    </row>
    <row r="78" spans="1:21">
      <c r="A78" s="434" t="s">
        <v>567</v>
      </c>
      <c r="B78" s="434"/>
      <c r="C78" s="434"/>
      <c r="D78" s="434"/>
      <c r="E78" s="434"/>
      <c r="F78" s="434"/>
      <c r="G78" s="434"/>
      <c r="H78" s="434"/>
      <c r="I78" s="434"/>
      <c r="J78" s="434"/>
      <c r="K78" s="434"/>
      <c r="L78" s="434"/>
      <c r="M78" s="434"/>
      <c r="N78" s="168"/>
    </row>
    <row r="79" spans="1:21">
      <c r="A79" s="432" t="s">
        <v>542</v>
      </c>
      <c r="B79" s="432"/>
      <c r="C79" s="435" t="s">
        <v>543</v>
      </c>
      <c r="D79" s="432"/>
      <c r="E79" s="432"/>
      <c r="F79" s="432"/>
      <c r="G79" s="432"/>
      <c r="H79" s="441"/>
      <c r="I79" s="432" t="s">
        <v>545</v>
      </c>
      <c r="J79" s="432"/>
      <c r="K79" s="432"/>
      <c r="L79" s="432"/>
      <c r="M79" s="432"/>
      <c r="N79" s="432"/>
    </row>
    <row r="80" spans="1:21">
      <c r="A80" s="432" t="s">
        <v>569</v>
      </c>
      <c r="B80" s="432"/>
      <c r="C80" s="435" t="s">
        <v>570</v>
      </c>
      <c r="D80" s="432"/>
      <c r="E80" s="432"/>
      <c r="F80" s="432"/>
      <c r="G80" s="432"/>
      <c r="H80" s="441"/>
      <c r="I80" s="432" t="s">
        <v>21</v>
      </c>
      <c r="J80" s="432"/>
      <c r="K80" s="432"/>
      <c r="L80" s="432"/>
      <c r="M80" s="432"/>
      <c r="N80" s="432"/>
    </row>
    <row r="81" spans="1:14">
      <c r="A81" s="436" t="s">
        <v>547</v>
      </c>
      <c r="B81" s="436"/>
      <c r="C81" s="442" t="s">
        <v>548</v>
      </c>
      <c r="D81" s="436"/>
      <c r="E81" s="436" t="s">
        <v>549</v>
      </c>
      <c r="F81" s="436"/>
      <c r="G81" s="436" t="s">
        <v>550</v>
      </c>
      <c r="H81" s="452"/>
      <c r="I81" s="442" t="s">
        <v>548</v>
      </c>
      <c r="J81" s="436"/>
      <c r="K81" s="436" t="s">
        <v>549</v>
      </c>
      <c r="L81" s="436"/>
      <c r="M81" s="436" t="s">
        <v>550</v>
      </c>
      <c r="N81" s="436"/>
    </row>
    <row r="82" spans="1:14" s="146" customFormat="1">
      <c r="A82" s="439" t="s">
        <v>571</v>
      </c>
      <c r="B82" s="440"/>
      <c r="C82" s="182">
        <v>-1.269968</v>
      </c>
      <c r="D82" s="180" t="s">
        <v>574</v>
      </c>
      <c r="E82" s="183">
        <v>0.77342100000000003</v>
      </c>
      <c r="F82" s="180" t="s">
        <v>574</v>
      </c>
      <c r="G82" s="183">
        <v>-0.86952700000000005</v>
      </c>
      <c r="H82" s="181" t="s">
        <v>573</v>
      </c>
      <c r="I82" s="183">
        <v>16.44613</v>
      </c>
      <c r="J82" s="180" t="s">
        <v>574</v>
      </c>
      <c r="K82" s="183">
        <v>-4.6755190000000004</v>
      </c>
      <c r="L82" s="180" t="s">
        <v>581</v>
      </c>
      <c r="M82" s="329">
        <v>3.3827470000000002</v>
      </c>
      <c r="N82" s="329"/>
    </row>
    <row r="83" spans="1:14">
      <c r="A83" s="438" t="s">
        <v>575</v>
      </c>
      <c r="B83" s="147" t="s">
        <v>555</v>
      </c>
      <c r="C83" s="149">
        <v>0.31469999999999998</v>
      </c>
      <c r="D83" s="151"/>
      <c r="E83" s="151">
        <v>0.41389999999999999</v>
      </c>
      <c r="F83" s="151"/>
      <c r="G83" s="151">
        <v>0.69299999999999995</v>
      </c>
      <c r="H83" s="179"/>
      <c r="I83" s="146">
        <v>0.44890000000000002</v>
      </c>
      <c r="J83" s="146"/>
      <c r="K83" s="146">
        <v>0.40300000000000002</v>
      </c>
      <c r="L83" s="146"/>
      <c r="M83" s="330">
        <v>0.3926</v>
      </c>
      <c r="N83" s="330"/>
    </row>
    <row r="84" spans="1:14">
      <c r="A84" s="437"/>
      <c r="B84" s="147" t="s">
        <v>556</v>
      </c>
      <c r="C84" s="149">
        <v>0.22470000000000001</v>
      </c>
      <c r="D84" s="151"/>
      <c r="E84" s="151">
        <v>0.31459999999999999</v>
      </c>
      <c r="F84" s="151"/>
      <c r="G84" s="151">
        <v>0.63260000000000005</v>
      </c>
      <c r="H84" s="179"/>
      <c r="I84" s="146">
        <v>0.40899999999999997</v>
      </c>
      <c r="J84" s="146"/>
      <c r="K84" s="146">
        <v>0.36380000000000001</v>
      </c>
      <c r="L84" s="146"/>
      <c r="M84" s="330">
        <v>0.39350000000000002</v>
      </c>
      <c r="N84" s="330"/>
    </row>
    <row r="85" spans="1:14">
      <c r="A85" s="438" t="s">
        <v>576</v>
      </c>
      <c r="B85" s="147" t="s">
        <v>558</v>
      </c>
      <c r="C85" s="152">
        <v>1.52E-2</v>
      </c>
      <c r="D85" s="150"/>
      <c r="E85" s="150">
        <v>1.6899999999999998E-2</v>
      </c>
      <c r="F85" s="150"/>
      <c r="G85" s="150">
        <v>8.14E-2</v>
      </c>
      <c r="H85" s="178"/>
      <c r="I85" s="146">
        <v>0.43759999999999999</v>
      </c>
      <c r="J85" s="146"/>
      <c r="K85" s="146">
        <v>0.34860000000000002</v>
      </c>
      <c r="L85" s="146"/>
      <c r="M85" s="330">
        <v>0.33660000000000001</v>
      </c>
      <c r="N85" s="330"/>
    </row>
    <row r="86" spans="1:14">
      <c r="A86" s="437"/>
      <c r="B86" s="147" t="s">
        <v>556</v>
      </c>
      <c r="C86" s="152">
        <v>8.0000000000000002E-3</v>
      </c>
      <c r="D86" s="150"/>
      <c r="E86" s="150">
        <v>8.3000000000000001E-3</v>
      </c>
      <c r="F86" s="150"/>
      <c r="G86" s="150">
        <v>6.25E-2</v>
      </c>
      <c r="H86" s="178"/>
      <c r="I86" s="146">
        <v>0.4163</v>
      </c>
      <c r="J86" s="146"/>
      <c r="K86" s="146">
        <v>0.30990000000000001</v>
      </c>
      <c r="L86" s="146"/>
      <c r="M86" s="330">
        <v>0.33110000000000001</v>
      </c>
      <c r="N86" s="330"/>
    </row>
    <row r="87" spans="1:14" s="44" customFormat="1" hidden="1" outlineLevel="1">
      <c r="A87" s="147"/>
      <c r="B87" s="147" t="s">
        <v>577</v>
      </c>
      <c r="C87" s="146">
        <f>AVERAGE(C83:C86)</f>
        <v>0.14065</v>
      </c>
      <c r="D87" s="146"/>
      <c r="E87" s="146">
        <f t="shared" ref="E87:M87" si="7">AVERAGE(E83:E86)</f>
        <v>0.18842499999999998</v>
      </c>
      <c r="F87" s="146"/>
      <c r="G87" s="146">
        <f t="shared" si="7"/>
        <v>0.36737500000000001</v>
      </c>
      <c r="H87" s="146"/>
      <c r="I87" s="146">
        <f t="shared" si="7"/>
        <v>0.42795000000000005</v>
      </c>
      <c r="J87" s="146"/>
      <c r="K87" s="146">
        <f t="shared" si="7"/>
        <v>0.35632500000000006</v>
      </c>
      <c r="L87" s="146"/>
      <c r="M87" s="330">
        <f t="shared" si="7"/>
        <v>0.36345</v>
      </c>
      <c r="N87" s="339"/>
    </row>
    <row r="88" spans="1:14" s="44" customFormat="1" hidden="1" outlineLevel="1">
      <c r="A88" s="147"/>
      <c r="B88" s="147" t="s">
        <v>578</v>
      </c>
      <c r="C88" s="44">
        <v>0.73660499999999995</v>
      </c>
      <c r="E88" s="44">
        <v>0.68786999999999998</v>
      </c>
    </row>
    <row r="89" spans="1:14" collapsed="1">
      <c r="A89" s="434" t="s">
        <v>584</v>
      </c>
      <c r="B89" s="434"/>
      <c r="C89" s="434"/>
      <c r="D89" s="434"/>
      <c r="E89" s="434"/>
      <c r="F89" s="434"/>
      <c r="G89" s="434"/>
      <c r="H89" s="434"/>
      <c r="I89" s="434"/>
      <c r="J89" s="434"/>
      <c r="K89" s="434"/>
      <c r="L89" s="434"/>
      <c r="M89" s="434"/>
      <c r="N89" s="168"/>
    </row>
    <row r="90" spans="1:14">
      <c r="A90" s="432" t="s">
        <v>542</v>
      </c>
      <c r="B90" s="432"/>
      <c r="C90" s="435" t="s">
        <v>543</v>
      </c>
      <c r="D90" s="432"/>
      <c r="E90" s="432"/>
      <c r="F90" s="432"/>
      <c r="G90" s="432"/>
      <c r="H90" s="441"/>
      <c r="I90" s="432" t="s">
        <v>545</v>
      </c>
      <c r="J90" s="432"/>
      <c r="K90" s="432"/>
      <c r="L90" s="432"/>
      <c r="M90" s="432"/>
      <c r="N90" s="432"/>
    </row>
    <row r="91" spans="1:14">
      <c r="A91" s="432" t="s">
        <v>569</v>
      </c>
      <c r="B91" s="432"/>
      <c r="C91" s="435" t="s">
        <v>570</v>
      </c>
      <c r="D91" s="432"/>
      <c r="E91" s="432"/>
      <c r="F91" s="432"/>
      <c r="G91" s="432"/>
      <c r="H91" s="441"/>
      <c r="I91" s="432" t="s">
        <v>21</v>
      </c>
      <c r="J91" s="432"/>
      <c r="K91" s="432"/>
      <c r="L91" s="432"/>
      <c r="M91" s="432"/>
      <c r="N91" s="432"/>
    </row>
    <row r="92" spans="1:14">
      <c r="A92" s="436" t="s">
        <v>547</v>
      </c>
      <c r="B92" s="436"/>
      <c r="C92" s="442" t="s">
        <v>548</v>
      </c>
      <c r="D92" s="436"/>
      <c r="E92" s="436" t="s">
        <v>549</v>
      </c>
      <c r="F92" s="436"/>
      <c r="G92" s="436" t="s">
        <v>550</v>
      </c>
      <c r="H92" s="452"/>
      <c r="I92" s="442" t="s">
        <v>548</v>
      </c>
      <c r="J92" s="436"/>
      <c r="K92" s="436" t="s">
        <v>549</v>
      </c>
      <c r="L92" s="436"/>
      <c r="M92" s="436" t="s">
        <v>550</v>
      </c>
      <c r="N92" s="436"/>
    </row>
    <row r="93" spans="1:14" s="146" customFormat="1">
      <c r="A93" s="439" t="s">
        <v>571</v>
      </c>
      <c r="B93" s="440"/>
      <c r="C93" s="182">
        <v>-2.9711650000000001</v>
      </c>
      <c r="D93" s="180" t="s">
        <v>573</v>
      </c>
      <c r="E93" s="329">
        <v>1.491906</v>
      </c>
      <c r="F93" s="329"/>
      <c r="G93" s="329">
        <v>-1.4916050000000001</v>
      </c>
      <c r="H93" s="332"/>
      <c r="I93" s="329">
        <v>29.202400000000001</v>
      </c>
      <c r="J93" s="329"/>
      <c r="K93" s="329">
        <v>-4.4350959999999997</v>
      </c>
      <c r="L93" s="329"/>
      <c r="M93" s="329">
        <v>0.14024</v>
      </c>
      <c r="N93" s="329"/>
    </row>
    <row r="94" spans="1:14">
      <c r="A94" s="438" t="s">
        <v>575</v>
      </c>
      <c r="B94" s="147" t="s">
        <v>555</v>
      </c>
      <c r="C94" s="149">
        <v>0.79900000000000004</v>
      </c>
      <c r="D94" s="151"/>
      <c r="E94" s="333">
        <v>0.748</v>
      </c>
      <c r="F94" s="333"/>
      <c r="G94" s="333">
        <v>0.72299999999999998</v>
      </c>
      <c r="H94" s="334"/>
      <c r="I94" s="330">
        <v>0.88759999999999994</v>
      </c>
      <c r="J94" s="330"/>
      <c r="K94" s="330">
        <v>0.77729999999999999</v>
      </c>
      <c r="L94" s="330"/>
      <c r="M94" s="330">
        <v>0.69599999999999995</v>
      </c>
      <c r="N94" s="330"/>
    </row>
    <row r="95" spans="1:14">
      <c r="A95" s="437"/>
      <c r="B95" s="147" t="s">
        <v>556</v>
      </c>
      <c r="C95" s="149">
        <v>0.81530000000000002</v>
      </c>
      <c r="D95" s="151"/>
      <c r="E95" s="333">
        <v>0.74129999999999996</v>
      </c>
      <c r="F95" s="333"/>
      <c r="G95" s="333">
        <v>0.76200000000000001</v>
      </c>
      <c r="H95" s="334"/>
      <c r="I95" s="330">
        <v>0.89490000000000003</v>
      </c>
      <c r="J95" s="330"/>
      <c r="K95" s="330">
        <v>0.75190000000000001</v>
      </c>
      <c r="L95" s="330"/>
      <c r="M95" s="330">
        <v>0.68300000000000005</v>
      </c>
      <c r="N95" s="330"/>
    </row>
    <row r="96" spans="1:14">
      <c r="A96" s="438" t="s">
        <v>576</v>
      </c>
      <c r="B96" s="147" t="s">
        <v>558</v>
      </c>
      <c r="C96" s="149">
        <v>0.6734</v>
      </c>
      <c r="D96" s="151"/>
      <c r="E96" s="333">
        <v>0.63870000000000005</v>
      </c>
      <c r="F96" s="333"/>
      <c r="G96" s="333">
        <v>0.60680000000000001</v>
      </c>
      <c r="H96" s="334"/>
      <c r="I96" s="330">
        <v>0.82279999999999998</v>
      </c>
      <c r="J96" s="330"/>
      <c r="K96" s="330">
        <v>0.70930000000000004</v>
      </c>
      <c r="L96" s="330"/>
      <c r="M96" s="330">
        <v>0.61970000000000003</v>
      </c>
      <c r="N96" s="330"/>
    </row>
    <row r="97" spans="1:14">
      <c r="A97" s="437"/>
      <c r="B97" s="147" t="s">
        <v>556</v>
      </c>
      <c r="C97" s="149">
        <v>0.65539999999999998</v>
      </c>
      <c r="D97" s="151"/>
      <c r="E97" s="333">
        <v>0.60470000000000002</v>
      </c>
      <c r="F97" s="333"/>
      <c r="G97" s="333">
        <v>0.61470000000000002</v>
      </c>
      <c r="H97" s="334"/>
      <c r="I97" s="330">
        <v>0.81230000000000002</v>
      </c>
      <c r="J97" s="330"/>
      <c r="K97" s="330">
        <v>0.6694</v>
      </c>
      <c r="L97" s="330"/>
      <c r="M97" s="330">
        <v>0.59379999999999999</v>
      </c>
      <c r="N97" s="330"/>
    </row>
    <row r="98" spans="1:14" s="44" customFormat="1" hidden="1" outlineLevel="1">
      <c r="A98" s="147"/>
      <c r="B98" s="147" t="s">
        <v>577</v>
      </c>
      <c r="C98" s="146">
        <f>AVERAGE(C94:C97)</f>
        <v>0.73577500000000007</v>
      </c>
      <c r="D98" s="146"/>
      <c r="E98" s="330">
        <f t="shared" ref="E98:M98" si="8">AVERAGE(E94:E97)</f>
        <v>0.68317500000000009</v>
      </c>
      <c r="F98" s="330"/>
      <c r="G98" s="330">
        <f t="shared" si="8"/>
        <v>0.67662500000000003</v>
      </c>
      <c r="H98" s="330"/>
      <c r="I98" s="330">
        <f t="shared" si="8"/>
        <v>0.85439999999999994</v>
      </c>
      <c r="J98" s="330"/>
      <c r="K98" s="330">
        <f t="shared" si="8"/>
        <v>0.72697500000000004</v>
      </c>
      <c r="L98" s="330"/>
      <c r="M98" s="330">
        <f t="shared" si="8"/>
        <v>0.64812499999999995</v>
      </c>
      <c r="N98" s="339"/>
    </row>
    <row r="99" spans="1:14" collapsed="1">
      <c r="A99" s="433" t="s">
        <v>585</v>
      </c>
      <c r="B99" s="433"/>
      <c r="C99" s="433"/>
      <c r="D99" s="433"/>
      <c r="E99" s="433"/>
      <c r="F99" s="433"/>
      <c r="G99" s="433"/>
      <c r="H99" s="433"/>
      <c r="I99" s="433"/>
      <c r="J99" s="433"/>
      <c r="K99" s="433"/>
      <c r="L99" s="433"/>
      <c r="M99" s="433"/>
      <c r="N99" s="433"/>
    </row>
  </sheetData>
  <mergeCells count="154">
    <mergeCell ref="I25:N25"/>
    <mergeCell ref="I26:J26"/>
    <mergeCell ref="K26:L26"/>
    <mergeCell ref="M26:N26"/>
    <mergeCell ref="I36:N36"/>
    <mergeCell ref="A15:B15"/>
    <mergeCell ref="A1:M1"/>
    <mergeCell ref="A2:B2"/>
    <mergeCell ref="A4:B4"/>
    <mergeCell ref="A6:A7"/>
    <mergeCell ref="A8:A9"/>
    <mergeCell ref="A12:M12"/>
    <mergeCell ref="A13:B13"/>
    <mergeCell ref="A5:B5"/>
    <mergeCell ref="I4:J4"/>
    <mergeCell ref="K4:L4"/>
    <mergeCell ref="M4:N4"/>
    <mergeCell ref="A3:B3"/>
    <mergeCell ref="A14:B14"/>
    <mergeCell ref="A17:A18"/>
    <mergeCell ref="A19:A20"/>
    <mergeCell ref="A35:M35"/>
    <mergeCell ref="A36:B36"/>
    <mergeCell ref="A16:B16"/>
    <mergeCell ref="A49:B49"/>
    <mergeCell ref="A51:A52"/>
    <mergeCell ref="A53:A54"/>
    <mergeCell ref="A67:M67"/>
    <mergeCell ref="A68:B68"/>
    <mergeCell ref="C49:D49"/>
    <mergeCell ref="E49:F49"/>
    <mergeCell ref="G49:H49"/>
    <mergeCell ref="I49:J49"/>
    <mergeCell ref="K49:L49"/>
    <mergeCell ref="M49:N49"/>
    <mergeCell ref="C58:H58"/>
    <mergeCell ref="I58:N58"/>
    <mergeCell ref="E60:F60"/>
    <mergeCell ref="G60:H60"/>
    <mergeCell ref="I60:J60"/>
    <mergeCell ref="K60:L60"/>
    <mergeCell ref="M60:N60"/>
    <mergeCell ref="A50:B50"/>
    <mergeCell ref="I68:N68"/>
    <mergeCell ref="A59:B59"/>
    <mergeCell ref="A60:B60"/>
    <mergeCell ref="A61:B61"/>
    <mergeCell ref="A62:A63"/>
    <mergeCell ref="A37:B37"/>
    <mergeCell ref="A48:B48"/>
    <mergeCell ref="A38:B38"/>
    <mergeCell ref="A40:A41"/>
    <mergeCell ref="A42:A43"/>
    <mergeCell ref="A46:M46"/>
    <mergeCell ref="A47:B47"/>
    <mergeCell ref="I37:N37"/>
    <mergeCell ref="I38:J38"/>
    <mergeCell ref="K38:L38"/>
    <mergeCell ref="A39:B39"/>
    <mergeCell ref="M38:N38"/>
    <mergeCell ref="C47:H47"/>
    <mergeCell ref="I47:N47"/>
    <mergeCell ref="C48:H48"/>
    <mergeCell ref="I48:N48"/>
    <mergeCell ref="C25:H25"/>
    <mergeCell ref="C26:D26"/>
    <mergeCell ref="E26:F26"/>
    <mergeCell ref="G26:H26"/>
    <mergeCell ref="A89:M89"/>
    <mergeCell ref="A90:B90"/>
    <mergeCell ref="A91:B91"/>
    <mergeCell ref="A82:B82"/>
    <mergeCell ref="A23:M23"/>
    <mergeCell ref="A24:B24"/>
    <mergeCell ref="A25:B25"/>
    <mergeCell ref="A26:B26"/>
    <mergeCell ref="A27:B27"/>
    <mergeCell ref="A28:A29"/>
    <mergeCell ref="A30:A31"/>
    <mergeCell ref="A57:M57"/>
    <mergeCell ref="A58:B58"/>
    <mergeCell ref="C36:H36"/>
    <mergeCell ref="C37:H37"/>
    <mergeCell ref="C38:D38"/>
    <mergeCell ref="E38:F38"/>
    <mergeCell ref="G38:H38"/>
    <mergeCell ref="A80:B80"/>
    <mergeCell ref="C79:H79"/>
    <mergeCell ref="I15:J15"/>
    <mergeCell ref="K15:L15"/>
    <mergeCell ref="M15:N15"/>
    <mergeCell ref="C24:H24"/>
    <mergeCell ref="I24:N24"/>
    <mergeCell ref="I3:N3"/>
    <mergeCell ref="I2:N2"/>
    <mergeCell ref="C13:H13"/>
    <mergeCell ref="I13:N13"/>
    <mergeCell ref="C14:H14"/>
    <mergeCell ref="I14:N14"/>
    <mergeCell ref="C2:H2"/>
    <mergeCell ref="C3:H3"/>
    <mergeCell ref="C4:D4"/>
    <mergeCell ref="E4:F4"/>
    <mergeCell ref="G4:H4"/>
    <mergeCell ref="C15:D15"/>
    <mergeCell ref="E15:F15"/>
    <mergeCell ref="G15:H15"/>
    <mergeCell ref="A99:N99"/>
    <mergeCell ref="C92:D92"/>
    <mergeCell ref="E92:F92"/>
    <mergeCell ref="G92:H92"/>
    <mergeCell ref="I92:J92"/>
    <mergeCell ref="K92:L92"/>
    <mergeCell ref="M81:N81"/>
    <mergeCell ref="C90:H90"/>
    <mergeCell ref="I90:N90"/>
    <mergeCell ref="C91:H91"/>
    <mergeCell ref="I91:N91"/>
    <mergeCell ref="C81:D81"/>
    <mergeCell ref="E81:F81"/>
    <mergeCell ref="G81:H81"/>
    <mergeCell ref="I81:J81"/>
    <mergeCell ref="K81:L81"/>
    <mergeCell ref="A92:B92"/>
    <mergeCell ref="A96:A97"/>
    <mergeCell ref="A81:B81"/>
    <mergeCell ref="A83:A84"/>
    <mergeCell ref="A85:A86"/>
    <mergeCell ref="C59:H59"/>
    <mergeCell ref="C60:D60"/>
    <mergeCell ref="A70:B70"/>
    <mergeCell ref="C68:H68"/>
    <mergeCell ref="C69:H69"/>
    <mergeCell ref="I69:N69"/>
    <mergeCell ref="G70:H70"/>
    <mergeCell ref="C70:D70"/>
    <mergeCell ref="E70:F70"/>
    <mergeCell ref="I59:N59"/>
    <mergeCell ref="I70:J70"/>
    <mergeCell ref="K70:L70"/>
    <mergeCell ref="M70:N70"/>
    <mergeCell ref="A74:A75"/>
    <mergeCell ref="A78:M78"/>
    <mergeCell ref="A79:B79"/>
    <mergeCell ref="I79:N79"/>
    <mergeCell ref="A71:B71"/>
    <mergeCell ref="A72:A73"/>
    <mergeCell ref="A93:B93"/>
    <mergeCell ref="A94:A95"/>
    <mergeCell ref="A64:A65"/>
    <mergeCell ref="A69:B69"/>
    <mergeCell ref="M92:N92"/>
    <mergeCell ref="C80:H80"/>
    <mergeCell ref="I80:N80"/>
  </mergeCells>
  <phoneticPr fontId="1"/>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EEB9B-0B23-4B29-AB4D-C76A811CF3BB}">
  <dimension ref="A1:AA65"/>
  <sheetViews>
    <sheetView zoomScaleNormal="100" workbookViewId="0"/>
  </sheetViews>
  <sheetFormatPr defaultColWidth="8.84375" defaultRowHeight="18.45" outlineLevelRow="1" outlineLevelCol="1"/>
  <cols>
    <col min="1" max="1" width="7.07421875" style="57" bestFit="1" customWidth="1"/>
    <col min="2" max="5" width="14.4609375" style="43" bestFit="1" customWidth="1"/>
    <col min="6" max="6" width="12.23046875" style="43" bestFit="1" customWidth="1"/>
    <col min="7" max="7" width="12.3046875" style="43" bestFit="1" customWidth="1"/>
    <col min="8" max="8" width="5.765625" style="24" customWidth="1"/>
    <col min="9" max="9" width="14.4609375" style="24" bestFit="1" customWidth="1"/>
    <col min="10" max="10" width="16.07421875" style="24" bestFit="1" customWidth="1"/>
    <col min="11" max="11" width="16.07421875" style="43" customWidth="1"/>
    <col min="12" max="12" width="12.23046875" style="43" bestFit="1" customWidth="1"/>
    <col min="13" max="13" width="5.765625" style="24" customWidth="1"/>
    <col min="14" max="14" width="12.23046875" style="44" bestFit="1" customWidth="1"/>
    <col min="15" max="15" width="5.765625" style="24" customWidth="1"/>
    <col min="16" max="16" width="6.4609375" style="45" bestFit="1" customWidth="1"/>
    <col min="17" max="17" width="11.765625" style="44" customWidth="1"/>
    <col min="18" max="18" width="5.765625" style="24" customWidth="1"/>
    <col min="19" max="19" width="12.07421875" style="43" bestFit="1" customWidth="1"/>
    <col min="20" max="20" width="17.84375" style="24" hidden="1" customWidth="1" outlineLevel="1"/>
    <col min="21" max="21" width="8.84375" style="24" collapsed="1"/>
    <col min="22" max="22" width="14.84375" style="24" hidden="1" customWidth="1" outlineLevel="1"/>
    <col min="23" max="24" width="24.3046875" style="37" hidden="1" customWidth="1" outlineLevel="1"/>
    <col min="25" max="25" width="22.4609375" style="24" customWidth="1" collapsed="1"/>
    <col min="26" max="27" width="22.4609375" style="24" customWidth="1"/>
    <col min="28" max="16384" width="8.84375" style="24"/>
  </cols>
  <sheetData>
    <row r="1" spans="1:27" s="59" customFormat="1">
      <c r="A1" s="58"/>
      <c r="B1" s="407" t="s">
        <v>388</v>
      </c>
      <c r="C1" s="407"/>
      <c r="D1" s="407"/>
      <c r="E1" s="407"/>
      <c r="F1" s="407"/>
      <c r="G1" s="407"/>
      <c r="I1" s="407" t="s">
        <v>3</v>
      </c>
      <c r="J1" s="407"/>
      <c r="K1" s="407"/>
      <c r="L1" s="407"/>
      <c r="N1" s="187" t="s">
        <v>389</v>
      </c>
      <c r="P1" s="407" t="s">
        <v>40</v>
      </c>
      <c r="Q1" s="407"/>
      <c r="S1" s="407" t="s">
        <v>390</v>
      </c>
      <c r="T1" s="407"/>
      <c r="W1" s="94"/>
      <c r="X1" s="94"/>
    </row>
    <row r="2" spans="1:27" ht="55.3">
      <c r="A2" s="57" t="s">
        <v>7</v>
      </c>
      <c r="B2" s="73" t="s">
        <v>667</v>
      </c>
      <c r="C2" s="74" t="s">
        <v>665</v>
      </c>
      <c r="D2" s="73" t="s">
        <v>668</v>
      </c>
      <c r="E2" s="74" t="s">
        <v>666</v>
      </c>
      <c r="F2" s="73" t="s">
        <v>404</v>
      </c>
      <c r="G2" s="73" t="s">
        <v>669</v>
      </c>
      <c r="H2" s="57"/>
      <c r="I2" s="396" t="s">
        <v>407</v>
      </c>
      <c r="J2" s="396" t="s">
        <v>670</v>
      </c>
      <c r="K2" s="397" t="s">
        <v>682</v>
      </c>
      <c r="L2" s="397" t="s">
        <v>410</v>
      </c>
      <c r="M2" s="57"/>
      <c r="N2" s="398" t="s">
        <v>412</v>
      </c>
      <c r="O2" s="57"/>
      <c r="P2" s="399" t="s">
        <v>40</v>
      </c>
      <c r="Q2" s="74" t="s">
        <v>671</v>
      </c>
      <c r="R2" s="57"/>
      <c r="S2" s="73" t="s">
        <v>664</v>
      </c>
      <c r="T2" s="32" t="s">
        <v>45</v>
      </c>
      <c r="V2" s="96" t="s">
        <v>46</v>
      </c>
      <c r="W2" s="67" t="s">
        <v>47</v>
      </c>
      <c r="X2" s="67" t="s">
        <v>48</v>
      </c>
      <c r="Y2" s="32"/>
      <c r="Z2" s="32"/>
      <c r="AA2" s="32"/>
    </row>
    <row r="3" spans="1:27" hidden="1" outlineLevel="1">
      <c r="A3" s="57">
        <v>1980</v>
      </c>
      <c r="B3" s="49"/>
      <c r="C3" s="49"/>
      <c r="D3" s="49"/>
      <c r="E3" s="49"/>
      <c r="F3" s="88">
        <f>★資本稼働率!Y8</f>
        <v>0.83442799999999995</v>
      </c>
      <c r="I3" s="69">
        <f>★平均労働時間!K27</f>
        <v>2278.0755795411901</v>
      </c>
      <c r="J3" s="69">
        <f>★就業者数!W9</f>
        <v>5472.5628883906056</v>
      </c>
      <c r="K3" s="290">
        <f>★就業者数!Y9</f>
        <v>518.48900349658425</v>
      </c>
      <c r="L3" s="46">
        <f>I3*K3</f>
        <v>1181157.1371262153</v>
      </c>
      <c r="N3" s="47">
        <f>★TFP上昇率推計・図5!W3</f>
        <v>0.30803857401284501</v>
      </c>
      <c r="P3" s="54"/>
      <c r="Q3" s="53"/>
      <c r="T3" s="44"/>
      <c r="V3" s="32"/>
      <c r="W3" s="67"/>
      <c r="X3" s="67"/>
      <c r="Y3" s="32"/>
      <c r="Z3" s="32"/>
      <c r="AA3" s="32"/>
    </row>
    <row r="4" spans="1:27" hidden="1" outlineLevel="1">
      <c r="A4" s="57">
        <v>1981</v>
      </c>
      <c r="B4" s="69">
        <f>★資本ストック!H4</f>
        <v>11241.079173226801</v>
      </c>
      <c r="C4" s="293">
        <f>★資本ストック!G5</f>
        <v>9.9397659666527652E-2</v>
      </c>
      <c r="D4" s="69">
        <f>★資本ストック!P4</f>
        <v>472.80664226314798</v>
      </c>
      <c r="E4" s="293">
        <f>★資本ストック!O5</f>
        <v>0.16529717456579623</v>
      </c>
      <c r="F4" s="88">
        <f>★資本稼働率!Y9</f>
        <v>0.83442799999999995</v>
      </c>
      <c r="G4" s="46">
        <f>B4*F4+D4</f>
        <v>9852.6778546204405</v>
      </c>
      <c r="I4" s="69">
        <f>★平均労働時間!K28</f>
        <v>2274.9449153820601</v>
      </c>
      <c r="J4" s="69">
        <f>★就業者数!W10</f>
        <v>5537.6422192328882</v>
      </c>
      <c r="K4" s="290">
        <f>★就業者数!Y10</f>
        <v>524.43359889640055</v>
      </c>
      <c r="L4" s="46">
        <f t="shared" ref="L4:L42" si="0">I4*K4</f>
        <v>1193057.5492648813</v>
      </c>
      <c r="N4" s="47">
        <f>★TFP上昇率推計・図5!W4</f>
        <v>0.31120100082886798</v>
      </c>
      <c r="P4" s="70">
        <f>★TFP上昇率推計・図5!AA4</f>
        <v>2.25433689943352</v>
      </c>
      <c r="Q4" s="53"/>
      <c r="R4" s="166"/>
      <c r="S4" s="46">
        <f t="shared" ref="S4:S35" si="1">P4*(G4^N4)*(L4^(1-N4))</f>
        <v>604526.29410937079</v>
      </c>
      <c r="T4" s="44"/>
      <c r="U4" s="40"/>
      <c r="V4" s="64">
        <v>0.51549999999999996</v>
      </c>
      <c r="W4" s="69">
        <f>((0.99^(-1)+C4-1)/((1-V4)*N4*P4))^(1/(1-N4))*L4</f>
        <v>230385.35221621807</v>
      </c>
      <c r="X4" s="69">
        <f>((0.99^(-1)+E4-1)/((1-V4)*N4*P4))^(1/(1-N4))*L4</f>
        <v>456580.34899694921</v>
      </c>
      <c r="Y4" s="32"/>
      <c r="Z4" s="32"/>
      <c r="AA4" s="32"/>
    </row>
    <row r="5" spans="1:27" hidden="1" outlineLevel="1">
      <c r="A5" s="57">
        <v>1982</v>
      </c>
      <c r="B5" s="69">
        <f>★資本ストック!H5</f>
        <v>11892.6024042101</v>
      </c>
      <c r="C5" s="293">
        <f>★資本ストック!G6</f>
        <v>0.10155024626748303</v>
      </c>
      <c r="D5" s="69">
        <f>★資本ストック!P5</f>
        <v>523.383709313802</v>
      </c>
      <c r="E5" s="293">
        <f>★資本ストック!O6</f>
        <v>0.1654751325509787</v>
      </c>
      <c r="F5" s="88">
        <f>★資本稼働率!Y10</f>
        <v>0.83442799999999995</v>
      </c>
      <c r="G5" s="46">
        <f t="shared" ref="G5:G16" si="2">B5*F5+D5</f>
        <v>10446.904148254027</v>
      </c>
      <c r="I5" s="69">
        <f>★平均労働時間!K29</f>
        <v>2271.8301885385499</v>
      </c>
      <c r="J5" s="69">
        <f>★就業者数!W11</f>
        <v>5603.6463529252569</v>
      </c>
      <c r="K5" s="290">
        <f>★就業者数!Y11</f>
        <v>529.57257648961308</v>
      </c>
      <c r="L5" s="46">
        <f t="shared" si="0"/>
        <v>1203098.9662912434</v>
      </c>
      <c r="N5" s="47">
        <f>★TFP上昇率推計・図5!W5</f>
        <v>0.31439957251386302</v>
      </c>
      <c r="P5" s="70">
        <f>★TFP上昇率推計・図5!AA5</f>
        <v>2.3486656533669801</v>
      </c>
      <c r="Q5" s="293">
        <f>P5/P4-1</f>
        <v>4.1843237342725326E-2</v>
      </c>
      <c r="R5" s="166"/>
      <c r="S5" s="46">
        <f t="shared" si="1"/>
        <v>635398.80042906862</v>
      </c>
      <c r="T5" s="88">
        <f>S5/S4-1</f>
        <v>5.1068922262812899E-2</v>
      </c>
      <c r="U5" s="40"/>
      <c r="V5" s="64">
        <v>0.51549999999999996</v>
      </c>
      <c r="W5" s="69">
        <f t="shared" ref="W5:W63" si="3">((0.99^(-1)+C5-1)/((1-V5)*N5*P5))^(1/(1-N5))*L5</f>
        <v>220115.75420596474</v>
      </c>
      <c r="X5" s="69">
        <f t="shared" ref="X5:X63" si="4">((0.99^(-1)+E5-1)/((1-V5)*N5*P5))^(1/(1-N5))*L5</f>
        <v>426000.22627296008</v>
      </c>
      <c r="Y5" s="32"/>
      <c r="Z5" s="32"/>
      <c r="AA5" s="32"/>
    </row>
    <row r="6" spans="1:27" hidden="1" outlineLevel="1">
      <c r="A6" s="57">
        <v>1983</v>
      </c>
      <c r="B6" s="69">
        <f>★資本ストック!H6</f>
        <v>12547.7989639796</v>
      </c>
      <c r="C6" s="293">
        <f>★資本ストック!G7</f>
        <v>0.10577141616732799</v>
      </c>
      <c r="D6" s="69">
        <f>★資本ストック!P6</f>
        <v>574.55373042920905</v>
      </c>
      <c r="E6" s="293">
        <f>★資本ストック!O7</f>
        <v>0.16564104074701763</v>
      </c>
      <c r="F6" s="88">
        <f>★資本稼働率!Y11</f>
        <v>0.83442799999999995</v>
      </c>
      <c r="G6" s="46">
        <f t="shared" si="2"/>
        <v>11044.788524344776</v>
      </c>
      <c r="I6" s="69">
        <f>★平均労働時間!K30</f>
        <v>2268.2678566087998</v>
      </c>
      <c r="J6" s="69">
        <f>★就業者数!W12</f>
        <v>5670.5751158974381</v>
      </c>
      <c r="K6" s="290">
        <f>★就業者数!Y12</f>
        <v>534.30866182975149</v>
      </c>
      <c r="L6" s="46">
        <f t="shared" si="0"/>
        <v>1211955.1631360864</v>
      </c>
      <c r="N6" s="47">
        <f>★TFP上昇率推計・図5!W6</f>
        <v>0.31787320648795298</v>
      </c>
      <c r="P6" s="70">
        <f>★TFP上昇率推計・図5!AA6</f>
        <v>2.4465509839321098</v>
      </c>
      <c r="Q6" s="293">
        <f>P6/P5-1</f>
        <v>4.1676996649056441E-2</v>
      </c>
      <c r="R6" s="166"/>
      <c r="S6" s="46">
        <f t="shared" si="1"/>
        <v>666000.95973067847</v>
      </c>
      <c r="T6" s="88">
        <f t="shared" ref="T6:T63" si="5">S6/S5-1</f>
        <v>4.8162129486150951E-2</v>
      </c>
      <c r="U6" s="40"/>
      <c r="V6" s="64">
        <v>0.51549999999999996</v>
      </c>
      <c r="W6" s="69">
        <f t="shared" si="3"/>
        <v>215136.59659491674</v>
      </c>
      <c r="X6" s="69">
        <f t="shared" si="4"/>
        <v>396193.90516592527</v>
      </c>
      <c r="Y6" s="32"/>
      <c r="Z6" s="32"/>
      <c r="AA6" s="32"/>
    </row>
    <row r="7" spans="1:27" hidden="1" outlineLevel="1">
      <c r="A7" s="57">
        <v>1984</v>
      </c>
      <c r="B7" s="69">
        <f>★資本ストック!H7</f>
        <v>13215.5116313334</v>
      </c>
      <c r="C7" s="293">
        <f>★資本ストック!G8</f>
        <v>0.10811939449329493</v>
      </c>
      <c r="D7" s="69">
        <f>★資本ストック!P7</f>
        <v>627.14315620186096</v>
      </c>
      <c r="E7" s="293">
        <f>★資本ストック!O8</f>
        <v>0.16627164808496372</v>
      </c>
      <c r="F7" s="88">
        <f>★資本稼働率!Y12</f>
        <v>0.83442799999999995</v>
      </c>
      <c r="G7" s="46">
        <f t="shared" si="2"/>
        <v>11654.536095712127</v>
      </c>
      <c r="I7" s="69">
        <f>★平均労働時間!K31</f>
        <v>2263.8346519721999</v>
      </c>
      <c r="J7" s="69">
        <f>★就業者数!W13</f>
        <v>5738.3166068814317</v>
      </c>
      <c r="K7" s="290">
        <f>★就業者数!Y13</f>
        <v>539.14042296064883</v>
      </c>
      <c r="L7" s="46">
        <f t="shared" si="0"/>
        <v>1220524.7717772652</v>
      </c>
      <c r="N7" s="47">
        <f>★TFP上昇率推計・図5!W7</f>
        <v>0.321876499714152</v>
      </c>
      <c r="P7" s="70">
        <f>★TFP上昇率推計・図5!AA7</f>
        <v>2.5522500084739099</v>
      </c>
      <c r="Q7" s="293">
        <f t="shared" ref="Q7:Q41" si="6">P7/P6-1</f>
        <v>4.3203278916313481E-2</v>
      </c>
      <c r="R7" s="166"/>
      <c r="S7" s="46">
        <f t="shared" si="1"/>
        <v>697047.97796218004</v>
      </c>
      <c r="T7" s="88">
        <f t="shared" si="5"/>
        <v>4.6617077314808242E-2</v>
      </c>
      <c r="U7" s="40"/>
      <c r="V7" s="64">
        <v>0.5292</v>
      </c>
      <c r="W7" s="69">
        <f t="shared" si="3"/>
        <v>212547.98796283535</v>
      </c>
      <c r="X7" s="69">
        <f t="shared" si="4"/>
        <v>383408.97509517131</v>
      </c>
      <c r="Y7" s="32"/>
      <c r="Z7" s="32"/>
      <c r="AA7" s="32"/>
    </row>
    <row r="8" spans="1:27" hidden="1" outlineLevel="1">
      <c r="A8" s="57">
        <v>1985</v>
      </c>
      <c r="B8" s="69">
        <f>★資本ストック!H8</f>
        <v>13909.806268894001</v>
      </c>
      <c r="C8" s="293">
        <f>★資本ストック!G9</f>
        <v>0.11717576103466582</v>
      </c>
      <c r="D8" s="69">
        <f>★資本ストック!P8</f>
        <v>681.92716819685995</v>
      </c>
      <c r="E8" s="293">
        <f>★資本ストック!O9</f>
        <v>0.16756109163692756</v>
      </c>
      <c r="F8" s="88">
        <f>★資本稼働率!Y13</f>
        <v>0.83442799999999995</v>
      </c>
      <c r="G8" s="46">
        <f t="shared" si="2"/>
        <v>12288.658993537543</v>
      </c>
      <c r="I8" s="69">
        <f>★平均労働時間!K32</f>
        <v>2257.95276044208</v>
      </c>
      <c r="J8" s="69">
        <f>★就業者数!W14</f>
        <v>5807.1126768771046</v>
      </c>
      <c r="K8" s="290">
        <f>★就業者数!Y14</f>
        <v>544.62983686959819</v>
      </c>
      <c r="L8" s="46">
        <f t="shared" si="0"/>
        <v>1229748.4435788291</v>
      </c>
      <c r="N8" s="47">
        <f>★TFP上昇率推計・図5!W8</f>
        <v>0.32597363578069399</v>
      </c>
      <c r="P8" s="70">
        <f>★TFP上昇率推計・図5!AA8</f>
        <v>2.66227231635404</v>
      </c>
      <c r="Q8" s="293">
        <f t="shared" si="6"/>
        <v>4.310796650596016E-2</v>
      </c>
      <c r="R8" s="166"/>
      <c r="S8" s="46">
        <f t="shared" si="1"/>
        <v>729490.85398211784</v>
      </c>
      <c r="T8" s="88">
        <f t="shared" si="5"/>
        <v>4.654324672856025E-2</v>
      </c>
      <c r="U8" s="40"/>
      <c r="V8" s="64">
        <v>0.5292</v>
      </c>
      <c r="W8" s="69">
        <f t="shared" si="3"/>
        <v>217935.99928494199</v>
      </c>
      <c r="X8" s="69">
        <f t="shared" si="4"/>
        <v>357458.05500325793</v>
      </c>
      <c r="Y8" s="32"/>
      <c r="Z8" s="32"/>
      <c r="AA8" s="32"/>
    </row>
    <row r="9" spans="1:27" hidden="1" outlineLevel="1">
      <c r="A9" s="57">
        <v>1986</v>
      </c>
      <c r="B9" s="69">
        <f>★資本ストック!H9</f>
        <v>14647.628588923801</v>
      </c>
      <c r="C9" s="293">
        <f>★資本ストック!G10</f>
        <v>0.11315827810043916</v>
      </c>
      <c r="D9" s="69">
        <f>★資本ストック!P9</f>
        <v>739.55168204161396</v>
      </c>
      <c r="E9" s="293">
        <f>★資本ストック!O10</f>
        <v>0.16923977148471006</v>
      </c>
      <c r="F9" s="88">
        <f>★資本稼働率!Y14</f>
        <v>0.83442799999999995</v>
      </c>
      <c r="G9" s="46">
        <f t="shared" si="2"/>
        <v>12961.943110240123</v>
      </c>
      <c r="I9" s="69">
        <f>★平均労働時間!K33</f>
        <v>2250.11781597867</v>
      </c>
      <c r="J9" s="69">
        <f>★就業者数!W15</f>
        <v>5877.278866858991</v>
      </c>
      <c r="K9" s="290">
        <f>★就業者数!Y15</f>
        <v>551.2211585228124</v>
      </c>
      <c r="L9" s="46">
        <f t="shared" si="0"/>
        <v>1240312.5493365829</v>
      </c>
      <c r="N9" s="47">
        <f>★TFP上昇率推計・図5!W9</f>
        <v>0.329105536734703</v>
      </c>
      <c r="P9" s="70">
        <f>★TFP上昇率推計・図5!AA9</f>
        <v>2.7652038339074498</v>
      </c>
      <c r="Q9" s="293">
        <f t="shared" si="6"/>
        <v>3.8663031171196405E-2</v>
      </c>
      <c r="R9" s="166"/>
      <c r="S9" s="46">
        <f t="shared" si="1"/>
        <v>764444.49369423662</v>
      </c>
      <c r="T9" s="88">
        <f t="shared" si="5"/>
        <v>4.7915117127672158E-2</v>
      </c>
      <c r="U9" s="40"/>
      <c r="V9" s="64">
        <v>0.5292</v>
      </c>
      <c r="W9" s="69">
        <f t="shared" si="3"/>
        <v>193654.25065749238</v>
      </c>
      <c r="X9" s="69">
        <f t="shared" si="4"/>
        <v>338669.97354187001</v>
      </c>
      <c r="Y9" s="32"/>
      <c r="Z9" s="32"/>
      <c r="AA9" s="32"/>
    </row>
    <row r="10" spans="1:27" hidden="1" outlineLevel="1">
      <c r="A10" s="57">
        <v>1987</v>
      </c>
      <c r="B10" s="69">
        <f>★資本ストック!H10</f>
        <v>15446.4108135427</v>
      </c>
      <c r="C10" s="293">
        <f>★資本ストック!G11</f>
        <v>0.11060647451739845</v>
      </c>
      <c r="D10" s="69">
        <f>★資本ストック!P10</f>
        <v>800.51999814048304</v>
      </c>
      <c r="E10" s="293">
        <f>★資本ストック!O11</f>
        <v>0.17035721082788849</v>
      </c>
      <c r="F10" s="88">
        <f>★資本稼働率!Y15</f>
        <v>0.83442799999999995</v>
      </c>
      <c r="G10" s="46">
        <f t="shared" si="2"/>
        <v>13689.437680463288</v>
      </c>
      <c r="I10" s="69">
        <f>★平均労働時間!K34</f>
        <v>2239.7688589378299</v>
      </c>
      <c r="J10" s="69">
        <f>★就業者数!W16</f>
        <v>5948.8595771571181</v>
      </c>
      <c r="K10" s="290">
        <f>★就業者数!Y16</f>
        <v>559.20334981775738</v>
      </c>
      <c r="L10" s="46">
        <f t="shared" si="0"/>
        <v>1252486.2487355305</v>
      </c>
      <c r="N10" s="47">
        <f>★TFP上昇率推計・図5!W10</f>
        <v>0.32997454186960601</v>
      </c>
      <c r="P10" s="70">
        <f>★TFP上昇率推計・図5!AA10</f>
        <v>2.8444781133145201</v>
      </c>
      <c r="Q10" s="293">
        <f>P10/P9-1</f>
        <v>2.8668512040593175E-2</v>
      </c>
      <c r="R10" s="166"/>
      <c r="S10" s="46">
        <f t="shared" si="1"/>
        <v>802726.62533638719</v>
      </c>
      <c r="T10" s="88">
        <f t="shared" si="5"/>
        <v>5.007836665439136E-2</v>
      </c>
      <c r="U10" s="40"/>
      <c r="V10" s="64">
        <v>0.51549999999999996</v>
      </c>
      <c r="W10" s="69">
        <f t="shared" si="3"/>
        <v>172997.78415740919</v>
      </c>
      <c r="X10" s="69">
        <f t="shared" si="4"/>
        <v>315276.09438281337</v>
      </c>
      <c r="Y10" s="32"/>
      <c r="Z10" s="32"/>
      <c r="AA10" s="32"/>
    </row>
    <row r="11" spans="1:27" hidden="1" outlineLevel="1">
      <c r="A11" s="57">
        <v>1988</v>
      </c>
      <c r="B11" s="69">
        <f>★資本ストック!H11</f>
        <v>16316.8606557638</v>
      </c>
      <c r="C11" s="293">
        <f>★資本ストック!G12</f>
        <v>0.10622289444240673</v>
      </c>
      <c r="D11" s="69">
        <f>★資本ストック!P11</f>
        <v>865.02961742339198</v>
      </c>
      <c r="E11" s="293">
        <f>★資本ストック!O12</f>
        <v>0.17073589395908575</v>
      </c>
      <c r="F11" s="88">
        <f>★資本稼働率!Y16</f>
        <v>0.83442799999999995</v>
      </c>
      <c r="G11" s="46">
        <f t="shared" si="2"/>
        <v>14480.275020691066</v>
      </c>
      <c r="I11" s="69">
        <f>★平均労働時間!K35</f>
        <v>2226.4533188489399</v>
      </c>
      <c r="J11" s="69">
        <f>★就業者数!W17</f>
        <v>6021.4077343993094</v>
      </c>
      <c r="K11" s="290">
        <f>★就業者数!Y17</f>
        <v>568.67935713198176</v>
      </c>
      <c r="L11" s="46">
        <f t="shared" si="0"/>
        <v>1266138.0420473823</v>
      </c>
      <c r="N11" s="47">
        <f>★TFP上昇率推計・図5!W11</f>
        <v>0.32717029382131202</v>
      </c>
      <c r="P11" s="70">
        <f>★TFP上昇率推計・図5!AA11</f>
        <v>2.8803759945866001</v>
      </c>
      <c r="Q11" s="293">
        <f t="shared" si="6"/>
        <v>1.2620199503047047E-2</v>
      </c>
      <c r="R11" s="166"/>
      <c r="S11" s="46">
        <f t="shared" si="1"/>
        <v>844621.80943013867</v>
      </c>
      <c r="T11" s="88">
        <f t="shared" si="5"/>
        <v>5.2191098153988591E-2</v>
      </c>
      <c r="U11" s="40"/>
      <c r="V11" s="64">
        <v>0.51549999999999996</v>
      </c>
      <c r="W11" s="69">
        <f t="shared" si="3"/>
        <v>165908.49939028677</v>
      </c>
      <c r="X11" s="69">
        <f t="shared" si="4"/>
        <v>319641.36379383458</v>
      </c>
      <c r="Y11" s="32"/>
      <c r="Z11" s="32"/>
      <c r="AA11" s="32"/>
    </row>
    <row r="12" spans="1:27" hidden="1" outlineLevel="1">
      <c r="A12" s="57">
        <v>1989</v>
      </c>
      <c r="B12" s="69">
        <f>★資本ストック!H12</f>
        <v>17257.996591101899</v>
      </c>
      <c r="C12" s="293">
        <f>★資本ストック!G13</f>
        <v>0.10562191321004707</v>
      </c>
      <c r="D12" s="69">
        <f>★資本ストック!P12</f>
        <v>932.88410976273894</v>
      </c>
      <c r="E12" s="293">
        <f>★資本ストック!O13</f>
        <v>0.17172099635020191</v>
      </c>
      <c r="F12" s="88">
        <f>★資本稼働率!Y17</f>
        <v>0.83442799999999995</v>
      </c>
      <c r="G12" s="46">
        <f t="shared" si="2"/>
        <v>15333.439689282714</v>
      </c>
      <c r="I12" s="69">
        <f>★平均労働時間!K36</f>
        <v>2210.02406798533</v>
      </c>
      <c r="J12" s="69">
        <f>★就業者数!W18</f>
        <v>6093.9165474004367</v>
      </c>
      <c r="K12" s="290">
        <f>★就業者数!Y18</f>
        <v>579.46861695629184</v>
      </c>
      <c r="L12" s="46">
        <f t="shared" si="0"/>
        <v>1280639.590115577</v>
      </c>
      <c r="N12" s="47">
        <f>★TFP上昇率推計・図5!W12</f>
        <v>0.319564927303785</v>
      </c>
      <c r="P12" s="70">
        <f>★TFP上昇率推計・図5!AA12</f>
        <v>2.8569459579568499</v>
      </c>
      <c r="Q12" s="293">
        <f t="shared" si="6"/>
        <v>-8.134367413762944E-3</v>
      </c>
      <c r="R12" s="166"/>
      <c r="S12" s="46">
        <f t="shared" si="1"/>
        <v>889596.60982204729</v>
      </c>
      <c r="T12" s="88">
        <f t="shared" si="5"/>
        <v>5.3248447873081695E-2</v>
      </c>
      <c r="U12" s="40"/>
      <c r="V12" s="64">
        <v>0.51039999999999996</v>
      </c>
      <c r="W12" s="69">
        <f t="shared" si="3"/>
        <v>175758.08725517549</v>
      </c>
      <c r="X12" s="69">
        <f t="shared" si="4"/>
        <v>341428.67810598825</v>
      </c>
      <c r="Y12" s="32"/>
      <c r="Z12" s="32"/>
      <c r="AA12" s="32"/>
    </row>
    <row r="13" spans="1:27" hidden="1" outlineLevel="1">
      <c r="A13" s="57">
        <v>1990</v>
      </c>
      <c r="B13" s="69">
        <f>★資本ストック!H13</f>
        <v>18253.596758816599</v>
      </c>
      <c r="C13" s="293">
        <f>★資本ストック!G14</f>
        <v>9.9648887769073644E-2</v>
      </c>
      <c r="D13" s="69">
        <f>★資本ストック!P13</f>
        <v>1003.35961608405</v>
      </c>
      <c r="E13" s="293">
        <f>★資本ストック!O14</f>
        <v>0.17345639184699987</v>
      </c>
      <c r="F13" s="88">
        <f>★資本稼働率!Y18</f>
        <v>0.83442799999999995</v>
      </c>
      <c r="G13" s="46">
        <f t="shared" si="2"/>
        <v>16234.671852349866</v>
      </c>
      <c r="I13" s="69">
        <f>★平均労働時間!K37</f>
        <v>2190.95623943186</v>
      </c>
      <c r="J13" s="69">
        <f>★就業者数!W19</f>
        <v>6164.7904782715214</v>
      </c>
      <c r="K13" s="290">
        <f>★就業者数!Y19</f>
        <v>591.2477591083308</v>
      </c>
      <c r="L13" s="46">
        <f t="shared" si="0"/>
        <v>1295397.9668685028</v>
      </c>
      <c r="N13" s="47">
        <f>★TFP上昇率推計・図5!W13</f>
        <v>0.30656312645621497</v>
      </c>
      <c r="P13" s="70">
        <f>★TFP上昇率推計・図5!AA13</f>
        <v>2.7664159790195901</v>
      </c>
      <c r="Q13" s="293">
        <f t="shared" si="6"/>
        <v>-3.1687676375230622E-2</v>
      </c>
      <c r="R13" s="166"/>
      <c r="S13" s="46">
        <f t="shared" si="1"/>
        <v>935944.2588545474</v>
      </c>
      <c r="T13" s="88">
        <f t="shared" si="5"/>
        <v>5.2099624167600389E-2</v>
      </c>
      <c r="V13" s="64">
        <v>0.49980000000000002</v>
      </c>
      <c r="W13" s="69">
        <f t="shared" si="3"/>
        <v>184348.58680551909</v>
      </c>
      <c r="X13" s="69">
        <f t="shared" si="4"/>
        <v>387040.82098647015</v>
      </c>
      <c r="Y13" s="32"/>
      <c r="Z13" s="32"/>
      <c r="AA13" s="32"/>
    </row>
    <row r="14" spans="1:27" hidden="1" outlineLevel="1">
      <c r="A14" s="57">
        <v>1991</v>
      </c>
      <c r="B14" s="69">
        <f>★資本ストック!H14</f>
        <v>19272.188196220701</v>
      </c>
      <c r="C14" s="293">
        <f>★資本ストック!G15</f>
        <v>0.10219668755332688</v>
      </c>
      <c r="D14" s="69">
        <f>★資本ストック!P14</f>
        <v>1075.1981494637701</v>
      </c>
      <c r="E14" s="293">
        <f>★資本ストック!O15</f>
        <v>0.17428068482567377</v>
      </c>
      <c r="F14" s="88">
        <f>★資本稼働率!Y19</f>
        <v>0.83442799999999995</v>
      </c>
      <c r="G14" s="46">
        <f t="shared" si="2"/>
        <v>17156.451601659817</v>
      </c>
      <c r="I14" s="69">
        <f>★平均労働時間!K38</f>
        <v>2170.0852835935302</v>
      </c>
      <c r="J14" s="69">
        <f>★就業者数!W20</f>
        <v>6232.0347395730078</v>
      </c>
      <c r="K14" s="290">
        <f>★就業者数!Y20</f>
        <v>603.59230671948228</v>
      </c>
      <c r="L14" s="46">
        <f t="shared" si="0"/>
        <v>1309846.7821022207</v>
      </c>
      <c r="N14" s="47">
        <f>★TFP上昇率推計・図5!W14</f>
        <v>0.288197029209325</v>
      </c>
      <c r="P14" s="70">
        <f>★TFP上昇率推計・図5!AA14</f>
        <v>2.60999917150657</v>
      </c>
      <c r="Q14" s="293">
        <f t="shared" si="6"/>
        <v>-5.6541318695120357E-2</v>
      </c>
      <c r="R14" s="166"/>
      <c r="S14" s="46">
        <f t="shared" si="1"/>
        <v>980043.85443416191</v>
      </c>
      <c r="T14" s="88">
        <f t="shared" si="5"/>
        <v>4.7117758522912112E-2</v>
      </c>
      <c r="V14" s="64">
        <v>0.49980000000000002</v>
      </c>
      <c r="W14" s="69">
        <f t="shared" si="3"/>
        <v>239614.20252391716</v>
      </c>
      <c r="X14" s="69">
        <f t="shared" si="4"/>
        <v>480894.55357520265</v>
      </c>
      <c r="Y14" s="32"/>
      <c r="Z14" s="32"/>
      <c r="AA14" s="32"/>
    </row>
    <row r="15" spans="1:27" hidden="1" outlineLevel="1">
      <c r="A15" s="57">
        <v>1992</v>
      </c>
      <c r="B15" s="69">
        <f>★資本ストック!H15</f>
        <v>20269.2368829187</v>
      </c>
      <c r="C15" s="293">
        <f>★資本ストック!G16</f>
        <v>0.10635865326378074</v>
      </c>
      <c r="D15" s="69">
        <f>★資本ストック!P15</f>
        <v>1146.81555532726</v>
      </c>
      <c r="E15" s="293">
        <f>★資本ストック!O16</f>
        <v>0.17458013622100607</v>
      </c>
      <c r="F15" s="88">
        <f>★資本稼働率!Y20</f>
        <v>0.83442799999999995</v>
      </c>
      <c r="G15" s="46">
        <f t="shared" si="2"/>
        <v>18060.034349067344</v>
      </c>
      <c r="I15" s="69">
        <f>★平均労働時間!K39</f>
        <v>2148.43725181434</v>
      </c>
      <c r="J15" s="69">
        <f>★就業者数!W21</f>
        <v>6293.6432487663496</v>
      </c>
      <c r="K15" s="290">
        <f>★就業者数!Y21</f>
        <v>615.94584557991163</v>
      </c>
      <c r="L15" s="46">
        <f t="shared" si="0"/>
        <v>1323320.9997441652</v>
      </c>
      <c r="N15" s="47">
        <f>★TFP上昇率推計・図5!W15</f>
        <v>0.26534991974281402</v>
      </c>
      <c r="P15" s="70">
        <f>★TFP上昇率推計・図5!AA15</f>
        <v>2.4021435190773301</v>
      </c>
      <c r="Q15" s="293">
        <f t="shared" si="6"/>
        <v>-7.9638206286961943E-2</v>
      </c>
      <c r="R15" s="166"/>
      <c r="S15" s="46">
        <f t="shared" si="1"/>
        <v>1017186.8017068505</v>
      </c>
      <c r="T15" s="88">
        <f t="shared" si="5"/>
        <v>3.7899270634305982E-2</v>
      </c>
      <c r="V15" s="64">
        <v>0.49980000000000002</v>
      </c>
      <c r="W15" s="69">
        <f t="shared" si="3"/>
        <v>335968.58833310171</v>
      </c>
      <c r="X15" s="69">
        <f t="shared" si="4"/>
        <v>629322.67878704122</v>
      </c>
      <c r="Y15" s="32"/>
      <c r="Z15" s="32"/>
      <c r="AA15" s="32"/>
    </row>
    <row r="16" spans="1:27" hidden="1" outlineLevel="1">
      <c r="A16" s="57">
        <v>1993</v>
      </c>
      <c r="B16" s="69">
        <f>★資本ストック!H16</f>
        <v>21196.9262185273</v>
      </c>
      <c r="C16" s="293">
        <f>★資本ストック!G17</f>
        <v>0.10896493823100792</v>
      </c>
      <c r="D16" s="69">
        <f>★資本ストック!P16</f>
        <v>1216.4729488452999</v>
      </c>
      <c r="E16" s="293">
        <f>★資本ストック!O17</f>
        <v>0.17536907717138372</v>
      </c>
      <c r="F16" s="88">
        <f>★資本稼働率!Y21</f>
        <v>0.83442799999999995</v>
      </c>
      <c r="G16" s="46">
        <f t="shared" si="2"/>
        <v>18903.781699518597</v>
      </c>
      <c r="I16" s="69">
        <f>★平均労働時間!K40</f>
        <v>2127.1221606023701</v>
      </c>
      <c r="J16" s="69">
        <f>★就業者数!W22</f>
        <v>6348.0868933450984</v>
      </c>
      <c r="K16" s="290">
        <f>★就業者数!Y22</f>
        <v>627.64920041157234</v>
      </c>
      <c r="L16" s="46">
        <f t="shared" si="0"/>
        <v>1335086.5232798138</v>
      </c>
      <c r="N16" s="47">
        <f>★TFP上昇率推計・図5!W16</f>
        <v>0.23945711189735</v>
      </c>
      <c r="P16" s="70">
        <f>★TFP上昇率推計・図5!AA16</f>
        <v>2.16267523375936</v>
      </c>
      <c r="Q16" s="293">
        <f t="shared" si="6"/>
        <v>-9.9689416313455959E-2</v>
      </c>
      <c r="R16" s="166"/>
      <c r="S16" s="46">
        <f t="shared" si="1"/>
        <v>1041727.0111727039</v>
      </c>
      <c r="T16" s="88">
        <f t="shared" si="5"/>
        <v>2.4125568110670237E-2</v>
      </c>
      <c r="V16" s="64">
        <v>0.49980000000000002</v>
      </c>
      <c r="W16" s="69">
        <f t="shared" si="3"/>
        <v>480450.48118337843</v>
      </c>
      <c r="X16" s="69">
        <f t="shared" si="4"/>
        <v>860477.05060428777</v>
      </c>
      <c r="Y16" s="32"/>
      <c r="Z16" s="32"/>
      <c r="AA16" s="32"/>
    </row>
    <row r="17" spans="1:27" hidden="1" outlineLevel="1">
      <c r="A17" s="57">
        <v>1994</v>
      </c>
      <c r="B17" s="69">
        <f>★資本ストック!H17</f>
        <v>22013.577066452999</v>
      </c>
      <c r="C17" s="293">
        <f>★資本ストック!G18</f>
        <v>0.10970254496282229</v>
      </c>
      <c r="D17" s="69">
        <f>★資本ストック!P17</f>
        <v>1282.2284055868099</v>
      </c>
      <c r="E17" s="293">
        <f>★資本ストック!O18</f>
        <v>0.17669407788252073</v>
      </c>
      <c r="F17" s="88">
        <f>★資本稼働率!Y22</f>
        <v>0.83442799999999995</v>
      </c>
      <c r="G17" s="46">
        <f>B17*F17+D17</f>
        <v>19650.973489993052</v>
      </c>
      <c r="I17" s="69">
        <f>★平均労働時間!K41</f>
        <v>2107.1640872808898</v>
      </c>
      <c r="J17" s="69">
        <f>★就業者数!W23</f>
        <v>6394.4769636199144</v>
      </c>
      <c r="K17" s="290">
        <f>★就業者数!Y23</f>
        <v>637.97414735726375</v>
      </c>
      <c r="L17" s="46">
        <f t="shared" si="0"/>
        <v>1344316.2119248726</v>
      </c>
      <c r="N17" s="47">
        <f>★TFP上昇率推計・図5!W17</f>
        <v>0.212235003131542</v>
      </c>
      <c r="P17" s="70">
        <f>★TFP上昇率推計・図5!AA17</f>
        <v>1.91217523359937</v>
      </c>
      <c r="Q17" s="293">
        <f t="shared" si="6"/>
        <v>-0.11582876441625867</v>
      </c>
      <c r="R17" s="166"/>
      <c r="S17" s="46">
        <f t="shared" si="1"/>
        <v>1048462.7008928907</v>
      </c>
      <c r="T17" s="88">
        <f t="shared" si="5"/>
        <v>6.4658875578200714E-3</v>
      </c>
      <c r="V17" s="64">
        <v>0.49980000000000002</v>
      </c>
      <c r="W17" s="69">
        <f t="shared" si="3"/>
        <v>688306.52935489977</v>
      </c>
      <c r="X17" s="69">
        <f t="shared" si="4"/>
        <v>1209613.0697713059</v>
      </c>
      <c r="Y17" s="37"/>
      <c r="Z17" s="37"/>
      <c r="AA17" s="38"/>
    </row>
    <row r="18" spans="1:27" hidden="1" outlineLevel="1">
      <c r="A18" s="57">
        <v>1995</v>
      </c>
      <c r="B18" s="69">
        <f>★資本ストック!H18</f>
        <v>22688.488265027099</v>
      </c>
      <c r="C18" s="293">
        <f>★資本ストック!G19</f>
        <v>0.10615447638595017</v>
      </c>
      <c r="D18" s="69">
        <f>★資本ストック!P18</f>
        <v>1342.29842065101</v>
      </c>
      <c r="E18" s="293">
        <f>★資本ストック!O19</f>
        <v>0.17745197168857432</v>
      </c>
      <c r="F18" s="88">
        <f>★資本稼働率!Y23</f>
        <v>0.83442799999999995</v>
      </c>
      <c r="G18" s="46">
        <f t="shared" ref="G18:G42" si="7">B18*F18+D18</f>
        <v>20274.208306661043</v>
      </c>
      <c r="I18" s="69">
        <f>★平均労働時間!K42</f>
        <v>2089.2343722338201</v>
      </c>
      <c r="J18" s="69">
        <f>★就業者数!W24</f>
        <v>6432.3169056002116</v>
      </c>
      <c r="K18" s="290">
        <f>★就業者数!Y24</f>
        <v>646.24321235019727</v>
      </c>
      <c r="L18" s="46">
        <f t="shared" si="0"/>
        <v>1350153.5320648316</v>
      </c>
      <c r="N18" s="47">
        <f>★TFP上昇率推計・図5!W18</f>
        <v>0.18556141532026599</v>
      </c>
      <c r="P18" s="70">
        <f>★TFP上昇率推計・図5!AA18</f>
        <v>1.66967065810948</v>
      </c>
      <c r="Q18" s="293">
        <f t="shared" si="6"/>
        <v>-0.12682131387791962</v>
      </c>
      <c r="R18" s="167"/>
      <c r="S18" s="46">
        <f t="shared" si="1"/>
        <v>1034317.8116990618</v>
      </c>
      <c r="T18" s="88">
        <f t="shared" si="5"/>
        <v>-1.3491075249298712E-2</v>
      </c>
      <c r="V18" s="64">
        <v>0.49980000000000002</v>
      </c>
      <c r="W18" s="69">
        <f t="shared" si="3"/>
        <v>948612.72238407598</v>
      </c>
      <c r="X18" s="69">
        <f t="shared" si="4"/>
        <v>1706570.1878822139</v>
      </c>
      <c r="Y18" s="37"/>
      <c r="Z18" s="37"/>
      <c r="AA18" s="38"/>
    </row>
    <row r="19" spans="1:27" hidden="1" outlineLevel="1">
      <c r="A19" s="57">
        <v>1996</v>
      </c>
      <c r="B19" s="69">
        <f>★資本ストック!H19</f>
        <v>23202.161294527101</v>
      </c>
      <c r="C19" s="293">
        <f>★資本ストック!G20</f>
        <v>0.10796927823546791</v>
      </c>
      <c r="D19" s="69">
        <f>★資本ストック!P19</f>
        <v>1395.3966768661601</v>
      </c>
      <c r="E19" s="293">
        <f>★資本ストック!O20</f>
        <v>0.1782115425269537</v>
      </c>
      <c r="F19" s="88">
        <f>★資本稼働率!Y24</f>
        <v>0.83442799999999995</v>
      </c>
      <c r="G19" s="46">
        <f t="shared" si="7"/>
        <v>20755.929721535816</v>
      </c>
      <c r="I19" s="69">
        <f>★平均労働時間!K43</f>
        <v>2073.5635769722398</v>
      </c>
      <c r="J19" s="69">
        <f>★就業者数!W25</f>
        <v>6461.335850776004</v>
      </c>
      <c r="K19" s="290">
        <f>★就業者数!Y25</f>
        <v>651.90525824423162</v>
      </c>
      <c r="L19" s="46">
        <f t="shared" si="0"/>
        <v>1351766.9991319207</v>
      </c>
      <c r="N19" s="47">
        <f>★TFP上昇率推計・図5!W19</f>
        <v>0.16070940103142101</v>
      </c>
      <c r="P19" s="70">
        <f>★TFP上昇率推計・図5!AA19</f>
        <v>1.4473968795958001</v>
      </c>
      <c r="Q19" s="293">
        <f t="shared" si="6"/>
        <v>-0.13312432450921441</v>
      </c>
      <c r="R19" s="166"/>
      <c r="S19" s="46">
        <f t="shared" si="1"/>
        <v>1000002.866894169</v>
      </c>
      <c r="T19" s="88">
        <f t="shared" si="5"/>
        <v>-3.3176403245462782E-2</v>
      </c>
      <c r="V19" s="64">
        <v>0.49980000000000002</v>
      </c>
      <c r="W19" s="69">
        <f t="shared" si="3"/>
        <v>1375590.6841243389</v>
      </c>
      <c r="X19" s="69">
        <f t="shared" si="4"/>
        <v>2399102.264717517</v>
      </c>
      <c r="Y19" s="37"/>
      <c r="Z19" s="37"/>
      <c r="AA19" s="38"/>
    </row>
    <row r="20" spans="1:27" hidden="1" outlineLevel="1">
      <c r="A20" s="57">
        <v>1997</v>
      </c>
      <c r="B20" s="69">
        <f>★資本ストック!H20</f>
        <v>23544.999752580399</v>
      </c>
      <c r="C20" s="293">
        <f>★資本ストック!G21</f>
        <v>0.11098527746319375</v>
      </c>
      <c r="D20" s="69">
        <f>★資本ストック!P20</f>
        <v>1440.65987285402</v>
      </c>
      <c r="E20" s="293">
        <f>★資本ストック!O21</f>
        <v>0.17903543976600228</v>
      </c>
      <c r="F20" s="88">
        <f>★資本稼働率!Y25</f>
        <v>0.83442799999999995</v>
      </c>
      <c r="G20" s="46">
        <f t="shared" si="7"/>
        <v>21087.266926400174</v>
      </c>
      <c r="I20" s="69">
        <f>★平均労働時間!K44</f>
        <v>2060.1467712849299</v>
      </c>
      <c r="J20" s="69">
        <f>★就業者数!W26</f>
        <v>6481.342384251544</v>
      </c>
      <c r="K20" s="290">
        <f>★就業者数!Y26</f>
        <v>654.56481487111751</v>
      </c>
      <c r="L20" s="46">
        <f t="shared" si="0"/>
        <v>1348499.5899534505</v>
      </c>
      <c r="N20" s="47">
        <f>★TFP上昇率推計・図5!W20</f>
        <v>0.13836059187858599</v>
      </c>
      <c r="P20" s="70">
        <f>★TFP上昇率推計・図5!AA20</f>
        <v>1.2514865160283799</v>
      </c>
      <c r="Q20" s="293">
        <f t="shared" si="6"/>
        <v>-0.13535358983372281</v>
      </c>
      <c r="R20" s="166"/>
      <c r="S20" s="46">
        <f t="shared" si="1"/>
        <v>949338.76137044176</v>
      </c>
      <c r="T20" s="88">
        <f t="shared" si="5"/>
        <v>-5.0663960275515008E-2</v>
      </c>
      <c r="V20" s="64">
        <v>0.49980000000000002</v>
      </c>
      <c r="W20" s="69">
        <f t="shared" si="3"/>
        <v>1989434.7070746771</v>
      </c>
      <c r="X20" s="69">
        <f t="shared" si="4"/>
        <v>3338188.1217243932</v>
      </c>
      <c r="Y20" s="37"/>
      <c r="Z20" s="37"/>
      <c r="AA20" s="38"/>
    </row>
    <row r="21" spans="1:27" hidden="1" outlineLevel="1">
      <c r="A21" s="57">
        <v>1998</v>
      </c>
      <c r="B21" s="69">
        <f>★資本ストック!H21</f>
        <v>23719.121623869101</v>
      </c>
      <c r="C21" s="293">
        <f>★資本ストック!G22</f>
        <v>0.1121881383882056</v>
      </c>
      <c r="D21" s="69">
        <f>★資本ストック!P21</f>
        <v>1477.4617404676801</v>
      </c>
      <c r="E21" s="293">
        <f>★資本ストック!O22</f>
        <v>0.18066425517921744</v>
      </c>
      <c r="F21" s="88">
        <f>★資本稼働率!Y26</f>
        <v>0.83442799999999995</v>
      </c>
      <c r="G21" s="46">
        <f t="shared" si="7"/>
        <v>21269.360958829526</v>
      </c>
      <c r="I21" s="69">
        <f>★平均労働時間!K45</f>
        <v>2049.1306858575799</v>
      </c>
      <c r="J21" s="69">
        <f>★就業者数!W27</f>
        <v>6492.3712038138865</v>
      </c>
      <c r="K21" s="290">
        <f>★就業者数!Y27</f>
        <v>654.01277929777166</v>
      </c>
      <c r="L21" s="46">
        <f t="shared" si="0"/>
        <v>1340157.6550020648</v>
      </c>
      <c r="N21" s="47">
        <f>★TFP上昇率推計・図5!W21</f>
        <v>0.119102332280483</v>
      </c>
      <c r="P21" s="70">
        <f>★TFP上昇率推計・図5!AA21</f>
        <v>1.08589138841928</v>
      </c>
      <c r="Q21" s="293">
        <f t="shared" si="6"/>
        <v>-0.13231874693673862</v>
      </c>
      <c r="R21" s="166"/>
      <c r="S21" s="46">
        <f t="shared" si="1"/>
        <v>888442.59311783139</v>
      </c>
      <c r="T21" s="88">
        <f t="shared" si="5"/>
        <v>-6.4145877878937774E-2</v>
      </c>
      <c r="V21" s="62">
        <v>0.46360000000000001</v>
      </c>
      <c r="W21" s="69">
        <f t="shared" si="3"/>
        <v>2550556.8150190101</v>
      </c>
      <c r="X21" s="69">
        <f t="shared" si="4"/>
        <v>4225286.1832121965</v>
      </c>
      <c r="Y21" s="37"/>
      <c r="Z21" s="37"/>
      <c r="AA21" s="38"/>
    </row>
    <row r="22" spans="1:27" hidden="1" outlineLevel="1">
      <c r="A22" s="57">
        <v>1999</v>
      </c>
      <c r="B22" s="69">
        <f>★資本ストック!H22</f>
        <v>23736.668895549501</v>
      </c>
      <c r="C22" s="293">
        <f>★資本ストック!G23</f>
        <v>0.11052012414897885</v>
      </c>
      <c r="D22" s="69">
        <f>★資本ストック!P22</f>
        <v>1505.4704128317001</v>
      </c>
      <c r="E22" s="293">
        <f>★資本ストック!O23</f>
        <v>0.18293079877612128</v>
      </c>
      <c r="F22" s="88">
        <f>★資本稼働率!Y27</f>
        <v>0.83442799999999995</v>
      </c>
      <c r="G22" s="46">
        <f t="shared" si="7"/>
        <v>21312.011566007277</v>
      </c>
      <c r="I22" s="69">
        <f>★平均労働時間!K46</f>
        <v>2040.7763463297299</v>
      </c>
      <c r="J22" s="69">
        <f>★就業者数!W28</f>
        <v>6495.0968351598221</v>
      </c>
      <c r="K22" s="290">
        <f>★就業者数!Y28</f>
        <v>650.34415618213518</v>
      </c>
      <c r="L22" s="46">
        <f t="shared" si="0"/>
        <v>1327206.9709102691</v>
      </c>
      <c r="N22" s="47">
        <f>★TFP上昇率推計・図5!W22</f>
        <v>0.10282320165551</v>
      </c>
      <c r="P22" s="70">
        <f>★TFP上昇率推計・図5!AA22</f>
        <v>0.94995564705629798</v>
      </c>
      <c r="Q22" s="293">
        <f t="shared" si="6"/>
        <v>-0.12518355225273692</v>
      </c>
      <c r="R22" s="166"/>
      <c r="S22" s="46">
        <f t="shared" si="1"/>
        <v>824413.03691563709</v>
      </c>
      <c r="T22" s="88">
        <f t="shared" si="5"/>
        <v>-7.2069435547314264E-2</v>
      </c>
      <c r="V22" s="62">
        <v>0.40870000000000001</v>
      </c>
      <c r="W22" s="69">
        <f t="shared" si="3"/>
        <v>3015877.0336285452</v>
      </c>
      <c r="X22" s="69">
        <f t="shared" si="4"/>
        <v>5093573.5755761722</v>
      </c>
      <c r="Y22" s="37"/>
      <c r="Z22" s="37"/>
      <c r="AA22" s="38"/>
    </row>
    <row r="23" spans="1:27" hidden="1" outlineLevel="1">
      <c r="A23" s="57">
        <v>2000</v>
      </c>
      <c r="B23" s="69">
        <f>★資本ストック!H23</f>
        <v>23616.370338539102</v>
      </c>
      <c r="C23" s="293">
        <f>★資本ストック!G24</f>
        <v>0.10780754191009188</v>
      </c>
      <c r="D23" s="69">
        <f>★資本ストック!P23</f>
        <v>1524.7844056659601</v>
      </c>
      <c r="E23" s="293">
        <f>★資本ストック!O24</f>
        <v>0.18595813204508851</v>
      </c>
      <c r="F23" s="88">
        <f>★資本稼働率!Y28</f>
        <v>0.83442799999999995</v>
      </c>
      <c r="G23" s="46">
        <f t="shared" si="7"/>
        <v>21230.945074512463</v>
      </c>
      <c r="I23" s="69">
        <f>★平均労働時間!K47</f>
        <v>2035.36131414897</v>
      </c>
      <c r="J23" s="69">
        <f>★就業者数!W29</f>
        <v>6490.846986696899</v>
      </c>
      <c r="K23" s="290">
        <f>★就業者数!Y29</f>
        <v>643.79121932408771</v>
      </c>
      <c r="L23" s="46">
        <f t="shared" si="0"/>
        <v>1310347.7422010428</v>
      </c>
      <c r="N23" s="47">
        <f>★TFP上昇率推計・図5!W23</f>
        <v>8.9026647084318997E-2</v>
      </c>
      <c r="P23" s="70">
        <f>★TFP上昇率推計・図5!AA23</f>
        <v>0.84032694150100995</v>
      </c>
      <c r="Q23" s="293">
        <f t="shared" si="6"/>
        <v>-0.11540402533002792</v>
      </c>
      <c r="R23" s="166"/>
      <c r="S23" s="46">
        <f t="shared" si="1"/>
        <v>762851.50736063148</v>
      </c>
      <c r="T23" s="88">
        <f t="shared" si="5"/>
        <v>-7.4673163570198708E-2</v>
      </c>
      <c r="V23" s="62">
        <v>0.40870000000000001</v>
      </c>
      <c r="W23" s="69">
        <f t="shared" si="3"/>
        <v>3843835.5975982314</v>
      </c>
      <c r="X23" s="69">
        <f t="shared" si="4"/>
        <v>6717207.9176271977</v>
      </c>
      <c r="Y23" s="37"/>
      <c r="Z23" s="37"/>
      <c r="AA23" s="38"/>
    </row>
    <row r="24" spans="1:27" hidden="1" outlineLevel="1">
      <c r="A24" s="57">
        <v>2001</v>
      </c>
      <c r="B24" s="69">
        <f>★資本ストック!H24</f>
        <v>23379.300034799999</v>
      </c>
      <c r="C24" s="293">
        <f>★資本ストック!G25</f>
        <v>0.10978428351309698</v>
      </c>
      <c r="D24" s="69">
        <f>★資本ストック!P24</f>
        <v>1535.80853056201</v>
      </c>
      <c r="E24" s="293">
        <f>★資本ストック!O25</f>
        <v>0.18948983505945541</v>
      </c>
      <c r="F24" s="88">
        <f>★資本稼働率!Y29</f>
        <v>0.83442799999999995</v>
      </c>
      <c r="G24" s="46">
        <f t="shared" si="7"/>
        <v>21044.151100000105</v>
      </c>
      <c r="I24" s="69">
        <f>★平均労働時間!K48</f>
        <v>2033.02065663297</v>
      </c>
      <c r="J24" s="69">
        <f>★就業者数!W30</f>
        <v>6481.2098578265804</v>
      </c>
      <c r="K24" s="290">
        <f>★就業者数!Y30</f>
        <v>634.71887226506226</v>
      </c>
      <c r="L24" s="46">
        <f t="shared" si="0"/>
        <v>1290396.578469655</v>
      </c>
      <c r="N24" s="47">
        <f>★TFP上昇率推計・図5!W24</f>
        <v>7.6934273511157697E-2</v>
      </c>
      <c r="P24" s="70">
        <f>★TFP上昇率推計・図5!AA24</f>
        <v>0.75215304279045503</v>
      </c>
      <c r="Q24" s="293">
        <f t="shared" si="6"/>
        <v>-0.10492808733831238</v>
      </c>
      <c r="R24" s="166"/>
      <c r="S24" s="46">
        <f t="shared" si="1"/>
        <v>707135.01691622857</v>
      </c>
      <c r="T24" s="88">
        <f t="shared" si="5"/>
        <v>-7.3037137512089068E-2</v>
      </c>
      <c r="V24" s="62">
        <v>0.40870000000000001</v>
      </c>
      <c r="W24" s="69">
        <f t="shared" si="3"/>
        <v>5019263.3167477325</v>
      </c>
      <c r="X24" s="69">
        <f t="shared" si="4"/>
        <v>8718976.0955637749</v>
      </c>
      <c r="Y24" s="37"/>
      <c r="Z24" s="37"/>
      <c r="AA24" s="38"/>
    </row>
    <row r="25" spans="1:27" hidden="1" outlineLevel="1">
      <c r="A25" s="57">
        <v>2002</v>
      </c>
      <c r="B25" s="69">
        <f>★資本ストック!H25</f>
        <v>23046.4093629091</v>
      </c>
      <c r="C25" s="293">
        <f>★資本ストック!G26</f>
        <v>0.11052220821433778</v>
      </c>
      <c r="D25" s="69">
        <f>★資本ストック!P25</f>
        <v>1539.22475505476</v>
      </c>
      <c r="E25" s="293">
        <f>★資本ストック!O26</f>
        <v>0.19315324608342463</v>
      </c>
      <c r="F25" s="88">
        <f>★資本稼働率!Y30</f>
        <v>0.83442799999999995</v>
      </c>
      <c r="G25" s="46">
        <f t="shared" si="7"/>
        <v>20769.79402692827</v>
      </c>
      <c r="I25" s="69">
        <f>★平均労働時間!K49</f>
        <v>2033.7075332912</v>
      </c>
      <c r="J25" s="69">
        <f>★就業者数!W31</f>
        <v>6468.0171183867615</v>
      </c>
      <c r="K25" s="290">
        <f>★就業者数!Y31</f>
        <v>623.65781604113863</v>
      </c>
      <c r="L25" s="46">
        <f t="shared" si="0"/>
        <v>1268337.598678801</v>
      </c>
      <c r="N25" s="47">
        <f>★TFP上昇率推計・図5!W25</f>
        <v>6.5848155370820199E-2</v>
      </c>
      <c r="P25" s="70">
        <f>★TFP上昇率推計・図5!AA25</f>
        <v>0.68054878631165605</v>
      </c>
      <c r="Q25" s="293">
        <f>P25/P24-1</f>
        <v>-9.5199051795563205E-2</v>
      </c>
      <c r="R25" s="166"/>
      <c r="S25" s="46">
        <f t="shared" si="1"/>
        <v>658418.94500569231</v>
      </c>
      <c r="T25" s="88">
        <f t="shared" si="5"/>
        <v>-6.8892178643597646E-2</v>
      </c>
      <c r="V25" s="62">
        <v>0.40870000000000001</v>
      </c>
      <c r="W25" s="69">
        <f t="shared" si="3"/>
        <v>6424699.4253631271</v>
      </c>
      <c r="X25" s="69">
        <f t="shared" si="4"/>
        <v>11231432.482718412</v>
      </c>
      <c r="Y25" s="37"/>
      <c r="Z25" s="37"/>
      <c r="AA25" s="38"/>
    </row>
    <row r="26" spans="1:27" hidden="1" outlineLevel="1">
      <c r="A26" s="57">
        <v>2003</v>
      </c>
      <c r="B26" s="69">
        <f>★資本ストック!H26</f>
        <v>22641.0927010948</v>
      </c>
      <c r="C26" s="293">
        <f>★資本ストック!G27</f>
        <v>0.11190920153023266</v>
      </c>
      <c r="D26" s="69">
        <f>★資本ストック!P26</f>
        <v>1535.9989613734799</v>
      </c>
      <c r="E26" s="293">
        <f>★資本ストック!O27</f>
        <v>0.19765395894428156</v>
      </c>
      <c r="F26" s="88">
        <f>★資本稼働率!Y31</f>
        <v>0.83442799999999995</v>
      </c>
      <c r="G26" s="46">
        <f t="shared" si="7"/>
        <v>20428.36066176261</v>
      </c>
      <c r="I26" s="69">
        <f>★平均労働時間!K50</f>
        <v>2037.03813773351</v>
      </c>
      <c r="J26" s="69">
        <f>★就業者数!W32</f>
        <v>6453.2177104081038</v>
      </c>
      <c r="K26" s="290">
        <f>★就業者数!Y32</f>
        <v>611.17886817197041</v>
      </c>
      <c r="L26" s="46">
        <f t="shared" si="0"/>
        <v>1244994.6634431051</v>
      </c>
      <c r="N26" s="47">
        <f>★TFP上昇率推計・図5!W26</f>
        <v>5.5378547201979302E-2</v>
      </c>
      <c r="P26" s="70">
        <f>★TFP上昇率推計・図5!AA26</f>
        <v>0.62191833088072701</v>
      </c>
      <c r="Q26" s="293">
        <f t="shared" si="6"/>
        <v>-8.6151730206861843E-2</v>
      </c>
      <c r="R26" s="166"/>
      <c r="S26" s="46">
        <f t="shared" si="1"/>
        <v>616671.38598630717</v>
      </c>
      <c r="T26" s="88">
        <f t="shared" si="5"/>
        <v>-6.3405768221059033E-2</v>
      </c>
      <c r="V26" s="62">
        <v>0.40870000000000001</v>
      </c>
      <c r="W26" s="69">
        <f t="shared" si="3"/>
        <v>8284431.1270388775</v>
      </c>
      <c r="X26" s="69">
        <f t="shared" si="4"/>
        <v>14553566.519605609</v>
      </c>
      <c r="Y26" s="37"/>
      <c r="Z26" s="37"/>
      <c r="AA26" s="38"/>
    </row>
    <row r="27" spans="1:27" hidden="1" outlineLevel="1">
      <c r="A27" s="57">
        <v>2004</v>
      </c>
      <c r="B27" s="69">
        <f>★資本ストック!H27</f>
        <v>22189.482333956999</v>
      </c>
      <c r="C27" s="293">
        <f>★資本ストック!G28</f>
        <v>0.10971531157161858</v>
      </c>
      <c r="D27" s="69">
        <f>★資本ストック!P27</f>
        <v>1527.2157841969199</v>
      </c>
      <c r="E27" s="293">
        <f>★資本ストック!O28</f>
        <v>0.2023856337658933</v>
      </c>
      <c r="F27" s="88">
        <f>★資本稼働率!Y32</f>
        <v>0.83442799999999995</v>
      </c>
      <c r="G27" s="46">
        <f t="shared" si="7"/>
        <v>20042.741149155991</v>
      </c>
      <c r="I27" s="69">
        <f>★平均労働時間!K51</f>
        <v>2042.3853235701399</v>
      </c>
      <c r="J27" s="69">
        <f>★就業者数!W33</f>
        <v>6438.2711146789079</v>
      </c>
      <c r="K27" s="290">
        <f>★就業者数!Y33</f>
        <v>597.8688160951657</v>
      </c>
      <c r="L27" s="46">
        <f t="shared" si="0"/>
        <v>1221078.4954130214</v>
      </c>
      <c r="N27" s="47">
        <f>★TFP上昇率推計・図5!W27</f>
        <v>4.5474691879809202E-2</v>
      </c>
      <c r="P27" s="70">
        <f>★TFP上昇率推計・図5!AA27</f>
        <v>0.57398262038966996</v>
      </c>
      <c r="Q27" s="293">
        <f t="shared" si="6"/>
        <v>-7.7077178965239801E-2</v>
      </c>
      <c r="R27" s="166"/>
      <c r="S27" s="46">
        <f t="shared" si="1"/>
        <v>581406.26991002215</v>
      </c>
      <c r="T27" s="88">
        <f t="shared" si="5"/>
        <v>-5.7186237074843049E-2</v>
      </c>
      <c r="V27" s="62">
        <v>0.39539999999999997</v>
      </c>
      <c r="W27" s="69">
        <f t="shared" si="3"/>
        <v>10210927.831772219</v>
      </c>
      <c r="X27" s="69">
        <f t="shared" si="4"/>
        <v>18609500.96511906</v>
      </c>
      <c r="Y27" s="37"/>
      <c r="Z27" s="37"/>
      <c r="AA27" s="38"/>
    </row>
    <row r="28" spans="1:27" hidden="1" outlineLevel="1">
      <c r="A28" s="57">
        <v>2005</v>
      </c>
      <c r="B28" s="69">
        <f>★資本ストック!H28</f>
        <v>21719.7616190841</v>
      </c>
      <c r="C28" s="293">
        <f>★資本ストック!G29</f>
        <v>0.10874314881434458</v>
      </c>
      <c r="D28" s="69">
        <f>★資本ストック!P28</f>
        <v>1513.94486859006</v>
      </c>
      <c r="E28" s="293">
        <f>★資本ストック!O29</f>
        <v>0.20620062404567485</v>
      </c>
      <c r="F28" s="88">
        <f>★資本稼働率!Y33</f>
        <v>0.83442799999999995</v>
      </c>
      <c r="G28" s="46">
        <f t="shared" si="7"/>
        <v>19637.522116879169</v>
      </c>
      <c r="I28" s="69">
        <f>★平均労働時間!K52</f>
        <v>2048.945793034</v>
      </c>
      <c r="J28" s="69">
        <f>★就業者数!W34</f>
        <v>6424.1556410219519</v>
      </c>
      <c r="K28" s="290">
        <f>★就業者数!Y34</f>
        <v>584.31221168739535</v>
      </c>
      <c r="L28" s="46">
        <f t="shared" si="0"/>
        <v>1197224.0479552806</v>
      </c>
      <c r="N28" s="47">
        <f>★TFP上昇率推計・図5!W28</f>
        <v>3.64637302329947E-2</v>
      </c>
      <c r="P28" s="70">
        <f>★TFP上昇率推計・図5!AA28</f>
        <v>0.535789095344677</v>
      </c>
      <c r="Q28" s="293">
        <f t="shared" si="6"/>
        <v>-6.6541256979285923E-2</v>
      </c>
      <c r="R28" s="166"/>
      <c r="S28" s="46">
        <f t="shared" si="1"/>
        <v>552176.99333708163</v>
      </c>
      <c r="T28" s="88">
        <f t="shared" si="5"/>
        <v>-5.0273411357369846E-2</v>
      </c>
      <c r="V28" s="62">
        <v>0.39539999999999997</v>
      </c>
      <c r="W28" s="69">
        <f t="shared" si="3"/>
        <v>13145414.377277458</v>
      </c>
      <c r="X28" s="69">
        <f t="shared" si="4"/>
        <v>24473646.949554179</v>
      </c>
      <c r="Y28" s="37"/>
      <c r="Z28" s="37"/>
      <c r="AA28" s="38"/>
    </row>
    <row r="29" spans="1:27" hidden="1" outlineLevel="1">
      <c r="A29" s="57">
        <v>2006</v>
      </c>
      <c r="B29" s="69">
        <f>★資本ストック!H29</f>
        <v>21257.687090725201</v>
      </c>
      <c r="C29" s="293">
        <f>★資本ストック!G30</f>
        <v>0.10686823296984259</v>
      </c>
      <c r="D29" s="69">
        <f>★資本ストック!P29</f>
        <v>1497.2417017759301</v>
      </c>
      <c r="E29" s="293">
        <f>★資本ストック!O30</f>
        <v>0.21034690194505712</v>
      </c>
      <c r="F29" s="88">
        <f>★資本稼働率!Y34</f>
        <v>0.83442799999999995</v>
      </c>
      <c r="G29" s="46">
        <f t="shared" si="7"/>
        <v>19235.251025515576</v>
      </c>
      <c r="I29" s="69">
        <f>★平均労働時間!K53</f>
        <v>2055.9188024556502</v>
      </c>
      <c r="J29" s="69">
        <f>★就業者数!W35</f>
        <v>6411.3662467420436</v>
      </c>
      <c r="K29" s="290">
        <f>★就業者数!Y35</f>
        <v>571.00471020401801</v>
      </c>
      <c r="L29" s="46">
        <f t="shared" si="0"/>
        <v>1173939.3199991803</v>
      </c>
      <c r="N29" s="47">
        <f>★TFP上昇率推計・図5!W29</f>
        <v>2.89504356764522E-2</v>
      </c>
      <c r="P29" s="70">
        <f>★TFP上昇率推計・図5!AA29</f>
        <v>0.50743853333704303</v>
      </c>
      <c r="Q29" s="293">
        <f t="shared" si="6"/>
        <v>-5.2913659971739135E-2</v>
      </c>
      <c r="R29" s="166"/>
      <c r="S29" s="46">
        <f t="shared" si="1"/>
        <v>528855.11096948909</v>
      </c>
      <c r="T29" s="88">
        <f t="shared" si="5"/>
        <v>-4.2236244264084122E-2</v>
      </c>
      <c r="V29" s="62">
        <v>0.39539999999999997</v>
      </c>
      <c r="W29" s="69">
        <f t="shared" si="3"/>
        <v>16695093.157817371</v>
      </c>
      <c r="X29" s="69">
        <f t="shared" si="4"/>
        <v>32064824.641375758</v>
      </c>
      <c r="Y29" s="37"/>
      <c r="Z29" s="37"/>
      <c r="AA29" s="38"/>
    </row>
    <row r="30" spans="1:27" hidden="1" outlineLevel="1">
      <c r="A30" s="57">
        <v>2007</v>
      </c>
      <c r="B30" s="69">
        <f>★資本ストック!H30</f>
        <v>20824.189666938699</v>
      </c>
      <c r="C30" s="293">
        <f>★資本ストック!G31</f>
        <v>0.10404032370309986</v>
      </c>
      <c r="D30" s="69">
        <f>★資本ストック!P30</f>
        <v>1478.0853222916701</v>
      </c>
      <c r="E30" s="293">
        <f>★資本ストック!O31</f>
        <v>0.21345958741968213</v>
      </c>
      <c r="F30" s="88">
        <f>★資本稼働率!Y35</f>
        <v>0.83442799999999995</v>
      </c>
      <c r="G30" s="46">
        <f t="shared" si="7"/>
        <v>18854.372257695995</v>
      </c>
      <c r="I30" s="69">
        <f>★平均労働時間!K54</f>
        <v>2062.49080490195</v>
      </c>
      <c r="J30" s="69">
        <f>★就業者数!W36</f>
        <v>6400.078359836637</v>
      </c>
      <c r="K30" s="290">
        <f>★就業者数!Y36</f>
        <v>558.30637855754571</v>
      </c>
      <c r="L30" s="46">
        <f t="shared" si="0"/>
        <v>1151501.7720930453</v>
      </c>
      <c r="N30" s="47">
        <f>★TFP上昇率推計・図5!W30</f>
        <v>2.3735210926498201E-2</v>
      </c>
      <c r="P30" s="70">
        <f>★TFP上昇率推計・図5!AA30</f>
        <v>0.48996008584461598</v>
      </c>
      <c r="Q30" s="293">
        <f t="shared" si="6"/>
        <v>-3.4444462420865851E-2</v>
      </c>
      <c r="R30" s="166"/>
      <c r="S30" s="46">
        <f t="shared" si="1"/>
        <v>511726.28608920251</v>
      </c>
      <c r="T30" s="88">
        <f t="shared" si="5"/>
        <v>-3.2388502115232032E-2</v>
      </c>
      <c r="V30" s="62">
        <v>0.39539999999999997</v>
      </c>
      <c r="W30" s="69">
        <f t="shared" si="3"/>
        <v>20003854.774043463</v>
      </c>
      <c r="X30" s="69">
        <f t="shared" si="4"/>
        <v>39825756.527079977</v>
      </c>
      <c r="Y30" s="37"/>
      <c r="Z30" s="37"/>
      <c r="AA30" s="38"/>
    </row>
    <row r="31" spans="1:27" hidden="1" outlineLevel="1">
      <c r="A31" s="57">
        <v>2008</v>
      </c>
      <c r="B31" s="69">
        <f>★資本ストック!H31</f>
        <v>20434.139394875401</v>
      </c>
      <c r="C31" s="293">
        <f>★資本ストック!G32</f>
        <v>0.10844349056143607</v>
      </c>
      <c r="D31" s="69">
        <f>★資本ストック!P31</f>
        <v>1457.4433516566301</v>
      </c>
      <c r="E31" s="293">
        <f>★資本ストック!O32</f>
        <v>0.21570910086968423</v>
      </c>
      <c r="F31" s="88">
        <f>★資本稼働率!Y36</f>
        <v>0.83442799999999995</v>
      </c>
      <c r="G31" s="46">
        <f t="shared" si="7"/>
        <v>18508.26141864372</v>
      </c>
      <c r="I31" s="69">
        <f>★平均労働時間!K55</f>
        <v>2068.1451740819102</v>
      </c>
      <c r="J31" s="69">
        <f>★就業者数!W37</f>
        <v>6390.4513010759065</v>
      </c>
      <c r="K31" s="290">
        <f>★就業者数!Y37</f>
        <v>546.48514249556763</v>
      </c>
      <c r="L31" s="46">
        <f t="shared" si="0"/>
        <v>1130210.6101596733</v>
      </c>
      <c r="N31" s="47">
        <f>★TFP上昇率推計・図5!W31</f>
        <v>2.1880080971994901E-2</v>
      </c>
      <c r="P31" s="70">
        <f>★TFP上昇率推計・図5!AA31</f>
        <v>0.48539781634387702</v>
      </c>
      <c r="Q31" s="293">
        <f t="shared" si="6"/>
        <v>-9.3115125753036043E-3</v>
      </c>
      <c r="R31" s="166"/>
      <c r="S31" s="46">
        <f t="shared" si="1"/>
        <v>501399.48820335115</v>
      </c>
      <c r="T31" s="88">
        <f t="shared" si="5"/>
        <v>-2.0180315466638343E-2</v>
      </c>
      <c r="V31" s="62">
        <v>0.39539999999999997</v>
      </c>
      <c r="W31" s="69">
        <f t="shared" si="3"/>
        <v>22271613.963107426</v>
      </c>
      <c r="X31" s="69">
        <f t="shared" si="4"/>
        <v>43040176.447053693</v>
      </c>
      <c r="Y31" s="37"/>
      <c r="Z31" s="37"/>
      <c r="AA31" s="38"/>
    </row>
    <row r="32" spans="1:27" hidden="1" outlineLevel="1">
      <c r="A32" s="57">
        <v>2009</v>
      </c>
      <c r="B32" s="69">
        <f>★資本ストック!H32</f>
        <v>20095.3364250169</v>
      </c>
      <c r="C32" s="293">
        <f>★資本ストック!G33</f>
        <v>0.11123371007664097</v>
      </c>
      <c r="D32" s="69">
        <f>★資本ストック!P32</f>
        <v>1436.2875581672799</v>
      </c>
      <c r="E32" s="293">
        <f>★資本ストック!O33</f>
        <v>0.21809616184009975</v>
      </c>
      <c r="F32" s="88">
        <f>★資本稼働率!Y37</f>
        <v>0.83442799999999995</v>
      </c>
      <c r="G32" s="46">
        <f t="shared" si="7"/>
        <v>18204.398940621282</v>
      </c>
      <c r="I32" s="69">
        <f>★平均労働時間!K56</f>
        <v>2072.65019698881</v>
      </c>
      <c r="J32" s="69">
        <f>★就業者数!W38</f>
        <v>6383.0016553140777</v>
      </c>
      <c r="K32" s="290">
        <f>★就業者数!Y38</f>
        <v>535.7747682044502</v>
      </c>
      <c r="L32" s="46">
        <f t="shared" si="0"/>
        <v>1110473.6788605878</v>
      </c>
      <c r="N32" s="47">
        <f>★TFP上昇率推計・図5!W32</f>
        <v>2.4057587073339201E-2</v>
      </c>
      <c r="P32" s="70">
        <f>★TFP上昇率推計・図5!AA32</f>
        <v>0.49513596052485498</v>
      </c>
      <c r="Q32" s="293">
        <f t="shared" si="6"/>
        <v>2.006219198579795E-2</v>
      </c>
      <c r="R32" s="166"/>
      <c r="S32" s="46">
        <f t="shared" si="1"/>
        <v>498060.33927784854</v>
      </c>
      <c r="T32" s="88">
        <f t="shared" si="5"/>
        <v>-6.6596576264321694E-3</v>
      </c>
      <c r="V32" s="62">
        <v>0.39539999999999997</v>
      </c>
      <c r="W32" s="69">
        <f t="shared" si="3"/>
        <v>20057817.114999872</v>
      </c>
      <c r="X32" s="69">
        <f t="shared" si="4"/>
        <v>38315201.860822506</v>
      </c>
      <c r="Y32" s="37"/>
      <c r="Z32" s="37"/>
      <c r="AA32" s="38"/>
    </row>
    <row r="33" spans="1:27" hidden="1" outlineLevel="1">
      <c r="A33" s="57">
        <v>2010</v>
      </c>
      <c r="B33" s="69">
        <f>★資本ストック!H33</f>
        <v>19816.2495138962</v>
      </c>
      <c r="C33" s="293">
        <f>★資本ストック!G34</f>
        <v>0.11020477394683277</v>
      </c>
      <c r="D33" s="69">
        <f>★資本ストック!P33</f>
        <v>1415.6182766034899</v>
      </c>
      <c r="E33" s="293">
        <f>★資本ストック!O34</f>
        <v>0.21871444823663255</v>
      </c>
      <c r="F33" s="88">
        <f>★資本稼働率!Y38</f>
        <v>0.83442799999999995</v>
      </c>
      <c r="G33" s="46">
        <f t="shared" si="7"/>
        <v>17950.851725984867</v>
      </c>
      <c r="I33" s="69">
        <f>★平均労働時間!K57</f>
        <v>2076.0302528751399</v>
      </c>
      <c r="J33" s="69">
        <f>★就業者数!W39</f>
        <v>6378.6257645883516</v>
      </c>
      <c r="K33" s="290">
        <f>★就業者数!Y39</f>
        <v>526.36473515503474</v>
      </c>
      <c r="L33" s="46">
        <f t="shared" si="0"/>
        <v>1092749.1142284628</v>
      </c>
      <c r="N33" s="47">
        <f>★TFP上昇率推計・図5!W33</f>
        <v>3.0345887542588299E-2</v>
      </c>
      <c r="P33" s="70">
        <f>★TFP上昇率推計・図5!AA33</f>
        <v>0.51948183578414497</v>
      </c>
      <c r="Q33" s="293">
        <f t="shared" si="6"/>
        <v>4.9170080948034656E-2</v>
      </c>
      <c r="R33" s="166"/>
      <c r="S33" s="46">
        <f t="shared" si="1"/>
        <v>501118.63567671884</v>
      </c>
      <c r="T33" s="88">
        <f t="shared" si="5"/>
        <v>6.1404134352569528E-3</v>
      </c>
      <c r="V33" s="62">
        <v>0.39539999999999997</v>
      </c>
      <c r="W33" s="69">
        <f t="shared" si="3"/>
        <v>14932402.482660078</v>
      </c>
      <c r="X33" s="69">
        <f t="shared" si="4"/>
        <v>28977854.710074265</v>
      </c>
      <c r="Y33" s="37"/>
      <c r="Z33" s="37"/>
      <c r="AA33" s="38"/>
    </row>
    <row r="34" spans="1:27" hidden="1" outlineLevel="1">
      <c r="A34" s="57">
        <v>2011</v>
      </c>
      <c r="B34" s="69">
        <f>★資本ストック!H34</f>
        <v>19605.592053795801</v>
      </c>
      <c r="C34" s="293">
        <f>★資本ストック!G35</f>
        <v>0.1172261456615748</v>
      </c>
      <c r="D34" s="69">
        <f>★資本ストック!P34</f>
        <v>1396.50696616347</v>
      </c>
      <c r="E34" s="293">
        <f>★資本ストック!O35</f>
        <v>0.22040786704405257</v>
      </c>
      <c r="F34" s="88">
        <f>★資本稼働率!Y39</f>
        <v>0.83442799999999995</v>
      </c>
      <c r="G34" s="46">
        <f t="shared" si="7"/>
        <v>17755.961932428192</v>
      </c>
      <c r="I34" s="69">
        <f>★平均労働時間!K58</f>
        <v>2078.1395763568298</v>
      </c>
      <c r="J34" s="69">
        <f>★就業者数!W40</f>
        <v>6378.2436596672987</v>
      </c>
      <c r="K34" s="290">
        <f>★就業者数!Y40</f>
        <v>518.35832779131965</v>
      </c>
      <c r="L34" s="46">
        <f t="shared" si="0"/>
        <v>1077220.9557172877</v>
      </c>
      <c r="N34" s="47">
        <f>★TFP上昇率推計・図5!W34</f>
        <v>4.0305337004275701E-2</v>
      </c>
      <c r="P34" s="70">
        <f>★TFP上昇率推計・図5!AA34</f>
        <v>0.55764506119209301</v>
      </c>
      <c r="Q34" s="293">
        <f t="shared" si="6"/>
        <v>7.3464022760952874E-2</v>
      </c>
      <c r="R34" s="166"/>
      <c r="S34" s="46">
        <f t="shared" si="1"/>
        <v>509096.16579443298</v>
      </c>
      <c r="T34" s="88">
        <f t="shared" si="5"/>
        <v>1.5919444119137927E-2</v>
      </c>
      <c r="V34" s="62">
        <v>0.39539999999999997</v>
      </c>
      <c r="W34" s="69">
        <f t="shared" si="3"/>
        <v>11087871.231487909</v>
      </c>
      <c r="X34" s="69">
        <f t="shared" si="4"/>
        <v>20579768.966395907</v>
      </c>
      <c r="Y34" s="37"/>
      <c r="Z34" s="37"/>
      <c r="AA34" s="38"/>
    </row>
    <row r="35" spans="1:27" hidden="1" outlineLevel="1">
      <c r="A35" s="57">
        <v>2012</v>
      </c>
      <c r="B35" s="69">
        <f>★資本ストック!H35</f>
        <v>19468.470941859501</v>
      </c>
      <c r="C35" s="293">
        <f>★資本ストック!G36</f>
        <v>0.11249505420590317</v>
      </c>
      <c r="D35" s="69">
        <f>★資本ストック!P35</f>
        <v>1379.9329032794101</v>
      </c>
      <c r="E35" s="293">
        <f>★資本ストック!O36</f>
        <v>0.22155688622754502</v>
      </c>
      <c r="F35" s="88">
        <f>★資本稼働率!Y40</f>
        <v>0.83442799999999995</v>
      </c>
      <c r="G35" s="46">
        <f t="shared" si="7"/>
        <v>17624.970174353348</v>
      </c>
      <c r="I35" s="69">
        <f>★平均労働時間!K59</f>
        <v>2078.9576635210501</v>
      </c>
      <c r="J35" s="69">
        <f>★就業者数!W41</f>
        <v>6382.8800346228754</v>
      </c>
      <c r="K35" s="290">
        <f>★就業者数!Y41</f>
        <v>511.71028248573515</v>
      </c>
      <c r="L35" s="46">
        <f t="shared" si="0"/>
        <v>1063824.0132762406</v>
      </c>
      <c r="N35" s="47">
        <f>★TFP上昇率推計・図5!W35</f>
        <v>5.30347254468191E-2</v>
      </c>
      <c r="P35" s="70">
        <f>★TFP上昇率推計・図5!AA35</f>
        <v>0.60761785544820102</v>
      </c>
      <c r="Q35" s="293">
        <f t="shared" si="6"/>
        <v>8.9613981605574988E-2</v>
      </c>
      <c r="R35" s="166"/>
      <c r="S35" s="46">
        <f t="shared" si="1"/>
        <v>520066.86640050448</v>
      </c>
      <c r="T35" s="88">
        <f t="shared" si="5"/>
        <v>2.1549367964600608E-2</v>
      </c>
      <c r="V35" s="62">
        <v>0.37</v>
      </c>
      <c r="W35" s="69">
        <f t="shared" si="3"/>
        <v>7104797.3328175303</v>
      </c>
      <c r="X35" s="69">
        <f t="shared" si="4"/>
        <v>13912346.620181138</v>
      </c>
      <c r="Y35" s="37"/>
      <c r="Z35" s="37"/>
      <c r="AA35" s="38"/>
    </row>
    <row r="36" spans="1:27" hidden="1" outlineLevel="1">
      <c r="A36" s="57">
        <v>2013</v>
      </c>
      <c r="B36" s="69">
        <f>★資本ストック!H36</f>
        <v>19406.795154693002</v>
      </c>
      <c r="C36" s="293">
        <f>★資本ストック!G37</f>
        <v>0.11375755610256649</v>
      </c>
      <c r="D36" s="69">
        <f>★資本ストック!P36</f>
        <v>1366.68929472184</v>
      </c>
      <c r="E36" s="293">
        <f>★資本ストック!O37</f>
        <v>0.22326692037907611</v>
      </c>
      <c r="F36" s="88">
        <f>★資本稼働率!Y41</f>
        <v>0.83442799999999995</v>
      </c>
      <c r="G36" s="46">
        <f t="shared" si="7"/>
        <v>17560.262562062009</v>
      </c>
      <c r="I36" s="69">
        <f>★平均労働時間!K60</f>
        <v>2078.5872380247301</v>
      </c>
      <c r="J36" s="69">
        <f>★就業者数!W42</f>
        <v>6393.3618654439806</v>
      </c>
      <c r="K36" s="290">
        <f>★就業者数!Y42</f>
        <v>506.26093026087557</v>
      </c>
      <c r="L36" s="46">
        <f t="shared" si="0"/>
        <v>1052307.508750784</v>
      </c>
      <c r="N36" s="47">
        <f>★TFP上昇率推計・図5!W36</f>
        <v>6.7366787454913701E-2</v>
      </c>
      <c r="P36" s="70">
        <f>★TFP上昇率推計・図5!AA36</f>
        <v>0.66631568935405305</v>
      </c>
      <c r="Q36" s="293">
        <f t="shared" si="6"/>
        <v>9.66032077226473E-2</v>
      </c>
      <c r="R36" s="166"/>
      <c r="S36" s="46">
        <f t="shared" ref="S36:S58" si="8">P36*(G36^N36)*(L36^(1-N36))</f>
        <v>532194.91621259577</v>
      </c>
      <c r="T36" s="88">
        <f t="shared" si="5"/>
        <v>2.3320173992302351E-2</v>
      </c>
      <c r="V36" s="62">
        <v>0.37</v>
      </c>
      <c r="W36" s="69">
        <f t="shared" si="3"/>
        <v>5127867.2090850538</v>
      </c>
      <c r="X36" s="69">
        <f t="shared" si="4"/>
        <v>10114030.432379542</v>
      </c>
      <c r="Y36" s="37"/>
      <c r="Z36" s="37"/>
      <c r="AA36" s="38"/>
    </row>
    <row r="37" spans="1:27" hidden="1" outlineLevel="1">
      <c r="A37" s="57">
        <v>2014</v>
      </c>
      <c r="B37" s="69">
        <f>★資本ストック!H37</f>
        <v>19417.343959483602</v>
      </c>
      <c r="C37" s="293">
        <f>★資本ストック!G38</f>
        <v>0.11732207881639745</v>
      </c>
      <c r="D37" s="69">
        <f>★資本ストック!P37</f>
        <v>1357.2970182285101</v>
      </c>
      <c r="E37" s="293">
        <f>★資本ストック!O38</f>
        <v>0.22508836579679636</v>
      </c>
      <c r="F37" s="88">
        <f>★資本稼働率!Y42</f>
        <v>0.83442799999999995</v>
      </c>
      <c r="G37" s="46">
        <f t="shared" si="7"/>
        <v>17559.672503652491</v>
      </c>
      <c r="I37" s="69">
        <f>★平均労働時間!K61</f>
        <v>2077.2685948896201</v>
      </c>
      <c r="J37" s="69">
        <f>★就業者数!W43</f>
        <v>6409.8972449123648</v>
      </c>
      <c r="K37" s="290">
        <f>★就業者数!Y43</f>
        <v>501.80495815177284</v>
      </c>
      <c r="L37" s="46">
        <f t="shared" si="0"/>
        <v>1042383.6803285778</v>
      </c>
      <c r="N37" s="47">
        <f>★TFP上昇率推計・図5!W37</f>
        <v>8.1766854039796194E-2</v>
      </c>
      <c r="P37" s="70">
        <f>★TFP上昇率推計・図5!AA37</f>
        <v>0.72913974503974799</v>
      </c>
      <c r="Q37" s="293">
        <f t="shared" si="6"/>
        <v>9.4285721752400242E-2</v>
      </c>
      <c r="R37" s="166"/>
      <c r="S37" s="46">
        <f t="shared" si="8"/>
        <v>544281.96584972274</v>
      </c>
      <c r="T37" s="88">
        <f t="shared" si="5"/>
        <v>2.2711696915756585E-2</v>
      </c>
      <c r="V37" s="62">
        <v>0.34620000000000001</v>
      </c>
      <c r="W37" s="69">
        <f t="shared" si="3"/>
        <v>3786608.5553976004</v>
      </c>
      <c r="X37" s="69">
        <f t="shared" si="4"/>
        <v>7381113.0822057622</v>
      </c>
      <c r="Y37" s="37"/>
      <c r="Z37" s="37"/>
      <c r="AA37" s="38"/>
    </row>
    <row r="38" spans="1:27" hidden="1" outlineLevel="1">
      <c r="A38" s="57">
        <v>2015</v>
      </c>
      <c r="B38" s="69">
        <f>★資本ストック!H38</f>
        <v>19490.921671871401</v>
      </c>
      <c r="C38" s="293">
        <f>★資本ストック!G39</f>
        <v>0.12007202474696448</v>
      </c>
      <c r="D38" s="69">
        <f>★資本ストック!P38</f>
        <v>1352.0110585899499</v>
      </c>
      <c r="E38" s="293">
        <f>★資本ストック!O39</f>
        <v>0.22670545900007652</v>
      </c>
      <c r="F38" s="88">
        <f>★資本稼働率!Y43</f>
        <v>0.83442799999999995</v>
      </c>
      <c r="G38" s="46">
        <f t="shared" si="7"/>
        <v>17615.781847406259</v>
      </c>
      <c r="I38" s="69">
        <f>★平均労働時間!K62</f>
        <v>2075.14073142385</v>
      </c>
      <c r="J38" s="69">
        <f>★就業者数!W44</f>
        <v>6432.2414783099166</v>
      </c>
      <c r="K38" s="290">
        <f>★就業者数!Y44</f>
        <v>498.09599846279394</v>
      </c>
      <c r="L38" s="46">
        <f t="shared" si="0"/>
        <v>1033619.2945693751</v>
      </c>
      <c r="N38" s="47">
        <f>★TFP上昇率推計・図5!W38</f>
        <v>9.5124336310594401E-2</v>
      </c>
      <c r="P38" s="70">
        <f>★TFP上昇率推計・図5!AA38</f>
        <v>0.79223895110584697</v>
      </c>
      <c r="Q38" s="293">
        <f t="shared" si="6"/>
        <v>8.6539249156770692E-2</v>
      </c>
      <c r="R38" s="166"/>
      <c r="S38" s="46">
        <f t="shared" si="8"/>
        <v>555895.73257200292</v>
      </c>
      <c r="T38" s="88">
        <f t="shared" si="5"/>
        <v>2.1337776099468853E-2</v>
      </c>
      <c r="V38" s="62">
        <v>0.3211</v>
      </c>
      <c r="W38" s="69">
        <f t="shared" si="3"/>
        <v>2901101.6668801676</v>
      </c>
      <c r="X38" s="69">
        <f t="shared" si="4"/>
        <v>5620233.698281561</v>
      </c>
      <c r="Y38" s="37"/>
      <c r="Z38" s="37"/>
      <c r="AA38" s="38"/>
    </row>
    <row r="39" spans="1:27" hidden="1" outlineLevel="1">
      <c r="A39" s="57">
        <v>2016</v>
      </c>
      <c r="B39" s="69">
        <f>★資本ストック!H39</f>
        <v>19615.8451679018</v>
      </c>
      <c r="C39" s="293">
        <f>★資本ストック!G40</f>
        <v>0.12267486158378625</v>
      </c>
      <c r="D39" s="69">
        <f>★資本ストック!P39</f>
        <v>1350.8104304143999</v>
      </c>
      <c r="E39" s="293">
        <f>★資本ストック!O40</f>
        <v>0.22937168811506434</v>
      </c>
      <c r="F39" s="88">
        <f>★資本稼働率!Y44</f>
        <v>0.83442799999999995</v>
      </c>
      <c r="G39" s="46">
        <f t="shared" si="7"/>
        <v>17718.820882176362</v>
      </c>
      <c r="I39" s="69">
        <f>★平均労働時間!K63</f>
        <v>2072.0379503200202</v>
      </c>
      <c r="J39" s="69">
        <f>★就業者数!W45</f>
        <v>6459.7806082142752</v>
      </c>
      <c r="K39" s="290">
        <f>★就業者数!Y45</f>
        <v>494.94285363183678</v>
      </c>
      <c r="L39" s="46">
        <f t="shared" si="0"/>
        <v>1025540.3759648529</v>
      </c>
      <c r="N39" s="47">
        <f>★TFP上昇率推計・図5!W39</f>
        <v>0.10652618902741801</v>
      </c>
      <c r="P39" s="70">
        <f>★TFP上昇率推計・図5!AA39</f>
        <v>0.85156272544051304</v>
      </c>
      <c r="Q39" s="293">
        <f t="shared" si="6"/>
        <v>7.4881163381147697E-2</v>
      </c>
      <c r="R39" s="166"/>
      <c r="S39" s="46">
        <f t="shared" si="8"/>
        <v>566780.74384962209</v>
      </c>
      <c r="T39" s="88">
        <f t="shared" si="5"/>
        <v>1.9581030469970839E-2</v>
      </c>
      <c r="V39" s="62">
        <v>0.29970000000000002</v>
      </c>
      <c r="W39" s="69">
        <f t="shared" si="3"/>
        <v>2340381.8147679083</v>
      </c>
      <c r="X39" s="69">
        <f t="shared" si="4"/>
        <v>4528579.3848207509</v>
      </c>
      <c r="Y39" s="37"/>
      <c r="Z39" s="37"/>
      <c r="AA39" s="38"/>
    </row>
    <row r="40" spans="1:27" hidden="1" outlineLevel="1">
      <c r="A40" s="57">
        <v>2017</v>
      </c>
      <c r="B40" s="69">
        <f>★資本ストック!H40</f>
        <v>19780.455106901602</v>
      </c>
      <c r="C40" s="293">
        <f>★資本ストック!G41</f>
        <v>0.12411467971304722</v>
      </c>
      <c r="D40" s="69">
        <f>★資本ストック!P40</f>
        <v>1353.2150377242201</v>
      </c>
      <c r="E40" s="293">
        <f>★資本ストック!O41</f>
        <v>0.23004834510970626</v>
      </c>
      <c r="F40" s="88">
        <f>★資本稼働率!Y45</f>
        <v>0.83442799999999995</v>
      </c>
      <c r="G40" s="46">
        <f t="shared" si="7"/>
        <v>17858.580631665911</v>
      </c>
      <c r="I40" s="69">
        <f>★平均労働時間!K64</f>
        <v>2067.83168162313</v>
      </c>
      <c r="J40" s="69">
        <f>★就業者数!W46</f>
        <v>6491.4190659967135</v>
      </c>
      <c r="K40" s="290">
        <f>★就業者数!Y46</f>
        <v>492.18757977883359</v>
      </c>
      <c r="L40" s="46">
        <f t="shared" si="0"/>
        <v>1017761.0707680839</v>
      </c>
      <c r="N40" s="47">
        <f>★TFP上昇率推計・図5!W40</f>
        <v>0.115558737011451</v>
      </c>
      <c r="P40" s="70">
        <f>★TFP上昇率推計・図5!AA40</f>
        <v>0.90443274556985098</v>
      </c>
      <c r="Q40" s="293">
        <f t="shared" si="6"/>
        <v>6.2085878761295454E-2</v>
      </c>
      <c r="R40" s="166"/>
      <c r="S40" s="46">
        <f t="shared" si="8"/>
        <v>576931.44472254696</v>
      </c>
      <c r="T40" s="88">
        <f t="shared" si="5"/>
        <v>1.7909396151994272E-2</v>
      </c>
      <c r="V40" s="62">
        <v>0.29970000000000002</v>
      </c>
      <c r="W40" s="69">
        <f t="shared" si="3"/>
        <v>2020194.7911829001</v>
      </c>
      <c r="X40" s="69">
        <f t="shared" si="4"/>
        <v>3900188.8438165397</v>
      </c>
      <c r="Y40" s="37"/>
      <c r="Z40" s="37"/>
      <c r="AA40" s="38"/>
    </row>
    <row r="41" spans="1:27" hidden="1" outlineLevel="1">
      <c r="A41" s="57">
        <v>2018</v>
      </c>
      <c r="B41" s="69">
        <f>★資本ストック!H41</f>
        <v>19973.803696518498</v>
      </c>
      <c r="C41" s="293">
        <f>★資本ストック!G42</f>
        <v>0.12743463246176612</v>
      </c>
      <c r="D41" s="69">
        <f>★資本ストック!P41</f>
        <v>1358.4466802376101</v>
      </c>
      <c r="E41" s="293">
        <f>★資本ストック!O42</f>
        <v>0.23003382850419171</v>
      </c>
      <c r="F41" s="88">
        <f>★資本稼働率!Y46</f>
        <v>0.83442799999999995</v>
      </c>
      <c r="G41" s="46">
        <f t="shared" si="7"/>
        <v>18025.147751116143</v>
      </c>
      <c r="I41" s="69">
        <f>★平均労働時間!K65</f>
        <v>2062.6850245416799</v>
      </c>
      <c r="J41" s="69">
        <f>★就業者数!W47</f>
        <v>6525.7838782316721</v>
      </c>
      <c r="K41" s="290">
        <f>★就業者数!Y47</f>
        <v>489.64754390580612</v>
      </c>
      <c r="L41" s="46">
        <f t="shared" si="0"/>
        <v>1009988.656118121</v>
      </c>
      <c r="N41" s="47">
        <f>★TFP上昇率推計・図5!W41</f>
        <v>0.122559991039443</v>
      </c>
      <c r="P41" s="70">
        <f>★TFP上昇率推計・図5!AA41</f>
        <v>0.95128109763756097</v>
      </c>
      <c r="Q41" s="293">
        <f t="shared" si="6"/>
        <v>5.1798602269970351E-2</v>
      </c>
      <c r="R41" s="166"/>
      <c r="S41" s="46">
        <f t="shared" si="8"/>
        <v>586592.97675945447</v>
      </c>
      <c r="T41" s="88">
        <f t="shared" si="5"/>
        <v>1.6746412637560271E-2</v>
      </c>
      <c r="V41" s="62">
        <v>0.2974</v>
      </c>
      <c r="W41" s="69">
        <f t="shared" si="3"/>
        <v>1823059.0201039873</v>
      </c>
      <c r="X41" s="69">
        <f t="shared" si="4"/>
        <v>3440713.7719311598</v>
      </c>
      <c r="Y41" s="37"/>
      <c r="Z41" s="37"/>
      <c r="AA41" s="38"/>
    </row>
    <row r="42" spans="1:27" hidden="1" outlineLevel="1">
      <c r="A42" s="57">
        <v>2019</v>
      </c>
      <c r="B42" s="69">
        <f>★資本ストック!H42</f>
        <v>20184.383593331</v>
      </c>
      <c r="C42" s="293">
        <f>★資本ストック!G43</f>
        <v>0.13006732839559218</v>
      </c>
      <c r="D42" s="69">
        <f>★資本ストック!P42</f>
        <v>1365.64000729551</v>
      </c>
      <c r="E42" s="293">
        <f>★資本ストック!O43</f>
        <v>0.22905635743816638</v>
      </c>
      <c r="F42" s="88">
        <f>★資本稼働率!Y47</f>
        <v>0.83442799999999995</v>
      </c>
      <c r="G42" s="46">
        <f t="shared" si="7"/>
        <v>18208.05484031151</v>
      </c>
      <c r="I42" s="69">
        <f>★平均労働時間!K66</f>
        <v>2056.8695634679102</v>
      </c>
      <c r="J42" s="69">
        <f>★就業者数!W48</f>
        <v>6561.3472549483095</v>
      </c>
      <c r="K42" s="290">
        <f>★就業者数!Y48</f>
        <v>487.16278297712057</v>
      </c>
      <c r="L42" s="46">
        <f t="shared" si="0"/>
        <v>1002030.3007599623</v>
      </c>
      <c r="N42" s="47">
        <f>★TFP上昇率推計・図5!W42</f>
        <v>0.12855513173456901</v>
      </c>
      <c r="P42" s="70">
        <f>★TFP上昇率推計・図5!AA42</f>
        <v>0.99566035316264501</v>
      </c>
      <c r="Q42" s="293">
        <f>P42/P41-1</f>
        <v>4.6652094354966867E-2</v>
      </c>
      <c r="R42" s="166"/>
      <c r="S42" s="46">
        <f t="shared" si="8"/>
        <v>595973.27052250435</v>
      </c>
      <c r="T42" s="88">
        <f t="shared" si="5"/>
        <v>1.5991145708681875E-2</v>
      </c>
      <c r="V42" s="62">
        <v>0.2974</v>
      </c>
      <c r="W42" s="69">
        <f t="shared" si="3"/>
        <v>1667458.69632367</v>
      </c>
      <c r="X42" s="69">
        <f t="shared" si="4"/>
        <v>3078353.1826729258</v>
      </c>
      <c r="Y42" s="37"/>
      <c r="Z42" s="37"/>
      <c r="AA42" s="38"/>
    </row>
    <row r="43" spans="1:27" collapsed="1">
      <c r="A43" s="57">
        <v>2020</v>
      </c>
      <c r="B43" s="394">
        <f>★資本ストック!H43</f>
        <v>20403.6494169527</v>
      </c>
      <c r="C43" s="64">
        <f>★資本ストック!G44</f>
        <v>0.13281677522458163</v>
      </c>
      <c r="D43" s="394">
        <f>★資本ストック!P43</f>
        <v>1373.94320143653</v>
      </c>
      <c r="E43" s="64">
        <f>★資本ストック!O44</f>
        <v>0.22846787947697558</v>
      </c>
      <c r="F43" s="62">
        <f>★資本稼働率!Y48</f>
        <v>0.83442799999999995</v>
      </c>
      <c r="G43" s="46">
        <f>B43*F43+D43</f>
        <v>18399.319577125538</v>
      </c>
      <c r="I43" s="394">
        <f>★平均労働時間!K67</f>
        <v>2056.8695634679102</v>
      </c>
      <c r="J43" s="394">
        <f>★就業者数!W49</f>
        <v>6597.1561784487658</v>
      </c>
      <c r="K43" s="310">
        <f>★就業者数!Y49</f>
        <v>487.16278297712057</v>
      </c>
      <c r="L43" s="46">
        <f>I43*K43</f>
        <v>1002030.3007599623</v>
      </c>
      <c r="N43" s="47">
        <f>★TFP上昇率推計・図5!W43</f>
        <v>0.13434835907450099</v>
      </c>
      <c r="P43" s="70">
        <f>★TFP上昇率推計・図5!AA43</f>
        <v>1.04234978108688</v>
      </c>
      <c r="Q43" s="293">
        <f>P43/P42-1</f>
        <v>4.6892926665131673E-2</v>
      </c>
      <c r="R43" s="166"/>
      <c r="S43" s="46">
        <f t="shared" si="8"/>
        <v>610456.82958399598</v>
      </c>
      <c r="T43" s="88">
        <f t="shared" si="5"/>
        <v>2.4302363508339031E-2</v>
      </c>
      <c r="V43" s="62">
        <v>0.2974</v>
      </c>
      <c r="W43" s="69">
        <f t="shared" si="3"/>
        <v>1542325.1001930113</v>
      </c>
      <c r="X43" s="69">
        <f t="shared" si="4"/>
        <v>2787658.2537783436</v>
      </c>
    </row>
    <row r="44" spans="1:27">
      <c r="A44" s="57">
        <v>2021</v>
      </c>
      <c r="B44" s="394">
        <f>★資本ストック!H44</f>
        <v>20626.028951063799</v>
      </c>
      <c r="C44" s="302">
        <v>0.133807525989386</v>
      </c>
      <c r="D44" s="394">
        <f>★資本ストック!P44</f>
        <v>1382.6350451262799</v>
      </c>
      <c r="E44" s="302">
        <v>0.22812146890277299</v>
      </c>
      <c r="F44" s="302">
        <f>F43</f>
        <v>0.83442799999999995</v>
      </c>
      <c r="G44" s="46">
        <f t="shared" ref="G44:G63" si="9">B44*F44+D44</f>
        <v>18593.571130704542</v>
      </c>
      <c r="I44" s="304">
        <f>I43</f>
        <v>2056.8695634679102</v>
      </c>
      <c r="J44" s="46">
        <f>(J$48-J$43)/5+J43</f>
        <v>6546.3249427590126</v>
      </c>
      <c r="K44" s="300">
        <f>J44*0.0734640007869559+4</f>
        <v>484.91922074651717</v>
      </c>
      <c r="L44" s="46">
        <f t="shared" ref="L44:L63" si="10">I44*K44</f>
        <v>997415.58589408791</v>
      </c>
      <c r="N44" s="281">
        <f>AVERAGE(N3:N43)</f>
        <v>0.16260435651919575</v>
      </c>
      <c r="P44" s="48">
        <f t="shared" ref="P44:P63" si="11">P43*(1+Q44)</f>
        <v>1.0626706790990388</v>
      </c>
      <c r="Q44" s="303">
        <f>AVERAGE(Q25:Q43)</f>
        <v>1.9495277286833229E-2</v>
      </c>
      <c r="R44" s="166"/>
      <c r="S44" s="46">
        <f t="shared" si="8"/>
        <v>554687.58329292666</v>
      </c>
      <c r="T44" s="88">
        <f t="shared" si="5"/>
        <v>-9.1356576891889363E-2</v>
      </c>
      <c r="V44" s="302">
        <f>V43</f>
        <v>0.2974</v>
      </c>
      <c r="W44" s="69">
        <f>((0.99^(-1)+C44-1)/((1-V44)*N44*P44))^(1/(1-N44))*L44</f>
        <v>1221977.755042013</v>
      </c>
      <c r="X44" s="69">
        <f t="shared" si="4"/>
        <v>2230819.5932487389</v>
      </c>
    </row>
    <row r="45" spans="1:27">
      <c r="A45" s="57">
        <v>2022</v>
      </c>
      <c r="B45" s="313">
        <f>EXP( 0.0495170402151*LOG(S44,EXP(1))- 0.00735656612765*LOG(W44,EXP(1)) +0.944741406384*LOG(B44,EXP(1)) )</f>
        <v>20684.997727501002</v>
      </c>
      <c r="C45" s="302">
        <v>0.13480566728915799</v>
      </c>
      <c r="D45" s="313">
        <f>EXP(0.048470451741*LOG(S44,EXP(1))-0.005070568273*LOG(X44,EXP(1)) +0.922366678461*LOG(D44,EXP(1)) )</f>
        <v>1390.3056931858307</v>
      </c>
      <c r="E45" s="302">
        <v>0.22798389653957599</v>
      </c>
      <c r="F45" s="302">
        <f t="shared" ref="F45:F63" si="12">F44</f>
        <v>0.83442799999999995</v>
      </c>
      <c r="G45" s="46">
        <f t="shared" si="9"/>
        <v>18650.446976949035</v>
      </c>
      <c r="I45" s="304">
        <f>I44</f>
        <v>2056.8695634679102</v>
      </c>
      <c r="J45" s="46">
        <f>(J$48-J$43)/5+J44</f>
        <v>6495.4937070692595</v>
      </c>
      <c r="K45" s="300">
        <f t="shared" ref="K45:K63" si="13">J45*0.0734640007869559+4</f>
        <v>481.18495480780319</v>
      </c>
      <c r="L45" s="46">
        <f t="shared" si="10"/>
        <v>989734.68794285227</v>
      </c>
      <c r="N45" s="302">
        <f>N44</f>
        <v>0.16260435651919575</v>
      </c>
      <c r="P45" s="48">
        <f t="shared" si="11"/>
        <v>1.083387738652662</v>
      </c>
      <c r="Q45" s="303">
        <f>Q44</f>
        <v>1.9495277286833229E-2</v>
      </c>
      <c r="R45" s="166"/>
      <c r="S45" s="46">
        <f t="shared" si="8"/>
        <v>562131.4827456451</v>
      </c>
      <c r="T45" s="88">
        <f t="shared" si="5"/>
        <v>1.3419985730575457E-2</v>
      </c>
      <c r="V45" s="302">
        <f t="shared" ref="V45:V63" si="14">V44</f>
        <v>0.2974</v>
      </c>
      <c r="W45" s="69">
        <f t="shared" si="3"/>
        <v>1194750.523827547</v>
      </c>
      <c r="X45" s="69">
        <f t="shared" si="4"/>
        <v>2161693.1813362991</v>
      </c>
    </row>
    <row r="46" spans="1:27">
      <c r="A46" s="57">
        <v>2023</v>
      </c>
      <c r="B46" s="313">
        <f t="shared" ref="B46:B63" si="15">EXP( 0.0495170402151*LOG(S45,EXP(1))- 0.00735656612765*LOG(W45,EXP(1)) +0.944741406384*LOG(B45,EXP(1)) )</f>
        <v>20757.999084359395</v>
      </c>
      <c r="C46" s="302">
        <v>0.13581125425423901</v>
      </c>
      <c r="D46" s="313">
        <f t="shared" ref="D46:D63" si="16">EXP(0.048470451741*LOG(S45,EXP(1))-0.005070568273*LOG(X45,EXP(1)) +0.922366678461*LOG(D45,EXP(1)) )</f>
        <v>1398.5449959850387</v>
      </c>
      <c r="E46" s="302">
        <v>0.228026494661</v>
      </c>
      <c r="F46" s="302">
        <f t="shared" si="12"/>
        <v>0.83442799999999995</v>
      </c>
      <c r="G46" s="46">
        <f t="shared" si="9"/>
        <v>18719.600655948878</v>
      </c>
      <c r="I46" s="304">
        <f t="shared" ref="I46:I63" si="17">I45</f>
        <v>2056.8695634679102</v>
      </c>
      <c r="J46" s="46">
        <f>(J$48-J$43)/5+J45</f>
        <v>6444.6624713795063</v>
      </c>
      <c r="K46" s="300">
        <f t="shared" si="13"/>
        <v>477.45068886908922</v>
      </c>
      <c r="L46" s="46">
        <f t="shared" si="10"/>
        <v>982053.7899916165</v>
      </c>
      <c r="N46" s="302">
        <f t="shared" ref="N46:N63" si="18">N45</f>
        <v>0.16260435651919575</v>
      </c>
      <c r="P46" s="48">
        <f t="shared" si="11"/>
        <v>1.1045086830268509</v>
      </c>
      <c r="Q46" s="303">
        <f t="shared" ref="Q46:Q63" si="19">Q45</f>
        <v>1.9495277286833229E-2</v>
      </c>
      <c r="R46" s="166"/>
      <c r="S46" s="46">
        <f t="shared" si="8"/>
        <v>569706.46246295876</v>
      </c>
      <c r="T46" s="88">
        <f t="shared" si="5"/>
        <v>1.3475458944791407E-2</v>
      </c>
      <c r="V46" s="302">
        <f t="shared" si="14"/>
        <v>0.2974</v>
      </c>
      <c r="W46" s="69">
        <f t="shared" si="3"/>
        <v>1168064.5940952587</v>
      </c>
      <c r="X46" s="69">
        <f t="shared" si="4"/>
        <v>2096475.891156873</v>
      </c>
    </row>
    <row r="47" spans="1:27">
      <c r="A47" s="57">
        <v>2024</v>
      </c>
      <c r="B47" s="313">
        <f t="shared" si="15"/>
        <v>20844.475807825547</v>
      </c>
      <c r="C47" s="302">
        <v>0.136824342425795</v>
      </c>
      <c r="D47" s="313">
        <f t="shared" si="16"/>
        <v>1407.319152089153</v>
      </c>
      <c r="E47" s="302">
        <v>0.22822453082878699</v>
      </c>
      <c r="F47" s="302">
        <f t="shared" si="12"/>
        <v>0.83442799999999995</v>
      </c>
      <c r="G47" s="46">
        <f t="shared" si="9"/>
        <v>18800.533411461405</v>
      </c>
      <c r="I47" s="304">
        <f t="shared" si="17"/>
        <v>2056.8695634679102</v>
      </c>
      <c r="J47" s="46">
        <f>(J$48-J$43)/5+J46</f>
        <v>6393.8312356897532</v>
      </c>
      <c r="K47" s="300">
        <f t="shared" si="13"/>
        <v>473.71642293037524</v>
      </c>
      <c r="L47" s="46">
        <f t="shared" si="10"/>
        <v>974372.89204038086</v>
      </c>
      <c r="N47" s="302">
        <f t="shared" si="18"/>
        <v>0.16260435651919575</v>
      </c>
      <c r="P47" s="48">
        <f t="shared" si="11"/>
        <v>1.1260413860681744</v>
      </c>
      <c r="Q47" s="303">
        <f t="shared" si="19"/>
        <v>1.9495277286833229E-2</v>
      </c>
      <c r="R47" s="166"/>
      <c r="S47" s="46">
        <f t="shared" si="8"/>
        <v>577411.50054689136</v>
      </c>
      <c r="T47" s="88">
        <f t="shared" si="5"/>
        <v>1.3524575534253458E-2</v>
      </c>
      <c r="V47" s="302">
        <f t="shared" si="14"/>
        <v>0.2974</v>
      </c>
      <c r="W47" s="69">
        <f t="shared" si="3"/>
        <v>1141909.7169043573</v>
      </c>
      <c r="X47" s="69">
        <f t="shared" si="4"/>
        <v>2034686.3454331928</v>
      </c>
    </row>
    <row r="48" spans="1:27">
      <c r="A48" s="57">
        <v>2025</v>
      </c>
      <c r="B48" s="313">
        <f t="shared" si="15"/>
        <v>20943.918914180274</v>
      </c>
      <c r="C48" s="302">
        <v>0.13784498775930401</v>
      </c>
      <c r="D48" s="313">
        <f t="shared" si="16"/>
        <v>1416.5977818895076</v>
      </c>
      <c r="E48" s="302">
        <v>0.228556667686308</v>
      </c>
      <c r="F48" s="302">
        <f t="shared" si="12"/>
        <v>0.83442799999999995</v>
      </c>
      <c r="G48" s="46">
        <f t="shared" si="9"/>
        <v>18892.790153611124</v>
      </c>
      <c r="I48" s="304">
        <f t="shared" si="17"/>
        <v>2056.8695634679102</v>
      </c>
      <c r="J48" s="61">
        <v>6343</v>
      </c>
      <c r="K48" s="300">
        <f t="shared" si="13"/>
        <v>469.98215699166133</v>
      </c>
      <c r="L48" s="46">
        <f t="shared" si="10"/>
        <v>966691.99408914533</v>
      </c>
      <c r="N48" s="302">
        <f t="shared" si="18"/>
        <v>0.16260435651919575</v>
      </c>
      <c r="P48" s="48">
        <f t="shared" si="11"/>
        <v>1.1479938751260235</v>
      </c>
      <c r="Q48" s="303">
        <f t="shared" si="19"/>
        <v>1.9495277286833229E-2</v>
      </c>
      <c r="R48" s="166"/>
      <c r="S48" s="46">
        <f t="shared" si="8"/>
        <v>585245.58345073415</v>
      </c>
      <c r="T48" s="88">
        <f t="shared" si="5"/>
        <v>1.3567590698181142E-2</v>
      </c>
      <c r="V48" s="302">
        <f t="shared" si="14"/>
        <v>0.2974</v>
      </c>
      <c r="W48" s="69">
        <f t="shared" si="3"/>
        <v>1116275.8342070624</v>
      </c>
      <c r="X48" s="69">
        <f t="shared" si="4"/>
        <v>1975919.3653249957</v>
      </c>
    </row>
    <row r="49" spans="1:24">
      <c r="A49" s="57">
        <v>2026</v>
      </c>
      <c r="B49" s="313">
        <f t="shared" si="15"/>
        <v>21055.863009690598</v>
      </c>
      <c r="C49" s="302">
        <v>0.138873246627643</v>
      </c>
      <c r="D49" s="313">
        <f t="shared" si="16"/>
        <v>1426.3535185611313</v>
      </c>
      <c r="E49" s="302">
        <v>0.229004496907493</v>
      </c>
      <c r="F49" s="302">
        <f t="shared" si="12"/>
        <v>0.83442799999999995</v>
      </c>
      <c r="G49" s="46">
        <f t="shared" si="9"/>
        <v>18995.955178011238</v>
      </c>
      <c r="I49" s="304">
        <f t="shared" si="17"/>
        <v>2056.8695634679102</v>
      </c>
      <c r="J49" s="46">
        <f>(J$53-J$48)/5+J48</f>
        <v>6299.2</v>
      </c>
      <c r="K49" s="300">
        <f t="shared" si="13"/>
        <v>466.76443375719265</v>
      </c>
      <c r="L49" s="46">
        <f t="shared" si="10"/>
        <v>960073.55710450315</v>
      </c>
      <c r="N49" s="302">
        <f t="shared" si="18"/>
        <v>0.16260435651919575</v>
      </c>
      <c r="P49" s="48">
        <f t="shared" si="11"/>
        <v>1.1703743340451915</v>
      </c>
      <c r="Q49" s="303">
        <f t="shared" si="19"/>
        <v>1.9495277286833229E-2</v>
      </c>
      <c r="R49" s="166"/>
      <c r="S49" s="46">
        <f t="shared" si="8"/>
        <v>593757.98516071588</v>
      </c>
      <c r="T49" s="88">
        <f t="shared" si="5"/>
        <v>1.4545008028579609E-2</v>
      </c>
      <c r="V49" s="302">
        <f t="shared" si="14"/>
        <v>0.2974</v>
      </c>
      <c r="W49" s="69">
        <f t="shared" si="3"/>
        <v>1092361.9325642965</v>
      </c>
      <c r="X49" s="69">
        <f t="shared" si="4"/>
        <v>1921960.3225036452</v>
      </c>
    </row>
    <row r="50" spans="1:24">
      <c r="A50" s="57">
        <v>2027</v>
      </c>
      <c r="B50" s="313">
        <f t="shared" si="15"/>
        <v>21180.682066931993</v>
      </c>
      <c r="C50" s="302">
        <v>0.139909175824208</v>
      </c>
      <c r="D50" s="313">
        <f t="shared" si="16"/>
        <v>1436.6181497570194</v>
      </c>
      <c r="E50" s="302">
        <v>0.22955213712172201</v>
      </c>
      <c r="F50" s="302">
        <f t="shared" si="12"/>
        <v>0.83442799999999995</v>
      </c>
      <c r="G50" s="46">
        <f t="shared" si="9"/>
        <v>19110.372325502947</v>
      </c>
      <c r="I50" s="304">
        <f t="shared" si="17"/>
        <v>2056.8695634679102</v>
      </c>
      <c r="J50" s="46">
        <f>(J$53-J$48)/5+J49</f>
        <v>6255.4</v>
      </c>
      <c r="K50" s="300">
        <f t="shared" si="13"/>
        <v>463.54671052272391</v>
      </c>
      <c r="L50" s="46">
        <f t="shared" si="10"/>
        <v>953455.12011986086</v>
      </c>
      <c r="N50" s="302">
        <f t="shared" si="18"/>
        <v>0.16260435651919575</v>
      </c>
      <c r="P50" s="48">
        <f t="shared" si="11"/>
        <v>1.1931911062167955</v>
      </c>
      <c r="Q50" s="303">
        <f t="shared" si="19"/>
        <v>1.9495277286833229E-2</v>
      </c>
      <c r="R50" s="166"/>
      <c r="S50" s="46">
        <f t="shared" si="8"/>
        <v>602425.02919215057</v>
      </c>
      <c r="T50" s="88">
        <f t="shared" si="5"/>
        <v>1.4596930480166526E-2</v>
      </c>
      <c r="V50" s="302">
        <f t="shared" si="14"/>
        <v>0.2974</v>
      </c>
      <c r="W50" s="69">
        <f t="shared" si="3"/>
        <v>1068913.9930691961</v>
      </c>
      <c r="X50" s="69">
        <f t="shared" si="4"/>
        <v>1870308.3024305522</v>
      </c>
    </row>
    <row r="51" spans="1:24">
      <c r="A51" s="57">
        <v>2028</v>
      </c>
      <c r="B51" s="313">
        <f t="shared" si="15"/>
        <v>21317.975443573971</v>
      </c>
      <c r="C51" s="302">
        <v>0.14095283256604399</v>
      </c>
      <c r="D51" s="313">
        <f t="shared" si="16"/>
        <v>1447.3674396992533</v>
      </c>
      <c r="E51" s="302">
        <v>0.23018588703253501</v>
      </c>
      <c r="F51" s="302">
        <f t="shared" si="12"/>
        <v>0.83442799999999995</v>
      </c>
      <c r="G51" s="46">
        <f t="shared" si="9"/>
        <v>19235.683053129793</v>
      </c>
      <c r="I51" s="304">
        <f t="shared" si="17"/>
        <v>2056.8695634679102</v>
      </c>
      <c r="J51" s="46">
        <f>(J$53-J$48)/5+J50</f>
        <v>6211.5999999999995</v>
      </c>
      <c r="K51" s="300">
        <f t="shared" si="13"/>
        <v>460.32898728825523</v>
      </c>
      <c r="L51" s="46">
        <f t="shared" si="10"/>
        <v>946836.68313521869</v>
      </c>
      <c r="N51" s="302">
        <f t="shared" si="18"/>
        <v>0.16260435651919575</v>
      </c>
      <c r="P51" s="48">
        <f t="shared" si="11"/>
        <v>1.2164526976886754</v>
      </c>
      <c r="Q51" s="303">
        <f t="shared" si="19"/>
        <v>1.9495277286833229E-2</v>
      </c>
      <c r="R51" s="166"/>
      <c r="S51" s="46">
        <f t="shared" si="8"/>
        <v>611246.66109846008</v>
      </c>
      <c r="T51" s="88">
        <f t="shared" si="5"/>
        <v>1.4643534844724693E-2</v>
      </c>
      <c r="V51" s="302">
        <f t="shared" si="14"/>
        <v>0.2974</v>
      </c>
      <c r="W51" s="69">
        <f t="shared" si="3"/>
        <v>1045923.3045575696</v>
      </c>
      <c r="X51" s="69">
        <f t="shared" si="4"/>
        <v>1820724.513894137</v>
      </c>
    </row>
    <row r="52" spans="1:24">
      <c r="A52" s="57">
        <v>2029</v>
      </c>
      <c r="B52" s="313">
        <f t="shared" si="15"/>
        <v>21467.378340608619</v>
      </c>
      <c r="C52" s="302">
        <v>0.14200427449701</v>
      </c>
      <c r="D52" s="313">
        <f t="shared" si="16"/>
        <v>1458.5794823440879</v>
      </c>
      <c r="E52" s="302">
        <v>0.23089392615358401</v>
      </c>
      <c r="F52" s="302">
        <f t="shared" si="12"/>
        <v>0.83442799999999995</v>
      </c>
      <c r="G52" s="46">
        <f t="shared" si="9"/>
        <v>19371.561056341456</v>
      </c>
      <c r="I52" s="304">
        <f t="shared" si="17"/>
        <v>2056.8695634679102</v>
      </c>
      <c r="J52" s="46">
        <f>(J$53-J$48)/5+J51</f>
        <v>6167.7999999999993</v>
      </c>
      <c r="K52" s="300">
        <f t="shared" si="13"/>
        <v>457.11126405378656</v>
      </c>
      <c r="L52" s="46">
        <f t="shared" si="10"/>
        <v>940218.24615057663</v>
      </c>
      <c r="N52" s="302">
        <f t="shared" si="18"/>
        <v>0.16260435651919575</v>
      </c>
      <c r="P52" s="48">
        <f t="shared" si="11"/>
        <v>1.2401677803364326</v>
      </c>
      <c r="Q52" s="303">
        <f t="shared" si="19"/>
        <v>1.9495277286833229E-2</v>
      </c>
      <c r="R52" s="166"/>
      <c r="S52" s="46">
        <f t="shared" si="8"/>
        <v>620222.84439877816</v>
      </c>
      <c r="T52" s="88">
        <f t="shared" si="5"/>
        <v>1.4685042670314452E-2</v>
      </c>
      <c r="V52" s="302">
        <f t="shared" si="14"/>
        <v>0.2974</v>
      </c>
      <c r="W52" s="69">
        <f t="shared" si="3"/>
        <v>1023381.3166260401</v>
      </c>
      <c r="X52" s="69">
        <f t="shared" si="4"/>
        <v>1773006.5718869548</v>
      </c>
    </row>
    <row r="53" spans="1:24">
      <c r="A53" s="57">
        <v>2030</v>
      </c>
      <c r="B53" s="313">
        <f t="shared" si="15"/>
        <v>21628.558547693643</v>
      </c>
      <c r="C53" s="302">
        <v>0.14306355969095999</v>
      </c>
      <c r="D53" s="313">
        <f t="shared" si="16"/>
        <v>1470.2344388527633</v>
      </c>
      <c r="E53" s="302">
        <v>0.23166605662527301</v>
      </c>
      <c r="F53" s="302">
        <f t="shared" si="12"/>
        <v>0.83442799999999995</v>
      </c>
      <c r="G53" s="46">
        <f t="shared" si="9"/>
        <v>19517.709290687675</v>
      </c>
      <c r="I53" s="304">
        <f t="shared" si="17"/>
        <v>2056.8695634679102</v>
      </c>
      <c r="J53" s="61">
        <v>6124</v>
      </c>
      <c r="K53" s="300">
        <f t="shared" si="13"/>
        <v>453.89354081931793</v>
      </c>
      <c r="L53" s="46">
        <f t="shared" si="10"/>
        <v>933599.80916593457</v>
      </c>
      <c r="N53" s="302">
        <f t="shared" si="18"/>
        <v>0.16260435651919575</v>
      </c>
      <c r="P53" s="48">
        <f t="shared" si="11"/>
        <v>1.2643451950962878</v>
      </c>
      <c r="Q53" s="303">
        <f t="shared" si="19"/>
        <v>1.9495277286833229E-2</v>
      </c>
      <c r="R53" s="166"/>
      <c r="S53" s="46">
        <f t="shared" si="8"/>
        <v>629353.55610930827</v>
      </c>
      <c r="T53" s="88">
        <f t="shared" si="5"/>
        <v>1.4721663016751707E-2</v>
      </c>
      <c r="V53" s="302">
        <f t="shared" si="14"/>
        <v>0.2974</v>
      </c>
      <c r="W53" s="69">
        <f t="shared" si="3"/>
        <v>1001279.6366475207</v>
      </c>
      <c r="X53" s="69">
        <f t="shared" si="4"/>
        <v>1726982.5831664123</v>
      </c>
    </row>
    <row r="54" spans="1:24">
      <c r="A54" s="57">
        <v>2031</v>
      </c>
      <c r="B54" s="313">
        <f t="shared" si="15"/>
        <v>21801.213522872353</v>
      </c>
      <c r="C54" s="302">
        <v>0.14413074665495301</v>
      </c>
      <c r="D54" s="313">
        <f t="shared" si="16"/>
        <v>1482.3143078286987</v>
      </c>
      <c r="E54" s="302">
        <v>0.232493480472862</v>
      </c>
      <c r="F54" s="302">
        <f t="shared" si="12"/>
        <v>0.83442799999999995</v>
      </c>
      <c r="G54" s="46">
        <f t="shared" si="9"/>
        <v>19673.857305292029</v>
      </c>
      <c r="I54" s="304">
        <f t="shared" si="17"/>
        <v>2056.8695634679102</v>
      </c>
      <c r="J54" s="46">
        <f>(J$58-J$53)/5+J53</f>
        <v>6077.8</v>
      </c>
      <c r="K54" s="300">
        <f t="shared" si="13"/>
        <v>450.49950398296062</v>
      </c>
      <c r="L54" s="46">
        <f t="shared" si="10"/>
        <v>926618.71809994231</v>
      </c>
      <c r="N54" s="302">
        <f t="shared" si="18"/>
        <v>0.16260435651919575</v>
      </c>
      <c r="P54" s="48">
        <f t="shared" si="11"/>
        <v>1.2889939552609653</v>
      </c>
      <c r="Q54" s="303">
        <f t="shared" si="19"/>
        <v>1.9495277286833229E-2</v>
      </c>
      <c r="R54" s="166"/>
      <c r="S54" s="46">
        <f t="shared" si="8"/>
        <v>638429.55364158691</v>
      </c>
      <c r="T54" s="88">
        <f t="shared" si="5"/>
        <v>1.4421142844392332E-2</v>
      </c>
      <c r="V54" s="302">
        <f t="shared" si="14"/>
        <v>0.2974</v>
      </c>
      <c r="W54" s="69">
        <f t="shared" si="3"/>
        <v>979226.78335524234</v>
      </c>
      <c r="X54" s="69">
        <f t="shared" si="4"/>
        <v>1681847.9750360979</v>
      </c>
    </row>
    <row r="55" spans="1:24">
      <c r="A55" s="57">
        <v>2032</v>
      </c>
      <c r="B55" s="313">
        <f t="shared" si="15"/>
        <v>21984.774342434059</v>
      </c>
      <c r="C55" s="302">
        <v>0.14520589433248099</v>
      </c>
      <c r="D55" s="313">
        <f t="shared" si="16"/>
        <v>1494.7819489155024</v>
      </c>
      <c r="E55" s="302">
        <v>0.233368607440887</v>
      </c>
      <c r="F55" s="302">
        <f t="shared" si="12"/>
        <v>0.83442799999999995</v>
      </c>
      <c r="G55" s="46">
        <f t="shared" si="9"/>
        <v>19839.493233924066</v>
      </c>
      <c r="I55" s="304">
        <f t="shared" si="17"/>
        <v>2056.8695634679102</v>
      </c>
      <c r="J55" s="46">
        <f>(J$58-J$53)/5+J54</f>
        <v>6031.6</v>
      </c>
      <c r="K55" s="300">
        <f t="shared" si="13"/>
        <v>447.10546714660325</v>
      </c>
      <c r="L55" s="46">
        <f t="shared" si="10"/>
        <v>919637.62703394995</v>
      </c>
      <c r="N55" s="302">
        <f t="shared" si="18"/>
        <v>0.16260435651919575</v>
      </c>
      <c r="P55" s="48">
        <f t="shared" si="11"/>
        <v>1.3141232498398299</v>
      </c>
      <c r="Q55" s="303">
        <f t="shared" si="19"/>
        <v>1.9495277286833229E-2</v>
      </c>
      <c r="R55" s="166"/>
      <c r="S55" s="46">
        <f t="shared" si="8"/>
        <v>647649.39419511403</v>
      </c>
      <c r="T55" s="88">
        <f t="shared" si="5"/>
        <v>1.4441437588434525E-2</v>
      </c>
      <c r="V55" s="302">
        <f t="shared" si="14"/>
        <v>0.2974</v>
      </c>
      <c r="W55" s="69">
        <f t="shared" si="3"/>
        <v>957609.14552496444</v>
      </c>
      <c r="X55" s="69">
        <f t="shared" si="4"/>
        <v>1638160.5212392011</v>
      </c>
    </row>
    <row r="56" spans="1:24">
      <c r="A56" s="57">
        <v>2033</v>
      </c>
      <c r="B56" s="313">
        <f t="shared" si="15"/>
        <v>22178.991991456169</v>
      </c>
      <c r="C56" s="302">
        <v>0.14628906210673001</v>
      </c>
      <c r="D56" s="313">
        <f t="shared" si="16"/>
        <v>1507.623077465551</v>
      </c>
      <c r="E56" s="302">
        <v>0.234284889206612</v>
      </c>
      <c r="F56" s="302">
        <f t="shared" si="12"/>
        <v>0.83442799999999995</v>
      </c>
      <c r="G56" s="46">
        <f t="shared" si="9"/>
        <v>20014.395006912338</v>
      </c>
      <c r="I56" s="304">
        <f t="shared" si="17"/>
        <v>2056.8695634679102</v>
      </c>
      <c r="J56" s="46">
        <f>(J$58-J$53)/5+J55</f>
        <v>5985.4000000000005</v>
      </c>
      <c r="K56" s="300">
        <f t="shared" si="13"/>
        <v>443.71143031024593</v>
      </c>
      <c r="L56" s="46">
        <f t="shared" si="10"/>
        <v>912656.53596795758</v>
      </c>
      <c r="N56" s="302">
        <f t="shared" si="18"/>
        <v>0.16260435651919575</v>
      </c>
      <c r="P56" s="48">
        <f t="shared" si="11"/>
        <v>1.3397424469845318</v>
      </c>
      <c r="Q56" s="303">
        <f t="shared" si="19"/>
        <v>1.9495277286833229E-2</v>
      </c>
      <c r="R56" s="166"/>
      <c r="S56" s="46">
        <f t="shared" si="8"/>
        <v>657012.70126918808</v>
      </c>
      <c r="T56" s="88">
        <f t="shared" si="5"/>
        <v>1.4457370234570499E-2</v>
      </c>
      <c r="V56" s="302">
        <f t="shared" si="14"/>
        <v>0.2974</v>
      </c>
      <c r="W56" s="69">
        <f t="shared" si="3"/>
        <v>936418.53518534463</v>
      </c>
      <c r="X56" s="69">
        <f t="shared" si="4"/>
        <v>1595812.2368792053</v>
      </c>
    </row>
    <row r="57" spans="1:24">
      <c r="A57" s="57">
        <v>2034</v>
      </c>
      <c r="B57" s="313">
        <f t="shared" si="15"/>
        <v>22383.638961295077</v>
      </c>
      <c r="C57" s="302">
        <v>0.147380309803853</v>
      </c>
      <c r="D57" s="313">
        <f t="shared" si="16"/>
        <v>1520.8246299018952</v>
      </c>
      <c r="E57" s="302">
        <v>0.235236676351402</v>
      </c>
      <c r="F57" s="302">
        <f t="shared" si="12"/>
        <v>0.83442799999999995</v>
      </c>
      <c r="G57" s="46">
        <f t="shared" si="9"/>
        <v>20198.359721097422</v>
      </c>
      <c r="I57" s="304">
        <f t="shared" si="17"/>
        <v>2056.8695634679102</v>
      </c>
      <c r="J57" s="46">
        <f>(J$58-J$53)/5+J56</f>
        <v>5939.2000000000007</v>
      </c>
      <c r="K57" s="300">
        <f t="shared" si="13"/>
        <v>440.31739347388856</v>
      </c>
      <c r="L57" s="46">
        <f t="shared" si="10"/>
        <v>905675.44490196521</v>
      </c>
      <c r="N57" s="302">
        <f t="shared" si="18"/>
        <v>0.16260435651919575</v>
      </c>
      <c r="P57" s="48">
        <f t="shared" si="11"/>
        <v>1.3658610974814358</v>
      </c>
      <c r="Q57" s="303">
        <f t="shared" si="19"/>
        <v>1.9495277286833229E-2</v>
      </c>
      <c r="R57" s="166"/>
      <c r="S57" s="46">
        <f t="shared" si="8"/>
        <v>666519.08257156145</v>
      </c>
      <c r="T57" s="88">
        <f t="shared" si="5"/>
        <v>1.4469098213793163E-2</v>
      </c>
      <c r="V57" s="302">
        <f t="shared" si="14"/>
        <v>0.2974</v>
      </c>
      <c r="W57" s="69">
        <f t="shared" si="3"/>
        <v>915646.91588030686</v>
      </c>
      <c r="X57" s="69">
        <f t="shared" si="4"/>
        <v>1554710.3350433318</v>
      </c>
    </row>
    <row r="58" spans="1:24">
      <c r="A58" s="57">
        <v>2035</v>
      </c>
      <c r="B58" s="313">
        <f t="shared" si="15"/>
        <v>22598.507393202257</v>
      </c>
      <c r="C58" s="302">
        <v>0.148479697696281</v>
      </c>
      <c r="D58" s="313">
        <f t="shared" si="16"/>
        <v>1534.3746335158417</v>
      </c>
      <c r="E58" s="302">
        <v>0.236219094965986</v>
      </c>
      <c r="F58" s="302">
        <f t="shared" si="12"/>
        <v>0.83442799999999995</v>
      </c>
      <c r="G58" s="46">
        <f t="shared" si="9"/>
        <v>20391.201960610815</v>
      </c>
      <c r="I58" s="304">
        <f t="shared" si="17"/>
        <v>2056.8695634679102</v>
      </c>
      <c r="J58" s="61">
        <v>5893</v>
      </c>
      <c r="K58" s="300">
        <f t="shared" si="13"/>
        <v>436.92335663753113</v>
      </c>
      <c r="L58" s="46">
        <f t="shared" si="10"/>
        <v>898694.35383597272</v>
      </c>
      <c r="N58" s="302">
        <f t="shared" si="18"/>
        <v>0.16260435651919575</v>
      </c>
      <c r="P58" s="48">
        <f t="shared" si="11"/>
        <v>1.3924889383121348</v>
      </c>
      <c r="Q58" s="303">
        <f t="shared" si="19"/>
        <v>1.9495277286833229E-2</v>
      </c>
      <c r="R58" s="166"/>
      <c r="S58" s="46">
        <f t="shared" si="8"/>
        <v>676168.12564295053</v>
      </c>
      <c r="T58" s="88">
        <f t="shared" si="5"/>
        <v>1.4476769418455548E-2</v>
      </c>
      <c r="V58" s="302">
        <f t="shared" si="14"/>
        <v>0.2974</v>
      </c>
      <c r="W58" s="69">
        <f t="shared" si="3"/>
        <v>895286.39985525201</v>
      </c>
      <c r="X58" s="69">
        <f t="shared" si="4"/>
        <v>1514774.7884157333</v>
      </c>
    </row>
    <row r="59" spans="1:24" hidden="1" outlineLevel="1">
      <c r="A59" s="57">
        <v>2036</v>
      </c>
      <c r="B59" s="313">
        <f t="shared" si="15"/>
        <v>22823.407396130551</v>
      </c>
      <c r="C59" s="302">
        <f>★図6!B57</f>
        <v>0.149587286506047</v>
      </c>
      <c r="D59" s="313">
        <f t="shared" si="16"/>
        <v>1548.2620914273546</v>
      </c>
      <c r="E59" s="302">
        <f>★図6!C57</f>
        <v>0.23722794019440699</v>
      </c>
      <c r="F59" s="302">
        <f t="shared" si="12"/>
        <v>0.83442799999999995</v>
      </c>
      <c r="G59" s="46">
        <f t="shared" si="9"/>
        <v>20592.752278165775</v>
      </c>
      <c r="I59" s="75">
        <f t="shared" si="17"/>
        <v>2056.8695634679102</v>
      </c>
      <c r="J59" s="46">
        <f>(J$63-J$58)/5+J58</f>
        <v>5843.2</v>
      </c>
      <c r="K59" s="300">
        <f t="shared" si="13"/>
        <v>433.26484939834074</v>
      </c>
      <c r="L59" s="46">
        <f t="shared" si="10"/>
        <v>891169.28164795495</v>
      </c>
      <c r="N59" s="302">
        <f t="shared" si="18"/>
        <v>0.16260435651919575</v>
      </c>
      <c r="P59" s="48">
        <f t="shared" si="11"/>
        <v>1.4196358962833779</v>
      </c>
      <c r="Q59" s="303">
        <f t="shared" si="19"/>
        <v>1.9495277286833229E-2</v>
      </c>
      <c r="R59" s="166"/>
      <c r="S59" s="46">
        <f t="shared" ref="S59:S63" si="20">P59*(G59^N59)*(L59^(1-N59))</f>
        <v>685608.95707740972</v>
      </c>
      <c r="T59" s="88">
        <f t="shared" si="5"/>
        <v>1.3962254469599866E-2</v>
      </c>
      <c r="V59" s="302">
        <f t="shared" si="14"/>
        <v>0.2974</v>
      </c>
      <c r="W59" s="69">
        <f t="shared" si="3"/>
        <v>874795.25908705138</v>
      </c>
      <c r="X59" s="69">
        <f t="shared" si="4"/>
        <v>1475035.9077720046</v>
      </c>
    </row>
    <row r="60" spans="1:24" hidden="1" outlineLevel="1">
      <c r="A60" s="57">
        <v>2037</v>
      </c>
      <c r="B60" s="313">
        <f t="shared" si="15"/>
        <v>23057.68558993944</v>
      </c>
      <c r="C60" s="302">
        <f>★図6!B58</f>
        <v>0.15070313740814401</v>
      </c>
      <c r="D60" s="313">
        <f t="shared" si="16"/>
        <v>1562.4430155748921</v>
      </c>
      <c r="E60" s="302">
        <f>★図6!C58</f>
        <v>0.238259584391458</v>
      </c>
      <c r="F60" s="302">
        <f t="shared" si="12"/>
        <v>0.83442799999999995</v>
      </c>
      <c r="G60" s="46">
        <f t="shared" si="9"/>
        <v>20802.421487016876</v>
      </c>
      <c r="I60" s="75">
        <f t="shared" si="17"/>
        <v>2056.8695634679102</v>
      </c>
      <c r="J60" s="46">
        <f>(J$63-J$58)/5+J59</f>
        <v>5793.4</v>
      </c>
      <c r="K60" s="300">
        <f t="shared" si="13"/>
        <v>429.6063421591503</v>
      </c>
      <c r="L60" s="46">
        <f t="shared" si="10"/>
        <v>883644.20945993718</v>
      </c>
      <c r="N60" s="302">
        <f t="shared" si="18"/>
        <v>0.16260435651919575</v>
      </c>
      <c r="P60" s="48">
        <f t="shared" si="11"/>
        <v>1.4473120917277644</v>
      </c>
      <c r="Q60" s="303">
        <f t="shared" si="19"/>
        <v>1.9495277286833229E-2</v>
      </c>
      <c r="R60" s="166"/>
      <c r="S60" s="46">
        <f t="shared" si="20"/>
        <v>695173.39188168687</v>
      </c>
      <c r="T60" s="88">
        <f t="shared" si="5"/>
        <v>1.3950276911562032E-2</v>
      </c>
      <c r="V60" s="302">
        <f t="shared" si="14"/>
        <v>0.2974</v>
      </c>
      <c r="W60" s="69">
        <f t="shared" si="3"/>
        <v>854715.50903235131</v>
      </c>
      <c r="X60" s="69">
        <f t="shared" si="4"/>
        <v>1436366.0518863623</v>
      </c>
    </row>
    <row r="61" spans="1:24" hidden="1" outlineLevel="1">
      <c r="A61" s="57">
        <v>2038</v>
      </c>
      <c r="B61" s="313">
        <f t="shared" si="15"/>
        <v>23301.183267771921</v>
      </c>
      <c r="C61" s="302">
        <f>★図6!B59</f>
        <v>0.15182731203389899</v>
      </c>
      <c r="D61" s="313">
        <f t="shared" si="16"/>
        <v>1576.9089570776976</v>
      </c>
      <c r="E61" s="302">
        <f>★図6!C59</f>
        <v>0.23931089788756399</v>
      </c>
      <c r="F61" s="302">
        <f t="shared" si="12"/>
        <v>0.83442799999999995</v>
      </c>
      <c r="G61" s="46">
        <f t="shared" si="9"/>
        <v>21020.068708838084</v>
      </c>
      <c r="I61" s="75">
        <f t="shared" si="17"/>
        <v>2056.8695634679102</v>
      </c>
      <c r="J61" s="46">
        <f>(J$63-J$58)/5+J60</f>
        <v>5743.5999999999995</v>
      </c>
      <c r="K61" s="300">
        <f t="shared" si="13"/>
        <v>425.94783491995992</v>
      </c>
      <c r="L61" s="46">
        <f t="shared" si="10"/>
        <v>876119.1372719194</v>
      </c>
      <c r="N61" s="302">
        <f t="shared" si="18"/>
        <v>0.16260435651919575</v>
      </c>
      <c r="P61" s="48">
        <f t="shared" si="11"/>
        <v>1.4755278422765838</v>
      </c>
      <c r="Q61" s="303">
        <f t="shared" si="19"/>
        <v>1.9495277286833229E-2</v>
      </c>
      <c r="R61" s="166"/>
      <c r="S61" s="46">
        <f t="shared" si="20"/>
        <v>704860.31100598711</v>
      </c>
      <c r="T61" s="88">
        <f t="shared" si="5"/>
        <v>1.3934536674483189E-2</v>
      </c>
      <c r="V61" s="302">
        <f t="shared" si="14"/>
        <v>0.2974</v>
      </c>
      <c r="W61" s="69">
        <f t="shared" si="3"/>
        <v>835039.34261801804</v>
      </c>
      <c r="X61" s="69">
        <f t="shared" si="4"/>
        <v>1398711.4432908625</v>
      </c>
    </row>
    <row r="62" spans="1:24" hidden="1" outlineLevel="1">
      <c r="A62" s="57">
        <v>2039</v>
      </c>
      <c r="B62" s="313">
        <f t="shared" si="15"/>
        <v>23553.754090309558</v>
      </c>
      <c r="C62" s="302">
        <f>★図6!B60</f>
        <v>0.152959872474381</v>
      </c>
      <c r="D62" s="313">
        <f t="shared" si="16"/>
        <v>1591.6520517776607</v>
      </c>
      <c r="E62" s="302">
        <f>★図6!C60</f>
        <v>0.24037918063046401</v>
      </c>
      <c r="F62" s="302">
        <f t="shared" si="12"/>
        <v>0.83442799999999995</v>
      </c>
      <c r="G62" s="46">
        <f t="shared" si="9"/>
        <v>21245.56396984648</v>
      </c>
      <c r="I62" s="75">
        <f t="shared" si="17"/>
        <v>2056.8695634679102</v>
      </c>
      <c r="J62" s="46">
        <f>(J$63-J$58)/5+J61</f>
        <v>5693.7999999999993</v>
      </c>
      <c r="K62" s="300">
        <f t="shared" si="13"/>
        <v>422.28932768076947</v>
      </c>
      <c r="L62" s="46">
        <f t="shared" si="10"/>
        <v>868594.06508390163</v>
      </c>
      <c r="N62" s="302">
        <f t="shared" si="18"/>
        <v>0.16260435651919575</v>
      </c>
      <c r="P62" s="48">
        <f t="shared" si="11"/>
        <v>1.5042936667062088</v>
      </c>
      <c r="Q62" s="303">
        <f t="shared" si="19"/>
        <v>1.9495277286833229E-2</v>
      </c>
      <c r="R62" s="166"/>
      <c r="S62" s="46">
        <f t="shared" si="20"/>
        <v>714668.53655841714</v>
      </c>
      <c r="T62" s="88">
        <f t="shared" si="5"/>
        <v>1.3915133820531889E-2</v>
      </c>
      <c r="V62" s="302">
        <f t="shared" si="14"/>
        <v>0.2974</v>
      </c>
      <c r="W62" s="69">
        <f t="shared" si="3"/>
        <v>815759.0978364246</v>
      </c>
      <c r="X62" s="69">
        <f t="shared" si="4"/>
        <v>1362024.7681740464</v>
      </c>
    </row>
    <row r="63" spans="1:24" hidden="1" outlineLevel="1">
      <c r="A63" s="57">
        <v>2040</v>
      </c>
      <c r="B63" s="313">
        <f t="shared" si="15"/>
        <v>23815.263002251966</v>
      </c>
      <c r="C63" s="302">
        <f>★図6!B61</f>
        <v>0.15410088128383101</v>
      </c>
      <c r="D63" s="313">
        <f t="shared" si="16"/>
        <v>1606.6649572099573</v>
      </c>
      <c r="E63" s="302">
        <f>★図6!C61</f>
        <v>0.24146210321060199</v>
      </c>
      <c r="F63" s="302">
        <f t="shared" si="12"/>
        <v>0.83442799999999995</v>
      </c>
      <c r="G63" s="46">
        <f t="shared" si="9"/>
        <v>21478.78723365306</v>
      </c>
      <c r="I63" s="75">
        <f t="shared" si="17"/>
        <v>2056.8695634679102</v>
      </c>
      <c r="J63" s="61">
        <v>5644</v>
      </c>
      <c r="K63" s="300">
        <f t="shared" si="13"/>
        <v>418.63082044157915</v>
      </c>
      <c r="L63" s="46">
        <f t="shared" si="10"/>
        <v>861068.99289588397</v>
      </c>
      <c r="N63" s="302">
        <f t="shared" si="18"/>
        <v>0.16260435651919575</v>
      </c>
      <c r="P63" s="48">
        <f t="shared" si="11"/>
        <v>1.5336202888594734</v>
      </c>
      <c r="Q63" s="303">
        <f t="shared" si="19"/>
        <v>1.9495277286833229E-2</v>
      </c>
      <c r="R63" s="166"/>
      <c r="S63" s="46">
        <f t="shared" si="20"/>
        <v>724596.82687175355</v>
      </c>
      <c r="T63" s="88">
        <f t="shared" si="5"/>
        <v>1.389216091860912E-2</v>
      </c>
      <c r="V63" s="302">
        <f t="shared" si="14"/>
        <v>0.2974</v>
      </c>
      <c r="W63" s="69">
        <f t="shared" si="3"/>
        <v>796867.25504791969</v>
      </c>
      <c r="X63" s="69">
        <f t="shared" si="4"/>
        <v>1326264.15912756</v>
      </c>
    </row>
    <row r="64" spans="1:24" collapsed="1">
      <c r="F64" s="72"/>
      <c r="Q64" s="45"/>
      <c r="W64" s="43"/>
      <c r="X64" s="43"/>
    </row>
    <row r="65" spans="1:24" s="57" customFormat="1" ht="107.4" customHeight="1">
      <c r="A65" s="57" t="s">
        <v>391</v>
      </c>
      <c r="B65" s="73" t="s">
        <v>662</v>
      </c>
      <c r="C65" s="74" t="s">
        <v>672</v>
      </c>
      <c r="D65" s="73" t="s">
        <v>662</v>
      </c>
      <c r="E65" s="74" t="s">
        <v>672</v>
      </c>
      <c r="F65" s="73" t="s">
        <v>114</v>
      </c>
      <c r="G65" s="73"/>
      <c r="H65" s="376"/>
      <c r="I65" s="57" t="s">
        <v>114</v>
      </c>
      <c r="J65" s="376" t="s">
        <v>674</v>
      </c>
      <c r="K65" s="73" t="s">
        <v>675</v>
      </c>
      <c r="L65" s="73"/>
      <c r="M65" s="376"/>
      <c r="N65" s="74" t="s">
        <v>392</v>
      </c>
      <c r="O65" s="376"/>
      <c r="P65" s="399"/>
      <c r="Q65" s="74" t="s">
        <v>396</v>
      </c>
      <c r="R65" s="376"/>
      <c r="S65" s="73" t="s">
        <v>663</v>
      </c>
      <c r="T65" s="376"/>
      <c r="U65" s="376"/>
      <c r="V65" s="376" t="s">
        <v>114</v>
      </c>
      <c r="W65" s="375" t="s">
        <v>124</v>
      </c>
      <c r="X65" s="375" t="s">
        <v>124</v>
      </c>
    </row>
  </sheetData>
  <mergeCells count="4">
    <mergeCell ref="B1:G1"/>
    <mergeCell ref="I1:L1"/>
    <mergeCell ref="P1:Q1"/>
    <mergeCell ref="S1:T1"/>
  </mergeCells>
  <phoneticPr fontId="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704A1-67A2-408D-BBB9-0544B6BDB63D}">
  <sheetPr>
    <pageSetUpPr fitToPage="1"/>
  </sheetPr>
  <dimension ref="A1:G31"/>
  <sheetViews>
    <sheetView view="pageBreakPreview" topLeftCell="A40" zoomScale="55" zoomScaleNormal="75" zoomScaleSheetLayoutView="55" workbookViewId="0">
      <selection activeCell="W5" sqref="W5"/>
    </sheetView>
  </sheetViews>
  <sheetFormatPr defaultColWidth="9" defaultRowHeight="18.45"/>
  <cols>
    <col min="1" max="1" width="7.23046875" style="126" bestFit="1" customWidth="1"/>
    <col min="2" max="3" width="30.4609375" style="34" bestFit="1" customWidth="1"/>
    <col min="4" max="5" width="34.69140625" style="34" bestFit="1" customWidth="1"/>
    <col min="6" max="6" width="14.765625" style="126" customWidth="1"/>
    <col min="7" max="14" width="9.3046875" style="126" customWidth="1"/>
    <col min="15" max="18" width="9" style="126"/>
    <col min="19" max="19" width="9" style="126" customWidth="1"/>
    <col min="20" max="16384" width="9" style="126"/>
  </cols>
  <sheetData>
    <row r="1" spans="1:7">
      <c r="A1" s="125" t="s">
        <v>151</v>
      </c>
      <c r="B1" s="34" t="s">
        <v>152</v>
      </c>
      <c r="C1" s="34" t="s">
        <v>153</v>
      </c>
      <c r="D1" s="34" t="s">
        <v>154</v>
      </c>
      <c r="E1" s="34" t="s">
        <v>155</v>
      </c>
      <c r="F1" s="126" t="s">
        <v>156</v>
      </c>
      <c r="G1" s="126" t="s">
        <v>157</v>
      </c>
    </row>
    <row r="2" spans="1:7" ht="19.3">
      <c r="A2" s="127">
        <v>2002</v>
      </c>
      <c r="B2" s="34">
        <v>486.54559999999998</v>
      </c>
      <c r="C2" s="34">
        <v>499.53347022587269</v>
      </c>
      <c r="D2" s="34">
        <v>486.54559999999998</v>
      </c>
      <c r="E2" s="34">
        <v>499.53347022587269</v>
      </c>
      <c r="F2" s="252">
        <f>D2</f>
        <v>486.54559999999998</v>
      </c>
      <c r="G2" s="252">
        <f>C2</f>
        <v>499.53347022587269</v>
      </c>
    </row>
    <row r="3" spans="1:7" ht="19.3">
      <c r="A3" s="127">
        <v>2003</v>
      </c>
      <c r="B3" s="34">
        <v>495.92520000000002</v>
      </c>
      <c r="C3" s="34">
        <v>505.01547861507129</v>
      </c>
      <c r="D3" s="34">
        <v>495.92520000000002</v>
      </c>
      <c r="E3" s="34">
        <v>505.01547861507129</v>
      </c>
      <c r="F3" s="252">
        <f t="shared" ref="F3:F22" si="0">D3</f>
        <v>495.92520000000002</v>
      </c>
      <c r="G3" s="252">
        <f t="shared" ref="G3:G22" si="1">C3</f>
        <v>505.01547861507129</v>
      </c>
    </row>
    <row r="4" spans="1:7" ht="19.3">
      <c r="A4" s="127">
        <v>2004</v>
      </c>
      <c r="B4" s="34">
        <v>504.26499999999999</v>
      </c>
      <c r="C4" s="34">
        <v>510.9067882472138</v>
      </c>
      <c r="D4" s="34">
        <v>504.26499999999999</v>
      </c>
      <c r="E4" s="34">
        <v>510.9067882472138</v>
      </c>
      <c r="F4" s="252">
        <f t="shared" si="0"/>
        <v>504.26499999999999</v>
      </c>
      <c r="G4" s="252">
        <f t="shared" si="1"/>
        <v>510.9067882472138</v>
      </c>
    </row>
    <row r="5" spans="1:7" ht="19.3">
      <c r="A5" s="127">
        <v>2005</v>
      </c>
      <c r="B5" s="34">
        <v>515.13760000000002</v>
      </c>
      <c r="C5" s="34">
        <v>515.13760000000002</v>
      </c>
      <c r="D5" s="34">
        <v>515.13760000000002</v>
      </c>
      <c r="E5" s="34">
        <v>515.13760000000002</v>
      </c>
      <c r="F5" s="252">
        <f t="shared" si="0"/>
        <v>515.13760000000002</v>
      </c>
      <c r="G5" s="252">
        <f t="shared" si="1"/>
        <v>515.13760000000002</v>
      </c>
    </row>
    <row r="6" spans="1:7" ht="19.3">
      <c r="A6" s="127">
        <v>2006</v>
      </c>
      <c r="B6" s="34">
        <v>521.7876</v>
      </c>
      <c r="C6" s="34">
        <v>518.16047666335658</v>
      </c>
      <c r="D6" s="34">
        <v>521.7876</v>
      </c>
      <c r="E6" s="34">
        <v>518.16047666335658</v>
      </c>
      <c r="F6" s="252">
        <f t="shared" si="0"/>
        <v>521.7876</v>
      </c>
      <c r="G6" s="252">
        <f t="shared" si="1"/>
        <v>518.16047666335658</v>
      </c>
    </row>
    <row r="7" spans="1:7" ht="19.3">
      <c r="A7" s="127">
        <v>2007</v>
      </c>
      <c r="B7" s="34">
        <v>527.27</v>
      </c>
      <c r="C7" s="34">
        <v>518.96653543307082</v>
      </c>
      <c r="D7" s="34">
        <v>527.27</v>
      </c>
      <c r="E7" s="34">
        <v>518.96653543307082</v>
      </c>
      <c r="F7" s="252">
        <f t="shared" si="0"/>
        <v>527.27</v>
      </c>
      <c r="G7" s="252">
        <f t="shared" si="1"/>
        <v>518.96653543307082</v>
      </c>
    </row>
    <row r="8" spans="1:7" ht="19.3">
      <c r="A8" s="127">
        <v>2008</v>
      </c>
      <c r="B8" s="34">
        <v>508.26190000000003</v>
      </c>
      <c r="C8" s="34">
        <v>517.57830957230146</v>
      </c>
      <c r="D8" s="34">
        <v>508.26190000000003</v>
      </c>
      <c r="E8" s="34">
        <v>517.57830957230146</v>
      </c>
      <c r="F8" s="252">
        <f t="shared" si="0"/>
        <v>508.26190000000003</v>
      </c>
      <c r="G8" s="252">
        <f t="shared" si="1"/>
        <v>517.57830957230146</v>
      </c>
    </row>
    <row r="9" spans="1:7" ht="19.3">
      <c r="A9" s="127">
        <v>2009</v>
      </c>
      <c r="B9" s="34">
        <v>495.8775</v>
      </c>
      <c r="C9" s="34">
        <v>517.61743215031322</v>
      </c>
      <c r="D9" s="34">
        <v>495.8775</v>
      </c>
      <c r="E9" s="34">
        <v>517.61743215031322</v>
      </c>
      <c r="F9" s="252">
        <f t="shared" si="0"/>
        <v>495.8775</v>
      </c>
      <c r="G9" s="252">
        <f t="shared" si="1"/>
        <v>517.61743215031322</v>
      </c>
    </row>
    <row r="10" spans="1:7" ht="19.3">
      <c r="A10" s="127">
        <v>2010</v>
      </c>
      <c r="B10" s="34">
        <v>512.06370000000004</v>
      </c>
      <c r="C10" s="34">
        <v>518.80820668693013</v>
      </c>
      <c r="D10" s="34">
        <v>512.06370000000004</v>
      </c>
      <c r="E10" s="34">
        <v>518.80820668693013</v>
      </c>
      <c r="F10" s="252">
        <f t="shared" si="0"/>
        <v>512.06370000000004</v>
      </c>
      <c r="G10" s="252">
        <f t="shared" si="1"/>
        <v>518.80820668693013</v>
      </c>
    </row>
    <row r="11" spans="1:7" ht="19.3">
      <c r="A11" s="127">
        <v>2011</v>
      </c>
      <c r="B11" s="34">
        <v>514.67989999999998</v>
      </c>
      <c r="C11" s="34">
        <v>521.98772819472617</v>
      </c>
      <c r="D11" s="34">
        <v>514.67989999999998</v>
      </c>
      <c r="E11" s="34">
        <v>521.98772819472617</v>
      </c>
      <c r="F11" s="252">
        <f t="shared" si="0"/>
        <v>514.67989999999998</v>
      </c>
      <c r="G11" s="252">
        <f t="shared" si="1"/>
        <v>521.98772819472617</v>
      </c>
    </row>
    <row r="12" spans="1:7" ht="19.3">
      <c r="A12" s="127">
        <v>2012</v>
      </c>
      <c r="B12" s="34">
        <v>517.92279999999994</v>
      </c>
      <c r="C12" s="34">
        <v>525.2766734279918</v>
      </c>
      <c r="D12" s="34">
        <v>517.92279999999994</v>
      </c>
      <c r="E12" s="34">
        <v>525.2766734279918</v>
      </c>
      <c r="F12" s="252">
        <f t="shared" si="0"/>
        <v>517.92279999999994</v>
      </c>
      <c r="G12" s="252">
        <f t="shared" si="1"/>
        <v>525.2766734279918</v>
      </c>
    </row>
    <row r="13" spans="1:7" ht="19.3">
      <c r="A13" s="127">
        <v>2013</v>
      </c>
      <c r="B13" s="34">
        <v>532.08040000000005</v>
      </c>
      <c r="C13" s="34">
        <v>529.96055776892433</v>
      </c>
      <c r="D13" s="34">
        <v>532.08040000000005</v>
      </c>
      <c r="E13" s="34">
        <v>529.96055776892433</v>
      </c>
      <c r="F13" s="252">
        <f t="shared" si="0"/>
        <v>532.08040000000005</v>
      </c>
      <c r="G13" s="252">
        <f t="shared" si="1"/>
        <v>529.96055776892433</v>
      </c>
    </row>
    <row r="14" spans="1:7" ht="19.3">
      <c r="A14" s="127">
        <v>2014</v>
      </c>
      <c r="B14" s="34">
        <v>530.19159999999999</v>
      </c>
      <c r="C14" s="34">
        <v>535.00665993945506</v>
      </c>
      <c r="D14" s="34">
        <v>530.19159999999999</v>
      </c>
      <c r="E14" s="34">
        <v>535.00665993945506</v>
      </c>
      <c r="F14" s="252">
        <f t="shared" si="0"/>
        <v>530.19159999999999</v>
      </c>
      <c r="G14" s="252">
        <f t="shared" si="1"/>
        <v>535.00665993945506</v>
      </c>
    </row>
    <row r="15" spans="1:7" ht="19.3">
      <c r="A15" s="127">
        <v>2015</v>
      </c>
      <c r="B15" s="34">
        <v>539.40930000000003</v>
      </c>
      <c r="C15" s="34">
        <v>539.94924924924931</v>
      </c>
      <c r="D15" s="34">
        <v>539.40930000000003</v>
      </c>
      <c r="E15" s="34">
        <v>539.94924924924931</v>
      </c>
      <c r="F15" s="252">
        <f t="shared" si="0"/>
        <v>539.40930000000003</v>
      </c>
      <c r="G15" s="252">
        <f t="shared" si="1"/>
        <v>539.94924924924931</v>
      </c>
    </row>
    <row r="16" spans="1:7" ht="19.3">
      <c r="A16" s="127">
        <v>2016</v>
      </c>
      <c r="B16" s="34">
        <v>543.46249999999998</v>
      </c>
      <c r="C16" s="34">
        <v>544.55160320641278</v>
      </c>
      <c r="D16" s="34">
        <v>543.46249999999998</v>
      </c>
      <c r="E16" s="34">
        <v>544.55160320641278</v>
      </c>
      <c r="F16" s="252">
        <f t="shared" si="0"/>
        <v>543.46249999999998</v>
      </c>
      <c r="G16" s="252">
        <f t="shared" si="1"/>
        <v>544.55160320641278</v>
      </c>
    </row>
    <row r="17" spans="1:7" ht="19.3">
      <c r="A17" s="127">
        <v>2017</v>
      </c>
      <c r="B17" s="34">
        <v>553.21480000000008</v>
      </c>
      <c r="C17" s="34">
        <v>548.82420634920641</v>
      </c>
      <c r="D17" s="34">
        <v>553.21480000000008</v>
      </c>
      <c r="E17" s="34">
        <v>548.82420634920641</v>
      </c>
      <c r="F17" s="252">
        <f t="shared" si="0"/>
        <v>553.21480000000008</v>
      </c>
      <c r="G17" s="252">
        <f t="shared" si="1"/>
        <v>548.82420634920641</v>
      </c>
    </row>
    <row r="18" spans="1:7" ht="19.3">
      <c r="A18" s="127">
        <v>2018</v>
      </c>
      <c r="B18" s="34">
        <v>554.25930000000005</v>
      </c>
      <c r="C18" s="34">
        <v>552.60149551345978</v>
      </c>
      <c r="D18" s="34">
        <v>554.25930000000005</v>
      </c>
      <c r="E18" s="34">
        <v>552.60149551345978</v>
      </c>
      <c r="F18" s="252">
        <f t="shared" si="0"/>
        <v>554.25930000000005</v>
      </c>
      <c r="G18" s="252">
        <f t="shared" si="1"/>
        <v>552.60149551345978</v>
      </c>
    </row>
    <row r="19" spans="1:7" ht="19.3">
      <c r="A19" s="127">
        <v>2019</v>
      </c>
      <c r="B19" s="34">
        <v>550.62819999999999</v>
      </c>
      <c r="C19" s="34">
        <v>555.62885973763878</v>
      </c>
      <c r="D19" s="34">
        <v>550.62819999999999</v>
      </c>
      <c r="E19" s="34">
        <v>555.62885973763878</v>
      </c>
      <c r="F19" s="252">
        <f t="shared" si="0"/>
        <v>550.62819999999999</v>
      </c>
      <c r="G19" s="252">
        <f t="shared" si="1"/>
        <v>555.62885973763878</v>
      </c>
    </row>
    <row r="20" spans="1:7" ht="19.3">
      <c r="A20" s="127">
        <v>2020</v>
      </c>
      <c r="B20" s="34">
        <v>525.65830000000005</v>
      </c>
      <c r="C20" s="34">
        <v>558.02367303609356</v>
      </c>
      <c r="D20" s="34">
        <v>525.65830000000005</v>
      </c>
      <c r="E20" s="34">
        <v>558.02367303609356</v>
      </c>
      <c r="F20" s="252">
        <f t="shared" si="0"/>
        <v>525.65830000000005</v>
      </c>
      <c r="G20" s="252">
        <f t="shared" si="1"/>
        <v>558.02367303609356</v>
      </c>
    </row>
    <row r="21" spans="1:7" ht="19.3">
      <c r="A21" s="127">
        <v>2021</v>
      </c>
      <c r="B21" s="34">
        <v>539.32541580000009</v>
      </c>
      <c r="C21" s="34">
        <v>561.37181507431012</v>
      </c>
      <c r="D21" s="34">
        <v>539.32541580000009</v>
      </c>
      <c r="E21" s="34">
        <v>561.37181507431012</v>
      </c>
      <c r="F21" s="252">
        <f t="shared" si="0"/>
        <v>539.32541580000009</v>
      </c>
      <c r="G21" s="252">
        <f t="shared" si="1"/>
        <v>561.37181507431012</v>
      </c>
    </row>
    <row r="22" spans="1:7" ht="19.3">
      <c r="A22" s="127">
        <v>2022</v>
      </c>
      <c r="B22" s="34">
        <v>556.5838291056001</v>
      </c>
      <c r="C22" s="34">
        <v>566.98553322505325</v>
      </c>
      <c r="D22" s="34">
        <v>556.5838291056001</v>
      </c>
      <c r="E22" s="34">
        <v>566.98553322505325</v>
      </c>
      <c r="F22" s="252">
        <f t="shared" si="0"/>
        <v>556.5838291056001</v>
      </c>
      <c r="G22" s="252">
        <f t="shared" si="1"/>
        <v>566.98553322505325</v>
      </c>
    </row>
    <row r="23" spans="1:7" ht="19.3">
      <c r="A23" s="127">
        <v>2023</v>
      </c>
      <c r="B23" s="34">
        <v>568.27208951681769</v>
      </c>
      <c r="C23" s="34">
        <v>573.78935962375385</v>
      </c>
      <c r="D23" s="34">
        <v>563.81941888397284</v>
      </c>
      <c r="E23" s="34">
        <v>572.65538855730381</v>
      </c>
      <c r="F23" s="34"/>
      <c r="G23" s="34"/>
    </row>
    <row r="24" spans="1:7" ht="19.3">
      <c r="A24" s="127">
        <v>2024</v>
      </c>
      <c r="B24" s="34">
        <v>583.04716384425501</v>
      </c>
      <c r="C24" s="34">
        <v>582.39620001811011</v>
      </c>
      <c r="D24" s="34">
        <v>574.53198784276833</v>
      </c>
      <c r="E24" s="34">
        <v>578.38194244287683</v>
      </c>
      <c r="F24" s="34"/>
      <c r="G24" s="34"/>
    </row>
    <row r="25" spans="1:7" ht="19.3">
      <c r="A25" s="127">
        <v>2025</v>
      </c>
      <c r="B25" s="34">
        <v>594.12505995729578</v>
      </c>
      <c r="C25" s="34">
        <v>593.46172781845416</v>
      </c>
      <c r="D25" s="34">
        <v>583.72449964825262</v>
      </c>
      <c r="E25" s="34">
        <v>583.58737992486272</v>
      </c>
      <c r="F25" s="34"/>
      <c r="G25" s="34"/>
    </row>
    <row r="26" spans="1:7" ht="19.3">
      <c r="A26" s="127">
        <v>2026</v>
      </c>
      <c r="B26" s="34">
        <v>606.00756115644174</v>
      </c>
      <c r="C26" s="34">
        <v>605.33096237482323</v>
      </c>
      <c r="D26" s="34">
        <v>589.5617446447352</v>
      </c>
      <c r="E26" s="34">
        <v>588.83966634418641</v>
      </c>
      <c r="F26" s="34"/>
      <c r="G26" s="34"/>
    </row>
    <row r="27" spans="1:7" ht="19.3">
      <c r="A27" s="127">
        <v>2027</v>
      </c>
      <c r="B27" s="34">
        <v>617.52170481841404</v>
      </c>
      <c r="C27" s="34">
        <v>616.83225065994486</v>
      </c>
      <c r="D27" s="34">
        <v>594.86780034653771</v>
      </c>
      <c r="E27" s="34">
        <v>594.13922334128404</v>
      </c>
      <c r="F27" s="34"/>
      <c r="G27" s="34"/>
    </row>
    <row r="28" spans="1:7" ht="19.3">
      <c r="A28" s="127">
        <v>2028</v>
      </c>
      <c r="B28" s="34">
        <v>629.25461720996384</v>
      </c>
      <c r="C28" s="34">
        <v>628.5520634224838</v>
      </c>
      <c r="D28" s="34">
        <v>600.22161054965648</v>
      </c>
      <c r="E28" s="34">
        <v>599.48647635135558</v>
      </c>
      <c r="F28" s="34"/>
      <c r="G28" s="34"/>
    </row>
    <row r="29" spans="1:7" ht="19.3">
      <c r="A29" s="127">
        <v>2029</v>
      </c>
      <c r="B29" s="34">
        <v>640.58120031974317</v>
      </c>
      <c r="C29" s="34">
        <v>639.86600056408849</v>
      </c>
      <c r="D29" s="34">
        <v>605.0233834340537</v>
      </c>
      <c r="E29" s="34">
        <v>604.28236816216645</v>
      </c>
      <c r="F29" s="34"/>
      <c r="G29" s="34"/>
    </row>
    <row r="30" spans="1:7" ht="19.3">
      <c r="A30" s="127">
        <v>2030</v>
      </c>
      <c r="B30" s="34">
        <v>652.11166192549854</v>
      </c>
      <c r="C30" s="34">
        <v>651.38358857424214</v>
      </c>
      <c r="D30" s="34">
        <v>609.86357050152617</v>
      </c>
      <c r="E30" s="34">
        <v>609.11662710746384</v>
      </c>
      <c r="F30" s="34"/>
      <c r="G30" s="34"/>
    </row>
    <row r="31" spans="1:7" ht="19.3">
      <c r="A31" s="127">
        <v>2031</v>
      </c>
      <c r="B31" s="34">
        <v>663.19756017823192</v>
      </c>
      <c r="C31" s="34">
        <v>662.45710958000416</v>
      </c>
      <c r="D31" s="34">
        <v>614.74247906553842</v>
      </c>
      <c r="E31" s="34">
        <v>613.98956012432359</v>
      </c>
      <c r="F31" s="34"/>
      <c r="G31" s="34"/>
    </row>
  </sheetData>
  <phoneticPr fontId="1"/>
  <pageMargins left="0.7" right="0.7" top="0.75" bottom="0.75" header="0.3" footer="0.3"/>
  <pageSetup paperSize="9" scale="37"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E547F-725E-48BF-BEA5-E355D81E4CDB}">
  <dimension ref="A1:FV68"/>
  <sheetViews>
    <sheetView topLeftCell="FI2" zoomScaleNormal="100" workbookViewId="0">
      <selection activeCell="FV68" sqref="FV68"/>
    </sheetView>
  </sheetViews>
  <sheetFormatPr defaultColWidth="8.84375" defaultRowHeight="18.45" outlineLevelRow="1" outlineLevelCol="1"/>
  <cols>
    <col min="1" max="1" width="6.3046875" style="24" customWidth="1" outlineLevel="1"/>
    <col min="2" max="3" width="10.07421875" style="37" customWidth="1" outlineLevel="1"/>
    <col min="4" max="5" width="12.3046875" style="37" customWidth="1" outlineLevel="1"/>
    <col min="6" max="7" width="10.07421875" style="37" customWidth="1" outlineLevel="1"/>
    <col min="8" max="8" width="8.84375" style="37" customWidth="1" outlineLevel="1"/>
    <col min="9" max="9" width="6.3046875" style="24" customWidth="1" outlineLevel="1" collapsed="1"/>
    <col min="10" max="11" width="10.07421875" style="37" customWidth="1" outlineLevel="1"/>
    <col min="12" max="13" width="12.3046875" style="37" customWidth="1" outlineLevel="1"/>
    <col min="14" max="15" width="10.07421875" style="37" customWidth="1" outlineLevel="1"/>
    <col min="16" max="16" width="8.84375" style="37" customWidth="1" outlineLevel="1"/>
    <col min="17" max="17" width="6.3046875" style="24" customWidth="1" outlineLevel="1" collapsed="1"/>
    <col min="18" max="19" width="10.07421875" style="37" customWidth="1" outlineLevel="1"/>
    <col min="20" max="21" width="12.3046875" style="37" customWidth="1" outlineLevel="1"/>
    <col min="22" max="23" width="10.07421875" style="37" customWidth="1" outlineLevel="1"/>
    <col min="24" max="24" width="8.84375" style="37" customWidth="1" outlineLevel="1"/>
    <col min="25" max="25" width="6.3046875" style="24" customWidth="1"/>
    <col min="26" max="27" width="10.07421875" style="37" customWidth="1"/>
    <col min="28" max="29" width="12.3046875" style="37" customWidth="1"/>
    <col min="30" max="31" width="10.07421875" style="37" customWidth="1"/>
    <col min="32" max="32" width="8.84375" style="24" customWidth="1"/>
    <col min="33" max="33" width="6.3046875" style="24" customWidth="1" outlineLevel="1" collapsed="1"/>
    <col min="34" max="35" width="10.07421875" style="37" customWidth="1" outlineLevel="1"/>
    <col min="36" max="37" width="12.3046875" style="37" customWidth="1" outlineLevel="1"/>
    <col min="38" max="39" width="10.07421875" style="37" customWidth="1" outlineLevel="1"/>
    <col min="40" max="40" width="8.84375" style="37" customWidth="1" outlineLevel="1"/>
    <col min="41" max="41" width="6.3046875" style="24" customWidth="1" outlineLevel="1" collapsed="1"/>
    <col min="42" max="42" width="11.84375" style="37" customWidth="1" outlineLevel="1"/>
    <col min="43" max="43" width="12.3046875" style="37" customWidth="1" outlineLevel="1"/>
    <col min="44" max="44" width="8.84375" style="43" customWidth="1" outlineLevel="1"/>
    <col min="45" max="45" width="6.3046875" style="24" customWidth="1" outlineLevel="1"/>
    <col min="46" max="47" width="10.07421875" style="37" customWidth="1" outlineLevel="1"/>
    <col min="48" max="49" width="12.3046875" style="37" customWidth="1" outlineLevel="1"/>
    <col min="50" max="51" width="10.07421875" style="37" customWidth="1" outlineLevel="1"/>
    <col min="52" max="52" width="8.84375" style="24" customWidth="1" outlineLevel="1"/>
    <col min="53" max="53" width="6.3046875" style="24" customWidth="1" outlineLevel="1"/>
    <col min="54" max="55" width="10.07421875" style="37" customWidth="1" outlineLevel="1"/>
    <col min="56" max="57" width="12.3046875" style="37" customWidth="1" outlineLevel="1"/>
    <col min="58" max="59" width="10.07421875" style="37" customWidth="1" outlineLevel="1"/>
    <col min="60" max="60" width="8.84375" style="37" customWidth="1" outlineLevel="1"/>
    <col min="61" max="61" width="6.3046875" style="24" customWidth="1" outlineLevel="1"/>
    <col min="62" max="63" width="10.07421875" style="37" customWidth="1" outlineLevel="1"/>
    <col min="64" max="65" width="12.3046875" style="37" customWidth="1" outlineLevel="1"/>
    <col min="66" max="67" width="10.07421875" style="37" customWidth="1" outlineLevel="1"/>
    <col min="68" max="68" width="8.84375" style="37" customWidth="1" outlineLevel="1"/>
    <col min="69" max="69" width="6.3046875" style="24" customWidth="1" outlineLevel="1" collapsed="1"/>
    <col min="70" max="71" width="10.07421875" style="37" customWidth="1" outlineLevel="1"/>
    <col min="72" max="73" width="12.3046875" style="37" customWidth="1" outlineLevel="1"/>
    <col min="74" max="75" width="10.07421875" style="37" customWidth="1" outlineLevel="1"/>
    <col min="76" max="76" width="8.84375" style="37" customWidth="1" outlineLevel="1"/>
    <col min="77" max="77" width="6.3046875" style="24" bestFit="1" customWidth="1"/>
    <col min="78" max="79" width="10.07421875" style="37" bestFit="1" customWidth="1"/>
    <col min="80" max="81" width="12.3046875" style="37" bestFit="1" customWidth="1"/>
    <col min="82" max="83" width="10.07421875" style="37" bestFit="1" customWidth="1"/>
    <col min="84" max="84" width="8.84375" style="24" customWidth="1"/>
    <col min="85" max="85" width="6.3046875" style="24" customWidth="1" outlineLevel="1" collapsed="1"/>
    <col min="86" max="87" width="10.07421875" style="37" customWidth="1" outlineLevel="1"/>
    <col min="88" max="89" width="12.3046875" style="37" customWidth="1" outlineLevel="1"/>
    <col min="90" max="91" width="10.07421875" style="37" customWidth="1" outlineLevel="1"/>
    <col min="92" max="92" width="8.84375" style="37" customWidth="1" outlineLevel="1"/>
    <col min="93" max="93" width="6.3046875" style="24" customWidth="1"/>
    <col min="94" max="94" width="11.84375" style="37" customWidth="1"/>
    <col min="95" max="95" width="12.3046875" style="37" bestFit="1" customWidth="1"/>
    <col min="96" max="96" width="8.84375" style="43" customWidth="1"/>
    <col min="97" max="97" width="6.3046875" style="24" customWidth="1"/>
    <col min="98" max="99" width="10.07421875" style="37" customWidth="1"/>
    <col min="100" max="101" width="12.3046875" style="37" customWidth="1"/>
    <col min="102" max="103" width="10.07421875" style="37" customWidth="1"/>
    <col min="104" max="104" width="8.84375" style="24"/>
    <col min="105" max="105" width="6.3046875" style="24" customWidth="1" outlineLevel="1"/>
    <col min="106" max="107" width="10.07421875" style="24" customWidth="1" outlineLevel="1"/>
    <col min="108" max="109" width="12.3046875" style="24" customWidth="1" outlineLevel="1"/>
    <col min="110" max="111" width="10.07421875" style="24" customWidth="1" outlineLevel="1"/>
    <col min="112" max="112" width="8.84375" style="24" customWidth="1" outlineLevel="1"/>
    <col min="113" max="113" width="6.3046875" style="24" bestFit="1" customWidth="1"/>
    <col min="114" max="115" width="10.07421875" style="24" bestFit="1" customWidth="1"/>
    <col min="116" max="117" width="12.3046875" style="24" bestFit="1" customWidth="1"/>
    <col min="118" max="119" width="10.07421875" style="24" bestFit="1" customWidth="1"/>
    <col min="120" max="120" width="8.84375" style="24"/>
    <col min="121" max="121" width="6.3046875" style="24" bestFit="1" customWidth="1"/>
    <col min="122" max="122" width="9" style="24" bestFit="1" customWidth="1"/>
    <col min="123" max="123" width="12.3046875" style="24" bestFit="1" customWidth="1"/>
    <col min="124" max="124" width="19.69140625" style="24" bestFit="1" customWidth="1"/>
    <col min="125" max="125" width="12.3046875" style="24" bestFit="1" customWidth="1"/>
    <col min="126" max="126" width="15" style="24" customWidth="1"/>
    <col min="127" max="127" width="12.3046875" style="24" bestFit="1" customWidth="1"/>
    <col min="128" max="128" width="12.3046875" style="24" customWidth="1"/>
    <col min="129" max="129" width="12.3046875" style="24" bestFit="1" customWidth="1"/>
    <col min="130" max="130" width="12.3046875" style="24" customWidth="1"/>
    <col min="131" max="131" width="8.84375" style="24"/>
    <col min="132" max="132" width="6.3046875" style="24" bestFit="1" customWidth="1"/>
    <col min="133" max="134" width="10.07421875" style="38" bestFit="1" customWidth="1"/>
    <col min="135" max="136" width="12.3046875" style="38" bestFit="1" customWidth="1"/>
    <col min="137" max="138" width="10.07421875" style="38" bestFit="1" customWidth="1"/>
    <col min="139" max="139" width="8.84375" style="38" customWidth="1"/>
    <col min="140" max="140" width="6.3046875" style="24" bestFit="1" customWidth="1"/>
    <col min="141" max="142" width="10.07421875" style="38" bestFit="1" customWidth="1"/>
    <col min="143" max="144" width="12.3046875" style="38" bestFit="1" customWidth="1"/>
    <col min="145" max="146" width="10.07421875" style="38" bestFit="1" customWidth="1"/>
    <col min="147" max="147" width="8.84375" style="38" customWidth="1"/>
    <col min="148" max="148" width="6.3046875" style="24" bestFit="1" customWidth="1"/>
    <col min="149" max="149" width="10.4609375" style="24" bestFit="1" customWidth="1"/>
    <col min="150" max="150" width="10.69140625" style="24" bestFit="1" customWidth="1"/>
    <col min="151" max="151" width="11.07421875" style="24" bestFit="1" customWidth="1"/>
    <col min="152" max="152" width="10.69140625" style="24" bestFit="1" customWidth="1"/>
    <col min="153" max="155" width="10.69140625" style="24" customWidth="1"/>
    <col min="156" max="158" width="12.3046875" style="24" bestFit="1" customWidth="1"/>
    <col min="159" max="159" width="10" style="24" bestFit="1" customWidth="1"/>
    <col min="160" max="160" width="6.3046875" style="24" bestFit="1" customWidth="1"/>
    <col min="161" max="161" width="14.4609375" style="24" bestFit="1" customWidth="1"/>
    <col min="162" max="162" width="14.4609375" style="24" customWidth="1"/>
    <col min="163" max="163" width="12.3046875" style="90" bestFit="1" customWidth="1"/>
    <col min="164" max="164" width="12.3046875" style="90" customWidth="1"/>
    <col min="165" max="165" width="15.4609375" style="24" customWidth="1"/>
    <col min="166" max="166" width="8.84375" style="24"/>
    <col min="167" max="167" width="19.3046875" style="90" customWidth="1" outlineLevel="1"/>
    <col min="168" max="168" width="16.84375" style="90" customWidth="1" outlineLevel="1"/>
    <col min="169" max="169" width="28.84375" style="90" customWidth="1" outlineLevel="1"/>
    <col min="170" max="170" width="8.84375" style="24" customWidth="1" outlineLevel="1"/>
    <col min="171" max="171" width="6.3046875" style="24" bestFit="1" customWidth="1"/>
    <col min="172" max="173" width="10.07421875" style="37" bestFit="1" customWidth="1"/>
    <col min="174" max="175" width="12.3046875" style="37" bestFit="1" customWidth="1"/>
    <col min="176" max="177" width="10.07421875" style="37" bestFit="1" customWidth="1"/>
    <col min="178" max="178" width="10.4609375" style="24" bestFit="1" customWidth="1"/>
    <col min="179" max="16384" width="8.84375" style="24"/>
  </cols>
  <sheetData>
    <row r="1" spans="1:178" hidden="1" outlineLevel="1">
      <c r="CP1" s="37" t="s">
        <v>428</v>
      </c>
      <c r="CT1" s="37" t="s">
        <v>429</v>
      </c>
      <c r="CU1" s="37" t="s">
        <v>430</v>
      </c>
      <c r="CV1" s="37" t="s">
        <v>431</v>
      </c>
      <c r="CW1" s="37" t="s">
        <v>432</v>
      </c>
      <c r="CX1" s="37" t="s">
        <v>433</v>
      </c>
      <c r="CY1" s="37" t="s">
        <v>586</v>
      </c>
      <c r="EC1" s="38" t="s">
        <v>428</v>
      </c>
      <c r="ED1" s="38" t="s">
        <v>429</v>
      </c>
      <c r="EE1" s="38" t="s">
        <v>430</v>
      </c>
      <c r="EF1" s="38" t="s">
        <v>431</v>
      </c>
      <c r="EG1" s="38" t="s">
        <v>432</v>
      </c>
      <c r="EH1" s="38" t="s">
        <v>433</v>
      </c>
      <c r="EK1" s="38" t="s">
        <v>440</v>
      </c>
      <c r="EL1" s="38" t="s">
        <v>441</v>
      </c>
      <c r="EM1" s="38" t="s">
        <v>442</v>
      </c>
      <c r="EN1" s="38" t="s">
        <v>443</v>
      </c>
      <c r="EO1" s="38" t="s">
        <v>444</v>
      </c>
      <c r="EP1" s="38" t="s">
        <v>445</v>
      </c>
      <c r="EW1" s="24" t="s">
        <v>452</v>
      </c>
      <c r="EX1" s="24" t="s">
        <v>453</v>
      </c>
      <c r="EY1" s="24" t="s">
        <v>454</v>
      </c>
      <c r="FE1" s="24" t="s">
        <v>455</v>
      </c>
      <c r="FG1" s="90" t="s">
        <v>456</v>
      </c>
      <c r="FI1" s="24" t="s">
        <v>457</v>
      </c>
      <c r="FK1" s="90" t="s">
        <v>458</v>
      </c>
      <c r="FL1" s="90" t="s">
        <v>459</v>
      </c>
      <c r="FM1" s="90" t="s">
        <v>460</v>
      </c>
    </row>
    <row r="2" spans="1:178" collapsed="1">
      <c r="Z2" s="416" t="s">
        <v>701</v>
      </c>
      <c r="AA2" s="416"/>
      <c r="AB2" s="416"/>
      <c r="AC2" s="416"/>
      <c r="AD2" s="416"/>
      <c r="AE2" s="416"/>
      <c r="AP2" s="456" t="s">
        <v>698</v>
      </c>
      <c r="AQ2" s="456"/>
      <c r="AR2" s="57"/>
      <c r="BZ2" s="416" t="s">
        <v>702</v>
      </c>
      <c r="CA2" s="416"/>
      <c r="CB2" s="416"/>
      <c r="CC2" s="416"/>
      <c r="CD2" s="416"/>
      <c r="CE2" s="416"/>
      <c r="CP2" s="456" t="s">
        <v>698</v>
      </c>
      <c r="CQ2" s="456"/>
      <c r="CR2" s="57"/>
      <c r="CT2" s="416" t="s">
        <v>708</v>
      </c>
      <c r="CU2" s="416"/>
      <c r="CV2" s="416"/>
      <c r="CW2" s="416"/>
      <c r="CX2" s="416"/>
      <c r="CY2" s="416"/>
      <c r="DJ2" s="416" t="s">
        <v>703</v>
      </c>
      <c r="DK2" s="416"/>
      <c r="DL2" s="416"/>
      <c r="DM2" s="416"/>
      <c r="DN2" s="416"/>
      <c r="DO2" s="416"/>
      <c r="DR2" s="456" t="s">
        <v>698</v>
      </c>
      <c r="DS2" s="456"/>
      <c r="DT2" s="456"/>
      <c r="DU2" s="456"/>
      <c r="DV2" s="456"/>
      <c r="DW2" s="456"/>
      <c r="DX2" s="456"/>
      <c r="DY2" s="456"/>
      <c r="DZ2" s="456"/>
      <c r="EC2" s="408" t="s">
        <v>704</v>
      </c>
      <c r="ED2" s="408"/>
      <c r="EE2" s="408"/>
      <c r="EF2" s="408"/>
      <c r="EG2" s="408"/>
      <c r="EH2" s="408"/>
      <c r="EK2" s="408" t="s">
        <v>704</v>
      </c>
      <c r="EL2" s="408"/>
      <c r="EM2" s="408"/>
      <c r="EN2" s="408"/>
      <c r="EO2" s="408"/>
      <c r="EP2" s="408"/>
      <c r="ES2" s="425" t="s">
        <v>705</v>
      </c>
      <c r="ET2" s="425"/>
      <c r="EU2" s="425"/>
      <c r="EV2" s="425"/>
      <c r="EW2" s="425"/>
      <c r="EX2" s="425"/>
      <c r="EY2" s="425"/>
      <c r="EZ2" s="425"/>
      <c r="FA2" s="425"/>
      <c r="FB2" s="425"/>
      <c r="FE2" s="456" t="s">
        <v>706</v>
      </c>
      <c r="FF2" s="456"/>
      <c r="FG2" s="456"/>
      <c r="FH2" s="456"/>
      <c r="FI2" s="456"/>
      <c r="FP2" s="416" t="s">
        <v>707</v>
      </c>
      <c r="FQ2" s="416"/>
      <c r="FR2" s="416"/>
      <c r="FS2" s="416"/>
      <c r="FT2" s="416"/>
      <c r="FU2" s="416"/>
      <c r="FV2" s="416"/>
    </row>
    <row r="3" spans="1:178" ht="35.4" customHeight="1">
      <c r="A3" s="316"/>
      <c r="B3" s="431" t="s">
        <v>463</v>
      </c>
      <c r="C3" s="431"/>
      <c r="D3" s="431"/>
      <c r="E3" s="431"/>
      <c r="F3" s="431"/>
      <c r="G3" s="431"/>
      <c r="I3" s="316"/>
      <c r="J3" s="431" t="s">
        <v>464</v>
      </c>
      <c r="K3" s="431"/>
      <c r="L3" s="431"/>
      <c r="M3" s="431"/>
      <c r="N3" s="431"/>
      <c r="O3" s="431"/>
      <c r="P3" s="87"/>
      <c r="Q3" s="316"/>
      <c r="R3" s="431" t="s">
        <v>465</v>
      </c>
      <c r="S3" s="431"/>
      <c r="T3" s="431"/>
      <c r="U3" s="431"/>
      <c r="V3" s="431"/>
      <c r="W3" s="431"/>
      <c r="Y3" s="316"/>
      <c r="Z3" s="431" t="s">
        <v>466</v>
      </c>
      <c r="AA3" s="431"/>
      <c r="AB3" s="431"/>
      <c r="AC3" s="431"/>
      <c r="AD3" s="431"/>
      <c r="AE3" s="431"/>
      <c r="AG3" s="316"/>
      <c r="AH3" s="431" t="s">
        <v>467</v>
      </c>
      <c r="AI3" s="431"/>
      <c r="AJ3" s="431"/>
      <c r="AK3" s="431"/>
      <c r="AL3" s="431"/>
      <c r="AM3" s="431"/>
      <c r="AN3" s="87"/>
      <c r="AO3" s="316"/>
      <c r="AP3" s="87"/>
      <c r="AQ3" s="87"/>
      <c r="AR3" s="72"/>
      <c r="AS3" s="316"/>
      <c r="AT3" s="431" t="s">
        <v>588</v>
      </c>
      <c r="AU3" s="431"/>
      <c r="AV3" s="431"/>
      <c r="AW3" s="431"/>
      <c r="AX3" s="431"/>
      <c r="AY3" s="431"/>
      <c r="BA3" s="316"/>
      <c r="BB3" s="431" t="s">
        <v>469</v>
      </c>
      <c r="BC3" s="431"/>
      <c r="BD3" s="431"/>
      <c r="BE3" s="431"/>
      <c r="BF3" s="431"/>
      <c r="BG3" s="431"/>
      <c r="BI3" s="316"/>
      <c r="BJ3" s="431" t="s">
        <v>470</v>
      </c>
      <c r="BK3" s="431"/>
      <c r="BL3" s="431"/>
      <c r="BM3" s="431"/>
      <c r="BN3" s="431"/>
      <c r="BO3" s="431"/>
      <c r="BP3" s="87"/>
      <c r="BQ3" s="316"/>
      <c r="BR3" s="431" t="s">
        <v>471</v>
      </c>
      <c r="BS3" s="431"/>
      <c r="BT3" s="431"/>
      <c r="BU3" s="431"/>
      <c r="BV3" s="431"/>
      <c r="BW3" s="431"/>
      <c r="BY3" s="316"/>
      <c r="BZ3" s="431" t="s">
        <v>472</v>
      </c>
      <c r="CA3" s="431"/>
      <c r="CB3" s="431"/>
      <c r="CC3" s="431"/>
      <c r="CD3" s="431"/>
      <c r="CE3" s="431"/>
      <c r="CG3" s="316"/>
      <c r="CH3" s="431" t="s">
        <v>473</v>
      </c>
      <c r="CI3" s="431"/>
      <c r="CJ3" s="431"/>
      <c r="CK3" s="431"/>
      <c r="CL3" s="431"/>
      <c r="CM3" s="431"/>
      <c r="CN3" s="87"/>
      <c r="CO3" s="316"/>
      <c r="CP3" s="87"/>
      <c r="CQ3" s="87"/>
      <c r="CR3" s="72"/>
      <c r="CS3" s="316"/>
      <c r="CT3" s="431" t="s">
        <v>589</v>
      </c>
      <c r="CU3" s="431"/>
      <c r="CV3" s="431"/>
      <c r="CW3" s="431"/>
      <c r="CX3" s="431"/>
      <c r="CY3" s="431"/>
      <c r="DA3" s="316"/>
      <c r="DB3" s="431" t="s">
        <v>476</v>
      </c>
      <c r="DC3" s="431"/>
      <c r="DD3" s="431"/>
      <c r="DE3" s="431"/>
      <c r="DF3" s="431"/>
      <c r="DG3" s="431"/>
      <c r="DI3" s="316"/>
      <c r="DJ3" s="431" t="s">
        <v>478</v>
      </c>
      <c r="DK3" s="431"/>
      <c r="DL3" s="431"/>
      <c r="DM3" s="431"/>
      <c r="DN3" s="431"/>
      <c r="DO3" s="431"/>
      <c r="DQ3" s="316"/>
      <c r="DR3" s="432" t="s">
        <v>479</v>
      </c>
      <c r="DS3" s="432"/>
      <c r="DT3" s="432"/>
      <c r="DU3" s="432"/>
      <c r="DV3" s="432"/>
      <c r="DW3" s="432"/>
      <c r="DX3" s="432"/>
      <c r="DY3" s="432"/>
      <c r="DZ3" s="57"/>
      <c r="EB3" s="316"/>
      <c r="EC3" s="417" t="s">
        <v>480</v>
      </c>
      <c r="ED3" s="417"/>
      <c r="EE3" s="417"/>
      <c r="EF3" s="417"/>
      <c r="EG3" s="417"/>
      <c r="EH3" s="417"/>
      <c r="EJ3" s="316"/>
      <c r="EK3" s="417" t="s">
        <v>482</v>
      </c>
      <c r="EL3" s="417"/>
      <c r="EM3" s="417"/>
      <c r="EN3" s="417"/>
      <c r="EO3" s="417"/>
      <c r="EP3" s="417"/>
      <c r="ER3" s="316"/>
      <c r="ES3" s="432" t="s">
        <v>484</v>
      </c>
      <c r="ET3" s="432"/>
      <c r="EU3" s="432"/>
      <c r="EV3" s="432"/>
      <c r="EW3" s="432"/>
      <c r="EX3" s="432"/>
      <c r="EY3" s="432"/>
      <c r="EZ3" s="432"/>
      <c r="FA3" s="432"/>
      <c r="FB3" s="432"/>
      <c r="FD3" s="316"/>
      <c r="FE3" s="24" t="s">
        <v>485</v>
      </c>
      <c r="FG3" s="90" t="s">
        <v>486</v>
      </c>
      <c r="FK3" s="454" t="s">
        <v>487</v>
      </c>
      <c r="FL3" s="454"/>
      <c r="FM3" s="96" t="s">
        <v>488</v>
      </c>
      <c r="FO3" s="316"/>
      <c r="FP3" s="432" t="s">
        <v>590</v>
      </c>
      <c r="FQ3" s="432"/>
      <c r="FR3" s="432"/>
      <c r="FS3" s="432"/>
      <c r="FT3" s="432"/>
      <c r="FU3" s="432"/>
      <c r="FV3" s="432"/>
    </row>
    <row r="4" spans="1:178" ht="55.3">
      <c r="A4" s="316"/>
      <c r="B4" s="37" t="s">
        <v>489</v>
      </c>
      <c r="C4" s="37" t="s">
        <v>490</v>
      </c>
      <c r="D4" s="37" t="s">
        <v>177</v>
      </c>
      <c r="E4" s="37" t="s">
        <v>491</v>
      </c>
      <c r="F4" s="37" t="s">
        <v>492</v>
      </c>
      <c r="G4" s="37" t="s">
        <v>493</v>
      </c>
      <c r="I4" s="316"/>
      <c r="J4" s="37" t="s">
        <v>489</v>
      </c>
      <c r="K4" s="37" t="s">
        <v>490</v>
      </c>
      <c r="L4" s="37" t="s">
        <v>177</v>
      </c>
      <c r="M4" s="37" t="s">
        <v>491</v>
      </c>
      <c r="N4" s="37" t="s">
        <v>492</v>
      </c>
      <c r="O4" s="37" t="s">
        <v>493</v>
      </c>
      <c r="P4" s="67"/>
      <c r="Q4" s="316"/>
      <c r="R4" s="37" t="s">
        <v>489</v>
      </c>
      <c r="S4" s="37" t="s">
        <v>490</v>
      </c>
      <c r="T4" s="37" t="s">
        <v>177</v>
      </c>
      <c r="U4" s="37" t="s">
        <v>491</v>
      </c>
      <c r="V4" s="37" t="s">
        <v>492</v>
      </c>
      <c r="W4" s="37" t="s">
        <v>493</v>
      </c>
      <c r="Y4" s="316"/>
      <c r="Z4" s="37" t="s">
        <v>489</v>
      </c>
      <c r="AA4" s="37" t="s">
        <v>490</v>
      </c>
      <c r="AB4" s="37" t="s">
        <v>177</v>
      </c>
      <c r="AC4" s="37" t="s">
        <v>491</v>
      </c>
      <c r="AD4" s="37" t="s">
        <v>492</v>
      </c>
      <c r="AE4" s="37" t="s">
        <v>493</v>
      </c>
      <c r="AG4" s="316"/>
      <c r="AH4" s="37" t="s">
        <v>489</v>
      </c>
      <c r="AI4" s="37" t="s">
        <v>490</v>
      </c>
      <c r="AJ4" s="37" t="s">
        <v>177</v>
      </c>
      <c r="AK4" s="37" t="s">
        <v>491</v>
      </c>
      <c r="AL4" s="37" t="s">
        <v>492</v>
      </c>
      <c r="AM4" s="37" t="s">
        <v>493</v>
      </c>
      <c r="AN4" s="67"/>
      <c r="AO4" s="316"/>
      <c r="AP4" s="67" t="s">
        <v>591</v>
      </c>
      <c r="AQ4" s="67" t="s">
        <v>592</v>
      </c>
      <c r="AR4" s="49"/>
      <c r="AS4" s="316"/>
      <c r="AT4" s="37" t="s">
        <v>489</v>
      </c>
      <c r="AU4" s="37" t="s">
        <v>490</v>
      </c>
      <c r="AV4" s="37" t="s">
        <v>177</v>
      </c>
      <c r="AW4" s="37" t="s">
        <v>491</v>
      </c>
      <c r="AX4" s="37" t="s">
        <v>492</v>
      </c>
      <c r="AY4" s="37" t="s">
        <v>493</v>
      </c>
      <c r="BA4" s="316"/>
      <c r="BB4" s="37" t="s">
        <v>489</v>
      </c>
      <c r="BC4" s="37" t="s">
        <v>490</v>
      </c>
      <c r="BD4" s="37" t="s">
        <v>177</v>
      </c>
      <c r="BE4" s="37" t="s">
        <v>491</v>
      </c>
      <c r="BF4" s="37" t="s">
        <v>492</v>
      </c>
      <c r="BG4" s="37" t="s">
        <v>493</v>
      </c>
      <c r="BI4" s="316"/>
      <c r="BJ4" s="37" t="s">
        <v>489</v>
      </c>
      <c r="BK4" s="37" t="s">
        <v>490</v>
      </c>
      <c r="BL4" s="37" t="s">
        <v>177</v>
      </c>
      <c r="BM4" s="37" t="s">
        <v>491</v>
      </c>
      <c r="BN4" s="37" t="s">
        <v>492</v>
      </c>
      <c r="BO4" s="37" t="s">
        <v>493</v>
      </c>
      <c r="BP4" s="67"/>
      <c r="BQ4" s="316"/>
      <c r="BR4" s="37" t="s">
        <v>489</v>
      </c>
      <c r="BS4" s="37" t="s">
        <v>490</v>
      </c>
      <c r="BT4" s="37" t="s">
        <v>177</v>
      </c>
      <c r="BU4" s="37" t="s">
        <v>491</v>
      </c>
      <c r="BV4" s="37" t="s">
        <v>492</v>
      </c>
      <c r="BW4" s="37" t="s">
        <v>493</v>
      </c>
      <c r="BY4" s="316"/>
      <c r="BZ4" s="37" t="s">
        <v>489</v>
      </c>
      <c r="CA4" s="37" t="s">
        <v>490</v>
      </c>
      <c r="CB4" s="37" t="s">
        <v>177</v>
      </c>
      <c r="CC4" s="37" t="s">
        <v>491</v>
      </c>
      <c r="CD4" s="37" t="s">
        <v>492</v>
      </c>
      <c r="CE4" s="37" t="s">
        <v>493</v>
      </c>
      <c r="CG4" s="316"/>
      <c r="CH4" s="37" t="s">
        <v>489</v>
      </c>
      <c r="CI4" s="37" t="s">
        <v>490</v>
      </c>
      <c r="CJ4" s="37" t="s">
        <v>177</v>
      </c>
      <c r="CK4" s="37" t="s">
        <v>491</v>
      </c>
      <c r="CL4" s="37" t="s">
        <v>492</v>
      </c>
      <c r="CM4" s="37" t="s">
        <v>493</v>
      </c>
      <c r="CN4" s="67"/>
      <c r="CO4" s="316"/>
      <c r="CP4" s="67" t="s">
        <v>591</v>
      </c>
      <c r="CQ4" s="67" t="s">
        <v>592</v>
      </c>
      <c r="CR4" s="49"/>
      <c r="CS4" s="316"/>
      <c r="CT4" s="37" t="s">
        <v>489</v>
      </c>
      <c r="CU4" s="37" t="s">
        <v>490</v>
      </c>
      <c r="CV4" s="37" t="s">
        <v>177</v>
      </c>
      <c r="CW4" s="37" t="s">
        <v>491</v>
      </c>
      <c r="CX4" s="37" t="s">
        <v>492</v>
      </c>
      <c r="CY4" s="37" t="s">
        <v>493</v>
      </c>
      <c r="DA4" s="316"/>
      <c r="DB4" s="37" t="s">
        <v>489</v>
      </c>
      <c r="DC4" s="37" t="s">
        <v>490</v>
      </c>
      <c r="DD4" s="37" t="s">
        <v>177</v>
      </c>
      <c r="DE4" s="37" t="s">
        <v>491</v>
      </c>
      <c r="DF4" s="37" t="s">
        <v>492</v>
      </c>
      <c r="DG4" s="37" t="s">
        <v>493</v>
      </c>
      <c r="DI4" s="316"/>
      <c r="DJ4" s="37" t="s">
        <v>489</v>
      </c>
      <c r="DK4" s="37" t="s">
        <v>490</v>
      </c>
      <c r="DL4" s="37" t="s">
        <v>177</v>
      </c>
      <c r="DM4" s="37" t="s">
        <v>491</v>
      </c>
      <c r="DN4" s="37" t="s">
        <v>492</v>
      </c>
      <c r="DO4" s="37" t="s">
        <v>493</v>
      </c>
      <c r="DQ4" s="316"/>
      <c r="DR4" s="24" t="s">
        <v>494</v>
      </c>
      <c r="DS4" s="32" t="s">
        <v>593</v>
      </c>
      <c r="DT4" s="32" t="s">
        <v>495</v>
      </c>
      <c r="DU4" s="32" t="s">
        <v>594</v>
      </c>
      <c r="DV4" s="32" t="s">
        <v>138</v>
      </c>
      <c r="DW4" s="32" t="s">
        <v>496</v>
      </c>
      <c r="DX4" s="32" t="s">
        <v>496</v>
      </c>
      <c r="DY4" s="32" t="s">
        <v>497</v>
      </c>
      <c r="DZ4" s="32" t="s">
        <v>497</v>
      </c>
      <c r="EB4" s="316"/>
      <c r="EC4" s="37" t="s">
        <v>489</v>
      </c>
      <c r="ED4" s="37" t="s">
        <v>490</v>
      </c>
      <c r="EE4" s="37" t="s">
        <v>177</v>
      </c>
      <c r="EF4" s="37" t="s">
        <v>491</v>
      </c>
      <c r="EG4" s="37" t="s">
        <v>492</v>
      </c>
      <c r="EH4" s="37" t="s">
        <v>493</v>
      </c>
      <c r="EJ4" s="316"/>
      <c r="EK4" s="37" t="s">
        <v>489</v>
      </c>
      <c r="EL4" s="37" t="s">
        <v>490</v>
      </c>
      <c r="EM4" s="37" t="s">
        <v>177</v>
      </c>
      <c r="EN4" s="37" t="s">
        <v>491</v>
      </c>
      <c r="EO4" s="37" t="s">
        <v>492</v>
      </c>
      <c r="EP4" s="37" t="s">
        <v>493</v>
      </c>
      <c r="ER4" s="316"/>
      <c r="ES4" s="24" t="s">
        <v>498</v>
      </c>
      <c r="ET4" s="24" t="s">
        <v>499</v>
      </c>
      <c r="EU4" s="24" t="s">
        <v>500</v>
      </c>
      <c r="EV4" s="24" t="s">
        <v>501</v>
      </c>
      <c r="EW4" s="32" t="s">
        <v>502</v>
      </c>
      <c r="EX4" s="32" t="s">
        <v>503</v>
      </c>
      <c r="EY4" s="32" t="s">
        <v>504</v>
      </c>
      <c r="EZ4" s="32" t="s">
        <v>505</v>
      </c>
      <c r="FA4" s="32" t="s">
        <v>506</v>
      </c>
      <c r="FB4" s="32" t="s">
        <v>507</v>
      </c>
      <c r="FD4" s="316"/>
      <c r="FE4" s="24" t="s">
        <v>21</v>
      </c>
      <c r="FF4" s="24" t="s">
        <v>21</v>
      </c>
      <c r="FG4" s="90" t="s">
        <v>24</v>
      </c>
      <c r="FH4" s="90" t="s">
        <v>24</v>
      </c>
      <c r="FI4" s="24" t="s">
        <v>25</v>
      </c>
      <c r="FK4" s="96" t="s">
        <v>508</v>
      </c>
      <c r="FL4" s="96" t="s">
        <v>509</v>
      </c>
      <c r="FM4" s="96" t="s">
        <v>510</v>
      </c>
      <c r="FO4" s="316"/>
      <c r="FP4" s="37" t="s">
        <v>489</v>
      </c>
      <c r="FQ4" s="37" t="s">
        <v>490</v>
      </c>
      <c r="FR4" s="37" t="s">
        <v>177</v>
      </c>
      <c r="FS4" s="37" t="s">
        <v>491</v>
      </c>
      <c r="FT4" s="37" t="s">
        <v>492</v>
      </c>
      <c r="FU4" s="37" t="s">
        <v>493</v>
      </c>
      <c r="FV4" s="24" t="s">
        <v>188</v>
      </c>
    </row>
    <row r="5" spans="1:178">
      <c r="A5" s="316"/>
      <c r="B5" s="37" t="s">
        <v>511</v>
      </c>
      <c r="C5" s="37" t="s">
        <v>511</v>
      </c>
      <c r="D5" s="37" t="s">
        <v>511</v>
      </c>
      <c r="E5" s="37" t="s">
        <v>511</v>
      </c>
      <c r="F5" s="37" t="s">
        <v>511</v>
      </c>
      <c r="G5" s="37" t="s">
        <v>511</v>
      </c>
      <c r="I5" s="316"/>
      <c r="J5" s="37" t="s">
        <v>511</v>
      </c>
      <c r="K5" s="37" t="s">
        <v>511</v>
      </c>
      <c r="L5" s="37" t="s">
        <v>511</v>
      </c>
      <c r="M5" s="37" t="s">
        <v>511</v>
      </c>
      <c r="N5" s="37" t="s">
        <v>511</v>
      </c>
      <c r="O5" s="37" t="s">
        <v>511</v>
      </c>
      <c r="P5" s="67"/>
      <c r="Q5" s="316"/>
      <c r="R5" s="37" t="s">
        <v>511</v>
      </c>
      <c r="S5" s="37" t="s">
        <v>511</v>
      </c>
      <c r="T5" s="37" t="s">
        <v>511</v>
      </c>
      <c r="U5" s="37" t="s">
        <v>511</v>
      </c>
      <c r="V5" s="37" t="s">
        <v>511</v>
      </c>
      <c r="W5" s="37" t="s">
        <v>511</v>
      </c>
      <c r="Y5" s="316"/>
      <c r="Z5" s="37" t="s">
        <v>511</v>
      </c>
      <c r="AA5" s="37" t="s">
        <v>511</v>
      </c>
      <c r="AB5" s="37" t="s">
        <v>511</v>
      </c>
      <c r="AC5" s="37" t="s">
        <v>511</v>
      </c>
      <c r="AD5" s="37" t="s">
        <v>511</v>
      </c>
      <c r="AE5" s="37" t="s">
        <v>511</v>
      </c>
      <c r="AG5" s="316"/>
      <c r="AN5" s="67"/>
      <c r="AO5" s="316"/>
      <c r="AP5" s="67"/>
      <c r="AQ5" s="67"/>
      <c r="AR5" s="49"/>
      <c r="AS5" s="316"/>
      <c r="BA5" s="316"/>
      <c r="BB5" s="37" t="s">
        <v>511</v>
      </c>
      <c r="BC5" s="37" t="s">
        <v>511</v>
      </c>
      <c r="BD5" s="37" t="s">
        <v>511</v>
      </c>
      <c r="BE5" s="37" t="s">
        <v>511</v>
      </c>
      <c r="BF5" s="37" t="s">
        <v>511</v>
      </c>
      <c r="BG5" s="37" t="s">
        <v>511</v>
      </c>
      <c r="BI5" s="316"/>
      <c r="BJ5" s="37" t="s">
        <v>511</v>
      </c>
      <c r="BK5" s="37" t="s">
        <v>511</v>
      </c>
      <c r="BL5" s="37" t="s">
        <v>511</v>
      </c>
      <c r="BM5" s="37" t="s">
        <v>511</v>
      </c>
      <c r="BN5" s="37" t="s">
        <v>511</v>
      </c>
      <c r="BO5" s="37" t="s">
        <v>511</v>
      </c>
      <c r="BP5" s="67"/>
      <c r="BQ5" s="316"/>
      <c r="BR5" s="37" t="s">
        <v>511</v>
      </c>
      <c r="BS5" s="37" t="s">
        <v>511</v>
      </c>
      <c r="BT5" s="37" t="s">
        <v>511</v>
      </c>
      <c r="BU5" s="37" t="s">
        <v>511</v>
      </c>
      <c r="BV5" s="37" t="s">
        <v>511</v>
      </c>
      <c r="BW5" s="37" t="s">
        <v>511</v>
      </c>
      <c r="BY5" s="316"/>
      <c r="BZ5" s="37" t="s">
        <v>511</v>
      </c>
      <c r="CA5" s="37" t="s">
        <v>511</v>
      </c>
      <c r="CB5" s="37" t="s">
        <v>511</v>
      </c>
      <c r="CC5" s="37" t="s">
        <v>511</v>
      </c>
      <c r="CD5" s="37" t="s">
        <v>511</v>
      </c>
      <c r="CE5" s="37" t="s">
        <v>511</v>
      </c>
      <c r="CG5" s="316"/>
      <c r="CN5" s="67"/>
      <c r="CO5" s="316"/>
      <c r="CP5" s="67"/>
      <c r="CQ5" s="67"/>
      <c r="CR5" s="49"/>
      <c r="CS5" s="316"/>
      <c r="DA5" s="316"/>
      <c r="DB5" s="37" t="s">
        <v>511</v>
      </c>
      <c r="DC5" s="37" t="s">
        <v>511</v>
      </c>
      <c r="DD5" s="37" t="s">
        <v>511</v>
      </c>
      <c r="DE5" s="37" t="s">
        <v>511</v>
      </c>
      <c r="DF5" s="37" t="s">
        <v>511</v>
      </c>
      <c r="DG5" s="37" t="s">
        <v>511</v>
      </c>
      <c r="DI5" s="316"/>
      <c r="DJ5" s="38" t="s">
        <v>512</v>
      </c>
      <c r="DK5" s="38" t="s">
        <v>512</v>
      </c>
      <c r="DL5" s="38" t="s">
        <v>512</v>
      </c>
      <c r="DM5" s="38" t="s">
        <v>512</v>
      </c>
      <c r="DN5" s="38" t="s">
        <v>512</v>
      </c>
      <c r="DO5" s="38" t="s">
        <v>512</v>
      </c>
      <c r="DQ5" s="316"/>
      <c r="DR5" s="37" t="s">
        <v>511</v>
      </c>
      <c r="DS5" s="37" t="s">
        <v>595</v>
      </c>
      <c r="DT5" s="37" t="s">
        <v>511</v>
      </c>
      <c r="DU5" s="37" t="s">
        <v>595</v>
      </c>
      <c r="DV5" s="38" t="s">
        <v>512</v>
      </c>
      <c r="DW5" s="37" t="s">
        <v>511</v>
      </c>
      <c r="DX5" s="37" t="s">
        <v>595</v>
      </c>
      <c r="DY5" s="37" t="s">
        <v>511</v>
      </c>
      <c r="DZ5" s="37" t="s">
        <v>595</v>
      </c>
      <c r="EB5" s="316"/>
      <c r="EC5" s="38" t="s">
        <v>512</v>
      </c>
      <c r="ED5" s="38" t="s">
        <v>512</v>
      </c>
      <c r="EE5" s="38" t="s">
        <v>512</v>
      </c>
      <c r="EF5" s="38" t="s">
        <v>512</v>
      </c>
      <c r="EG5" s="38" t="s">
        <v>512</v>
      </c>
      <c r="EH5" s="38" t="s">
        <v>512</v>
      </c>
      <c r="EJ5" s="316"/>
      <c r="EK5" s="38" t="s">
        <v>512</v>
      </c>
      <c r="EL5" s="38" t="s">
        <v>512</v>
      </c>
      <c r="EM5" s="38" t="s">
        <v>512</v>
      </c>
      <c r="EN5" s="38" t="s">
        <v>512</v>
      </c>
      <c r="EO5" s="38" t="s">
        <v>512</v>
      </c>
      <c r="EP5" s="38" t="s">
        <v>512</v>
      </c>
      <c r="ER5" s="316"/>
      <c r="ES5" s="38" t="s">
        <v>513</v>
      </c>
      <c r="ET5" s="38" t="s">
        <v>513</v>
      </c>
      <c r="EU5" s="38" t="s">
        <v>513</v>
      </c>
      <c r="EV5" s="38" t="s">
        <v>513</v>
      </c>
      <c r="EW5" s="24" t="s">
        <v>514</v>
      </c>
      <c r="EX5" s="24" t="s">
        <v>514</v>
      </c>
      <c r="EY5" s="24" t="s">
        <v>514</v>
      </c>
      <c r="EZ5" s="24" t="s">
        <v>514</v>
      </c>
      <c r="FA5" s="24" t="s">
        <v>514</v>
      </c>
      <c r="FB5" s="24" t="s">
        <v>514</v>
      </c>
      <c r="FD5" s="316"/>
      <c r="FE5" s="24" t="s">
        <v>514</v>
      </c>
      <c r="FF5" s="24" t="s">
        <v>514</v>
      </c>
      <c r="FG5" s="90" t="s">
        <v>514</v>
      </c>
      <c r="FH5" s="90" t="s">
        <v>514</v>
      </c>
      <c r="FO5" s="316"/>
    </row>
    <row r="6" spans="1:178" hidden="1" outlineLevel="1">
      <c r="A6" s="316">
        <v>1980</v>
      </c>
      <c r="B6" s="61">
        <v>156565.4</v>
      </c>
      <c r="C6" s="61">
        <v>11183</v>
      </c>
      <c r="D6" s="61">
        <v>88439.1</v>
      </c>
      <c r="E6" s="61">
        <v>24271.1</v>
      </c>
      <c r="F6" s="61">
        <v>83324.899999999994</v>
      </c>
      <c r="G6" s="61">
        <v>178336</v>
      </c>
      <c r="I6" s="316">
        <v>1980</v>
      </c>
      <c r="J6" s="61">
        <v>197430.1</v>
      </c>
      <c r="K6" s="61">
        <v>14150.3</v>
      </c>
      <c r="L6" s="61">
        <v>105433.3</v>
      </c>
      <c r="M6" s="61">
        <v>30067.200000000001</v>
      </c>
      <c r="N6" s="61">
        <v>100291.3</v>
      </c>
      <c r="O6" s="61">
        <v>229343.9</v>
      </c>
      <c r="Q6" s="316">
        <v>1980</v>
      </c>
      <c r="R6" s="46">
        <f t="shared" ref="R6:W19" si="0">B6/B$20*R$20</f>
        <v>177527.28272116708</v>
      </c>
      <c r="S6" s="46">
        <f t="shared" si="0"/>
        <v>10426.971661664134</v>
      </c>
      <c r="T6" s="46">
        <f t="shared" si="0"/>
        <v>100162.53411091551</v>
      </c>
      <c r="U6" s="46">
        <f t="shared" si="0"/>
        <v>26366.23704940977</v>
      </c>
      <c r="V6" s="46">
        <f t="shared" si="0"/>
        <v>82566.007793900644</v>
      </c>
      <c r="W6" s="46">
        <f t="shared" si="0"/>
        <v>185477.15843367641</v>
      </c>
      <c r="Y6" s="316">
        <v>1980</v>
      </c>
      <c r="Z6" s="46">
        <f t="shared" ref="Z6:AE19" si="1">J6/J$20*Z$20</f>
        <v>234420.88495401439</v>
      </c>
      <c r="AA6" s="46">
        <f t="shared" si="1"/>
        <v>13930.632549786942</v>
      </c>
      <c r="AB6" s="46">
        <f t="shared" si="1"/>
        <v>124030.9630262401</v>
      </c>
      <c r="AC6" s="46">
        <f t="shared" si="1"/>
        <v>34460.212835240585</v>
      </c>
      <c r="AD6" s="46">
        <f t="shared" si="1"/>
        <v>102536.56069559009</v>
      </c>
      <c r="AE6" s="46">
        <f t="shared" si="1"/>
        <v>252177.91824812553</v>
      </c>
      <c r="AG6" s="316">
        <v>1980</v>
      </c>
      <c r="AH6" s="48">
        <f t="shared" ref="AH6:AM21" si="2">R6/Z6</f>
        <v>0.75730147830468286</v>
      </c>
      <c r="AI6" s="48">
        <f t="shared" si="2"/>
        <v>0.74849233330927289</v>
      </c>
      <c r="AJ6" s="48">
        <f t="shared" si="2"/>
        <v>0.80756072247641131</v>
      </c>
      <c r="AK6" s="48">
        <f t="shared" si="2"/>
        <v>0.76512113188246056</v>
      </c>
      <c r="AL6" s="48">
        <f t="shared" si="2"/>
        <v>0.80523480828484295</v>
      </c>
      <c r="AM6" s="48">
        <f t="shared" si="2"/>
        <v>0.73550118790012287</v>
      </c>
      <c r="AO6" s="316">
        <v>1980</v>
      </c>
      <c r="AP6" s="62">
        <v>0.14966875871687257</v>
      </c>
      <c r="AS6" s="316">
        <v>1980</v>
      </c>
      <c r="BA6" s="316">
        <v>1980</v>
      </c>
      <c r="BB6" s="61">
        <v>16179.3</v>
      </c>
      <c r="BC6" s="61">
        <v>892.6</v>
      </c>
      <c r="BD6" s="61">
        <v>10403.700000000001</v>
      </c>
      <c r="BE6" s="61">
        <v>2954.4</v>
      </c>
      <c r="BF6" s="61">
        <v>6281.2</v>
      </c>
      <c r="BG6" s="61">
        <v>14504.7</v>
      </c>
      <c r="BI6" s="316">
        <v>1980</v>
      </c>
      <c r="BJ6" s="61">
        <v>20757.8</v>
      </c>
      <c r="BK6" s="61">
        <v>1158.8</v>
      </c>
      <c r="BL6" s="61">
        <v>12713.7</v>
      </c>
      <c r="BM6" s="61">
        <v>4290.8999999999996</v>
      </c>
      <c r="BN6" s="61">
        <v>7740</v>
      </c>
      <c r="BO6" s="61">
        <v>19247.400000000001</v>
      </c>
      <c r="BQ6" s="316">
        <v>1980</v>
      </c>
      <c r="BR6" s="46">
        <f>BB6/BB$20*BR$20</f>
        <v>18532.920977638012</v>
      </c>
      <c r="BS6" s="46">
        <f t="shared" ref="BS6:BW19" si="3">BC6/BC$20*BS$20</f>
        <v>885.53040096174254</v>
      </c>
      <c r="BT6" s="46">
        <f t="shared" si="3"/>
        <v>12992.532461173214</v>
      </c>
      <c r="BU6" s="46">
        <f t="shared" si="3"/>
        <v>3237.8996475752765</v>
      </c>
      <c r="BV6" s="46">
        <f t="shared" si="3"/>
        <v>6439.5705119909826</v>
      </c>
      <c r="BW6" s="46">
        <f t="shared" si="3"/>
        <v>14377.4020322822</v>
      </c>
      <c r="BY6" s="316">
        <v>1980</v>
      </c>
      <c r="BZ6" s="46">
        <f t="shared" ref="BZ6:CE19" si="4">BJ6/BJ$20*BZ$20</f>
        <v>24749.738610848097</v>
      </c>
      <c r="CA6" s="46">
        <f t="shared" si="4"/>
        <v>1215.8924096052995</v>
      </c>
      <c r="CB6" s="46">
        <f t="shared" si="4"/>
        <v>16493.459966896415</v>
      </c>
      <c r="CC6" s="46">
        <f t="shared" si="4"/>
        <v>5013.9204338624331</v>
      </c>
      <c r="CD6" s="46">
        <f t="shared" si="4"/>
        <v>8195.4705972356805</v>
      </c>
      <c r="CE6" s="46">
        <f t="shared" si="4"/>
        <v>20272.2554747289</v>
      </c>
      <c r="CG6" s="316">
        <v>1980</v>
      </c>
      <c r="CH6" s="48">
        <f t="shared" ref="CH6:CM21" si="5">BR6/BZ6</f>
        <v>0.74881279633049613</v>
      </c>
      <c r="CI6" s="48">
        <f t="shared" si="5"/>
        <v>0.72829667655315133</v>
      </c>
      <c r="CJ6" s="48">
        <f t="shared" si="5"/>
        <v>0.78773844222195832</v>
      </c>
      <c r="CK6" s="48">
        <f t="shared" si="5"/>
        <v>0.64578201634543819</v>
      </c>
      <c r="CL6" s="48">
        <f t="shared" si="5"/>
        <v>0.78574749742413075</v>
      </c>
      <c r="CM6" s="48">
        <f t="shared" si="5"/>
        <v>0.70921570864203354</v>
      </c>
      <c r="CO6" s="316">
        <v>1980</v>
      </c>
      <c r="CP6" s="62">
        <v>0.14966875871687257</v>
      </c>
      <c r="CS6" s="316">
        <v>1980</v>
      </c>
      <c r="DA6" s="316">
        <v>1980</v>
      </c>
      <c r="DB6" s="43"/>
      <c r="DC6" s="43"/>
      <c r="DD6" s="43"/>
      <c r="DE6" s="43"/>
      <c r="DF6" s="43"/>
      <c r="DG6" s="43"/>
      <c r="DI6" s="316">
        <v>1980</v>
      </c>
      <c r="DJ6" s="43"/>
      <c r="DK6" s="43"/>
      <c r="DL6" s="43"/>
      <c r="DM6" s="43"/>
      <c r="DN6" s="43"/>
      <c r="DO6" s="43"/>
      <c r="DQ6" s="316">
        <v>1980</v>
      </c>
      <c r="DR6" s="61">
        <v>256075.9</v>
      </c>
      <c r="DS6" s="43"/>
      <c r="DT6" s="61">
        <v>273389.5</v>
      </c>
      <c r="DU6" s="43"/>
      <c r="DV6" s="89">
        <v>-1</v>
      </c>
      <c r="DW6" s="46">
        <f t="shared" ref="DW6:DW46" si="6">DR6/(1+DV6/100)</f>
        <v>258662.52525252526</v>
      </c>
      <c r="DX6" s="43"/>
      <c r="DY6" s="46">
        <f t="shared" ref="DY6:DY46" si="7">DT6/(1+DV6/100)</f>
        <v>276151.01010101009</v>
      </c>
      <c r="DZ6" s="43"/>
      <c r="EB6" s="316">
        <v>1980</v>
      </c>
      <c r="EC6" s="88">
        <f t="shared" ref="EC6:EC46" si="8">BR6/$DR6</f>
        <v>7.23727651748486E-2</v>
      </c>
      <c r="ED6" s="88">
        <f t="shared" ref="ED6:ED46" si="9">BS6/$DR6</f>
        <v>3.4580778627029819E-3</v>
      </c>
      <c r="EE6" s="88">
        <f t="shared" ref="EE6:EE46" si="10">BT6/$DR6</f>
        <v>5.0737037187697918E-2</v>
      </c>
      <c r="EF6" s="88">
        <f t="shared" ref="EF6:EF46" si="11">BU6/$DR6</f>
        <v>1.2644296661947793E-2</v>
      </c>
      <c r="EG6" s="88">
        <f t="shared" ref="EG6:EG46" si="12">BV6/$DR6</f>
        <v>2.5147116585320924E-2</v>
      </c>
      <c r="EH6" s="88">
        <f t="shared" ref="EH6:EH46" si="13">BW6/$DR6</f>
        <v>5.6145080549486304E-2</v>
      </c>
      <c r="EI6" s="140"/>
      <c r="EJ6" s="316">
        <v>1980</v>
      </c>
      <c r="EK6" s="88">
        <f t="shared" ref="EK6:EK46" si="14">R6/$DW6</f>
        <v>0.68632780317849285</v>
      </c>
      <c r="EL6" s="88">
        <f t="shared" ref="EL6:EL46" si="15">S6/$DW6</f>
        <v>4.0311102860704551E-2</v>
      </c>
      <c r="EM6" s="88">
        <f t="shared" ref="EM6:EM46" si="16">T6/$DW6</f>
        <v>0.38723249149883437</v>
      </c>
      <c r="EN6" s="88">
        <f t="shared" ref="EN6:EN46" si="17">U6/$DW6</f>
        <v>0.10193296080933689</v>
      </c>
      <c r="EO6" s="88">
        <f t="shared" ref="EO6:EO46" si="18">V6/$DW6</f>
        <v>0.31920359438729545</v>
      </c>
      <c r="EP6" s="88">
        <f t="shared" ref="EP6:EP46" si="19">W6/$DW6</f>
        <v>0.71706235084730596</v>
      </c>
      <c r="ER6" s="316">
        <v>1980</v>
      </c>
      <c r="ES6" s="317">
        <f>SUM(ET6:EV6)</f>
        <v>117061</v>
      </c>
      <c r="ET6" s="61">
        <v>27524</v>
      </c>
      <c r="EU6" s="61">
        <v>78884</v>
      </c>
      <c r="EV6" s="61">
        <v>10653</v>
      </c>
      <c r="EW6" s="88">
        <f>ET6/$ES6</f>
        <v>0.2351252765652096</v>
      </c>
      <c r="EX6" s="88">
        <f>EU6/$ES6</f>
        <v>0.67387088782771376</v>
      </c>
      <c r="EY6" s="88">
        <f>EV6/$ES6</f>
        <v>9.1003835607076658E-2</v>
      </c>
      <c r="EZ6" s="38"/>
      <c r="FA6" s="38"/>
      <c r="FD6" s="316">
        <v>1980</v>
      </c>
      <c r="FF6" s="43"/>
      <c r="FH6" s="55"/>
      <c r="FO6" s="316">
        <v>1980</v>
      </c>
      <c r="FP6" s="61">
        <v>209115.89550873864</v>
      </c>
      <c r="FQ6" s="61">
        <v>12344.283979982103</v>
      </c>
      <c r="FR6" s="61">
        <v>129499.31966766097</v>
      </c>
      <c r="FS6" s="61">
        <v>52625.431821695216</v>
      </c>
      <c r="FT6" s="61">
        <v>69112.274387905345</v>
      </c>
      <c r="FU6" s="61">
        <v>202914.43510561698</v>
      </c>
      <c r="FV6" s="285">
        <f>SUM(FP6:FU6)</f>
        <v>675611.6404715993</v>
      </c>
    </row>
    <row r="7" spans="1:178" hidden="1" outlineLevel="1">
      <c r="A7" s="316">
        <v>1981</v>
      </c>
      <c r="B7" s="61">
        <v>163912.4</v>
      </c>
      <c r="C7" s="61">
        <v>11670.9</v>
      </c>
      <c r="D7" s="61">
        <v>93040.7</v>
      </c>
      <c r="E7" s="61">
        <v>26055.7</v>
      </c>
      <c r="F7" s="61">
        <v>89082.4</v>
      </c>
      <c r="G7" s="61">
        <v>193128.5</v>
      </c>
      <c r="I7" s="316">
        <v>1981</v>
      </c>
      <c r="J7" s="61">
        <v>204438.7</v>
      </c>
      <c r="K7" s="61">
        <v>14583.3</v>
      </c>
      <c r="L7" s="61">
        <v>109278.39999999999</v>
      </c>
      <c r="M7" s="61">
        <v>31791.4</v>
      </c>
      <c r="N7" s="61">
        <v>104749.9</v>
      </c>
      <c r="O7" s="61">
        <v>242393.1</v>
      </c>
      <c r="Q7" s="316">
        <v>1981</v>
      </c>
      <c r="R7" s="46">
        <f t="shared" si="0"/>
        <v>185857.94164167196</v>
      </c>
      <c r="S7" s="46">
        <f t="shared" si="0"/>
        <v>10881.887111340064</v>
      </c>
      <c r="T7" s="46">
        <f t="shared" si="0"/>
        <v>105374.11945003347</v>
      </c>
      <c r="U7" s="46">
        <f t="shared" si="0"/>
        <v>28304.887816716433</v>
      </c>
      <c r="V7" s="46">
        <f t="shared" si="0"/>
        <v>88271.070624739717</v>
      </c>
      <c r="W7" s="46">
        <f t="shared" si="0"/>
        <v>200861.99865735619</v>
      </c>
      <c r="Y7" s="316">
        <v>1981</v>
      </c>
      <c r="Z7" s="46">
        <f t="shared" si="1"/>
        <v>242742.62624011363</v>
      </c>
      <c r="AA7" s="46">
        <f t="shared" si="1"/>
        <v>14356.910713080848</v>
      </c>
      <c r="AB7" s="46">
        <f t="shared" si="1"/>
        <v>128554.31054483428</v>
      </c>
      <c r="AC7" s="46">
        <f t="shared" si="1"/>
        <v>36436.329632631823</v>
      </c>
      <c r="AD7" s="46">
        <f t="shared" si="1"/>
        <v>107094.97712370855</v>
      </c>
      <c r="AE7" s="46">
        <f t="shared" si="1"/>
        <v>266526.32730022341</v>
      </c>
      <c r="AG7" s="316">
        <v>1981</v>
      </c>
      <c r="AH7" s="48">
        <f t="shared" si="2"/>
        <v>0.7656584445857767</v>
      </c>
      <c r="AI7" s="48">
        <f t="shared" si="2"/>
        <v>0.75795464141358593</v>
      </c>
      <c r="AJ7" s="48">
        <f t="shared" si="2"/>
        <v>0.81968561772406268</v>
      </c>
      <c r="AK7" s="48">
        <f t="shared" si="2"/>
        <v>0.77683147842001643</v>
      </c>
      <c r="AL7" s="48">
        <f t="shared" si="2"/>
        <v>0.8242316586218158</v>
      </c>
      <c r="AM7" s="48">
        <f t="shared" si="2"/>
        <v>0.75362910933409999</v>
      </c>
      <c r="AO7" s="316">
        <v>1981</v>
      </c>
      <c r="AP7" s="62">
        <v>1.3496095230880245E-2</v>
      </c>
      <c r="AS7" s="316">
        <v>1981</v>
      </c>
      <c r="AT7" s="308">
        <f>AH7/AH6-1</f>
        <v>1.1035190766829128E-2</v>
      </c>
      <c r="AU7" s="308">
        <f t="shared" ref="AU7:AY7" si="20">AI7/AI6-1</f>
        <v>1.2641823681049269E-2</v>
      </c>
      <c r="AV7" s="308">
        <f t="shared" si="20"/>
        <v>1.5014221110791537E-2</v>
      </c>
      <c r="AW7" s="308">
        <f t="shared" si="20"/>
        <v>1.5305219068703968E-2</v>
      </c>
      <c r="AX7" s="308">
        <f t="shared" si="20"/>
        <v>2.3591690450436742E-2</v>
      </c>
      <c r="AY7" s="308">
        <f t="shared" si="20"/>
        <v>2.4647032162834259E-2</v>
      </c>
      <c r="BA7" s="316">
        <v>1981</v>
      </c>
      <c r="BB7" s="61">
        <v>15655.6</v>
      </c>
      <c r="BC7" s="61">
        <v>892.7</v>
      </c>
      <c r="BD7" s="61">
        <v>10182</v>
      </c>
      <c r="BE7" s="61">
        <v>3236.2</v>
      </c>
      <c r="BF7" s="61">
        <v>6097</v>
      </c>
      <c r="BG7" s="61">
        <v>14910.9</v>
      </c>
      <c r="BI7" s="316">
        <v>1981</v>
      </c>
      <c r="BJ7" s="61">
        <v>20187.099999999999</v>
      </c>
      <c r="BK7" s="61">
        <v>1146.4000000000001</v>
      </c>
      <c r="BL7" s="61">
        <v>12212.5</v>
      </c>
      <c r="BM7" s="61">
        <v>4599.3999999999996</v>
      </c>
      <c r="BN7" s="61">
        <v>7295.4</v>
      </c>
      <c r="BO7" s="61">
        <v>19214</v>
      </c>
      <c r="BQ7" s="316">
        <v>1981</v>
      </c>
      <c r="BR7" s="46">
        <f t="shared" ref="BR7:BR18" si="21">BB7/BB$20*BR$20</f>
        <v>17933.037749316081</v>
      </c>
      <c r="BS7" s="46">
        <f t="shared" si="3"/>
        <v>885.62960893854768</v>
      </c>
      <c r="BT7" s="46">
        <f t="shared" si="3"/>
        <v>12715.665149866456</v>
      </c>
      <c r="BU7" s="46">
        <f t="shared" si="3"/>
        <v>3546.7407390614367</v>
      </c>
      <c r="BV7" s="46">
        <f t="shared" si="3"/>
        <v>6250.7262006637293</v>
      </c>
      <c r="BW7" s="46">
        <f t="shared" si="3"/>
        <v>14780.03708888544</v>
      </c>
      <c r="BY7" s="316">
        <v>1981</v>
      </c>
      <c r="BZ7" s="46">
        <f t="shared" si="4"/>
        <v>24069.287126335723</v>
      </c>
      <c r="CA7" s="46">
        <f t="shared" si="4"/>
        <v>1202.8814794369307</v>
      </c>
      <c r="CB7" s="46">
        <f t="shared" si="4"/>
        <v>15843.254115302583</v>
      </c>
      <c r="CC7" s="46">
        <f t="shared" si="4"/>
        <v>5374.4029559082883</v>
      </c>
      <c r="CD7" s="46">
        <f t="shared" si="4"/>
        <v>7724.7075187433056</v>
      </c>
      <c r="CE7" s="46">
        <f t="shared" si="4"/>
        <v>20237.077043727521</v>
      </c>
      <c r="CG7" s="316">
        <v>1981</v>
      </c>
      <c r="CH7" s="48">
        <f t="shared" si="5"/>
        <v>0.74505894816030571</v>
      </c>
      <c r="CI7" s="48">
        <f t="shared" si="5"/>
        <v>0.73625675021042913</v>
      </c>
      <c r="CJ7" s="48">
        <f t="shared" si="5"/>
        <v>0.80259175654985737</v>
      </c>
      <c r="CK7" s="48">
        <f t="shared" si="5"/>
        <v>0.65993204606334321</v>
      </c>
      <c r="CL7" s="48">
        <f t="shared" si="5"/>
        <v>0.80918613235477288</v>
      </c>
      <c r="CM7" s="48">
        <f t="shared" si="5"/>
        <v>0.73034445918001334</v>
      </c>
      <c r="CO7" s="316">
        <v>1981</v>
      </c>
      <c r="CP7" s="62">
        <v>1.3496095230880245E-2</v>
      </c>
      <c r="CS7" s="316">
        <v>1981</v>
      </c>
      <c r="CT7" s="308">
        <f>CH7/CH6-1</f>
        <v>-5.0130662678120608E-3</v>
      </c>
      <c r="CU7" s="308">
        <f t="shared" ref="CU7:CY7" si="22">CI7/CI6-1</f>
        <v>1.0929713005077613E-2</v>
      </c>
      <c r="CV7" s="308">
        <f t="shared" si="22"/>
        <v>1.885564234494197E-2</v>
      </c>
      <c r="CW7" s="308">
        <f t="shared" si="22"/>
        <v>2.1911464487632815E-2</v>
      </c>
      <c r="CX7" s="308">
        <f t="shared" si="22"/>
        <v>2.9829729025519836E-2</v>
      </c>
      <c r="CY7" s="308">
        <f t="shared" si="22"/>
        <v>2.9791712564342321E-2</v>
      </c>
      <c r="DA7" s="316">
        <v>1981</v>
      </c>
      <c r="DB7" s="46">
        <f t="shared" ref="DB7:DB46" si="23">-(Z7-Z6-BZ7)</f>
        <v>15747.545840236475</v>
      </c>
      <c r="DC7" s="46">
        <f t="shared" ref="DC7:DC46" si="24">-(AA7-AA6-CA7)</f>
        <v>776.60331614302481</v>
      </c>
      <c r="DD7" s="46">
        <f t="shared" ref="DD7:DD46" si="25">-(AB7-AB6-CB7)</f>
        <v>11319.906596708404</v>
      </c>
      <c r="DE7" s="46">
        <f t="shared" ref="DE7:DE46" si="26">-(AC7-AC6-CC7)</f>
        <v>3398.2861585170504</v>
      </c>
      <c r="DF7" s="46">
        <f t="shared" ref="DF7:DF46" si="27">-(AD7-AD6-CD7)</f>
        <v>3166.2910906248417</v>
      </c>
      <c r="DG7" s="46">
        <f t="shared" ref="DG7:DG46" si="28">-(AE7-AE6-CE7)</f>
        <v>5888.6679916296416</v>
      </c>
      <c r="DI7" s="316">
        <v>1981</v>
      </c>
      <c r="DJ7" s="88">
        <f t="shared" ref="DJ7:DJ46" si="29">DB7/Z6</f>
        <v>6.7176377409059018E-2</v>
      </c>
      <c r="DK7" s="88">
        <f t="shared" ref="DK7:DK46" si="30">DC7/AA6</f>
        <v>5.5747886060988835E-2</v>
      </c>
      <c r="DL7" s="88">
        <f t="shared" ref="DL7:DL46" si="31">DD7/AB6</f>
        <v>9.1266779846848042E-2</v>
      </c>
      <c r="DM7" s="88">
        <f t="shared" ref="DM7:DM46" si="32">DE7/AC6</f>
        <v>9.8614775676655372E-2</v>
      </c>
      <c r="DN7" s="88">
        <f t="shared" ref="DN7:DN46" si="33">DF7/AD6</f>
        <v>3.0879630340097979E-2</v>
      </c>
      <c r="DO7" s="88">
        <f t="shared" ref="DO7:DO46" si="34">DG7/AE6</f>
        <v>2.3351243568580822E-2</v>
      </c>
      <c r="DQ7" s="316">
        <v>1981</v>
      </c>
      <c r="DR7" s="61">
        <v>274615.90000000002</v>
      </c>
      <c r="DS7" s="43"/>
      <c r="DT7" s="61">
        <v>285037.59999999998</v>
      </c>
      <c r="DU7" s="43"/>
      <c r="DV7" s="89">
        <v>-0.5</v>
      </c>
      <c r="DW7" s="46">
        <f t="shared" si="6"/>
        <v>275995.87939698494</v>
      </c>
      <c r="DX7" s="43"/>
      <c r="DY7" s="46">
        <f t="shared" si="7"/>
        <v>286469.94974874367</v>
      </c>
      <c r="DZ7" s="43"/>
      <c r="EB7" s="316">
        <v>1981</v>
      </c>
      <c r="EC7" s="88">
        <f t="shared" si="8"/>
        <v>6.5302255802799761E-2</v>
      </c>
      <c r="ED7" s="88">
        <f t="shared" si="9"/>
        <v>3.2249757167685761E-3</v>
      </c>
      <c r="EE7" s="88">
        <f t="shared" si="10"/>
        <v>4.6303455662496072E-2</v>
      </c>
      <c r="EF7" s="88">
        <f t="shared" si="11"/>
        <v>1.2915278172390732E-2</v>
      </c>
      <c r="EG7" s="88">
        <f t="shared" si="12"/>
        <v>2.2761705351597373E-2</v>
      </c>
      <c r="EH7" s="88">
        <f t="shared" si="13"/>
        <v>5.3820762340729134E-2</v>
      </c>
      <c r="EI7" s="140"/>
      <c r="EJ7" s="316">
        <v>1981</v>
      </c>
      <c r="EK7" s="88">
        <f t="shared" si="14"/>
        <v>0.6734083930808944</v>
      </c>
      <c r="EL7" s="88">
        <f t="shared" si="15"/>
        <v>3.9427715859800407E-2</v>
      </c>
      <c r="EM7" s="88">
        <f t="shared" si="16"/>
        <v>0.38179598797004577</v>
      </c>
      <c r="EN7" s="88">
        <f t="shared" si="17"/>
        <v>0.10255547248951299</v>
      </c>
      <c r="EO7" s="88">
        <f t="shared" si="18"/>
        <v>0.31982749459013848</v>
      </c>
      <c r="EP7" s="88">
        <f t="shared" si="19"/>
        <v>0.7277717301294987</v>
      </c>
      <c r="ER7" s="316">
        <v>1981</v>
      </c>
      <c r="ES7" s="317">
        <f t="shared" ref="ES7:ES45" si="35">SUM(ET7:EV7)</f>
        <v>117884</v>
      </c>
      <c r="ET7" s="61">
        <v>27603</v>
      </c>
      <c r="EU7" s="61">
        <v>79272</v>
      </c>
      <c r="EV7" s="61">
        <v>11009</v>
      </c>
      <c r="EW7" s="88">
        <f t="shared" ref="EW7:EY45" si="36">ET7/$ES7</f>
        <v>0.23415391401716942</v>
      </c>
      <c r="EX7" s="88">
        <f t="shared" si="36"/>
        <v>0.67245767025211223</v>
      </c>
      <c r="EY7" s="88">
        <f t="shared" si="36"/>
        <v>9.3388415730718335E-2</v>
      </c>
      <c r="EZ7" s="88">
        <f>EW7-EW6</f>
        <v>-9.7136254804017219E-4</v>
      </c>
      <c r="FA7" s="88">
        <f t="shared" ref="FA7:FB22" si="37">EX7-EX6</f>
        <v>-1.413217575601533E-3</v>
      </c>
      <c r="FB7" s="88">
        <f t="shared" si="37"/>
        <v>2.3845801236416775E-3</v>
      </c>
      <c r="FD7" s="316">
        <v>1981</v>
      </c>
      <c r="FF7" s="43"/>
      <c r="FG7" s="159">
        <v>3.7000000000000005E-2</v>
      </c>
      <c r="FH7" s="55"/>
      <c r="FO7" s="316">
        <v>1981</v>
      </c>
      <c r="FP7" s="61">
        <v>192233.3971502608</v>
      </c>
      <c r="FQ7" s="61">
        <v>11594.987730497327</v>
      </c>
      <c r="FR7" s="61">
        <v>122949.88497664926</v>
      </c>
      <c r="FS7" s="61">
        <v>52968.802714956102</v>
      </c>
      <c r="FT7" s="61">
        <v>75441.126091765123</v>
      </c>
      <c r="FU7" s="61">
        <v>201061.51597687128</v>
      </c>
      <c r="FV7" s="285">
        <f t="shared" ref="FV7:FV66" si="38">SUM(FP7:FU7)</f>
        <v>656249.71464099991</v>
      </c>
    </row>
    <row r="8" spans="1:178" hidden="1" outlineLevel="1">
      <c r="A8" s="316">
        <v>1982</v>
      </c>
      <c r="B8" s="61">
        <v>172651.5</v>
      </c>
      <c r="C8" s="61">
        <v>12242.6</v>
      </c>
      <c r="D8" s="61">
        <v>97509.1</v>
      </c>
      <c r="E8" s="61">
        <v>27619.599999999999</v>
      </c>
      <c r="F8" s="61">
        <v>94009.9</v>
      </c>
      <c r="G8" s="61">
        <v>207890.4</v>
      </c>
      <c r="I8" s="316">
        <v>1982</v>
      </c>
      <c r="J8" s="61">
        <v>210844.7</v>
      </c>
      <c r="K8" s="61">
        <v>14955.2</v>
      </c>
      <c r="L8" s="61">
        <v>111969.7</v>
      </c>
      <c r="M8" s="61">
        <v>32939.4</v>
      </c>
      <c r="N8" s="61">
        <v>108181.6</v>
      </c>
      <c r="O8" s="61">
        <v>255247.7</v>
      </c>
      <c r="Q8" s="316">
        <v>1982</v>
      </c>
      <c r="R8" s="46">
        <f t="shared" si="0"/>
        <v>195767.08297448594</v>
      </c>
      <c r="S8" s="46">
        <f t="shared" si="0"/>
        <v>11414.9372498515</v>
      </c>
      <c r="T8" s="46">
        <f t="shared" si="0"/>
        <v>110434.84787695341</v>
      </c>
      <c r="U8" s="46">
        <f t="shared" si="0"/>
        <v>30003.787253559916</v>
      </c>
      <c r="V8" s="46">
        <f t="shared" si="0"/>
        <v>93153.692786955871</v>
      </c>
      <c r="W8" s="46">
        <f t="shared" si="0"/>
        <v>216215.01355665911</v>
      </c>
      <c r="Y8" s="316">
        <v>1982</v>
      </c>
      <c r="Z8" s="46">
        <f t="shared" si="1"/>
        <v>250348.86353126334</v>
      </c>
      <c r="AA8" s="46">
        <f t="shared" si="1"/>
        <v>14723.037384972313</v>
      </c>
      <c r="AB8" s="46">
        <f t="shared" si="1"/>
        <v>131720.33618182488</v>
      </c>
      <c r="AC8" s="46">
        <f t="shared" si="1"/>
        <v>37752.059874718092</v>
      </c>
      <c r="AD8" s="46">
        <f t="shared" si="1"/>
        <v>110603.50393848766</v>
      </c>
      <c r="AE8" s="46">
        <f t="shared" si="1"/>
        <v>280660.76151849719</v>
      </c>
      <c r="AG8" s="316">
        <v>1982</v>
      </c>
      <c r="AH8" s="48">
        <f t="shared" si="2"/>
        <v>0.78197711870195374</v>
      </c>
      <c r="AI8" s="48">
        <f t="shared" si="2"/>
        <v>0.77531129965768042</v>
      </c>
      <c r="AJ8" s="48">
        <f t="shared" si="2"/>
        <v>0.83840393274209923</v>
      </c>
      <c r="AK8" s="48">
        <f t="shared" si="2"/>
        <v>0.7947589443630052</v>
      </c>
      <c r="AL8" s="48">
        <f t="shared" si="2"/>
        <v>0.84223093726545473</v>
      </c>
      <c r="AM8" s="48">
        <f t="shared" si="2"/>
        <v>0.7703784896286946</v>
      </c>
      <c r="AO8" s="316">
        <v>1982</v>
      </c>
      <c r="AP8" s="62">
        <v>4.6382883219808768E-3</v>
      </c>
      <c r="AS8" s="316">
        <v>1982</v>
      </c>
      <c r="AT8" s="308">
        <f t="shared" ref="AT8:AT46" si="39">AH8/AH7-1</f>
        <v>2.1313255579654022E-2</v>
      </c>
      <c r="AU8" s="308">
        <f t="shared" ref="AU8:AU46" si="40">AI8/AI7-1</f>
        <v>2.2899336313482177E-2</v>
      </c>
      <c r="AV8" s="308">
        <f t="shared" ref="AV8:AV46" si="41">AJ8/AJ7-1</f>
        <v>2.2835968587578526E-2</v>
      </c>
      <c r="AW8" s="308">
        <f t="shared" ref="AW8:AW46" si="42">AK8/AK7-1</f>
        <v>2.3077677000745478E-2</v>
      </c>
      <c r="AX8" s="308">
        <f t="shared" ref="AX8:AX46" si="43">AL8/AL7-1</f>
        <v>2.1837645345648582E-2</v>
      </c>
      <c r="AY8" s="308">
        <f t="shared" ref="AY8:AY46" si="44">AM8/AM7-1</f>
        <v>2.2224964624036669E-2</v>
      </c>
      <c r="BA8" s="316">
        <v>1982</v>
      </c>
      <c r="BB8" s="61">
        <v>15824.8</v>
      </c>
      <c r="BC8" s="61">
        <v>879.5</v>
      </c>
      <c r="BD8" s="61">
        <v>9676.5</v>
      </c>
      <c r="BE8" s="61">
        <v>2944.8</v>
      </c>
      <c r="BF8" s="61">
        <v>5487.1</v>
      </c>
      <c r="BG8" s="61">
        <v>15415.1</v>
      </c>
      <c r="BI8" s="316">
        <v>1982</v>
      </c>
      <c r="BJ8" s="61">
        <v>19916.900000000001</v>
      </c>
      <c r="BK8" s="61">
        <v>1104.0999999999999</v>
      </c>
      <c r="BL8" s="61">
        <v>11352.6</v>
      </c>
      <c r="BM8" s="61">
        <v>4094.7</v>
      </c>
      <c r="BN8" s="61">
        <v>6400.3</v>
      </c>
      <c r="BO8" s="61">
        <v>19326.2</v>
      </c>
      <c r="BQ8" s="316">
        <v>1982</v>
      </c>
      <c r="BR8" s="46">
        <f t="shared" si="21"/>
        <v>18126.85146371759</v>
      </c>
      <c r="BS8" s="46">
        <f t="shared" si="3"/>
        <v>872.53415600028302</v>
      </c>
      <c r="BT8" s="46">
        <f t="shared" si="3"/>
        <v>12084.377707982985</v>
      </c>
      <c r="BU8" s="46">
        <f t="shared" si="3"/>
        <v>3227.3784464458686</v>
      </c>
      <c r="BV8" s="46">
        <f t="shared" si="3"/>
        <v>5625.4485379140488</v>
      </c>
      <c r="BW8" s="46">
        <f t="shared" si="3"/>
        <v>15279.81206559483</v>
      </c>
      <c r="BY8" s="316">
        <v>1982</v>
      </c>
      <c r="BZ8" s="46">
        <f t="shared" si="4"/>
        <v>23747.124885026376</v>
      </c>
      <c r="CA8" s="46">
        <f t="shared" si="4"/>
        <v>1158.4974192658017</v>
      </c>
      <c r="CB8" s="46">
        <f t="shared" si="4"/>
        <v>14727.707403839027</v>
      </c>
      <c r="CC8" s="46">
        <f t="shared" si="4"/>
        <v>4784.6605608465607</v>
      </c>
      <c r="CD8" s="46">
        <f t="shared" si="4"/>
        <v>6776.9341684092424</v>
      </c>
      <c r="CE8" s="46">
        <f t="shared" si="4"/>
        <v>20355.251293977664</v>
      </c>
      <c r="CG8" s="316">
        <v>1982</v>
      </c>
      <c r="CH8" s="48">
        <f t="shared" si="5"/>
        <v>0.76332825769351897</v>
      </c>
      <c r="CI8" s="48">
        <f t="shared" si="5"/>
        <v>0.75316020691116603</v>
      </c>
      <c r="CJ8" s="48">
        <f t="shared" si="5"/>
        <v>0.82051994764867386</v>
      </c>
      <c r="CK8" s="48">
        <f t="shared" si="5"/>
        <v>0.67452610386949607</v>
      </c>
      <c r="CL8" s="48">
        <f t="shared" si="5"/>
        <v>0.83008752897986571</v>
      </c>
      <c r="CM8" s="48">
        <f t="shared" si="5"/>
        <v>0.75065700958039949</v>
      </c>
      <c r="CO8" s="316">
        <v>1982</v>
      </c>
      <c r="CP8" s="62">
        <v>4.6382883219808768E-3</v>
      </c>
      <c r="CS8" s="316">
        <v>1982</v>
      </c>
      <c r="CT8" s="308">
        <f t="shared" ref="CT8:CT45" si="45">CH8/CH7-1</f>
        <v>2.4520622936377912E-2</v>
      </c>
      <c r="CU8" s="308">
        <f t="shared" ref="CU8:CU46" si="46">CI8/CI7-1</f>
        <v>2.2958644108737492E-2</v>
      </c>
      <c r="CV8" s="308">
        <f t="shared" ref="CV8:CV46" si="47">CJ8/CJ7-1</f>
        <v>2.2337870969277418E-2</v>
      </c>
      <c r="CW8" s="308">
        <f t="shared" ref="CW8:CW46" si="48">CK8/CK7-1</f>
        <v>2.2114485715930998E-2</v>
      </c>
      <c r="CX8" s="308">
        <f t="shared" ref="CX8:CX46" si="49">CL8/CL7-1</f>
        <v>2.5830146846768987E-2</v>
      </c>
      <c r="CY8" s="308">
        <f t="shared" ref="CY8:CY46" si="50">CM8/CM7-1</f>
        <v>2.7812287948609793E-2</v>
      </c>
      <c r="DA8" s="316">
        <v>1982</v>
      </c>
      <c r="DB8" s="46">
        <f t="shared" si="23"/>
        <v>16140.887593876669</v>
      </c>
      <c r="DC8" s="46">
        <f t="shared" si="24"/>
        <v>792.37074737433682</v>
      </c>
      <c r="DD8" s="46">
        <f t="shared" si="25"/>
        <v>11561.681766848429</v>
      </c>
      <c r="DE8" s="46">
        <f t="shared" si="26"/>
        <v>3468.9303187602918</v>
      </c>
      <c r="DF8" s="46">
        <f t="shared" si="27"/>
        <v>3268.4073536301357</v>
      </c>
      <c r="DG8" s="46">
        <f t="shared" si="28"/>
        <v>6220.8170757038752</v>
      </c>
      <c r="DI8" s="316">
        <v>1982</v>
      </c>
      <c r="DJ8" s="88">
        <f t="shared" si="29"/>
        <v>6.6493832763886276E-2</v>
      </c>
      <c r="DK8" s="88">
        <f t="shared" si="30"/>
        <v>5.5190894699400278E-2</v>
      </c>
      <c r="DL8" s="88">
        <f t="shared" si="31"/>
        <v>8.9936165639628279E-2</v>
      </c>
      <c r="DM8" s="88">
        <f t="shared" si="32"/>
        <v>9.5205262268062543E-2</v>
      </c>
      <c r="DN8" s="88">
        <f t="shared" si="33"/>
        <v>3.0518773535519808E-2</v>
      </c>
      <c r="DO8" s="88">
        <f t="shared" si="34"/>
        <v>2.3340347419774993E-2</v>
      </c>
      <c r="DQ8" s="316">
        <v>1982</v>
      </c>
      <c r="DR8" s="61">
        <v>288613</v>
      </c>
      <c r="DS8" s="43"/>
      <c r="DT8" s="61">
        <v>294386.09999999998</v>
      </c>
      <c r="DU8" s="43"/>
      <c r="DV8" s="89">
        <v>-0.9</v>
      </c>
      <c r="DW8" s="46">
        <f t="shared" si="6"/>
        <v>291234.10696266399</v>
      </c>
      <c r="DX8" s="43"/>
      <c r="DY8" s="46">
        <f t="shared" si="7"/>
        <v>297059.63673057518</v>
      </c>
      <c r="DZ8" s="43"/>
      <c r="EB8" s="316">
        <v>1982</v>
      </c>
      <c r="EC8" s="88">
        <f t="shared" si="8"/>
        <v>6.280677399742074E-2</v>
      </c>
      <c r="ED8" s="88">
        <f t="shared" si="9"/>
        <v>3.0231976937985573E-3</v>
      </c>
      <c r="EE8" s="88">
        <f t="shared" si="10"/>
        <v>4.1870524570906321E-2</v>
      </c>
      <c r="EF8" s="88">
        <f t="shared" si="11"/>
        <v>1.1182373789281386E-2</v>
      </c>
      <c r="EG8" s="88">
        <f t="shared" si="12"/>
        <v>1.9491320688652447E-2</v>
      </c>
      <c r="EH8" s="88">
        <f t="shared" si="13"/>
        <v>5.2942216967339757E-2</v>
      </c>
      <c r="EI8" s="140"/>
      <c r="EJ8" s="316">
        <v>1982</v>
      </c>
      <c r="EK8" s="88">
        <f t="shared" si="14"/>
        <v>0.67219833904819104</v>
      </c>
      <c r="EL8" s="88">
        <f t="shared" si="15"/>
        <v>3.9195056406339412E-2</v>
      </c>
      <c r="EM8" s="88">
        <f t="shared" si="16"/>
        <v>0.37919613546881403</v>
      </c>
      <c r="EN8" s="88">
        <f t="shared" si="17"/>
        <v>0.10302291708369989</v>
      </c>
      <c r="EO8" s="88">
        <f t="shared" si="18"/>
        <v>0.31985845943139518</v>
      </c>
      <c r="EP8" s="88">
        <f t="shared" si="19"/>
        <v>0.7424096573427017</v>
      </c>
      <c r="ER8" s="316">
        <v>1982</v>
      </c>
      <c r="ES8" s="317">
        <f t="shared" si="35"/>
        <v>118693</v>
      </c>
      <c r="ET8" s="61">
        <v>27254</v>
      </c>
      <c r="EU8" s="61">
        <v>80089</v>
      </c>
      <c r="EV8" s="61">
        <v>11350</v>
      </c>
      <c r="EW8" s="88">
        <f t="shared" si="36"/>
        <v>0.22961758486178629</v>
      </c>
      <c r="EX8" s="88">
        <f t="shared" si="36"/>
        <v>0.67475756784309104</v>
      </c>
      <c r="EY8" s="88">
        <f t="shared" si="36"/>
        <v>9.5624847295122717E-2</v>
      </c>
      <c r="EZ8" s="88">
        <f t="shared" ref="EZ8:FB45" si="51">EW8-EW7</f>
        <v>-4.5363291553831286E-3</v>
      </c>
      <c r="FA8" s="88">
        <f t="shared" si="37"/>
        <v>2.2998975909788166E-3</v>
      </c>
      <c r="FB8" s="88">
        <f t="shared" si="37"/>
        <v>2.2364315644043814E-3</v>
      </c>
      <c r="FC8" s="374"/>
      <c r="FD8" s="316">
        <v>1982</v>
      </c>
      <c r="FF8" s="43"/>
      <c r="FG8" s="159">
        <v>3.7999999999999999E-2</v>
      </c>
      <c r="FH8" s="55"/>
      <c r="FO8" s="316">
        <v>1982</v>
      </c>
      <c r="FP8" s="61">
        <v>198773.39734513013</v>
      </c>
      <c r="FQ8" s="61">
        <v>11834.491191114705</v>
      </c>
      <c r="FR8" s="61">
        <v>117807.82633205278</v>
      </c>
      <c r="FS8" s="61">
        <v>50421.513314383847</v>
      </c>
      <c r="FT8" s="61">
        <v>77609.379083273889</v>
      </c>
      <c r="FU8" s="61">
        <v>205116.61976260578</v>
      </c>
      <c r="FV8" s="285">
        <f t="shared" si="38"/>
        <v>661563.22702856117</v>
      </c>
    </row>
    <row r="9" spans="1:178" hidden="1" outlineLevel="1">
      <c r="A9" s="316">
        <v>1983</v>
      </c>
      <c r="B9" s="61">
        <v>175788.7</v>
      </c>
      <c r="C9" s="61">
        <v>12551.4</v>
      </c>
      <c r="D9" s="61">
        <v>99792.2</v>
      </c>
      <c r="E9" s="61">
        <v>28221.599999999999</v>
      </c>
      <c r="F9" s="61">
        <v>94812.7</v>
      </c>
      <c r="G9" s="61">
        <v>218120.9</v>
      </c>
      <c r="I9" s="316">
        <v>1983</v>
      </c>
      <c r="J9" s="61">
        <v>216135.1</v>
      </c>
      <c r="K9" s="61">
        <v>15352.8</v>
      </c>
      <c r="L9" s="61">
        <v>114953.2</v>
      </c>
      <c r="M9" s="61">
        <v>33733.5</v>
      </c>
      <c r="N9" s="61">
        <v>109501.9</v>
      </c>
      <c r="O9" s="61">
        <v>268134.40000000002</v>
      </c>
      <c r="Q9" s="316">
        <v>1983</v>
      </c>
      <c r="R9" s="46">
        <f t="shared" si="0"/>
        <v>199324.3094840011</v>
      </c>
      <c r="S9" s="46">
        <f t="shared" si="0"/>
        <v>11702.860781025773</v>
      </c>
      <c r="T9" s="46">
        <f t="shared" si="0"/>
        <v>113020.59424511671</v>
      </c>
      <c r="U9" s="46">
        <f t="shared" si="0"/>
        <v>30657.753275031733</v>
      </c>
      <c r="V9" s="46">
        <f t="shared" si="0"/>
        <v>93949.181183064895</v>
      </c>
      <c r="W9" s="46">
        <f t="shared" si="0"/>
        <v>226855.17633565899</v>
      </c>
      <c r="Y9" s="316">
        <v>1983</v>
      </c>
      <c r="Z9" s="46">
        <f t="shared" si="1"/>
        <v>256630.48041623033</v>
      </c>
      <c r="AA9" s="46">
        <f t="shared" si="1"/>
        <v>15114.465093345651</v>
      </c>
      <c r="AB9" s="46">
        <f t="shared" si="1"/>
        <v>135230.10376179047</v>
      </c>
      <c r="AC9" s="46">
        <f t="shared" si="1"/>
        <v>38662.183032593268</v>
      </c>
      <c r="AD9" s="46">
        <f t="shared" si="1"/>
        <v>111953.36201278112</v>
      </c>
      <c r="AE9" s="46">
        <f t="shared" si="1"/>
        <v>294830.49168829073</v>
      </c>
      <c r="AG9" s="316">
        <v>1983</v>
      </c>
      <c r="AH9" s="48">
        <f t="shared" si="2"/>
        <v>0.77669772180107344</v>
      </c>
      <c r="AI9" s="48">
        <f t="shared" si="2"/>
        <v>0.77428216670255279</v>
      </c>
      <c r="AJ9" s="48">
        <f t="shared" si="2"/>
        <v>0.83576504861819756</v>
      </c>
      <c r="AK9" s="48">
        <f t="shared" si="2"/>
        <v>0.79296487860466691</v>
      </c>
      <c r="AL9" s="48">
        <f t="shared" si="2"/>
        <v>0.83918141888708286</v>
      </c>
      <c r="AM9" s="48">
        <f t="shared" si="2"/>
        <v>0.76944272295791383</v>
      </c>
      <c r="AO9" s="316">
        <v>1983</v>
      </c>
      <c r="AP9" s="62">
        <v>-6.4040509345386631E-3</v>
      </c>
      <c r="AS9" s="316">
        <v>1983</v>
      </c>
      <c r="AT9" s="308">
        <f t="shared" si="39"/>
        <v>-6.7513444762218322E-3</v>
      </c>
      <c r="AU9" s="308">
        <f t="shared" si="40"/>
        <v>-1.3273803123752259E-3</v>
      </c>
      <c r="AV9" s="308">
        <f t="shared" si="41"/>
        <v>-3.1475092385013781E-3</v>
      </c>
      <c r="AW9" s="308">
        <f t="shared" si="42"/>
        <v>-2.257370956392557E-3</v>
      </c>
      <c r="AX9" s="308">
        <f t="shared" si="43"/>
        <v>-3.6207627189200897E-3</v>
      </c>
      <c r="AY9" s="308">
        <f t="shared" si="44"/>
        <v>-1.2146843186545686E-3</v>
      </c>
      <c r="BA9" s="316">
        <v>1983</v>
      </c>
      <c r="BB9" s="61">
        <v>15146.3</v>
      </c>
      <c r="BC9" s="61">
        <v>912.3</v>
      </c>
      <c r="BD9" s="61">
        <v>10073.1</v>
      </c>
      <c r="BE9" s="61">
        <v>2723.3</v>
      </c>
      <c r="BF9" s="61">
        <v>3761.3</v>
      </c>
      <c r="BG9" s="61">
        <v>15657.9</v>
      </c>
      <c r="BI9" s="316">
        <v>1983</v>
      </c>
      <c r="BJ9" s="61">
        <v>19093.900000000001</v>
      </c>
      <c r="BK9" s="61">
        <v>1145.7</v>
      </c>
      <c r="BL9" s="61">
        <v>11839.9</v>
      </c>
      <c r="BM9" s="61">
        <v>3792.3</v>
      </c>
      <c r="BN9" s="61">
        <v>4391.2</v>
      </c>
      <c r="BO9" s="61">
        <v>19642.099999999999</v>
      </c>
      <c r="BQ9" s="316">
        <v>1983</v>
      </c>
      <c r="BR9" s="46">
        <f t="shared" si="21"/>
        <v>17349.649305198531</v>
      </c>
      <c r="BS9" s="46">
        <f t="shared" si="3"/>
        <v>905.07437239233445</v>
      </c>
      <c r="BT9" s="46">
        <f t="shared" si="3"/>
        <v>12579.666727668415</v>
      </c>
      <c r="BU9" s="46">
        <f t="shared" si="3"/>
        <v>2984.6236495538014</v>
      </c>
      <c r="BV9" s="46">
        <f t="shared" si="3"/>
        <v>3856.1352236438393</v>
      </c>
      <c r="BW9" s="46">
        <f t="shared" si="3"/>
        <v>15520.481173776185</v>
      </c>
      <c r="BY9" s="316">
        <v>1983</v>
      </c>
      <c r="BZ9" s="46">
        <f t="shared" si="4"/>
        <v>22765.853513458678</v>
      </c>
      <c r="CA9" s="46">
        <f t="shared" si="4"/>
        <v>1202.146991443555</v>
      </c>
      <c r="CB9" s="46">
        <f t="shared" si="4"/>
        <v>15359.880810626084</v>
      </c>
      <c r="CC9" s="46">
        <f t="shared" si="4"/>
        <v>4431.3058941798945</v>
      </c>
      <c r="CD9" s="46">
        <f t="shared" si="4"/>
        <v>4649.606006018259</v>
      </c>
      <c r="CE9" s="46">
        <f t="shared" si="4"/>
        <v>20687.971843478732</v>
      </c>
      <c r="CG9" s="316">
        <v>1983</v>
      </c>
      <c r="CH9" s="48">
        <f t="shared" si="5"/>
        <v>0.76209087855817903</v>
      </c>
      <c r="CI9" s="48">
        <f t="shared" si="5"/>
        <v>0.75288161833313616</v>
      </c>
      <c r="CJ9" s="48">
        <f t="shared" si="5"/>
        <v>0.81899507442568853</v>
      </c>
      <c r="CK9" s="48">
        <f t="shared" si="5"/>
        <v>0.67353139702538367</v>
      </c>
      <c r="CL9" s="48">
        <f t="shared" si="5"/>
        <v>0.82934666263176193</v>
      </c>
      <c r="CM9" s="48">
        <f t="shared" si="5"/>
        <v>0.75021762844619078</v>
      </c>
      <c r="CO9" s="316">
        <v>1983</v>
      </c>
      <c r="CP9" s="62">
        <v>-6.4040509345386631E-3</v>
      </c>
      <c r="CS9" s="316">
        <v>1983</v>
      </c>
      <c r="CT9" s="308">
        <f t="shared" si="45"/>
        <v>-1.6210314800592096E-3</v>
      </c>
      <c r="CU9" s="308">
        <f t="shared" si="46"/>
        <v>-3.6989285343735911E-4</v>
      </c>
      <c r="CV9" s="308">
        <f t="shared" si="47"/>
        <v>-1.8584230978845317E-3</v>
      </c>
      <c r="CW9" s="308">
        <f t="shared" si="48"/>
        <v>-1.4746750917513651E-3</v>
      </c>
      <c r="CX9" s="308">
        <f t="shared" si="49"/>
        <v>-8.9251593625827574E-4</v>
      </c>
      <c r="CY9" s="308">
        <f t="shared" si="50"/>
        <v>-5.8532875681038821E-4</v>
      </c>
      <c r="DA9" s="316">
        <v>1983</v>
      </c>
      <c r="DB9" s="46">
        <f t="shared" si="23"/>
        <v>16484.236628491686</v>
      </c>
      <c r="DC9" s="46">
        <f t="shared" si="24"/>
        <v>810.71928307021722</v>
      </c>
      <c r="DD9" s="46">
        <f t="shared" si="25"/>
        <v>11850.1132306605</v>
      </c>
      <c r="DE9" s="46">
        <f t="shared" si="26"/>
        <v>3521.1827363047187</v>
      </c>
      <c r="DF9" s="46">
        <f t="shared" si="27"/>
        <v>3299.7479317248017</v>
      </c>
      <c r="DG9" s="46">
        <f t="shared" si="28"/>
        <v>6518.2416736851992</v>
      </c>
      <c r="DI9" s="316">
        <v>1983</v>
      </c>
      <c r="DJ9" s="88">
        <f t="shared" si="29"/>
        <v>6.5845062749538497E-2</v>
      </c>
      <c r="DK9" s="88">
        <f t="shared" si="30"/>
        <v>5.5064675981717735E-2</v>
      </c>
      <c r="DL9" s="88">
        <f t="shared" si="31"/>
        <v>8.9964189085448218E-2</v>
      </c>
      <c r="DM9" s="88">
        <f t="shared" si="32"/>
        <v>9.3271274414957014E-2</v>
      </c>
      <c r="DN9" s="88">
        <f t="shared" si="33"/>
        <v>2.9834027080733017E-2</v>
      </c>
      <c r="DO9" s="88">
        <f t="shared" si="34"/>
        <v>2.3224627619545631E-2</v>
      </c>
      <c r="DQ9" s="316">
        <v>1983</v>
      </c>
      <c r="DR9" s="61">
        <v>301844.09999999998</v>
      </c>
      <c r="DS9" s="43"/>
      <c r="DT9" s="61">
        <v>305072.90000000002</v>
      </c>
      <c r="DU9" s="43"/>
      <c r="DV9" s="89">
        <v>-1.2</v>
      </c>
      <c r="DW9" s="46">
        <f t="shared" si="6"/>
        <v>305510.22267206473</v>
      </c>
      <c r="DX9" s="43"/>
      <c r="DY9" s="46">
        <f t="shared" si="7"/>
        <v>308778.23886639677</v>
      </c>
      <c r="DZ9" s="43"/>
      <c r="EB9" s="316">
        <v>1983</v>
      </c>
      <c r="EC9" s="88">
        <f t="shared" si="8"/>
        <v>5.7478841909444418E-2</v>
      </c>
      <c r="ED9" s="88">
        <f t="shared" si="9"/>
        <v>2.9984829002532585E-3</v>
      </c>
      <c r="EE9" s="88">
        <f t="shared" si="10"/>
        <v>4.1676039808856348E-2</v>
      </c>
      <c r="EF9" s="88">
        <f t="shared" si="11"/>
        <v>9.8879641826817282E-3</v>
      </c>
      <c r="EG9" s="88">
        <f t="shared" si="12"/>
        <v>1.2775254588855107E-2</v>
      </c>
      <c r="EH9" s="88">
        <f t="shared" si="13"/>
        <v>5.1418865479816188E-2</v>
      </c>
      <c r="EI9" s="140"/>
      <c r="EJ9" s="316">
        <v>1983</v>
      </c>
      <c r="EK9" s="88">
        <f t="shared" si="14"/>
        <v>0.65243089982607949</v>
      </c>
      <c r="EL9" s="88">
        <f t="shared" si="15"/>
        <v>3.8305954801347665E-2</v>
      </c>
      <c r="EM9" s="88">
        <f t="shared" si="16"/>
        <v>0.36994046633402916</v>
      </c>
      <c r="EN9" s="88">
        <f t="shared" si="17"/>
        <v>0.10034935331096867</v>
      </c>
      <c r="EO9" s="88">
        <f t="shared" si="18"/>
        <v>0.30751567119870199</v>
      </c>
      <c r="EP9" s="88">
        <f t="shared" si="19"/>
        <v>0.74254528817900078</v>
      </c>
      <c r="ER9" s="316">
        <v>1983</v>
      </c>
      <c r="ES9" s="317">
        <f t="shared" si="35"/>
        <v>119483</v>
      </c>
      <c r="ET9" s="61">
        <v>26907</v>
      </c>
      <c r="EU9" s="61">
        <v>80904</v>
      </c>
      <c r="EV9" s="61">
        <v>11672</v>
      </c>
      <c r="EW9" s="88">
        <f t="shared" si="36"/>
        <v>0.22519521605584059</v>
      </c>
      <c r="EX9" s="88">
        <f t="shared" si="36"/>
        <v>0.67711724680498486</v>
      </c>
      <c r="EY9" s="88">
        <f t="shared" si="36"/>
        <v>9.7687537139174607E-2</v>
      </c>
      <c r="EZ9" s="88">
        <f t="shared" si="51"/>
        <v>-4.4223688059457089E-3</v>
      </c>
      <c r="FA9" s="88">
        <f t="shared" si="37"/>
        <v>2.3596789618938185E-3</v>
      </c>
      <c r="FB9" s="88">
        <f t="shared" si="37"/>
        <v>2.0626898440518904E-3</v>
      </c>
      <c r="FC9" s="374"/>
      <c r="FD9" s="316">
        <v>1983</v>
      </c>
      <c r="FF9" s="43"/>
      <c r="FG9" s="159">
        <v>3.9E-2</v>
      </c>
      <c r="FH9" s="55"/>
      <c r="FO9" s="316">
        <v>1983</v>
      </c>
      <c r="FP9" s="61">
        <v>186580.87495231561</v>
      </c>
      <c r="FQ9" s="61">
        <v>11846.53137729371</v>
      </c>
      <c r="FR9" s="61">
        <v>119700.25530258204</v>
      </c>
      <c r="FS9" s="61">
        <v>44205.767500736722</v>
      </c>
      <c r="FT9" s="61">
        <v>61030.108693556635</v>
      </c>
      <c r="FU9" s="61">
        <v>208059.28149195394</v>
      </c>
      <c r="FV9" s="285">
        <f t="shared" si="38"/>
        <v>631422.81931843865</v>
      </c>
    </row>
    <row r="10" spans="1:178" hidden="1" outlineLevel="1">
      <c r="A10" s="316">
        <v>1984</v>
      </c>
      <c r="B10" s="61">
        <v>182887.3</v>
      </c>
      <c r="C10" s="61">
        <v>13027.3</v>
      </c>
      <c r="D10" s="61">
        <v>104642.2</v>
      </c>
      <c r="E10" s="61">
        <v>29470.3</v>
      </c>
      <c r="F10" s="61">
        <v>97650.3</v>
      </c>
      <c r="G10" s="61">
        <v>231281.7</v>
      </c>
      <c r="I10" s="316">
        <v>1984</v>
      </c>
      <c r="J10" s="61">
        <v>220855.5</v>
      </c>
      <c r="K10" s="61">
        <v>15663.3</v>
      </c>
      <c r="L10" s="61">
        <v>118405.7</v>
      </c>
      <c r="M10" s="61">
        <v>34599.9</v>
      </c>
      <c r="N10" s="61">
        <v>110731.2</v>
      </c>
      <c r="O10" s="61">
        <v>279948.5</v>
      </c>
      <c r="Q10" s="316">
        <v>1984</v>
      </c>
      <c r="R10" s="46">
        <f t="shared" si="0"/>
        <v>207373.31117354729</v>
      </c>
      <c r="S10" s="46">
        <f t="shared" si="0"/>
        <v>12146.587492443634</v>
      </c>
      <c r="T10" s="46">
        <f t="shared" si="0"/>
        <v>118513.50733941483</v>
      </c>
      <c r="U10" s="46">
        <f t="shared" si="0"/>
        <v>32014.243924553099</v>
      </c>
      <c r="V10" s="46">
        <f t="shared" si="0"/>
        <v>96760.937377383423</v>
      </c>
      <c r="W10" s="46">
        <f t="shared" si="0"/>
        <v>240542.97793889075</v>
      </c>
      <c r="Y10" s="316">
        <v>1984</v>
      </c>
      <c r="Z10" s="46">
        <f t="shared" si="1"/>
        <v>262235.30128871597</v>
      </c>
      <c r="AA10" s="46">
        <f t="shared" si="1"/>
        <v>15420.144930996363</v>
      </c>
      <c r="AB10" s="46">
        <f t="shared" si="1"/>
        <v>139291.59951169201</v>
      </c>
      <c r="AC10" s="46">
        <f t="shared" si="1"/>
        <v>39655.169689164301</v>
      </c>
      <c r="AD10" s="46">
        <f t="shared" si="1"/>
        <v>113210.18283435875</v>
      </c>
      <c r="AE10" s="46">
        <f t="shared" si="1"/>
        <v>307820.83127864031</v>
      </c>
      <c r="AG10" s="316">
        <v>1984</v>
      </c>
      <c r="AH10" s="48">
        <f t="shared" si="2"/>
        <v>0.79079098105572487</v>
      </c>
      <c r="AI10" s="48">
        <f t="shared" si="2"/>
        <v>0.7877090356023515</v>
      </c>
      <c r="AJ10" s="48">
        <f t="shared" si="2"/>
        <v>0.85083025648985333</v>
      </c>
      <c r="AK10" s="48">
        <f t="shared" si="2"/>
        <v>0.80731577182737235</v>
      </c>
      <c r="AL10" s="48">
        <f t="shared" si="2"/>
        <v>0.85470171458831823</v>
      </c>
      <c r="AM10" s="48">
        <f t="shared" si="2"/>
        <v>0.78143827024218038</v>
      </c>
      <c r="AO10" s="316">
        <v>1984</v>
      </c>
      <c r="AP10" s="62">
        <v>8.9934797271973288E-4</v>
      </c>
      <c r="AS10" s="316">
        <v>1984</v>
      </c>
      <c r="AT10" s="308">
        <f t="shared" si="39"/>
        <v>1.814510183185658E-2</v>
      </c>
      <c r="AU10" s="308">
        <f t="shared" si="40"/>
        <v>1.7341054046201121E-2</v>
      </c>
      <c r="AV10" s="308">
        <f t="shared" si="41"/>
        <v>1.8025649548953471E-2</v>
      </c>
      <c r="AW10" s="308">
        <f t="shared" si="42"/>
        <v>1.8097766508849533E-2</v>
      </c>
      <c r="AX10" s="308">
        <f t="shared" si="43"/>
        <v>1.8494565480034364E-2</v>
      </c>
      <c r="AY10" s="308">
        <f t="shared" si="44"/>
        <v>1.5589915826551559E-2</v>
      </c>
      <c r="BA10" s="316">
        <v>1984</v>
      </c>
      <c r="BB10" s="61">
        <v>15096</v>
      </c>
      <c r="BC10" s="61">
        <v>872.5</v>
      </c>
      <c r="BD10" s="61">
        <v>10849.7</v>
      </c>
      <c r="BE10" s="61">
        <v>2885.4</v>
      </c>
      <c r="BF10" s="61">
        <v>3791.8</v>
      </c>
      <c r="BG10" s="61">
        <v>15279.8</v>
      </c>
      <c r="BI10" s="316">
        <v>1984</v>
      </c>
      <c r="BJ10" s="61">
        <v>18716.900000000001</v>
      </c>
      <c r="BK10" s="61">
        <v>1075</v>
      </c>
      <c r="BL10" s="61">
        <v>12521.8</v>
      </c>
      <c r="BM10" s="61">
        <v>3943.5</v>
      </c>
      <c r="BN10" s="61">
        <v>4362.8</v>
      </c>
      <c r="BO10" s="61">
        <v>18852.900000000001</v>
      </c>
      <c r="BQ10" s="316">
        <v>1984</v>
      </c>
      <c r="BR10" s="46">
        <f t="shared" si="21"/>
        <v>17292.032107595718</v>
      </c>
      <c r="BS10" s="46">
        <f t="shared" si="3"/>
        <v>865.58959762393044</v>
      </c>
      <c r="BT10" s="46">
        <f t="shared" si="3"/>
        <v>13549.514061727175</v>
      </c>
      <c r="BU10" s="46">
        <f t="shared" si="3"/>
        <v>3162.2785144576574</v>
      </c>
      <c r="BV10" s="46">
        <f t="shared" si="3"/>
        <v>3887.4042328484061</v>
      </c>
      <c r="BW10" s="46">
        <f t="shared" si="3"/>
        <v>15145.699502427869</v>
      </c>
      <c r="BY10" s="316">
        <v>1984</v>
      </c>
      <c r="BZ10" s="46">
        <f t="shared" si="4"/>
        <v>22316.352532801302</v>
      </c>
      <c r="CA10" s="46">
        <f t="shared" si="4"/>
        <v>1127.9637041126136</v>
      </c>
      <c r="CB10" s="46">
        <f t="shared" si="4"/>
        <v>16244.508444707952</v>
      </c>
      <c r="CC10" s="46">
        <f t="shared" si="4"/>
        <v>4607.9832275132276</v>
      </c>
      <c r="CD10" s="46">
        <f t="shared" si="4"/>
        <v>4619.53477023512</v>
      </c>
      <c r="CE10" s="46">
        <f t="shared" si="4"/>
        <v>19856.749755266505</v>
      </c>
      <c r="CG10" s="316">
        <v>1984</v>
      </c>
      <c r="CH10" s="48">
        <f t="shared" si="5"/>
        <v>0.77485924647315574</v>
      </c>
      <c r="CI10" s="48">
        <f t="shared" si="5"/>
        <v>0.76739135706933326</v>
      </c>
      <c r="CJ10" s="48">
        <f t="shared" si="5"/>
        <v>0.83409812662821836</v>
      </c>
      <c r="CK10" s="48">
        <f t="shared" si="5"/>
        <v>0.68626085606744536</v>
      </c>
      <c r="CL10" s="48">
        <f t="shared" si="5"/>
        <v>0.84151422734080839</v>
      </c>
      <c r="CM10" s="48">
        <f t="shared" si="5"/>
        <v>0.76274816820969671</v>
      </c>
      <c r="CO10" s="316">
        <v>1984</v>
      </c>
      <c r="CP10" s="62">
        <v>8.9934797271973288E-4</v>
      </c>
      <c r="CS10" s="316">
        <v>1984</v>
      </c>
      <c r="CT10" s="308">
        <f t="shared" si="45"/>
        <v>1.6754390157684984E-2</v>
      </c>
      <c r="CU10" s="308">
        <f t="shared" si="46"/>
        <v>1.9272271208216507E-2</v>
      </c>
      <c r="CV10" s="308">
        <f t="shared" si="47"/>
        <v>1.8440956086482885E-2</v>
      </c>
      <c r="CW10" s="308">
        <f t="shared" si="48"/>
        <v>1.8899577804807111E-2</v>
      </c>
      <c r="CX10" s="308">
        <f t="shared" si="49"/>
        <v>1.4671265053910254E-2</v>
      </c>
      <c r="CY10" s="308">
        <f t="shared" si="50"/>
        <v>1.670253975430902E-2</v>
      </c>
      <c r="DA10" s="316">
        <v>1984</v>
      </c>
      <c r="DB10" s="46">
        <f t="shared" si="23"/>
        <v>16711.531660315664</v>
      </c>
      <c r="DC10" s="46">
        <f t="shared" si="24"/>
        <v>822.28386646190143</v>
      </c>
      <c r="DD10" s="46">
        <f t="shared" si="25"/>
        <v>12183.012694806408</v>
      </c>
      <c r="DE10" s="46">
        <f t="shared" si="26"/>
        <v>3614.9965709421949</v>
      </c>
      <c r="DF10" s="46">
        <f t="shared" si="27"/>
        <v>3362.7139486574806</v>
      </c>
      <c r="DG10" s="46">
        <f t="shared" si="28"/>
        <v>6866.4101649169206</v>
      </c>
      <c r="DI10" s="316">
        <v>1984</v>
      </c>
      <c r="DJ10" s="88">
        <f t="shared" si="29"/>
        <v>6.5119044445582391E-2</v>
      </c>
      <c r="DK10" s="88">
        <f t="shared" si="30"/>
        <v>5.4403768931519984E-2</v>
      </c>
      <c r="DL10" s="88">
        <f t="shared" si="31"/>
        <v>9.009098089776621E-2</v>
      </c>
      <c r="DM10" s="88">
        <f t="shared" si="32"/>
        <v>9.3502132766136226E-2</v>
      </c>
      <c r="DN10" s="88">
        <f t="shared" si="33"/>
        <v>3.0036739301081264E-2</v>
      </c>
      <c r="DO10" s="88">
        <f t="shared" si="34"/>
        <v>2.3289348824125106E-2</v>
      </c>
      <c r="DQ10" s="316">
        <v>1984</v>
      </c>
      <c r="DR10" s="61">
        <v>319663.59999999998</v>
      </c>
      <c r="DS10" s="43"/>
      <c r="DT10" s="61">
        <v>318529.3</v>
      </c>
      <c r="DU10" s="43"/>
      <c r="DV10" s="89">
        <v>-0.7</v>
      </c>
      <c r="DW10" s="46">
        <f t="shared" si="6"/>
        <v>321917.01913393755</v>
      </c>
      <c r="DX10" s="43"/>
      <c r="DY10" s="46">
        <f t="shared" si="7"/>
        <v>320774.72306142998</v>
      </c>
      <c r="DZ10" s="43"/>
      <c r="EB10" s="316">
        <v>1984</v>
      </c>
      <c r="EC10" s="88">
        <f t="shared" si="8"/>
        <v>5.4094467144822619E-2</v>
      </c>
      <c r="ED10" s="88">
        <f t="shared" si="9"/>
        <v>2.7078140821286205E-3</v>
      </c>
      <c r="EE10" s="88">
        <f t="shared" si="10"/>
        <v>4.2386790556469912E-2</v>
      </c>
      <c r="EF10" s="88">
        <f t="shared" si="11"/>
        <v>9.8925198691926682E-3</v>
      </c>
      <c r="EG10" s="88">
        <f t="shared" si="12"/>
        <v>1.2160922397321455E-2</v>
      </c>
      <c r="EH10" s="88">
        <f t="shared" si="13"/>
        <v>4.7380119295496487E-2</v>
      </c>
      <c r="EI10" s="140"/>
      <c r="EJ10" s="316">
        <v>1984</v>
      </c>
      <c r="EK10" s="88">
        <f t="shared" si="14"/>
        <v>0.64418250309178926</v>
      </c>
      <c r="EL10" s="88">
        <f t="shared" si="15"/>
        <v>3.7732045124926734E-2</v>
      </c>
      <c r="EM10" s="88">
        <f t="shared" si="16"/>
        <v>0.36814924435575064</v>
      </c>
      <c r="EN10" s="88">
        <f t="shared" si="17"/>
        <v>9.9448746172792993E-2</v>
      </c>
      <c r="EO10" s="88">
        <f t="shared" si="18"/>
        <v>0.30057726564970721</v>
      </c>
      <c r="EP10" s="88">
        <f t="shared" si="19"/>
        <v>0.74722044390827902</v>
      </c>
      <c r="ER10" s="316">
        <v>1984</v>
      </c>
      <c r="ES10" s="317">
        <f t="shared" si="35"/>
        <v>120236</v>
      </c>
      <c r="ET10" s="61">
        <v>26504</v>
      </c>
      <c r="EU10" s="61">
        <v>81776</v>
      </c>
      <c r="EV10" s="61">
        <v>11956</v>
      </c>
      <c r="EW10" s="88">
        <f t="shared" si="36"/>
        <v>0.22043314814198742</v>
      </c>
      <c r="EX10" s="88">
        <f t="shared" si="36"/>
        <v>0.6801290794770285</v>
      </c>
      <c r="EY10" s="88">
        <f t="shared" si="36"/>
        <v>9.9437772380984071E-2</v>
      </c>
      <c r="EZ10" s="88">
        <f t="shared" si="51"/>
        <v>-4.7620679138531685E-3</v>
      </c>
      <c r="FA10" s="88">
        <f t="shared" si="37"/>
        <v>3.011832672043635E-3</v>
      </c>
      <c r="FB10" s="88">
        <f t="shared" si="37"/>
        <v>1.7502352418094641E-3</v>
      </c>
      <c r="FC10" s="374"/>
      <c r="FD10" s="316">
        <v>1984</v>
      </c>
      <c r="FF10" s="43"/>
      <c r="FG10" s="159">
        <v>0.04</v>
      </c>
      <c r="FH10" s="55"/>
      <c r="FO10" s="316">
        <v>1984</v>
      </c>
      <c r="FP10" s="61">
        <v>183316.46164974963</v>
      </c>
      <c r="FQ10" s="61">
        <v>10878.346928778528</v>
      </c>
      <c r="FR10" s="61">
        <v>132872.6220074202</v>
      </c>
      <c r="FS10" s="61">
        <v>41202.14601206415</v>
      </c>
      <c r="FT10" s="61">
        <v>56797.668049522254</v>
      </c>
      <c r="FU10" s="61">
        <v>205529.40862902641</v>
      </c>
      <c r="FV10" s="285">
        <f t="shared" si="38"/>
        <v>630596.65327656118</v>
      </c>
    </row>
    <row r="11" spans="1:178" hidden="1" outlineLevel="1">
      <c r="A11" s="316">
        <v>1985</v>
      </c>
      <c r="B11" s="61">
        <v>187832.8</v>
      </c>
      <c r="C11" s="61">
        <v>13257</v>
      </c>
      <c r="D11" s="61">
        <v>108033.7</v>
      </c>
      <c r="E11" s="61">
        <v>29886.5</v>
      </c>
      <c r="F11" s="61">
        <v>99596.800000000003</v>
      </c>
      <c r="G11" s="61">
        <v>240210.4</v>
      </c>
      <c r="I11" s="316">
        <v>1985</v>
      </c>
      <c r="J11" s="61">
        <v>226068.2</v>
      </c>
      <c r="K11" s="61">
        <v>15906.5</v>
      </c>
      <c r="L11" s="61">
        <v>122068.6</v>
      </c>
      <c r="M11" s="61">
        <v>35033.800000000003</v>
      </c>
      <c r="N11" s="61">
        <v>112699</v>
      </c>
      <c r="O11" s="61">
        <v>291324.2</v>
      </c>
      <c r="Q11" s="316">
        <v>1985</v>
      </c>
      <c r="R11" s="46">
        <f t="shared" si="0"/>
        <v>212980.94336238041</v>
      </c>
      <c r="S11" s="46">
        <f t="shared" si="0"/>
        <v>12360.758590600144</v>
      </c>
      <c r="T11" s="46">
        <f t="shared" si="0"/>
        <v>122354.58254752042</v>
      </c>
      <c r="U11" s="46">
        <f t="shared" si="0"/>
        <v>32466.371263650395</v>
      </c>
      <c r="V11" s="46">
        <f t="shared" si="0"/>
        <v>98689.709379159947</v>
      </c>
      <c r="W11" s="46">
        <f t="shared" si="0"/>
        <v>249829.21237560999</v>
      </c>
      <c r="Y11" s="316">
        <v>1985</v>
      </c>
      <c r="Z11" s="46">
        <f t="shared" si="1"/>
        <v>268424.6601909289</v>
      </c>
      <c r="AA11" s="46">
        <f t="shared" si="1"/>
        <v>15659.569525252895</v>
      </c>
      <c r="AB11" s="46">
        <f t="shared" si="1"/>
        <v>143600.60828281855</v>
      </c>
      <c r="AC11" s="46">
        <f t="shared" si="1"/>
        <v>40152.465291987668</v>
      </c>
      <c r="AD11" s="46">
        <f t="shared" si="1"/>
        <v>115222.03674528404</v>
      </c>
      <c r="AE11" s="46">
        <f t="shared" si="1"/>
        <v>320329.12273359165</v>
      </c>
      <c r="AG11" s="316">
        <v>1985</v>
      </c>
      <c r="AH11" s="48">
        <f t="shared" si="2"/>
        <v>0.79344775256821898</v>
      </c>
      <c r="AI11" s="48">
        <f t="shared" si="2"/>
        <v>0.78934217001731555</v>
      </c>
      <c r="AJ11" s="48">
        <f t="shared" si="2"/>
        <v>0.85204780126380453</v>
      </c>
      <c r="AK11" s="48">
        <f t="shared" si="2"/>
        <v>0.8085772823052283</v>
      </c>
      <c r="AL11" s="48">
        <f t="shared" si="2"/>
        <v>0.85651766074339286</v>
      </c>
      <c r="AM11" s="48">
        <f t="shared" si="2"/>
        <v>0.77991414031806794</v>
      </c>
      <c r="AO11" s="316">
        <v>1985</v>
      </c>
      <c r="AP11" s="62">
        <v>-7.5627105952855711E-3</v>
      </c>
      <c r="AS11" s="316">
        <v>1985</v>
      </c>
      <c r="AT11" s="308">
        <f t="shared" si="39"/>
        <v>3.3596381043032864E-3</v>
      </c>
      <c r="AU11" s="308">
        <f t="shared" si="40"/>
        <v>2.0732711460078601E-3</v>
      </c>
      <c r="AV11" s="308">
        <f t="shared" si="41"/>
        <v>1.4310078475279209E-3</v>
      </c>
      <c r="AW11" s="308">
        <f t="shared" si="42"/>
        <v>1.5625985789928798E-3</v>
      </c>
      <c r="AX11" s="308">
        <f t="shared" si="43"/>
        <v>2.1246548638893525E-3</v>
      </c>
      <c r="AY11" s="308">
        <f t="shared" si="44"/>
        <v>-1.9504162800217939E-3</v>
      </c>
      <c r="BA11" s="316">
        <v>1985</v>
      </c>
      <c r="BB11" s="61">
        <v>15768.9</v>
      </c>
      <c r="BC11" s="61">
        <v>832.7</v>
      </c>
      <c r="BD11" s="61">
        <v>11330.8</v>
      </c>
      <c r="BE11" s="61">
        <v>2598.6</v>
      </c>
      <c r="BF11" s="61">
        <v>4534.5</v>
      </c>
      <c r="BG11" s="61">
        <v>15146.7</v>
      </c>
      <c r="BI11" s="316">
        <v>1985</v>
      </c>
      <c r="BJ11" s="61">
        <v>19390.2</v>
      </c>
      <c r="BK11" s="61">
        <v>1019.9</v>
      </c>
      <c r="BL11" s="61">
        <v>12982.5</v>
      </c>
      <c r="BM11" s="61">
        <v>3525.7</v>
      </c>
      <c r="BN11" s="61">
        <v>5164.6000000000004</v>
      </c>
      <c r="BO11" s="61">
        <v>18682.5</v>
      </c>
      <c r="BQ11" s="316">
        <v>1985</v>
      </c>
      <c r="BR11" s="46">
        <f t="shared" si="21"/>
        <v>18062.819627813074</v>
      </c>
      <c r="BS11" s="46">
        <f t="shared" si="3"/>
        <v>826.10482285552666</v>
      </c>
      <c r="BT11" s="46">
        <f t="shared" si="3"/>
        <v>14150.329864477198</v>
      </c>
      <c r="BU11" s="46">
        <f t="shared" si="3"/>
        <v>2847.9576307165967</v>
      </c>
      <c r="BV11" s="46">
        <f t="shared" si="3"/>
        <v>4648.8302373150209</v>
      </c>
      <c r="BW11" s="46">
        <f t="shared" si="3"/>
        <v>15013.76763134493</v>
      </c>
      <c r="BY11" s="316">
        <v>1985</v>
      </c>
      <c r="BZ11" s="46">
        <f t="shared" si="4"/>
        <v>23119.135053428919</v>
      </c>
      <c r="CA11" s="46">
        <f t="shared" si="4"/>
        <v>1070.14900634833</v>
      </c>
      <c r="CB11" s="46">
        <f t="shared" si="4"/>
        <v>16842.173719706516</v>
      </c>
      <c r="CC11" s="46">
        <f t="shared" si="4"/>
        <v>4119.7835590828918</v>
      </c>
      <c r="CD11" s="46">
        <f t="shared" si="4"/>
        <v>5468.5177579435913</v>
      </c>
      <c r="CE11" s="46">
        <f t="shared" si="4"/>
        <v>19677.276562373241</v>
      </c>
      <c r="CG11" s="316">
        <v>1985</v>
      </c>
      <c r="CH11" s="48">
        <f t="shared" si="5"/>
        <v>0.78129305383049286</v>
      </c>
      <c r="CI11" s="48">
        <f t="shared" si="5"/>
        <v>0.77195308125776296</v>
      </c>
      <c r="CJ11" s="48">
        <f t="shared" si="5"/>
        <v>0.84017242073214859</v>
      </c>
      <c r="CK11" s="48">
        <f t="shared" si="5"/>
        <v>0.69128816838877394</v>
      </c>
      <c r="CL11" s="48">
        <f t="shared" si="5"/>
        <v>0.85010791645727235</v>
      </c>
      <c r="CM11" s="48">
        <f t="shared" si="5"/>
        <v>0.76300028531662545</v>
      </c>
      <c r="CO11" s="316">
        <v>1985</v>
      </c>
      <c r="CP11" s="62">
        <v>-7.5627105952855711E-3</v>
      </c>
      <c r="CS11" s="316">
        <v>1985</v>
      </c>
      <c r="CT11" s="308">
        <f t="shared" si="45"/>
        <v>8.3031949178140607E-3</v>
      </c>
      <c r="CU11" s="308">
        <f t="shared" si="46"/>
        <v>5.9444560411143765E-3</v>
      </c>
      <c r="CV11" s="308">
        <f t="shared" si="47"/>
        <v>7.2824694241733212E-3</v>
      </c>
      <c r="CW11" s="308">
        <f t="shared" si="48"/>
        <v>7.3256579868727911E-3</v>
      </c>
      <c r="CX11" s="308">
        <f t="shared" si="49"/>
        <v>1.0212173291020976E-2</v>
      </c>
      <c r="CY11" s="308">
        <f t="shared" si="50"/>
        <v>3.3053780715142089E-4</v>
      </c>
      <c r="DA11" s="316">
        <v>1985</v>
      </c>
      <c r="DB11" s="46">
        <f t="shared" si="23"/>
        <v>16929.776151215989</v>
      </c>
      <c r="DC11" s="46">
        <f t="shared" si="24"/>
        <v>830.72441209179783</v>
      </c>
      <c r="DD11" s="46">
        <f t="shared" si="25"/>
        <v>12533.164948579979</v>
      </c>
      <c r="DE11" s="46">
        <f t="shared" si="26"/>
        <v>3622.4879562595243</v>
      </c>
      <c r="DF11" s="46">
        <f t="shared" si="27"/>
        <v>3456.6638470183025</v>
      </c>
      <c r="DG11" s="46">
        <f t="shared" si="28"/>
        <v>7168.9851074219041</v>
      </c>
      <c r="DI11" s="316">
        <v>1985</v>
      </c>
      <c r="DJ11" s="88">
        <f t="shared" si="29"/>
        <v>6.455948557656864E-2</v>
      </c>
      <c r="DK11" s="88">
        <f t="shared" si="30"/>
        <v>5.3872672131760641E-2</v>
      </c>
      <c r="DL11" s="88">
        <f t="shared" si="31"/>
        <v>8.9977895239317401E-2</v>
      </c>
      <c r="DM11" s="88">
        <f t="shared" si="32"/>
        <v>9.1349702564741828E-2</v>
      </c>
      <c r="DN11" s="88">
        <f t="shared" si="33"/>
        <v>3.0533153118177118E-2</v>
      </c>
      <c r="DO11" s="88">
        <f t="shared" si="34"/>
        <v>2.3289473547462802E-2</v>
      </c>
      <c r="DQ11" s="316">
        <v>1985</v>
      </c>
      <c r="DR11" s="61">
        <v>340395.3</v>
      </c>
      <c r="DS11" s="43"/>
      <c r="DT11" s="61">
        <v>334964.8</v>
      </c>
      <c r="DU11" s="43"/>
      <c r="DV11" s="89">
        <v>0.1</v>
      </c>
      <c r="DW11" s="46">
        <f t="shared" si="6"/>
        <v>340055.24475524476</v>
      </c>
      <c r="DX11" s="43"/>
      <c r="DY11" s="46">
        <f t="shared" si="7"/>
        <v>334630.16983016988</v>
      </c>
      <c r="DZ11" s="43"/>
      <c r="EB11" s="316">
        <v>1985</v>
      </c>
      <c r="EC11" s="88">
        <f t="shared" si="8"/>
        <v>5.3064245093316725E-2</v>
      </c>
      <c r="ED11" s="88">
        <f t="shared" si="9"/>
        <v>2.4268984408877758E-3</v>
      </c>
      <c r="EE11" s="88">
        <f t="shared" si="10"/>
        <v>4.1570285678084275E-2</v>
      </c>
      <c r="EF11" s="88">
        <f t="shared" si="11"/>
        <v>8.3666185482484529E-3</v>
      </c>
      <c r="EG11" s="88">
        <f t="shared" si="12"/>
        <v>1.3657151662537706E-2</v>
      </c>
      <c r="EH11" s="88">
        <f t="shared" si="13"/>
        <v>4.4106859381856711E-2</v>
      </c>
      <c r="EI11" s="140"/>
      <c r="EJ11" s="316">
        <v>1985</v>
      </c>
      <c r="EK11" s="88">
        <f t="shared" si="14"/>
        <v>0.62631277313682887</v>
      </c>
      <c r="EL11" s="88">
        <f t="shared" si="15"/>
        <v>3.634926613026309E-2</v>
      </c>
      <c r="EM11" s="88">
        <f t="shared" si="16"/>
        <v>0.35980795601486842</v>
      </c>
      <c r="EN11" s="88">
        <f t="shared" si="17"/>
        <v>9.547381422397444E-2</v>
      </c>
      <c r="EO11" s="88">
        <f t="shared" si="18"/>
        <v>0.29021669537898764</v>
      </c>
      <c r="EP11" s="88">
        <f t="shared" si="19"/>
        <v>0.73467242816803169</v>
      </c>
      <c r="ER11" s="316">
        <v>1985</v>
      </c>
      <c r="ES11" s="317">
        <f t="shared" si="35"/>
        <v>121049</v>
      </c>
      <c r="ET11" s="61">
        <v>26042</v>
      </c>
      <c r="EU11" s="61">
        <v>82535</v>
      </c>
      <c r="EV11" s="61">
        <v>12472</v>
      </c>
      <c r="EW11" s="88">
        <f t="shared" si="36"/>
        <v>0.21513601929797024</v>
      </c>
      <c r="EX11" s="88">
        <f t="shared" si="36"/>
        <v>0.68183132450495254</v>
      </c>
      <c r="EY11" s="88">
        <f t="shared" si="36"/>
        <v>0.10303265619707722</v>
      </c>
      <c r="EZ11" s="88">
        <f t="shared" si="51"/>
        <v>-5.2971288440171738E-3</v>
      </c>
      <c r="FA11" s="88">
        <f t="shared" si="37"/>
        <v>1.7022450279240431E-3</v>
      </c>
      <c r="FB11" s="88">
        <f t="shared" si="37"/>
        <v>3.5948838160931446E-3</v>
      </c>
      <c r="FC11" s="374"/>
      <c r="FD11" s="316">
        <v>1985</v>
      </c>
      <c r="FE11" s="130"/>
      <c r="FF11" s="43"/>
      <c r="FG11" s="159">
        <v>4.2999999999999997E-2</v>
      </c>
      <c r="FH11" s="55"/>
      <c r="FJ11" s="130"/>
      <c r="FN11" s="130"/>
      <c r="FO11" s="316">
        <v>1985</v>
      </c>
      <c r="FP11" s="61">
        <v>188008.8058138889</v>
      </c>
      <c r="FQ11" s="61">
        <v>10689.203736029876</v>
      </c>
      <c r="FR11" s="61">
        <v>140469.11870846161</v>
      </c>
      <c r="FS11" s="61">
        <v>37619.325192198623</v>
      </c>
      <c r="FT11" s="61">
        <v>59616.226028088997</v>
      </c>
      <c r="FU11" s="61">
        <v>200436.81777592422</v>
      </c>
      <c r="FV11" s="285">
        <f t="shared" si="38"/>
        <v>636839.49725459225</v>
      </c>
    </row>
    <row r="12" spans="1:178" hidden="1" outlineLevel="1">
      <c r="A12" s="316">
        <v>1986</v>
      </c>
      <c r="B12" s="61">
        <v>190496.9</v>
      </c>
      <c r="C12" s="61">
        <v>13216.2</v>
      </c>
      <c r="D12" s="61">
        <v>109794.9</v>
      </c>
      <c r="E12" s="61">
        <v>29576.5</v>
      </c>
      <c r="F12" s="61">
        <v>100219.1</v>
      </c>
      <c r="G12" s="61">
        <v>246865.2</v>
      </c>
      <c r="I12" s="316">
        <v>1986</v>
      </c>
      <c r="J12" s="61">
        <v>232471.2</v>
      </c>
      <c r="K12" s="61">
        <v>16178.4</v>
      </c>
      <c r="L12" s="61">
        <v>126622</v>
      </c>
      <c r="M12" s="61">
        <v>35393.699999999997</v>
      </c>
      <c r="N12" s="61">
        <v>115410.4</v>
      </c>
      <c r="O12" s="61">
        <v>303944</v>
      </c>
      <c r="Q12" s="316">
        <v>1986</v>
      </c>
      <c r="R12" s="46">
        <f t="shared" si="0"/>
        <v>216001.72850327013</v>
      </c>
      <c r="S12" s="46">
        <f t="shared" si="0"/>
        <v>12322.716880522716</v>
      </c>
      <c r="T12" s="46">
        <f t="shared" si="0"/>
        <v>124349.24616436119</v>
      </c>
      <c r="U12" s="46">
        <f t="shared" si="0"/>
        <v>32129.61135226125</v>
      </c>
      <c r="V12" s="46">
        <f t="shared" si="0"/>
        <v>99306.341702152771</v>
      </c>
      <c r="W12" s="46">
        <f t="shared" si="0"/>
        <v>256750.49239727939</v>
      </c>
      <c r="Y12" s="316">
        <v>1986</v>
      </c>
      <c r="Z12" s="46">
        <f t="shared" si="1"/>
        <v>276027.33539780241</v>
      </c>
      <c r="AA12" s="46">
        <f t="shared" si="1"/>
        <v>15927.248584374402</v>
      </c>
      <c r="AB12" s="46">
        <f t="shared" si="1"/>
        <v>148957.19474121148</v>
      </c>
      <c r="AC12" s="46">
        <f t="shared" si="1"/>
        <v>40564.94901509468</v>
      </c>
      <c r="AD12" s="46">
        <f t="shared" si="1"/>
        <v>117994.13792125866</v>
      </c>
      <c r="AE12" s="46">
        <f t="shared" si="1"/>
        <v>334205.37971146504</v>
      </c>
      <c r="AG12" s="316">
        <v>1986</v>
      </c>
      <c r="AH12" s="48">
        <f t="shared" si="2"/>
        <v>0.78253745482118586</v>
      </c>
      <c r="AI12" s="48">
        <f t="shared" si="2"/>
        <v>0.77368773490557874</v>
      </c>
      <c r="AJ12" s="48">
        <f t="shared" si="2"/>
        <v>0.83479852302802471</v>
      </c>
      <c r="AK12" s="48">
        <f t="shared" si="2"/>
        <v>0.79205353716346238</v>
      </c>
      <c r="AL12" s="48">
        <f t="shared" si="2"/>
        <v>0.84162097754740273</v>
      </c>
      <c r="AM12" s="48">
        <f t="shared" si="2"/>
        <v>0.76824165014621837</v>
      </c>
      <c r="AO12" s="316">
        <v>1986</v>
      </c>
      <c r="AP12" s="62">
        <v>-4.6929228912023557E-2</v>
      </c>
      <c r="AS12" s="316">
        <v>1986</v>
      </c>
      <c r="AT12" s="308">
        <f t="shared" si="39"/>
        <v>-1.3750492974135775E-2</v>
      </c>
      <c r="AU12" s="308">
        <f t="shared" si="40"/>
        <v>-1.9832254890668533E-2</v>
      </c>
      <c r="AV12" s="308">
        <f t="shared" si="41"/>
        <v>-2.0244495919354177E-2</v>
      </c>
      <c r="AW12" s="308">
        <f t="shared" si="42"/>
        <v>-2.0435579261709247E-2</v>
      </c>
      <c r="AX12" s="308">
        <f t="shared" si="43"/>
        <v>-1.7392149489434905E-2</v>
      </c>
      <c r="AY12" s="308">
        <f t="shared" si="44"/>
        <v>-1.4966378436335637E-2</v>
      </c>
      <c r="BA12" s="316">
        <v>1986</v>
      </c>
      <c r="BB12" s="61">
        <v>16729</v>
      </c>
      <c r="BC12" s="61">
        <v>852.5</v>
      </c>
      <c r="BD12" s="61">
        <v>12179.5</v>
      </c>
      <c r="BE12" s="61">
        <v>2531.4</v>
      </c>
      <c r="BF12" s="61">
        <v>5182</v>
      </c>
      <c r="BG12" s="61">
        <v>16180.7</v>
      </c>
      <c r="BI12" s="316">
        <v>1986</v>
      </c>
      <c r="BJ12" s="61">
        <v>20770.8</v>
      </c>
      <c r="BK12" s="61">
        <v>1057.5</v>
      </c>
      <c r="BL12" s="61">
        <v>14134.9</v>
      </c>
      <c r="BM12" s="61">
        <v>3478</v>
      </c>
      <c r="BN12" s="61">
        <v>5964</v>
      </c>
      <c r="BO12" s="61">
        <v>20155.599999999999</v>
      </c>
      <c r="BQ12" s="316">
        <v>1986</v>
      </c>
      <c r="BR12" s="46">
        <f t="shared" si="21"/>
        <v>19162.586455217861</v>
      </c>
      <c r="BS12" s="46">
        <f t="shared" si="3"/>
        <v>845.74800226292359</v>
      </c>
      <c r="BT12" s="46">
        <f t="shared" si="3"/>
        <v>15210.218394499949</v>
      </c>
      <c r="BU12" s="46">
        <f t="shared" si="3"/>
        <v>2774.3092228107412</v>
      </c>
      <c r="BV12" s="46">
        <f t="shared" si="3"/>
        <v>5312.6559245267263</v>
      </c>
      <c r="BW12" s="46">
        <f t="shared" si="3"/>
        <v>16038.692910832255</v>
      </c>
      <c r="BY12" s="316">
        <v>1986</v>
      </c>
      <c r="BZ12" s="46">
        <f t="shared" si="4"/>
        <v>24765.23864466387</v>
      </c>
      <c r="CA12" s="46">
        <f t="shared" si="4"/>
        <v>1109.6015042782224</v>
      </c>
      <c r="CB12" s="46">
        <f t="shared" si="4"/>
        <v>18337.180151024811</v>
      </c>
      <c r="CC12" s="46">
        <f t="shared" si="4"/>
        <v>4064.0460670193997</v>
      </c>
      <c r="CD12" s="46">
        <f t="shared" si="4"/>
        <v>6314.9595144591212</v>
      </c>
      <c r="CE12" s="46">
        <f t="shared" si="4"/>
        <v>21228.813888964007</v>
      </c>
      <c r="CG12" s="316">
        <v>1986</v>
      </c>
      <c r="CH12" s="48">
        <f t="shared" si="5"/>
        <v>0.77376950532018374</v>
      </c>
      <c r="CI12" s="48">
        <f t="shared" si="5"/>
        <v>0.76220877405268916</v>
      </c>
      <c r="CJ12" s="48">
        <f t="shared" si="5"/>
        <v>0.8294742304557603</v>
      </c>
      <c r="CK12" s="48">
        <f t="shared" si="5"/>
        <v>0.68264709037745708</v>
      </c>
      <c r="CL12" s="48">
        <f t="shared" si="5"/>
        <v>0.84128107430657972</v>
      </c>
      <c r="CM12" s="48">
        <f t="shared" si="5"/>
        <v>0.75551526310992423</v>
      </c>
      <c r="CO12" s="316">
        <v>1986</v>
      </c>
      <c r="CP12" s="62">
        <v>-4.6929228912023557E-2</v>
      </c>
      <c r="CS12" s="316">
        <v>1986</v>
      </c>
      <c r="CT12" s="308">
        <f t="shared" si="45"/>
        <v>-9.6296114158739288E-3</v>
      </c>
      <c r="CU12" s="308">
        <f t="shared" si="46"/>
        <v>-1.2622926757669184E-2</v>
      </c>
      <c r="CV12" s="308">
        <f t="shared" si="47"/>
        <v>-1.2733327127145699E-2</v>
      </c>
      <c r="CW12" s="308">
        <f t="shared" si="48"/>
        <v>-1.2499965146889669E-2</v>
      </c>
      <c r="CX12" s="308">
        <f t="shared" si="49"/>
        <v>-1.0383201920383778E-2</v>
      </c>
      <c r="CY12" s="308">
        <f t="shared" si="50"/>
        <v>-9.8099861176266234E-3</v>
      </c>
      <c r="DA12" s="316">
        <v>1986</v>
      </c>
      <c r="DB12" s="46">
        <f t="shared" si="23"/>
        <v>17162.563437790363</v>
      </c>
      <c r="DC12" s="46">
        <f t="shared" si="24"/>
        <v>841.92244515671564</v>
      </c>
      <c r="DD12" s="46">
        <f t="shared" si="25"/>
        <v>12980.593692631875</v>
      </c>
      <c r="DE12" s="46">
        <f t="shared" si="26"/>
        <v>3651.5623439123874</v>
      </c>
      <c r="DF12" s="46">
        <f t="shared" si="27"/>
        <v>3542.8583384845033</v>
      </c>
      <c r="DG12" s="46">
        <f t="shared" si="28"/>
        <v>7352.5569110906181</v>
      </c>
      <c r="DI12" s="316">
        <v>1986</v>
      </c>
      <c r="DJ12" s="88">
        <f t="shared" si="29"/>
        <v>6.3938102503632605E-2</v>
      </c>
      <c r="DK12" s="88">
        <f t="shared" si="30"/>
        <v>5.3764086158244441E-2</v>
      </c>
      <c r="DL12" s="88">
        <f t="shared" si="31"/>
        <v>9.0393723591106617E-2</v>
      </c>
      <c r="DM12" s="88">
        <f t="shared" si="32"/>
        <v>9.0942419534101385E-2</v>
      </c>
      <c r="DN12" s="88">
        <f t="shared" si="33"/>
        <v>3.0748096792599964E-2</v>
      </c>
      <c r="DO12" s="88">
        <f t="shared" si="34"/>
        <v>2.2953132853941363E-2</v>
      </c>
      <c r="DQ12" s="316">
        <v>1986</v>
      </c>
      <c r="DR12" s="61">
        <v>357276.1</v>
      </c>
      <c r="DS12" s="43"/>
      <c r="DT12" s="61">
        <v>345998.7</v>
      </c>
      <c r="DU12" s="43"/>
      <c r="DV12" s="89">
        <v>-1</v>
      </c>
      <c r="DW12" s="46">
        <f t="shared" si="6"/>
        <v>360884.94949494948</v>
      </c>
      <c r="DX12" s="43"/>
      <c r="DY12" s="46">
        <f t="shared" si="7"/>
        <v>349493.63636363635</v>
      </c>
      <c r="DZ12" s="43"/>
      <c r="EB12" s="316">
        <v>1986</v>
      </c>
      <c r="EC12" s="88">
        <f t="shared" si="8"/>
        <v>5.3635231842314286E-2</v>
      </c>
      <c r="ED12" s="88">
        <f t="shared" si="9"/>
        <v>2.367211247164094E-3</v>
      </c>
      <c r="EE12" s="88">
        <f t="shared" si="10"/>
        <v>4.2572728471061874E-2</v>
      </c>
      <c r="EF12" s="88">
        <f t="shared" si="11"/>
        <v>7.7651687946961503E-3</v>
      </c>
      <c r="EG12" s="88">
        <f t="shared" si="12"/>
        <v>1.4869888930512639E-2</v>
      </c>
      <c r="EH12" s="88">
        <f t="shared" si="13"/>
        <v>4.4891591995188752E-2</v>
      </c>
      <c r="EI12" s="140"/>
      <c r="EJ12" s="316">
        <v>1986</v>
      </c>
      <c r="EK12" s="88">
        <f t="shared" si="14"/>
        <v>0.59853349053641547</v>
      </c>
      <c r="EL12" s="88">
        <f t="shared" si="15"/>
        <v>3.4145832065781867E-2</v>
      </c>
      <c r="EM12" s="88">
        <f t="shared" si="16"/>
        <v>0.34456755910265918</v>
      </c>
      <c r="EN12" s="88">
        <f t="shared" si="17"/>
        <v>8.9030067330948356E-2</v>
      </c>
      <c r="EO12" s="88">
        <f t="shared" si="18"/>
        <v>0.27517451708953172</v>
      </c>
      <c r="EP12" s="88">
        <f t="shared" si="19"/>
        <v>0.71144693830151695</v>
      </c>
      <c r="ER12" s="316">
        <v>1986</v>
      </c>
      <c r="ES12" s="317">
        <f t="shared" si="35"/>
        <v>121672</v>
      </c>
      <c r="ET12" s="61">
        <v>25434</v>
      </c>
      <c r="EU12" s="61">
        <v>83368</v>
      </c>
      <c r="EV12" s="61">
        <v>12870</v>
      </c>
      <c r="EW12" s="88">
        <f t="shared" si="36"/>
        <v>0.20903741205864948</v>
      </c>
      <c r="EX12" s="88">
        <f t="shared" si="36"/>
        <v>0.68518640278782295</v>
      </c>
      <c r="EY12" s="88">
        <f t="shared" si="36"/>
        <v>0.10577618515352752</v>
      </c>
      <c r="EZ12" s="88">
        <f t="shared" si="51"/>
        <v>-6.0986072393207635E-3</v>
      </c>
      <c r="FA12" s="88">
        <f t="shared" si="37"/>
        <v>3.3550782828704051E-3</v>
      </c>
      <c r="FB12" s="88">
        <f t="shared" si="37"/>
        <v>2.7435289564503029E-3</v>
      </c>
      <c r="FC12" s="374"/>
      <c r="FD12" s="316">
        <v>1986</v>
      </c>
      <c r="FE12" s="130"/>
      <c r="FF12" s="43"/>
      <c r="FG12" s="159">
        <v>4.4999999999999998E-2</v>
      </c>
      <c r="FH12" s="55"/>
      <c r="FJ12" s="130"/>
      <c r="FN12" s="130"/>
      <c r="FO12" s="316">
        <v>1986</v>
      </c>
      <c r="FP12" s="61">
        <v>203669.28314025773</v>
      </c>
      <c r="FQ12" s="61">
        <v>10804.187502570989</v>
      </c>
      <c r="FR12" s="61">
        <v>148434.06157465052</v>
      </c>
      <c r="FS12" s="61">
        <v>37726.933350944273</v>
      </c>
      <c r="FT12" s="61">
        <v>62402.797154670094</v>
      </c>
      <c r="FU12" s="61">
        <v>219883.88842543331</v>
      </c>
      <c r="FV12" s="285">
        <f t="shared" si="38"/>
        <v>682921.15114852693</v>
      </c>
    </row>
    <row r="13" spans="1:178" hidden="1" outlineLevel="1">
      <c r="A13" s="316">
        <v>1987</v>
      </c>
      <c r="B13" s="61">
        <v>205383.4</v>
      </c>
      <c r="C13" s="61">
        <v>13678.4</v>
      </c>
      <c r="D13" s="61">
        <v>116731.5</v>
      </c>
      <c r="E13" s="61">
        <v>30490.7</v>
      </c>
      <c r="F13" s="61">
        <v>105054.9</v>
      </c>
      <c r="G13" s="61">
        <v>263341.59999999998</v>
      </c>
      <c r="I13" s="316">
        <v>1987</v>
      </c>
      <c r="J13" s="61">
        <v>243148.1</v>
      </c>
      <c r="K13" s="61">
        <v>16355.1</v>
      </c>
      <c r="L13" s="61">
        <v>132085.79999999999</v>
      </c>
      <c r="M13" s="61">
        <v>35831.9</v>
      </c>
      <c r="N13" s="61">
        <v>118875.7</v>
      </c>
      <c r="O13" s="61">
        <v>318040.8</v>
      </c>
      <c r="Q13" s="316">
        <v>1987</v>
      </c>
      <c r="R13" s="46">
        <f t="shared" si="0"/>
        <v>232881.31935941498</v>
      </c>
      <c r="S13" s="46">
        <f t="shared" si="0"/>
        <v>12753.669782429284</v>
      </c>
      <c r="T13" s="46">
        <f t="shared" si="0"/>
        <v>132205.35770454846</v>
      </c>
      <c r="U13" s="46">
        <f t="shared" si="0"/>
        <v>33122.72719417078</v>
      </c>
      <c r="V13" s="46">
        <f t="shared" si="0"/>
        <v>104098.09903387165</v>
      </c>
      <c r="W13" s="46">
        <f t="shared" si="0"/>
        <v>273886.66150063829</v>
      </c>
      <c r="Y13" s="316">
        <v>1987</v>
      </c>
      <c r="Z13" s="46">
        <f t="shared" si="1"/>
        <v>288704.67460071784</v>
      </c>
      <c r="AA13" s="46">
        <f t="shared" si="1"/>
        <v>16101.205516138911</v>
      </c>
      <c r="AB13" s="46">
        <f t="shared" si="1"/>
        <v>155384.76910133084</v>
      </c>
      <c r="AC13" s="46">
        <f t="shared" si="1"/>
        <v>41067.172875793462</v>
      </c>
      <c r="AD13" s="46">
        <f t="shared" si="1"/>
        <v>121537.01695242515</v>
      </c>
      <c r="AE13" s="46">
        <f t="shared" si="1"/>
        <v>349705.69028419082</v>
      </c>
      <c r="AG13" s="316">
        <v>1987</v>
      </c>
      <c r="AH13" s="48">
        <f t="shared" si="2"/>
        <v>0.80664201118839773</v>
      </c>
      <c r="AI13" s="48">
        <f t="shared" si="2"/>
        <v>0.79209409318114399</v>
      </c>
      <c r="AJ13" s="48">
        <f t="shared" si="2"/>
        <v>0.8508257177917713</v>
      </c>
      <c r="AK13" s="48">
        <f t="shared" si="2"/>
        <v>0.80654997348732915</v>
      </c>
      <c r="AL13" s="48">
        <f t="shared" si="2"/>
        <v>0.85651352685922966</v>
      </c>
      <c r="AM13" s="48">
        <f t="shared" si="2"/>
        <v>0.78319189281153057</v>
      </c>
      <c r="AO13" s="316">
        <v>1987</v>
      </c>
      <c r="AP13" s="62">
        <v>-3.1190626979107017E-2</v>
      </c>
      <c r="AS13" s="316">
        <v>1987</v>
      </c>
      <c r="AT13" s="308">
        <f t="shared" si="39"/>
        <v>3.0803070471201677E-2</v>
      </c>
      <c r="AU13" s="308">
        <f t="shared" si="40"/>
        <v>2.3790422731480465E-2</v>
      </c>
      <c r="AV13" s="308">
        <f t="shared" si="41"/>
        <v>1.9198877719155405E-2</v>
      </c>
      <c r="AW13" s="308">
        <f t="shared" si="42"/>
        <v>1.8302344025609818E-2</v>
      </c>
      <c r="AX13" s="308">
        <f t="shared" si="43"/>
        <v>1.7695078555700627E-2</v>
      </c>
      <c r="AY13" s="308">
        <f t="shared" si="44"/>
        <v>1.946033863494212E-2</v>
      </c>
      <c r="BA13" s="316">
        <v>1987</v>
      </c>
      <c r="BB13" s="61">
        <v>20685.400000000001</v>
      </c>
      <c r="BC13" s="61">
        <v>788.1</v>
      </c>
      <c r="BD13" s="61">
        <v>13271.2</v>
      </c>
      <c r="BE13" s="61">
        <v>2620.1999999999998</v>
      </c>
      <c r="BF13" s="61">
        <v>5912.5</v>
      </c>
      <c r="BG13" s="61">
        <v>17642</v>
      </c>
      <c r="BI13" s="316">
        <v>1987</v>
      </c>
      <c r="BJ13" s="61">
        <v>25302.3</v>
      </c>
      <c r="BK13" s="61">
        <v>972</v>
      </c>
      <c r="BL13" s="61">
        <v>15380.2</v>
      </c>
      <c r="BM13" s="61">
        <v>3597.7</v>
      </c>
      <c r="BN13" s="61">
        <v>6801.3</v>
      </c>
      <c r="BO13" s="61">
        <v>21902.6</v>
      </c>
      <c r="BQ13" s="316">
        <v>1987</v>
      </c>
      <c r="BR13" s="46">
        <f t="shared" si="21"/>
        <v>23694.528415372319</v>
      </c>
      <c r="BS13" s="46">
        <f t="shared" si="3"/>
        <v>781.85806520048095</v>
      </c>
      <c r="BT13" s="46">
        <f t="shared" si="3"/>
        <v>16573.574478187755</v>
      </c>
      <c r="BU13" s="46">
        <f t="shared" si="3"/>
        <v>2871.6303332577645</v>
      </c>
      <c r="BV13" s="46">
        <f t="shared" si="3"/>
        <v>6061.5743253115143</v>
      </c>
      <c r="BW13" s="46">
        <f t="shared" si="3"/>
        <v>17487.168066455877</v>
      </c>
      <c r="BY13" s="316">
        <v>1987</v>
      </c>
      <c r="BZ13" s="46">
        <f t="shared" si="4"/>
        <v>30168.19273975382</v>
      </c>
      <c r="CA13" s="46">
        <f t="shared" si="4"/>
        <v>1019.8890422301959</v>
      </c>
      <c r="CB13" s="46">
        <f t="shared" si="4"/>
        <v>19952.705583965348</v>
      </c>
      <c r="CC13" s="46">
        <f t="shared" si="4"/>
        <v>4203.9156225749548</v>
      </c>
      <c r="CD13" s="46">
        <f t="shared" si="4"/>
        <v>7201.5315468965164</v>
      </c>
      <c r="CE13" s="46">
        <f t="shared" si="4"/>
        <v>23068.835414694826</v>
      </c>
      <c r="CG13" s="316">
        <v>1987</v>
      </c>
      <c r="CH13" s="48">
        <f t="shared" si="5"/>
        <v>0.78541424803843496</v>
      </c>
      <c r="CI13" s="48">
        <f t="shared" si="5"/>
        <v>0.76661090846783542</v>
      </c>
      <c r="CJ13" s="48">
        <f t="shared" si="5"/>
        <v>0.83064296260186521</v>
      </c>
      <c r="CK13" s="48">
        <f t="shared" si="5"/>
        <v>0.68308467416357233</v>
      </c>
      <c r="CL13" s="48">
        <f t="shared" si="5"/>
        <v>0.84170627953768196</v>
      </c>
      <c r="CM13" s="48">
        <f t="shared" si="5"/>
        <v>0.75804295067780347</v>
      </c>
      <c r="CO13" s="316">
        <v>1987</v>
      </c>
      <c r="CP13" s="62">
        <v>-3.1190626979107017E-2</v>
      </c>
      <c r="CS13" s="316">
        <v>1987</v>
      </c>
      <c r="CT13" s="308">
        <f t="shared" si="45"/>
        <v>1.5049368885935444E-2</v>
      </c>
      <c r="CU13" s="308">
        <f t="shared" si="46"/>
        <v>5.7754969045291649E-3</v>
      </c>
      <c r="CV13" s="308">
        <f t="shared" si="47"/>
        <v>1.409003562971245E-3</v>
      </c>
      <c r="CW13" s="308">
        <f t="shared" si="48"/>
        <v>6.4101025593377159E-4</v>
      </c>
      <c r="CX13" s="308">
        <f t="shared" si="49"/>
        <v>5.054258845091919E-4</v>
      </c>
      <c r="CY13" s="308">
        <f t="shared" si="50"/>
        <v>3.3456472573096807E-3</v>
      </c>
      <c r="DA13" s="316">
        <v>1987</v>
      </c>
      <c r="DB13" s="46">
        <f t="shared" si="23"/>
        <v>17490.853536838385</v>
      </c>
      <c r="DC13" s="46">
        <f t="shared" si="24"/>
        <v>845.93211046568672</v>
      </c>
      <c r="DD13" s="46">
        <f t="shared" si="25"/>
        <v>13525.131223845994</v>
      </c>
      <c r="DE13" s="46">
        <f t="shared" si="26"/>
        <v>3701.6917618761736</v>
      </c>
      <c r="DF13" s="46">
        <f t="shared" si="27"/>
        <v>3658.6525157300239</v>
      </c>
      <c r="DG13" s="46">
        <f t="shared" si="28"/>
        <v>7568.524841969047</v>
      </c>
      <c r="DI13" s="316">
        <v>1987</v>
      </c>
      <c r="DJ13" s="88">
        <f t="shared" si="29"/>
        <v>6.3366381853562026E-2</v>
      </c>
      <c r="DK13" s="88">
        <f t="shared" si="30"/>
        <v>5.3112256394089154E-2</v>
      </c>
      <c r="DL13" s="88">
        <f t="shared" si="31"/>
        <v>9.0798777778701295E-2</v>
      </c>
      <c r="DM13" s="88">
        <f t="shared" si="32"/>
        <v>9.1253455304448478E-2</v>
      </c>
      <c r="DN13" s="88">
        <f t="shared" si="33"/>
        <v>3.1007070183194711E-2</v>
      </c>
      <c r="DO13" s="88">
        <f t="shared" si="34"/>
        <v>2.2646328579460046E-2</v>
      </c>
      <c r="DQ13" s="316">
        <v>1987</v>
      </c>
      <c r="DR13" s="61">
        <v>373273</v>
      </c>
      <c r="DS13" s="43"/>
      <c r="DT13" s="61">
        <v>362083.7</v>
      </c>
      <c r="DU13" s="43"/>
      <c r="DV13" s="89">
        <v>-1</v>
      </c>
      <c r="DW13" s="46">
        <f t="shared" si="6"/>
        <v>377043.43434343435</v>
      </c>
      <c r="DX13" s="43"/>
      <c r="DY13" s="46">
        <f t="shared" si="7"/>
        <v>365741.11111111112</v>
      </c>
      <c r="DZ13" s="43"/>
      <c r="EB13" s="316">
        <v>1987</v>
      </c>
      <c r="EC13" s="88">
        <f t="shared" si="8"/>
        <v>6.3477745283940484E-2</v>
      </c>
      <c r="ED13" s="88">
        <f t="shared" si="9"/>
        <v>2.0946011771558106E-3</v>
      </c>
      <c r="EE13" s="88">
        <f t="shared" si="10"/>
        <v>4.4400678533373039E-2</v>
      </c>
      <c r="EF13" s="88">
        <f t="shared" si="11"/>
        <v>7.6931102256465496E-3</v>
      </c>
      <c r="EG13" s="88">
        <f t="shared" si="12"/>
        <v>1.6238984135770639E-2</v>
      </c>
      <c r="EH13" s="88">
        <f t="shared" si="13"/>
        <v>4.6848199753145491E-2</v>
      </c>
      <c r="EI13" s="140"/>
      <c r="EJ13" s="316">
        <v>1987</v>
      </c>
      <c r="EK13" s="88">
        <f t="shared" si="14"/>
        <v>0.61765117264259894</v>
      </c>
      <c r="EL13" s="88">
        <f t="shared" si="15"/>
        <v>3.3825465770642375E-2</v>
      </c>
      <c r="EM13" s="88">
        <f t="shared" si="16"/>
        <v>0.35063694434771059</v>
      </c>
      <c r="EN13" s="88">
        <f t="shared" si="17"/>
        <v>8.7848571748369353E-2</v>
      </c>
      <c r="EO13" s="88">
        <f t="shared" si="18"/>
        <v>0.27609047009436238</v>
      </c>
      <c r="EP13" s="88">
        <f t="shared" si="19"/>
        <v>0.72640612871981602</v>
      </c>
      <c r="ER13" s="316">
        <v>1987</v>
      </c>
      <c r="ES13" s="317">
        <f t="shared" si="35"/>
        <v>122264</v>
      </c>
      <c r="ET13" s="61">
        <v>24753</v>
      </c>
      <c r="EU13" s="61">
        <v>84189</v>
      </c>
      <c r="EV13" s="61">
        <v>13322</v>
      </c>
      <c r="EW13" s="88">
        <f t="shared" si="36"/>
        <v>0.20245534253745992</v>
      </c>
      <c r="EX13" s="88">
        <f t="shared" si="36"/>
        <v>0.68858372047372896</v>
      </c>
      <c r="EY13" s="88">
        <f t="shared" si="36"/>
        <v>0.1089609369888111</v>
      </c>
      <c r="EZ13" s="88">
        <f t="shared" si="51"/>
        <v>-6.5820695211895597E-3</v>
      </c>
      <c r="FA13" s="88">
        <f t="shared" si="37"/>
        <v>3.3973176859060095E-3</v>
      </c>
      <c r="FB13" s="88">
        <f t="shared" si="37"/>
        <v>3.184751835283578E-3</v>
      </c>
      <c r="FC13" s="374"/>
      <c r="FD13" s="316">
        <v>1987</v>
      </c>
      <c r="FE13" s="159">
        <v>5.0023503649634996E-2</v>
      </c>
      <c r="FF13" s="43"/>
      <c r="FG13" s="159">
        <v>4.7E-2</v>
      </c>
      <c r="FH13" s="55"/>
      <c r="FI13" s="319">
        <f>FE13-FG13</f>
        <v>3.0235036496349954E-3</v>
      </c>
      <c r="FJ13" s="130"/>
      <c r="FK13" s="345">
        <f t="shared" ref="FK13:FK45" si="52">SUM(EK13:EL13)-(24.0959475629*(EW13-EW12)+0.793461523015+0.837029275127*FE13)</f>
        <v>-2.525481956297948E-2</v>
      </c>
      <c r="FL13" s="345">
        <f t="shared" ref="FL13:FL46" si="53">EM13-(4.79228258068*(EW13-EW12) + 0.334886759052 + 1.54914698576*FE13)</f>
        <v>-3.0200437489054321E-2</v>
      </c>
      <c r="FM13" s="345">
        <f t="shared" ref="FM13:FM45" si="54">EG13-(-1.26996838471*(EW13-EW12) + 0.0104066687 + 0.130732498683*(FE13-FI13))</f>
        <v>-8.6711322002043893E-3</v>
      </c>
      <c r="FN13" s="130"/>
      <c r="FO13" s="316">
        <v>1987</v>
      </c>
      <c r="FP13" s="61">
        <v>247527.87236867321</v>
      </c>
      <c r="FQ13" s="61">
        <v>10735.465389144465</v>
      </c>
      <c r="FR13" s="61">
        <v>158980.90996544124</v>
      </c>
      <c r="FS13" s="61">
        <v>38865.962509917081</v>
      </c>
      <c r="FT13" s="61">
        <v>66344.736357248345</v>
      </c>
      <c r="FU13" s="61">
        <v>233292.84543566033</v>
      </c>
      <c r="FV13" s="285">
        <f t="shared" si="38"/>
        <v>755747.79202608461</v>
      </c>
    </row>
    <row r="14" spans="1:178" hidden="1" outlineLevel="1">
      <c r="A14" s="316">
        <v>1988</v>
      </c>
      <c r="B14" s="61">
        <v>218530.8</v>
      </c>
      <c r="C14" s="61">
        <v>14009.8</v>
      </c>
      <c r="D14" s="61">
        <v>126032.5</v>
      </c>
      <c r="E14" s="61">
        <v>30960.400000000001</v>
      </c>
      <c r="F14" s="61">
        <v>110060.8</v>
      </c>
      <c r="G14" s="61">
        <v>280527</v>
      </c>
      <c r="I14" s="316">
        <v>1988</v>
      </c>
      <c r="J14" s="61">
        <v>256381.5</v>
      </c>
      <c r="K14" s="61">
        <v>16538.7</v>
      </c>
      <c r="L14" s="61">
        <v>140383.79999999999</v>
      </c>
      <c r="M14" s="61">
        <v>35783.199999999997</v>
      </c>
      <c r="N14" s="61">
        <v>122213.2</v>
      </c>
      <c r="O14" s="61">
        <v>333456.5</v>
      </c>
      <c r="Q14" s="316">
        <v>1988</v>
      </c>
      <c r="R14" s="46">
        <f t="shared" si="0"/>
        <v>247788.96943311117</v>
      </c>
      <c r="S14" s="46">
        <f t="shared" si="0"/>
        <v>13062.665437322918</v>
      </c>
      <c r="T14" s="46">
        <f t="shared" si="0"/>
        <v>142739.29269219111</v>
      </c>
      <c r="U14" s="46">
        <f t="shared" si="0"/>
        <v>33632.972776040078</v>
      </c>
      <c r="V14" s="46">
        <f t="shared" si="0"/>
        <v>109058.40715803968</v>
      </c>
      <c r="W14" s="46">
        <f t="shared" si="0"/>
        <v>291760.22128972242</v>
      </c>
      <c r="Y14" s="316">
        <v>1988</v>
      </c>
      <c r="Z14" s="46">
        <f t="shared" si="1"/>
        <v>304417.50328768324</v>
      </c>
      <c r="AA14" s="46">
        <f t="shared" si="1"/>
        <v>16281.955333184549</v>
      </c>
      <c r="AB14" s="46">
        <f t="shared" si="1"/>
        <v>165146.47561333168</v>
      </c>
      <c r="AC14" s="46">
        <f t="shared" si="1"/>
        <v>41011.35749008823</v>
      </c>
      <c r="AD14" s="46">
        <f t="shared" si="1"/>
        <v>124949.2348748325</v>
      </c>
      <c r="AE14" s="46">
        <f t="shared" si="1"/>
        <v>366656.21364381642</v>
      </c>
      <c r="AG14" s="316">
        <v>1988</v>
      </c>
      <c r="AH14" s="48">
        <f t="shared" si="2"/>
        <v>0.81397740523133955</v>
      </c>
      <c r="AI14" s="48">
        <f t="shared" si="2"/>
        <v>0.80227866801106262</v>
      </c>
      <c r="AJ14" s="48">
        <f t="shared" si="2"/>
        <v>0.8643193393142462</v>
      </c>
      <c r="AK14" s="48">
        <f t="shared" si="2"/>
        <v>0.82008923465087968</v>
      </c>
      <c r="AL14" s="48">
        <f t="shared" si="2"/>
        <v>0.87282172849868667</v>
      </c>
      <c r="AM14" s="48">
        <f t="shared" si="2"/>
        <v>0.79573237935945418</v>
      </c>
      <c r="AO14" s="316">
        <v>1988</v>
      </c>
      <c r="AP14" s="62">
        <v>-5.2296126818074384E-3</v>
      </c>
      <c r="AS14" s="316">
        <v>1988</v>
      </c>
      <c r="AT14" s="308">
        <f t="shared" si="39"/>
        <v>9.0937416365592938E-3</v>
      </c>
      <c r="AU14" s="308">
        <f t="shared" si="40"/>
        <v>1.2857784091049318E-2</v>
      </c>
      <c r="AV14" s="308">
        <f t="shared" si="41"/>
        <v>1.5859442469012608E-2</v>
      </c>
      <c r="AW14" s="308">
        <f t="shared" si="42"/>
        <v>1.6786636425031531E-2</v>
      </c>
      <c r="AX14" s="308">
        <f t="shared" si="43"/>
        <v>1.9040214927203758E-2</v>
      </c>
      <c r="AY14" s="308">
        <f t="shared" si="44"/>
        <v>1.6012022932087921E-2</v>
      </c>
      <c r="BA14" s="316">
        <v>1988</v>
      </c>
      <c r="BB14" s="61">
        <v>23763.3</v>
      </c>
      <c r="BC14" s="61">
        <v>817.4</v>
      </c>
      <c r="BD14" s="61">
        <v>16428.099999999999</v>
      </c>
      <c r="BE14" s="61">
        <v>2298.8000000000002</v>
      </c>
      <c r="BF14" s="61">
        <v>5967.4</v>
      </c>
      <c r="BG14" s="61">
        <v>19433.400000000001</v>
      </c>
      <c r="BI14" s="316">
        <v>1988</v>
      </c>
      <c r="BJ14" s="61">
        <v>28378.799999999999</v>
      </c>
      <c r="BK14" s="61">
        <v>984.3</v>
      </c>
      <c r="BL14" s="61">
        <v>18614.400000000001</v>
      </c>
      <c r="BM14" s="61">
        <v>3085.5</v>
      </c>
      <c r="BN14" s="61">
        <v>6715.7</v>
      </c>
      <c r="BO14" s="61">
        <v>23595</v>
      </c>
      <c r="BQ14" s="316">
        <v>1988</v>
      </c>
      <c r="BR14" s="46">
        <f t="shared" si="21"/>
        <v>27220.173991946831</v>
      </c>
      <c r="BS14" s="46">
        <f t="shared" si="3"/>
        <v>810.92600240435615</v>
      </c>
      <c r="BT14" s="46">
        <f t="shared" si="3"/>
        <v>20516.030116727667</v>
      </c>
      <c r="BU14" s="46">
        <f t="shared" si="3"/>
        <v>2519.3892871127964</v>
      </c>
      <c r="BV14" s="46">
        <f t="shared" si="3"/>
        <v>6117.8585418797338</v>
      </c>
      <c r="BW14" s="46">
        <f t="shared" si="3"/>
        <v>19262.846157049295</v>
      </c>
      <c r="BY14" s="316">
        <v>1988</v>
      </c>
      <c r="BZ14" s="46">
        <f t="shared" si="4"/>
        <v>33836.335357770862</v>
      </c>
      <c r="CA14" s="46">
        <f t="shared" si="4"/>
        <v>1032.7950455423681</v>
      </c>
      <c r="CB14" s="46">
        <f t="shared" si="4"/>
        <v>24148.427382099362</v>
      </c>
      <c r="CC14" s="46">
        <f t="shared" si="4"/>
        <v>3605.4094708994708</v>
      </c>
      <c r="CD14" s="46">
        <f t="shared" si="4"/>
        <v>7110.8943010149433</v>
      </c>
      <c r="CE14" s="46">
        <f t="shared" si="4"/>
        <v>24851.349684956327</v>
      </c>
      <c r="CG14" s="316">
        <v>1988</v>
      </c>
      <c r="CH14" s="48">
        <f t="shared" si="5"/>
        <v>0.80446578224658238</v>
      </c>
      <c r="CI14" s="48">
        <f t="shared" si="5"/>
        <v>0.78517611592385361</v>
      </c>
      <c r="CJ14" s="48">
        <f t="shared" si="5"/>
        <v>0.84958038020876248</v>
      </c>
      <c r="CK14" s="48">
        <f t="shared" si="5"/>
        <v>0.69878034865323191</v>
      </c>
      <c r="CL14" s="48">
        <f t="shared" si="5"/>
        <v>0.86035008859666595</v>
      </c>
      <c r="CM14" s="48">
        <f t="shared" si="5"/>
        <v>0.77512273583716007</v>
      </c>
      <c r="CO14" s="316">
        <v>1988</v>
      </c>
      <c r="CP14" s="62">
        <v>-5.2296126818074384E-3</v>
      </c>
      <c r="CS14" s="316">
        <v>1988</v>
      </c>
      <c r="CT14" s="308">
        <f t="shared" si="45"/>
        <v>2.4256669974766165E-2</v>
      </c>
      <c r="CU14" s="308">
        <f t="shared" si="46"/>
        <v>2.4217249260283902E-2</v>
      </c>
      <c r="CV14" s="308">
        <f t="shared" si="47"/>
        <v>2.2798504844462553E-2</v>
      </c>
      <c r="CW14" s="308">
        <f t="shared" si="48"/>
        <v>2.2977641108518077E-2</v>
      </c>
      <c r="CX14" s="308">
        <f t="shared" si="49"/>
        <v>2.2150017782003983E-2</v>
      </c>
      <c r="CY14" s="308">
        <f t="shared" si="50"/>
        <v>2.2531421397804285E-2</v>
      </c>
      <c r="DA14" s="316">
        <v>1988</v>
      </c>
      <c r="DB14" s="46">
        <f t="shared" si="23"/>
        <v>18123.506670805466</v>
      </c>
      <c r="DC14" s="46">
        <f t="shared" si="24"/>
        <v>852.04522849672981</v>
      </c>
      <c r="DD14" s="46">
        <f t="shared" si="25"/>
        <v>14386.720870098514</v>
      </c>
      <c r="DE14" s="46">
        <f t="shared" si="26"/>
        <v>3661.2248566047019</v>
      </c>
      <c r="DF14" s="46">
        <f t="shared" si="27"/>
        <v>3698.6763786075953</v>
      </c>
      <c r="DG14" s="46">
        <f t="shared" si="28"/>
        <v>7900.8263253307268</v>
      </c>
      <c r="DI14" s="316">
        <v>1988</v>
      </c>
      <c r="DJ14" s="88">
        <f t="shared" si="29"/>
        <v>6.277524496570934E-2</v>
      </c>
      <c r="DK14" s="88">
        <f t="shared" si="30"/>
        <v>5.2918101544799818E-2</v>
      </c>
      <c r="DL14" s="88">
        <f t="shared" si="31"/>
        <v>9.2587715985963354E-2</v>
      </c>
      <c r="DM14" s="88">
        <f t="shared" si="32"/>
        <v>8.9152103741788516E-2</v>
      </c>
      <c r="DN14" s="88">
        <f t="shared" si="33"/>
        <v>3.0432509134689534E-2</v>
      </c>
      <c r="DO14" s="88">
        <f t="shared" si="34"/>
        <v>2.2592787434800001E-2</v>
      </c>
      <c r="DQ14" s="316">
        <v>1988</v>
      </c>
      <c r="DR14" s="61">
        <v>400566.9</v>
      </c>
      <c r="DS14" s="43"/>
      <c r="DT14" s="61">
        <v>386204.4</v>
      </c>
      <c r="DU14" s="43"/>
      <c r="DV14" s="89">
        <v>1.1000000000000001</v>
      </c>
      <c r="DW14" s="46">
        <f t="shared" si="6"/>
        <v>396208.60534124635</v>
      </c>
      <c r="DX14" s="43"/>
      <c r="DY14" s="46">
        <f t="shared" si="7"/>
        <v>382002.37388724042</v>
      </c>
      <c r="DZ14" s="43"/>
      <c r="EB14" s="316">
        <v>1988</v>
      </c>
      <c r="EC14" s="88">
        <f t="shared" si="8"/>
        <v>6.7954126993385697E-2</v>
      </c>
      <c r="ED14" s="88">
        <f t="shared" si="9"/>
        <v>2.0244458601156412E-3</v>
      </c>
      <c r="EE14" s="88">
        <f t="shared" si="10"/>
        <v>5.1217487307931998E-2</v>
      </c>
      <c r="EF14" s="88">
        <f t="shared" si="11"/>
        <v>6.2895593398076483E-3</v>
      </c>
      <c r="EG14" s="88">
        <f t="shared" si="12"/>
        <v>1.5273000694465104E-2</v>
      </c>
      <c r="EH14" s="88">
        <f t="shared" si="13"/>
        <v>4.8088961312203513E-2</v>
      </c>
      <c r="EI14" s="140"/>
      <c r="EJ14" s="316">
        <v>1988</v>
      </c>
      <c r="EK14" s="88">
        <f t="shared" si="14"/>
        <v>0.62540027170711143</v>
      </c>
      <c r="EL14" s="88">
        <f t="shared" si="15"/>
        <v>3.2969161348911924E-2</v>
      </c>
      <c r="EM14" s="88">
        <f t="shared" si="16"/>
        <v>0.36026297957171499</v>
      </c>
      <c r="EN14" s="88">
        <f t="shared" si="17"/>
        <v>8.4887032544567503E-2</v>
      </c>
      <c r="EO14" s="88">
        <f t="shared" si="18"/>
        <v>0.27525501891638604</v>
      </c>
      <c r="EP14" s="88">
        <f t="shared" si="19"/>
        <v>0.73638032429516598</v>
      </c>
      <c r="ER14" s="316">
        <v>1988</v>
      </c>
      <c r="ES14" s="317">
        <f t="shared" si="35"/>
        <v>122783</v>
      </c>
      <c r="ET14" s="61">
        <v>23985</v>
      </c>
      <c r="EU14" s="61">
        <v>85013</v>
      </c>
      <c r="EV14" s="61">
        <v>13785</v>
      </c>
      <c r="EW14" s="88">
        <f t="shared" si="36"/>
        <v>0.19534463240025085</v>
      </c>
      <c r="EX14" s="88">
        <f t="shared" si="36"/>
        <v>0.69238412483812906</v>
      </c>
      <c r="EY14" s="88">
        <f t="shared" si="36"/>
        <v>0.11227124276162009</v>
      </c>
      <c r="EZ14" s="88">
        <f t="shared" si="51"/>
        <v>-7.1107101372090697E-3</v>
      </c>
      <c r="FA14" s="88">
        <f t="shared" si="37"/>
        <v>3.8004043644001007E-3</v>
      </c>
      <c r="FB14" s="88">
        <f t="shared" si="37"/>
        <v>3.3103057728089968E-3</v>
      </c>
      <c r="FC14" s="374"/>
      <c r="FD14" s="316">
        <v>1988</v>
      </c>
      <c r="FE14" s="159">
        <v>4.9711391941391937E-2</v>
      </c>
      <c r="FF14" s="43"/>
      <c r="FG14" s="159">
        <v>4.7E-2</v>
      </c>
      <c r="FH14" s="55"/>
      <c r="FI14" s="319">
        <f t="shared" ref="FI14:FI66" si="55">FE14-FG14</f>
        <v>2.7113919413919371E-3</v>
      </c>
      <c r="FK14" s="345">
        <f t="shared" si="52"/>
        <v>-5.362681720062823E-3</v>
      </c>
      <c r="FL14" s="345">
        <f t="shared" si="53"/>
        <v>-1.7557500137414528E-2</v>
      </c>
      <c r="FM14" s="345">
        <f t="shared" si="54"/>
        <v>-1.0308472510728322E-2</v>
      </c>
      <c r="FO14" s="316">
        <v>1988</v>
      </c>
      <c r="FP14" s="61">
        <v>276009.70308196789</v>
      </c>
      <c r="FQ14" s="61">
        <v>10574.240056545475</v>
      </c>
      <c r="FR14" s="61">
        <v>187138.826864426</v>
      </c>
      <c r="FS14" s="61">
        <v>40886.250045990455</v>
      </c>
      <c r="FT14" s="61">
        <v>68853.775936686056</v>
      </c>
      <c r="FU14" s="61">
        <v>247349.75768353729</v>
      </c>
      <c r="FV14" s="285">
        <f t="shared" si="38"/>
        <v>830812.55366915325</v>
      </c>
    </row>
    <row r="15" spans="1:178" hidden="1" outlineLevel="1">
      <c r="A15" s="316">
        <v>1989</v>
      </c>
      <c r="B15" s="61">
        <v>245675.9</v>
      </c>
      <c r="C15" s="61">
        <v>15189.1</v>
      </c>
      <c r="D15" s="61">
        <v>139923.29999999999</v>
      </c>
      <c r="E15" s="61">
        <v>32989.1</v>
      </c>
      <c r="F15" s="61">
        <v>118030.1</v>
      </c>
      <c r="G15" s="61">
        <v>306996.2</v>
      </c>
      <c r="I15" s="316">
        <v>1989</v>
      </c>
      <c r="J15" s="61">
        <v>268830.40000000002</v>
      </c>
      <c r="K15" s="61">
        <v>16815.099999999999</v>
      </c>
      <c r="L15" s="61">
        <v>149821.4</v>
      </c>
      <c r="M15" s="61">
        <v>36101.199999999997</v>
      </c>
      <c r="N15" s="61">
        <v>127589.6</v>
      </c>
      <c r="O15" s="61">
        <v>347683.2</v>
      </c>
      <c r="Q15" s="316">
        <v>1989</v>
      </c>
      <c r="R15" s="46">
        <f t="shared" si="0"/>
        <v>278568.41267021431</v>
      </c>
      <c r="S15" s="46">
        <f t="shared" si="0"/>
        <v>14162.238689634509</v>
      </c>
      <c r="T15" s="46">
        <f t="shared" si="0"/>
        <v>158471.44881802122</v>
      </c>
      <c r="U15" s="46">
        <f t="shared" si="0"/>
        <v>35836.794815508314</v>
      </c>
      <c r="V15" s="46">
        <f t="shared" si="0"/>
        <v>116955.12573690305</v>
      </c>
      <c r="W15" s="46">
        <f t="shared" si="0"/>
        <v>319289.33488435659</v>
      </c>
      <c r="Y15" s="316">
        <v>1989</v>
      </c>
      <c r="Z15" s="46">
        <f t="shared" si="1"/>
        <v>319198.84693641786</v>
      </c>
      <c r="AA15" s="46">
        <f t="shared" si="1"/>
        <v>16554.064534880705</v>
      </c>
      <c r="AB15" s="46">
        <f t="shared" si="1"/>
        <v>176248.79923078883</v>
      </c>
      <c r="AC15" s="46">
        <f t="shared" si="1"/>
        <v>41375.819351572056</v>
      </c>
      <c r="AD15" s="46">
        <f t="shared" si="1"/>
        <v>130445.9984517706</v>
      </c>
      <c r="AE15" s="46">
        <f t="shared" si="1"/>
        <v>382299.35736615048</v>
      </c>
      <c r="AG15" s="316">
        <v>1989</v>
      </c>
      <c r="AH15" s="48">
        <f t="shared" si="2"/>
        <v>0.87271121228612447</v>
      </c>
      <c r="AI15" s="48">
        <f t="shared" si="2"/>
        <v>0.85551428531606644</v>
      </c>
      <c r="AJ15" s="48">
        <f t="shared" si="2"/>
        <v>0.89913491331371242</v>
      </c>
      <c r="AK15" s="48">
        <f t="shared" si="2"/>
        <v>0.86612894625727122</v>
      </c>
      <c r="AL15" s="48">
        <f t="shared" si="2"/>
        <v>0.89657886884237781</v>
      </c>
      <c r="AM15" s="48">
        <f t="shared" si="2"/>
        <v>0.83518145854102099</v>
      </c>
      <c r="AO15" s="316">
        <v>1989</v>
      </c>
      <c r="AP15" s="62">
        <v>1.8646295383607514E-2</v>
      </c>
      <c r="AS15" s="316">
        <v>1989</v>
      </c>
      <c r="AT15" s="308">
        <f t="shared" si="39"/>
        <v>7.2156557021496592E-2</v>
      </c>
      <c r="AU15" s="308">
        <f t="shared" si="40"/>
        <v>6.6355518883458364E-2</v>
      </c>
      <c r="AV15" s="308">
        <f t="shared" si="41"/>
        <v>4.0280915184761401E-2</v>
      </c>
      <c r="AW15" s="308">
        <f t="shared" si="42"/>
        <v>5.6139880467996894E-2</v>
      </c>
      <c r="AX15" s="308">
        <f t="shared" si="43"/>
        <v>2.7218777406647687E-2</v>
      </c>
      <c r="AY15" s="308">
        <f t="shared" si="44"/>
        <v>4.9575812427442578E-2</v>
      </c>
      <c r="BA15" s="316">
        <v>1989</v>
      </c>
      <c r="BB15" s="61">
        <v>24901.9</v>
      </c>
      <c r="BC15" s="61">
        <v>947.6</v>
      </c>
      <c r="BD15" s="61">
        <v>18614.400000000001</v>
      </c>
      <c r="BE15" s="61">
        <v>2729</v>
      </c>
      <c r="BF15" s="61">
        <v>8175.9</v>
      </c>
      <c r="BG15" s="61">
        <v>19503.599999999999</v>
      </c>
      <c r="BI15" s="316">
        <v>1989</v>
      </c>
      <c r="BJ15" s="61">
        <v>28148.7</v>
      </c>
      <c r="BK15" s="61">
        <v>1082.8</v>
      </c>
      <c r="BL15" s="61">
        <v>20364.099999999999</v>
      </c>
      <c r="BM15" s="61">
        <v>3493.2</v>
      </c>
      <c r="BN15" s="61">
        <v>8936.2000000000007</v>
      </c>
      <c r="BO15" s="61">
        <v>22674.6</v>
      </c>
      <c r="BQ15" s="316">
        <v>1989</v>
      </c>
      <c r="BR15" s="46">
        <f t="shared" si="21"/>
        <v>28524.407415218462</v>
      </c>
      <c r="BS15" s="46">
        <f t="shared" si="3"/>
        <v>940.09478820451181</v>
      </c>
      <c r="BT15" s="46">
        <f t="shared" si="3"/>
        <v>23246.363913344547</v>
      </c>
      <c r="BU15" s="46">
        <f t="shared" si="3"/>
        <v>2990.8706127243872</v>
      </c>
      <c r="BV15" s="46">
        <f t="shared" si="3"/>
        <v>8382.0423723153344</v>
      </c>
      <c r="BW15" s="46">
        <f t="shared" si="3"/>
        <v>19332.43005900288</v>
      </c>
      <c r="BY15" s="316">
        <v>1989</v>
      </c>
      <c r="BZ15" s="46">
        <f t="shared" si="4"/>
        <v>33561.984759231709</v>
      </c>
      <c r="CA15" s="46">
        <f t="shared" si="4"/>
        <v>1136.1479988959425</v>
      </c>
      <c r="CB15" s="46">
        <f t="shared" si="4"/>
        <v>26418.310020833844</v>
      </c>
      <c r="CC15" s="46">
        <f t="shared" si="4"/>
        <v>4081.8072804232797</v>
      </c>
      <c r="CD15" s="46">
        <f t="shared" si="4"/>
        <v>9462.0625776508386</v>
      </c>
      <c r="CE15" s="46">
        <f t="shared" si="4"/>
        <v>23881.94166418778</v>
      </c>
      <c r="CG15" s="316">
        <v>1989</v>
      </c>
      <c r="CH15" s="48">
        <f t="shared" si="5"/>
        <v>0.84990228140105484</v>
      </c>
      <c r="CI15" s="48">
        <f t="shared" si="5"/>
        <v>0.82744042951979291</v>
      </c>
      <c r="CJ15" s="48">
        <f t="shared" si="5"/>
        <v>0.87993379951299466</v>
      </c>
      <c r="CK15" s="48">
        <f t="shared" si="5"/>
        <v>0.7327319511307836</v>
      </c>
      <c r="CL15" s="48">
        <f t="shared" si="5"/>
        <v>0.88585784584785077</v>
      </c>
      <c r="CM15" s="48">
        <f t="shared" si="5"/>
        <v>0.80949992805622117</v>
      </c>
      <c r="CO15" s="316">
        <v>1989</v>
      </c>
      <c r="CP15" s="62">
        <v>1.8646295383607514E-2</v>
      </c>
      <c r="CS15" s="316">
        <v>1989</v>
      </c>
      <c r="CT15" s="308">
        <f t="shared" si="45"/>
        <v>5.648033783063422E-2</v>
      </c>
      <c r="CU15" s="308">
        <f t="shared" si="46"/>
        <v>5.3827813580664463E-2</v>
      </c>
      <c r="CV15" s="308">
        <f t="shared" si="47"/>
        <v>3.57275426920447E-2</v>
      </c>
      <c r="CW15" s="308">
        <f t="shared" si="48"/>
        <v>4.858694515807005E-2</v>
      </c>
      <c r="CX15" s="308">
        <f t="shared" si="49"/>
        <v>2.9648113703098389E-2</v>
      </c>
      <c r="CY15" s="308">
        <f t="shared" si="50"/>
        <v>4.4350643620242325E-2</v>
      </c>
      <c r="DA15" s="316">
        <v>1989</v>
      </c>
      <c r="DB15" s="46">
        <f t="shared" si="23"/>
        <v>18780.64111049709</v>
      </c>
      <c r="DC15" s="46">
        <f t="shared" si="24"/>
        <v>864.03879719978681</v>
      </c>
      <c r="DD15" s="46">
        <f t="shared" si="25"/>
        <v>15315.986403376693</v>
      </c>
      <c r="DE15" s="46">
        <f t="shared" si="26"/>
        <v>3717.3454189394542</v>
      </c>
      <c r="DF15" s="46">
        <f t="shared" si="27"/>
        <v>3965.2990007127373</v>
      </c>
      <c r="DG15" s="46">
        <f t="shared" si="28"/>
        <v>8238.7979418537179</v>
      </c>
      <c r="DI15" s="316">
        <v>1989</v>
      </c>
      <c r="DJ15" s="88">
        <f t="shared" si="29"/>
        <v>6.1693696675348027E-2</v>
      </c>
      <c r="DK15" s="88">
        <f t="shared" si="30"/>
        <v>5.3067262470544531E-2</v>
      </c>
      <c r="DL15" s="88">
        <f t="shared" si="31"/>
        <v>9.2741830223716196E-2</v>
      </c>
      <c r="DM15" s="88">
        <f t="shared" si="32"/>
        <v>9.0641852560912561E-2</v>
      </c>
      <c r="DN15" s="88">
        <f t="shared" si="33"/>
        <v>3.173528036954338E-2</v>
      </c>
      <c r="DO15" s="88">
        <f t="shared" si="34"/>
        <v>2.2470089515126E-2</v>
      </c>
      <c r="DQ15" s="316">
        <v>1989</v>
      </c>
      <c r="DR15" s="61">
        <v>428994.1</v>
      </c>
      <c r="DS15" s="43"/>
      <c r="DT15" s="61">
        <v>405228</v>
      </c>
      <c r="DU15" s="43"/>
      <c r="DV15" s="89">
        <v>1.4</v>
      </c>
      <c r="DW15" s="46">
        <f t="shared" si="6"/>
        <v>423071.10453648912</v>
      </c>
      <c r="DX15" s="43"/>
      <c r="DY15" s="46">
        <f t="shared" si="7"/>
        <v>399633.13609467453</v>
      </c>
      <c r="DZ15" s="43"/>
      <c r="EB15" s="316">
        <v>1989</v>
      </c>
      <c r="EC15" s="88">
        <f t="shared" si="8"/>
        <v>6.6491374625474955E-2</v>
      </c>
      <c r="ED15" s="88">
        <f t="shared" si="9"/>
        <v>2.1913932807106481E-3</v>
      </c>
      <c r="EE15" s="88">
        <f t="shared" si="10"/>
        <v>5.4188073713238825E-2</v>
      </c>
      <c r="EF15" s="88">
        <f t="shared" si="11"/>
        <v>6.9718222528570616E-3</v>
      </c>
      <c r="EG15" s="88">
        <f t="shared" si="12"/>
        <v>1.9538829024257756E-2</v>
      </c>
      <c r="EH15" s="88">
        <f t="shared" si="13"/>
        <v>4.5064559300472616E-2</v>
      </c>
      <c r="EI15" s="140"/>
      <c r="EJ15" s="316">
        <v>1989</v>
      </c>
      <c r="EK15" s="88">
        <f t="shared" si="14"/>
        <v>0.65844348546424614</v>
      </c>
      <c r="EL15" s="88">
        <f t="shared" si="15"/>
        <v>3.3474842733942946E-2</v>
      </c>
      <c r="EM15" s="88">
        <f t="shared" si="16"/>
        <v>0.37457403050874949</v>
      </c>
      <c r="EN15" s="88">
        <f t="shared" si="17"/>
        <v>8.4706316340773524E-2</v>
      </c>
      <c r="EO15" s="88">
        <f t="shared" si="18"/>
        <v>0.27644319000475692</v>
      </c>
      <c r="EP15" s="88">
        <f t="shared" si="19"/>
        <v>0.75469426169902476</v>
      </c>
      <c r="ER15" s="316">
        <v>1989</v>
      </c>
      <c r="ES15" s="317">
        <f t="shared" si="35"/>
        <v>123255</v>
      </c>
      <c r="ET15" s="61">
        <v>23201</v>
      </c>
      <c r="EU15" s="61">
        <v>85745</v>
      </c>
      <c r="EV15" s="61">
        <v>14309</v>
      </c>
      <c r="EW15" s="88">
        <f t="shared" si="36"/>
        <v>0.1882357713683015</v>
      </c>
      <c r="EX15" s="88">
        <f t="shared" si="36"/>
        <v>0.69567157518964751</v>
      </c>
      <c r="EY15" s="88">
        <f t="shared" si="36"/>
        <v>0.11609265344205104</v>
      </c>
      <c r="EZ15" s="88">
        <f t="shared" si="51"/>
        <v>-7.1088610319493539E-3</v>
      </c>
      <c r="FA15" s="88">
        <f t="shared" si="37"/>
        <v>3.2874503515184506E-3</v>
      </c>
      <c r="FB15" s="88">
        <f t="shared" si="37"/>
        <v>3.821410680430945E-3</v>
      </c>
      <c r="FC15" s="374"/>
      <c r="FD15" s="316">
        <v>1989</v>
      </c>
      <c r="FE15" s="159">
        <v>5.1545140562248966E-2</v>
      </c>
      <c r="FF15" s="43"/>
      <c r="FG15" s="159">
        <v>4.4999999999999998E-2</v>
      </c>
      <c r="FH15" s="55"/>
      <c r="FI15" s="319">
        <f t="shared" si="55"/>
        <v>6.5451405622489675E-3</v>
      </c>
      <c r="FK15" s="345">
        <f t="shared" si="52"/>
        <v>2.6606756199845427E-2</v>
      </c>
      <c r="FL15" s="345">
        <f t="shared" si="53"/>
        <v>-6.096056783948256E-3</v>
      </c>
      <c r="FM15" s="345">
        <f t="shared" si="54"/>
        <v>-5.7788308783498256E-3</v>
      </c>
      <c r="FO15" s="316">
        <v>1989</v>
      </c>
      <c r="FP15" s="61">
        <v>276475.52717596584</v>
      </c>
      <c r="FQ15" s="61">
        <v>10528.880638940507</v>
      </c>
      <c r="FR15" s="61">
        <v>216600.90022876172</v>
      </c>
      <c r="FS15" s="61">
        <v>38756.208790382501</v>
      </c>
      <c r="FT15" s="61">
        <v>78110.645520670441</v>
      </c>
      <c r="FU15" s="61">
        <v>242065.11969696454</v>
      </c>
      <c r="FV15" s="285">
        <f t="shared" si="38"/>
        <v>862537.2820516855</v>
      </c>
    </row>
    <row r="16" spans="1:178" hidden="1" outlineLevel="1">
      <c r="A16" s="316">
        <v>1990</v>
      </c>
      <c r="B16" s="61">
        <v>269745.2</v>
      </c>
      <c r="C16" s="61">
        <v>16478.400000000001</v>
      </c>
      <c r="D16" s="61">
        <v>158781.1</v>
      </c>
      <c r="E16" s="61">
        <v>35087</v>
      </c>
      <c r="F16" s="61">
        <v>130789.8</v>
      </c>
      <c r="G16" s="61">
        <v>340265.8</v>
      </c>
      <c r="I16" s="316">
        <v>1990</v>
      </c>
      <c r="J16" s="61">
        <v>280611</v>
      </c>
      <c r="K16" s="61">
        <v>17298.7</v>
      </c>
      <c r="L16" s="61">
        <v>160798.5</v>
      </c>
      <c r="M16" s="61">
        <v>36290.400000000001</v>
      </c>
      <c r="N16" s="61">
        <v>133502.39999999999</v>
      </c>
      <c r="O16" s="61">
        <v>362833.1</v>
      </c>
      <c r="Q16" s="316">
        <v>1990</v>
      </c>
      <c r="R16" s="46">
        <f t="shared" si="0"/>
        <v>305860.24998548697</v>
      </c>
      <c r="S16" s="46">
        <f t="shared" si="0"/>
        <v>15364.375375978385</v>
      </c>
      <c r="T16" s="46">
        <f t="shared" si="0"/>
        <v>179829.02748805322</v>
      </c>
      <c r="U16" s="46">
        <f t="shared" si="0"/>
        <v>38115.790357776968</v>
      </c>
      <c r="V16" s="46">
        <f t="shared" si="0"/>
        <v>129598.61513380402</v>
      </c>
      <c r="W16" s="46">
        <f t="shared" si="0"/>
        <v>353891.15880227013</v>
      </c>
      <c r="Y16" s="316">
        <v>1990</v>
      </c>
      <c r="Z16" s="46">
        <f t="shared" si="1"/>
        <v>333186.67694455368</v>
      </c>
      <c r="AA16" s="46">
        <f t="shared" si="1"/>
        <v>17030.157190236208</v>
      </c>
      <c r="AB16" s="46">
        <f t="shared" si="1"/>
        <v>189162.17938900582</v>
      </c>
      <c r="AC16" s="46">
        <f t="shared" si="1"/>
        <v>41592.662698090113</v>
      </c>
      <c r="AD16" s="46">
        <f t="shared" si="1"/>
        <v>136491.1706260358</v>
      </c>
      <c r="AE16" s="46">
        <f t="shared" si="1"/>
        <v>398957.61705244367</v>
      </c>
      <c r="AG16" s="316">
        <v>1990</v>
      </c>
      <c r="AH16" s="48">
        <f t="shared" si="2"/>
        <v>0.91798463489098592</v>
      </c>
      <c r="AI16" s="48">
        <f t="shared" si="2"/>
        <v>0.90218635120920343</v>
      </c>
      <c r="AJ16" s="48">
        <f t="shared" si="2"/>
        <v>0.95066058167071932</v>
      </c>
      <c r="AK16" s="48">
        <f t="shared" si="2"/>
        <v>0.91640659398147173</v>
      </c>
      <c r="AL16" s="48">
        <f t="shared" si="2"/>
        <v>0.94950182154187623</v>
      </c>
      <c r="AM16" s="48">
        <f t="shared" si="2"/>
        <v>0.88703948408572564</v>
      </c>
      <c r="AO16" s="316">
        <v>1990</v>
      </c>
      <c r="AP16" s="62">
        <v>1.4918151761948106E-2</v>
      </c>
      <c r="AS16" s="316">
        <v>1990</v>
      </c>
      <c r="AT16" s="308">
        <f t="shared" si="39"/>
        <v>5.1876751401262133E-2</v>
      </c>
      <c r="AU16" s="308">
        <f t="shared" si="40"/>
        <v>5.4554396921489445E-2</v>
      </c>
      <c r="AV16" s="308">
        <f t="shared" si="41"/>
        <v>5.7305825404011745E-2</v>
      </c>
      <c r="AW16" s="308">
        <f t="shared" si="42"/>
        <v>5.8048686562735208E-2</v>
      </c>
      <c r="AX16" s="308">
        <f t="shared" si="43"/>
        <v>5.902766007393212E-2</v>
      </c>
      <c r="AY16" s="308">
        <f t="shared" si="44"/>
        <v>6.2091926268688313E-2</v>
      </c>
      <c r="BA16" s="316">
        <v>1990</v>
      </c>
      <c r="BB16" s="61">
        <v>26201.5</v>
      </c>
      <c r="BC16" s="61">
        <v>1200.2</v>
      </c>
      <c r="BD16" s="61">
        <v>21731.599999999999</v>
      </c>
      <c r="BE16" s="61">
        <v>2782.8</v>
      </c>
      <c r="BF16" s="61">
        <v>9235.2999999999993</v>
      </c>
      <c r="BG16" s="61">
        <v>21669.7</v>
      </c>
      <c r="BI16" s="316">
        <v>1990</v>
      </c>
      <c r="BJ16" s="61">
        <v>27952.9</v>
      </c>
      <c r="BK16" s="61">
        <v>1299.5</v>
      </c>
      <c r="BL16" s="61">
        <v>22616.9</v>
      </c>
      <c r="BM16" s="61">
        <v>3373.6</v>
      </c>
      <c r="BN16" s="61">
        <v>9641.1</v>
      </c>
      <c r="BO16" s="61">
        <v>23847.8</v>
      </c>
      <c r="BQ16" s="316">
        <v>1990</v>
      </c>
      <c r="BR16" s="46">
        <f t="shared" si="21"/>
        <v>30013.0616896641</v>
      </c>
      <c r="BS16" s="46">
        <f t="shared" si="3"/>
        <v>1190.6941376140303</v>
      </c>
      <c r="BT16" s="46">
        <f t="shared" si="3"/>
        <v>27139.240696409139</v>
      </c>
      <c r="BU16" s="46">
        <f t="shared" si="3"/>
        <v>3049.8331773871109</v>
      </c>
      <c r="BV16" s="46">
        <f t="shared" si="3"/>
        <v>9468.1534658011715</v>
      </c>
      <c r="BW16" s="46">
        <f t="shared" si="3"/>
        <v>21479.519660451133</v>
      </c>
      <c r="BY16" s="316">
        <v>1990</v>
      </c>
      <c r="BZ16" s="46">
        <f t="shared" si="4"/>
        <v>33328.53040376032</v>
      </c>
      <c r="CA16" s="46">
        <f t="shared" si="4"/>
        <v>1363.5244962738061</v>
      </c>
      <c r="CB16" s="46">
        <f t="shared" si="4"/>
        <v>29340.863377718488</v>
      </c>
      <c r="CC16" s="46">
        <f t="shared" si="4"/>
        <v>3942.0545749559078</v>
      </c>
      <c r="CD16" s="46">
        <f t="shared" si="4"/>
        <v>10208.443355944306</v>
      </c>
      <c r="CE16" s="46">
        <f t="shared" si="4"/>
        <v>25117.610384272157</v>
      </c>
      <c r="CG16" s="316">
        <v>1990</v>
      </c>
      <c r="CH16" s="48">
        <f t="shared" si="5"/>
        <v>0.90052160494534894</v>
      </c>
      <c r="CI16" s="48">
        <f t="shared" si="5"/>
        <v>0.87324733869315818</v>
      </c>
      <c r="CJ16" s="48">
        <f t="shared" si="5"/>
        <v>0.92496394352930777</v>
      </c>
      <c r="CK16" s="48">
        <f t="shared" si="5"/>
        <v>0.77366589411594422</v>
      </c>
      <c r="CL16" s="48">
        <f t="shared" si="5"/>
        <v>0.92748258825258911</v>
      </c>
      <c r="CM16" s="48">
        <f t="shared" si="5"/>
        <v>0.8551577690647244</v>
      </c>
      <c r="CO16" s="316">
        <v>1990</v>
      </c>
      <c r="CP16" s="62">
        <v>1.4918151761948106E-2</v>
      </c>
      <c r="CS16" s="316">
        <v>1990</v>
      </c>
      <c r="CT16" s="308">
        <f t="shared" si="45"/>
        <v>5.9558992430104762E-2</v>
      </c>
      <c r="CU16" s="308">
        <f t="shared" si="46"/>
        <v>5.5359766744718319E-2</v>
      </c>
      <c r="CV16" s="308">
        <f t="shared" si="47"/>
        <v>5.1174467944333335E-2</v>
      </c>
      <c r="CW16" s="308">
        <f t="shared" si="48"/>
        <v>5.5864826041760018E-2</v>
      </c>
      <c r="CX16" s="308">
        <f t="shared" si="49"/>
        <v>4.6988060894690653E-2</v>
      </c>
      <c r="CY16" s="308">
        <f t="shared" si="50"/>
        <v>5.6402526332691938E-2</v>
      </c>
      <c r="DA16" s="316">
        <v>1990</v>
      </c>
      <c r="DB16" s="46">
        <f t="shared" si="23"/>
        <v>19340.700395624503</v>
      </c>
      <c r="DC16" s="46">
        <f t="shared" si="24"/>
        <v>887.43184091830244</v>
      </c>
      <c r="DD16" s="46">
        <f t="shared" si="25"/>
        <v>16427.483219501504</v>
      </c>
      <c r="DE16" s="46">
        <f t="shared" si="26"/>
        <v>3725.2112284378509</v>
      </c>
      <c r="DF16" s="46">
        <f t="shared" si="27"/>
        <v>4163.2711816791052</v>
      </c>
      <c r="DG16" s="46">
        <f t="shared" si="28"/>
        <v>8459.3506979789599</v>
      </c>
      <c r="DI16" s="316">
        <v>1990</v>
      </c>
      <c r="DJ16" s="88">
        <f t="shared" si="29"/>
        <v>6.0591385530528036E-2</v>
      </c>
      <c r="DK16" s="88">
        <f t="shared" si="30"/>
        <v>5.3608093592266377E-2</v>
      </c>
      <c r="DL16" s="88">
        <f t="shared" si="31"/>
        <v>9.320621355264129E-2</v>
      </c>
      <c r="DM16" s="88">
        <f t="shared" si="32"/>
        <v>9.0033533760010317E-2</v>
      </c>
      <c r="DN16" s="88">
        <f t="shared" si="33"/>
        <v>3.1915668024254336E-2</v>
      </c>
      <c r="DO16" s="88">
        <f t="shared" si="34"/>
        <v>2.212755667772924E-2</v>
      </c>
      <c r="DQ16" s="316">
        <v>1990</v>
      </c>
      <c r="DR16" s="61">
        <v>461295.1</v>
      </c>
      <c r="DS16" s="43"/>
      <c r="DT16" s="61">
        <v>424844.79999999999</v>
      </c>
      <c r="DU16" s="43"/>
      <c r="DV16" s="89">
        <v>2.2999999999999998</v>
      </c>
      <c r="DW16" s="46">
        <f t="shared" si="6"/>
        <v>450923.85141739983</v>
      </c>
      <c r="DX16" s="43"/>
      <c r="DY16" s="46">
        <f t="shared" si="7"/>
        <v>415293.0596285435</v>
      </c>
      <c r="DZ16" s="43"/>
      <c r="EB16" s="316">
        <v>1990</v>
      </c>
      <c r="EC16" s="88">
        <f t="shared" si="8"/>
        <v>6.5062606755771094E-2</v>
      </c>
      <c r="ED16" s="88">
        <f t="shared" si="9"/>
        <v>2.5811983210184334E-3</v>
      </c>
      <c r="EE16" s="88">
        <f t="shared" si="10"/>
        <v>5.8832709682823732E-2</v>
      </c>
      <c r="EF16" s="88">
        <f t="shared" si="11"/>
        <v>6.6114579959490379E-3</v>
      </c>
      <c r="EG16" s="88">
        <f t="shared" si="12"/>
        <v>2.0525155081424391E-2</v>
      </c>
      <c r="EH16" s="88">
        <f t="shared" si="13"/>
        <v>4.6563511427828164E-2</v>
      </c>
      <c r="EI16" s="140"/>
      <c r="EJ16" s="316">
        <v>1990</v>
      </c>
      <c r="EK16" s="88">
        <f t="shared" si="14"/>
        <v>0.67829689874259047</v>
      </c>
      <c r="EL16" s="88">
        <f t="shared" si="15"/>
        <v>3.4073104200816107E-2</v>
      </c>
      <c r="EM16" s="88">
        <f t="shared" si="16"/>
        <v>0.39880132071699537</v>
      </c>
      <c r="EN16" s="88">
        <f t="shared" si="17"/>
        <v>8.4528219649430136E-2</v>
      </c>
      <c r="EO16" s="88">
        <f t="shared" si="18"/>
        <v>0.28740687529930736</v>
      </c>
      <c r="EP16" s="88">
        <f t="shared" si="19"/>
        <v>0.78481357260183848</v>
      </c>
      <c r="ER16" s="316">
        <v>1990</v>
      </c>
      <c r="ES16" s="317">
        <f t="shared" si="35"/>
        <v>123612</v>
      </c>
      <c r="ET16" s="61">
        <v>22544</v>
      </c>
      <c r="EU16" s="61">
        <v>86140</v>
      </c>
      <c r="EV16" s="61">
        <v>14928</v>
      </c>
      <c r="EW16" s="88">
        <f t="shared" si="36"/>
        <v>0.18237711549040547</v>
      </c>
      <c r="EX16" s="88">
        <f t="shared" si="36"/>
        <v>0.69685791023525223</v>
      </c>
      <c r="EY16" s="88">
        <f t="shared" si="36"/>
        <v>0.1207649742743423</v>
      </c>
      <c r="EZ16" s="88">
        <f t="shared" si="51"/>
        <v>-5.858655877896024E-3</v>
      </c>
      <c r="FA16" s="88">
        <f t="shared" si="37"/>
        <v>1.186335045604725E-3</v>
      </c>
      <c r="FB16" s="88">
        <f t="shared" si="37"/>
        <v>4.6723208322912574E-3</v>
      </c>
      <c r="FC16" s="374"/>
      <c r="FD16" s="316">
        <v>1990</v>
      </c>
      <c r="FE16" s="159">
        <v>6.8722398373983737E-2</v>
      </c>
      <c r="FF16" s="43"/>
      <c r="FG16" s="159">
        <v>0.04</v>
      </c>
      <c r="FH16" s="55"/>
      <c r="FI16" s="319">
        <f t="shared" si="55"/>
        <v>2.8722398373983736E-2</v>
      </c>
      <c r="FK16" s="345">
        <f t="shared" si="52"/>
        <v>2.5556854553004937E-3</v>
      </c>
      <c r="FL16" s="345">
        <f t="shared" si="53"/>
        <v>-1.4470200120419885E-2</v>
      </c>
      <c r="FM16" s="345">
        <f t="shared" si="54"/>
        <v>-2.5511213077189683E-3</v>
      </c>
      <c r="FO16" s="316">
        <v>1990</v>
      </c>
      <c r="FP16" s="61">
        <v>291705.86100284825</v>
      </c>
      <c r="FQ16" s="61">
        <v>11211.751863833022</v>
      </c>
      <c r="FR16" s="61">
        <v>245539.27533971323</v>
      </c>
      <c r="FS16" s="61">
        <v>41245.022416101732</v>
      </c>
      <c r="FT16" s="61">
        <v>91079.487514409862</v>
      </c>
      <c r="FU16" s="61">
        <v>249237.29668246288</v>
      </c>
      <c r="FV16" s="285">
        <f t="shared" si="38"/>
        <v>930018.694819369</v>
      </c>
    </row>
    <row r="17" spans="1:178" hidden="1" outlineLevel="1">
      <c r="A17" s="316">
        <v>1991</v>
      </c>
      <c r="B17" s="61">
        <v>285087.09999999998</v>
      </c>
      <c r="C17" s="61">
        <v>17215</v>
      </c>
      <c r="D17" s="61">
        <v>172317.7</v>
      </c>
      <c r="E17" s="61">
        <v>37015.199999999997</v>
      </c>
      <c r="F17" s="61">
        <v>141373.9</v>
      </c>
      <c r="G17" s="61">
        <v>362422.4</v>
      </c>
      <c r="I17" s="316">
        <v>1991</v>
      </c>
      <c r="J17" s="61">
        <v>290398.40000000002</v>
      </c>
      <c r="K17" s="61">
        <v>17684.900000000001</v>
      </c>
      <c r="L17" s="61">
        <v>170411.4</v>
      </c>
      <c r="M17" s="61">
        <v>37365.4</v>
      </c>
      <c r="N17" s="61">
        <v>141355.29999999999</v>
      </c>
      <c r="O17" s="61">
        <v>376886.4</v>
      </c>
      <c r="Q17" s="316">
        <v>1991</v>
      </c>
      <c r="R17" s="46">
        <f t="shared" si="0"/>
        <v>323256.21243172267</v>
      </c>
      <c r="S17" s="46">
        <f t="shared" si="0"/>
        <v>16051.177426052764</v>
      </c>
      <c r="T17" s="46">
        <f t="shared" si="0"/>
        <v>195160.03107408946</v>
      </c>
      <c r="U17" s="46">
        <f t="shared" si="0"/>
        <v>40210.437006617438</v>
      </c>
      <c r="V17" s="46">
        <f t="shared" si="0"/>
        <v>140086.3190865411</v>
      </c>
      <c r="W17" s="46">
        <f t="shared" si="0"/>
        <v>376934.98174632859</v>
      </c>
      <c r="Y17" s="316">
        <v>1991</v>
      </c>
      <c r="Z17" s="46">
        <f t="shared" si="1"/>
        <v>344807.85815957066</v>
      </c>
      <c r="AA17" s="46">
        <f t="shared" si="1"/>
        <v>17410.361870753775</v>
      </c>
      <c r="AB17" s="46">
        <f t="shared" si="1"/>
        <v>200470.72464439424</v>
      </c>
      <c r="AC17" s="46">
        <f t="shared" si="1"/>
        <v>42824.72716694267</v>
      </c>
      <c r="AD17" s="46">
        <f t="shared" si="1"/>
        <v>144519.87658045458</v>
      </c>
      <c r="AE17" s="46">
        <f t="shared" si="1"/>
        <v>414410.09666282963</v>
      </c>
      <c r="AG17" s="316">
        <v>1991</v>
      </c>
      <c r="AH17" s="48">
        <f t="shared" si="2"/>
        <v>0.93749665148909023</v>
      </c>
      <c r="AI17" s="48">
        <f t="shared" si="2"/>
        <v>0.92193244145119158</v>
      </c>
      <c r="AJ17" s="48">
        <f t="shared" si="2"/>
        <v>0.97350888225836874</v>
      </c>
      <c r="AK17" s="48">
        <f t="shared" si="2"/>
        <v>0.93895372292428148</v>
      </c>
      <c r="AL17" s="48">
        <f t="shared" si="2"/>
        <v>0.96932216108387481</v>
      </c>
      <c r="AM17" s="48">
        <f t="shared" si="2"/>
        <v>0.90956997617026847</v>
      </c>
      <c r="AO17" s="316">
        <v>1991</v>
      </c>
      <c r="AP17" s="62">
        <v>1.0328936914037801E-2</v>
      </c>
      <c r="AS17" s="316">
        <v>1991</v>
      </c>
      <c r="AT17" s="308">
        <f t="shared" si="39"/>
        <v>2.1255275803631957E-2</v>
      </c>
      <c r="AU17" s="308">
        <f t="shared" si="40"/>
        <v>2.1886930804841276E-2</v>
      </c>
      <c r="AV17" s="308">
        <f t="shared" si="41"/>
        <v>2.4034130612100357E-2</v>
      </c>
      <c r="AW17" s="308">
        <f t="shared" si="42"/>
        <v>2.4603848434623599E-2</v>
      </c>
      <c r="AX17" s="308">
        <f t="shared" si="43"/>
        <v>2.0874461841276615E-2</v>
      </c>
      <c r="AY17" s="308">
        <f t="shared" si="44"/>
        <v>2.5399649608343067E-2</v>
      </c>
      <c r="BA17" s="316">
        <v>1991</v>
      </c>
      <c r="BB17" s="61">
        <v>25629.8</v>
      </c>
      <c r="BC17" s="61">
        <v>1166.4000000000001</v>
      </c>
      <c r="BD17" s="61">
        <v>21987.9</v>
      </c>
      <c r="BE17" s="61">
        <v>3763.3</v>
      </c>
      <c r="BF17" s="61">
        <v>11646.9</v>
      </c>
      <c r="BG17" s="61">
        <v>21778.799999999999</v>
      </c>
      <c r="BI17" s="316">
        <v>1991</v>
      </c>
      <c r="BJ17" s="61">
        <v>26542.1</v>
      </c>
      <c r="BK17" s="61">
        <v>1220.0999999999999</v>
      </c>
      <c r="BL17" s="61">
        <v>22066.400000000001</v>
      </c>
      <c r="BM17" s="61">
        <v>4397.5</v>
      </c>
      <c r="BN17" s="61">
        <v>11783.4</v>
      </c>
      <c r="BO17" s="61">
        <v>23059.8</v>
      </c>
      <c r="BQ17" s="316">
        <v>1991</v>
      </c>
      <c r="BR17" s="46">
        <f t="shared" si="21"/>
        <v>29358.195847327555</v>
      </c>
      <c r="BS17" s="46">
        <f t="shared" si="3"/>
        <v>1157.1618414539284</v>
      </c>
      <c r="BT17" s="46">
        <f t="shared" si="3"/>
        <v>27459.317791077261</v>
      </c>
      <c r="BU17" s="46">
        <f t="shared" si="3"/>
        <v>4124.420438572989</v>
      </c>
      <c r="BV17" s="46">
        <f t="shared" si="3"/>
        <v>11940.558141136687</v>
      </c>
      <c r="BW17" s="46">
        <f t="shared" si="3"/>
        <v>21587.662163344816</v>
      </c>
      <c r="BY17" s="316">
        <v>1991</v>
      </c>
      <c r="BZ17" s="46">
        <f t="shared" si="4"/>
        <v>31646.419041661029</v>
      </c>
      <c r="CA17" s="46">
        <f t="shared" si="4"/>
        <v>1280.2125724537673</v>
      </c>
      <c r="CB17" s="46">
        <f t="shared" si="4"/>
        <v>28626.700725479055</v>
      </c>
      <c r="CC17" s="46">
        <f t="shared" si="4"/>
        <v>5138.4826278659611</v>
      </c>
      <c r="CD17" s="46">
        <f t="shared" si="4"/>
        <v>12476.80984954353</v>
      </c>
      <c r="CE17" s="46">
        <f t="shared" si="4"/>
        <v>24287.652191784528</v>
      </c>
      <c r="CG17" s="316">
        <v>1991</v>
      </c>
      <c r="CH17" s="48">
        <f t="shared" si="5"/>
        <v>0.92769408787385599</v>
      </c>
      <c r="CI17" s="48">
        <f t="shared" si="5"/>
        <v>0.90388257884080214</v>
      </c>
      <c r="CJ17" s="48">
        <f t="shared" si="5"/>
        <v>0.95922048630065249</v>
      </c>
      <c r="CK17" s="48">
        <f t="shared" si="5"/>
        <v>0.80265337790698776</v>
      </c>
      <c r="CL17" s="48">
        <f t="shared" si="5"/>
        <v>0.95702012654889812</v>
      </c>
      <c r="CM17" s="48">
        <f t="shared" si="5"/>
        <v>0.88883281071716747</v>
      </c>
      <c r="CO17" s="316">
        <v>1991</v>
      </c>
      <c r="CP17" s="62">
        <v>1.0328936914037801E-2</v>
      </c>
      <c r="CS17" s="316">
        <v>1991</v>
      </c>
      <c r="CT17" s="308">
        <f t="shared" si="45"/>
        <v>3.0174159930517197E-2</v>
      </c>
      <c r="CU17" s="308">
        <f t="shared" si="46"/>
        <v>3.5081973674824463E-2</v>
      </c>
      <c r="CV17" s="308">
        <f t="shared" si="47"/>
        <v>3.7035543937674831E-2</v>
      </c>
      <c r="CW17" s="308">
        <f t="shared" si="48"/>
        <v>3.7467702804925951E-2</v>
      </c>
      <c r="CX17" s="308">
        <f t="shared" si="49"/>
        <v>3.1847000332328346E-2</v>
      </c>
      <c r="CY17" s="308">
        <f t="shared" si="50"/>
        <v>3.9378747256512803E-2</v>
      </c>
      <c r="DA17" s="316">
        <v>1991</v>
      </c>
      <c r="DB17" s="46">
        <f t="shared" si="23"/>
        <v>20025.237826644043</v>
      </c>
      <c r="DC17" s="46">
        <f t="shared" si="24"/>
        <v>900.00789193620039</v>
      </c>
      <c r="DD17" s="46">
        <f t="shared" si="25"/>
        <v>17318.155470090631</v>
      </c>
      <c r="DE17" s="46">
        <f t="shared" si="26"/>
        <v>3906.418159013404</v>
      </c>
      <c r="DF17" s="46">
        <f t="shared" si="27"/>
        <v>4448.1038951247501</v>
      </c>
      <c r="DG17" s="46">
        <f t="shared" si="28"/>
        <v>8835.1725813985722</v>
      </c>
      <c r="DI17" s="316">
        <v>1991</v>
      </c>
      <c r="DJ17" s="88">
        <f t="shared" si="29"/>
        <v>6.0102156575655895E-2</v>
      </c>
      <c r="DK17" s="88">
        <f t="shared" si="30"/>
        <v>5.2847891060700029E-2</v>
      </c>
      <c r="DL17" s="88">
        <f t="shared" si="31"/>
        <v>9.1551892275867741E-2</v>
      </c>
      <c r="DM17" s="88">
        <f t="shared" si="32"/>
        <v>9.3920848188273898E-2</v>
      </c>
      <c r="DN17" s="88">
        <f t="shared" si="33"/>
        <v>3.2588949708049986E-2</v>
      </c>
      <c r="DO17" s="88">
        <f t="shared" si="34"/>
        <v>2.2145642052592202E-2</v>
      </c>
      <c r="DQ17" s="316">
        <v>1991</v>
      </c>
      <c r="DR17" s="61">
        <v>491418.9</v>
      </c>
      <c r="DS17" s="43"/>
      <c r="DT17" s="61">
        <v>439813.6</v>
      </c>
      <c r="DU17" s="43"/>
      <c r="DV17" s="89">
        <v>2.4</v>
      </c>
      <c r="DW17" s="46">
        <f t="shared" si="6"/>
        <v>479901.26953125</v>
      </c>
      <c r="DX17" s="43"/>
      <c r="DY17" s="46">
        <f t="shared" si="7"/>
        <v>429505.46874999994</v>
      </c>
      <c r="DZ17" s="43"/>
      <c r="EB17" s="316">
        <v>1991</v>
      </c>
      <c r="EC17" s="88">
        <f t="shared" si="8"/>
        <v>5.9741690535971559E-2</v>
      </c>
      <c r="ED17" s="88">
        <f t="shared" si="9"/>
        <v>2.3547361354110076E-3</v>
      </c>
      <c r="EE17" s="88">
        <f t="shared" si="10"/>
        <v>5.5877618445438829E-2</v>
      </c>
      <c r="EF17" s="88">
        <f t="shared" si="11"/>
        <v>8.3928811825776106E-3</v>
      </c>
      <c r="EG17" s="88">
        <f t="shared" si="12"/>
        <v>2.4298125572982006E-2</v>
      </c>
      <c r="EH17" s="88">
        <f t="shared" si="13"/>
        <v>4.3929246846925944E-2</v>
      </c>
      <c r="EI17" s="140"/>
      <c r="EJ17" s="316">
        <v>1991</v>
      </c>
      <c r="EK17" s="88">
        <f t="shared" si="14"/>
        <v>0.67358899205969491</v>
      </c>
      <c r="EL17" s="88">
        <f t="shared" si="15"/>
        <v>3.3446832598986384E-2</v>
      </c>
      <c r="EM17" s="88">
        <f t="shared" si="16"/>
        <v>0.40666704479593196</v>
      </c>
      <c r="EN17" s="88">
        <f t="shared" si="17"/>
        <v>8.3788978191063179E-2</v>
      </c>
      <c r="EO17" s="88">
        <f t="shared" si="18"/>
        <v>0.29190653990845306</v>
      </c>
      <c r="EP17" s="88">
        <f t="shared" si="19"/>
        <v>0.78544276849799732</v>
      </c>
      <c r="ER17" s="316">
        <v>1991</v>
      </c>
      <c r="ES17" s="317">
        <f t="shared" si="35"/>
        <v>124043</v>
      </c>
      <c r="ET17" s="61">
        <v>21904</v>
      </c>
      <c r="EU17" s="61">
        <v>86557</v>
      </c>
      <c r="EV17" s="61">
        <v>15582</v>
      </c>
      <c r="EW17" s="88">
        <f t="shared" si="36"/>
        <v>0.17658392654160252</v>
      </c>
      <c r="EX17" s="88">
        <f t="shared" si="36"/>
        <v>0.69779834412260267</v>
      </c>
      <c r="EY17" s="88">
        <f t="shared" si="36"/>
        <v>0.12561772933579485</v>
      </c>
      <c r="EZ17" s="88">
        <f t="shared" si="51"/>
        <v>-5.7931889488029575E-3</v>
      </c>
      <c r="FA17" s="88">
        <f t="shared" si="37"/>
        <v>9.4043388735043365E-4</v>
      </c>
      <c r="FB17" s="88">
        <f t="shared" si="37"/>
        <v>4.8527550614525516E-3</v>
      </c>
      <c r="FC17" s="374"/>
      <c r="FD17" s="316">
        <v>1991</v>
      </c>
      <c r="FE17" s="159">
        <v>6.3770000000000021E-2</v>
      </c>
      <c r="FF17" s="43"/>
      <c r="FG17" s="159">
        <v>3.3000000000000002E-2</v>
      </c>
      <c r="FH17" s="55"/>
      <c r="FI17" s="319">
        <f t="shared" si="55"/>
        <v>3.077000000000002E-2</v>
      </c>
      <c r="FK17" s="345">
        <f t="shared" si="52"/>
        <v>-2.1067809883956734E-4</v>
      </c>
      <c r="FL17" s="345">
        <f t="shared" si="53"/>
        <v>7.5378094795308659E-4</v>
      </c>
      <c r="FM17" s="345">
        <f t="shared" si="54"/>
        <v>2.2201176048118922E-3</v>
      </c>
      <c r="FO17" s="316">
        <v>1991</v>
      </c>
      <c r="FP17" s="61">
        <v>266617.62469571969</v>
      </c>
      <c r="FQ17" s="61">
        <v>12650.259388392455</v>
      </c>
      <c r="FR17" s="61">
        <v>250607.73863147068</v>
      </c>
      <c r="FS17" s="61">
        <v>46835.513427197802</v>
      </c>
      <c r="FT17" s="61">
        <v>96262.083044016399</v>
      </c>
      <c r="FU17" s="61">
        <v>257100.85993504935</v>
      </c>
      <c r="FV17" s="285">
        <f t="shared" si="38"/>
        <v>930074.07912184636</v>
      </c>
    </row>
    <row r="18" spans="1:178" hidden="1" outlineLevel="1">
      <c r="A18" s="316">
        <v>1992</v>
      </c>
      <c r="B18" s="61">
        <v>295838.5</v>
      </c>
      <c r="C18" s="61">
        <v>17709.900000000001</v>
      </c>
      <c r="D18" s="61">
        <v>179126</v>
      </c>
      <c r="E18" s="61">
        <v>38823.5</v>
      </c>
      <c r="F18" s="61">
        <v>148370.4</v>
      </c>
      <c r="G18" s="61">
        <v>379254.6</v>
      </c>
      <c r="I18" s="316">
        <v>1992</v>
      </c>
      <c r="J18" s="61">
        <v>298293.59999999998</v>
      </c>
      <c r="K18" s="61">
        <v>18116.900000000001</v>
      </c>
      <c r="L18" s="61">
        <v>177148.79999999999</v>
      </c>
      <c r="M18" s="61">
        <v>39202.800000000003</v>
      </c>
      <c r="N18" s="61">
        <v>148629.9</v>
      </c>
      <c r="O18" s="61">
        <v>393822.9</v>
      </c>
      <c r="Q18" s="316">
        <v>1992</v>
      </c>
      <c r="R18" s="46">
        <f t="shared" si="0"/>
        <v>335447.07214560808</v>
      </c>
      <c r="S18" s="46">
        <f t="shared" si="0"/>
        <v>16512.619639712568</v>
      </c>
      <c r="T18" s="46">
        <f t="shared" si="0"/>
        <v>202870.83524314302</v>
      </c>
      <c r="U18" s="46">
        <f t="shared" si="0"/>
        <v>42174.833612310948</v>
      </c>
      <c r="V18" s="46">
        <f t="shared" si="0"/>
        <v>147019.09756608357</v>
      </c>
      <c r="W18" s="46">
        <f t="shared" si="0"/>
        <v>394441.19824881444</v>
      </c>
      <c r="Y18" s="316">
        <v>1992</v>
      </c>
      <c r="Z18" s="46">
        <f t="shared" si="1"/>
        <v>354182.31408543466</v>
      </c>
      <c r="AA18" s="46">
        <f t="shared" si="1"/>
        <v>17835.655557919981</v>
      </c>
      <c r="AB18" s="46">
        <f t="shared" si="1"/>
        <v>208396.55272995154</v>
      </c>
      <c r="AC18" s="46">
        <f t="shared" si="1"/>
        <v>44930.583218170294</v>
      </c>
      <c r="AD18" s="46">
        <f t="shared" si="1"/>
        <v>151957.33590580124</v>
      </c>
      <c r="AE18" s="46">
        <f t="shared" si="1"/>
        <v>433032.83444835339</v>
      </c>
      <c r="AG18" s="316">
        <v>1992</v>
      </c>
      <c r="AH18" s="48">
        <f t="shared" si="2"/>
        <v>0.94710283039342469</v>
      </c>
      <c r="AI18" s="48">
        <f t="shared" si="2"/>
        <v>0.92582072949822614</v>
      </c>
      <c r="AJ18" s="48">
        <f t="shared" si="2"/>
        <v>0.9734846022430661</v>
      </c>
      <c r="AK18" s="48">
        <f t="shared" si="2"/>
        <v>0.93866650712103605</v>
      </c>
      <c r="AL18" s="48">
        <f t="shared" si="2"/>
        <v>0.96750246830611131</v>
      </c>
      <c r="AM18" s="48">
        <f t="shared" si="2"/>
        <v>0.91088057733843353</v>
      </c>
      <c r="AO18" s="316">
        <v>1992</v>
      </c>
      <c r="AP18" s="62">
        <v>-8.7291601132430952E-3</v>
      </c>
      <c r="AS18" s="316">
        <v>1992</v>
      </c>
      <c r="AT18" s="308">
        <f t="shared" si="39"/>
        <v>1.0246627429630006E-2</v>
      </c>
      <c r="AU18" s="308">
        <f t="shared" si="40"/>
        <v>4.2175411908860205E-3</v>
      </c>
      <c r="AV18" s="308">
        <f t="shared" si="41"/>
        <v>-2.4940722930355541E-5</v>
      </c>
      <c r="AW18" s="308">
        <f t="shared" si="42"/>
        <v>-3.0588920010976572E-4</v>
      </c>
      <c r="AX18" s="308">
        <f t="shared" si="43"/>
        <v>-1.877283787393047E-3</v>
      </c>
      <c r="AY18" s="308">
        <f t="shared" si="44"/>
        <v>1.4409019674146428E-3</v>
      </c>
      <c r="BA18" s="316">
        <v>1992</v>
      </c>
      <c r="BB18" s="61">
        <v>24523</v>
      </c>
      <c r="BC18" s="61">
        <v>1238.4000000000001</v>
      </c>
      <c r="BD18" s="61">
        <v>20091.2</v>
      </c>
      <c r="BE18" s="61">
        <v>4658.8</v>
      </c>
      <c r="BF18" s="61">
        <v>11203.4</v>
      </c>
      <c r="BG18" s="61">
        <v>25372.3</v>
      </c>
      <c r="BI18" s="316">
        <v>1992</v>
      </c>
      <c r="BJ18" s="61">
        <v>25011.4</v>
      </c>
      <c r="BK18" s="61">
        <v>1279.0999999999999</v>
      </c>
      <c r="BL18" s="61">
        <v>19895.599999999999</v>
      </c>
      <c r="BM18" s="61">
        <v>5372.6</v>
      </c>
      <c r="BN18" s="61">
        <v>11216.6</v>
      </c>
      <c r="BO18" s="61">
        <v>26470</v>
      </c>
      <c r="BQ18" s="316">
        <v>1992</v>
      </c>
      <c r="BR18" s="46">
        <f t="shared" si="21"/>
        <v>28090.388405840607</v>
      </c>
      <c r="BS18" s="46">
        <f t="shared" si="3"/>
        <v>1228.5915847535537</v>
      </c>
      <c r="BT18" s="46">
        <f t="shared" si="3"/>
        <v>25090.647383519638</v>
      </c>
      <c r="BU18" s="46">
        <f t="shared" si="3"/>
        <v>5105.8512314255677</v>
      </c>
      <c r="BV18" s="46">
        <f t="shared" si="3"/>
        <v>11485.875990899793</v>
      </c>
      <c r="BW18" s="46">
        <f t="shared" si="3"/>
        <v>25149.624437849361</v>
      </c>
      <c r="BY18" s="316">
        <v>1992</v>
      </c>
      <c r="BZ18" s="46">
        <f t="shared" si="4"/>
        <v>29821.349675368594</v>
      </c>
      <c r="CA18" s="46">
        <f t="shared" si="4"/>
        <v>1342.1194176097154</v>
      </c>
      <c r="CB18" s="46">
        <f t="shared" si="4"/>
        <v>25810.525819972492</v>
      </c>
      <c r="CC18" s="46">
        <f t="shared" si="4"/>
        <v>6277.8878377425044</v>
      </c>
      <c r="CD18" s="46">
        <f t="shared" si="4"/>
        <v>11876.655749477228</v>
      </c>
      <c r="CE18" s="46">
        <f t="shared" si="4"/>
        <v>27879.433191811568</v>
      </c>
      <c r="CG18" s="316">
        <v>1992</v>
      </c>
      <c r="CH18" s="48">
        <f t="shared" si="5"/>
        <v>0.94195563620121125</v>
      </c>
      <c r="CI18" s="48">
        <f t="shared" si="5"/>
        <v>0.91541152645093815</v>
      </c>
      <c r="CJ18" s="48">
        <f t="shared" si="5"/>
        <v>0.97210911387571175</v>
      </c>
      <c r="CK18" s="48">
        <f t="shared" si="5"/>
        <v>0.81330717645659711</v>
      </c>
      <c r="CL18" s="48">
        <f t="shared" si="5"/>
        <v>0.9670968185977239</v>
      </c>
      <c r="CM18" s="48">
        <f t="shared" si="5"/>
        <v>0.90208521331186975</v>
      </c>
      <c r="CO18" s="316">
        <v>1992</v>
      </c>
      <c r="CP18" s="62">
        <v>-8.7291601132430952E-3</v>
      </c>
      <c r="CS18" s="316">
        <v>1992</v>
      </c>
      <c r="CT18" s="308">
        <f t="shared" si="45"/>
        <v>1.5373115463138021E-2</v>
      </c>
      <c r="CU18" s="308">
        <f t="shared" si="46"/>
        <v>1.2754917375353614E-2</v>
      </c>
      <c r="CV18" s="308">
        <f t="shared" si="47"/>
        <v>1.3436564125903772E-2</v>
      </c>
      <c r="CW18" s="308">
        <f t="shared" si="48"/>
        <v>1.3273224585923282E-2</v>
      </c>
      <c r="CX18" s="308">
        <f t="shared" si="49"/>
        <v>1.052923733711153E-2</v>
      </c>
      <c r="CY18" s="308">
        <f t="shared" si="50"/>
        <v>1.490989355355743E-2</v>
      </c>
      <c r="DA18" s="316">
        <v>1992</v>
      </c>
      <c r="DB18" s="46">
        <f t="shared" si="23"/>
        <v>20446.893749504601</v>
      </c>
      <c r="DC18" s="46">
        <f t="shared" si="24"/>
        <v>916.82573044350943</v>
      </c>
      <c r="DD18" s="46">
        <f t="shared" si="25"/>
        <v>17884.697734415196</v>
      </c>
      <c r="DE18" s="46">
        <f t="shared" si="26"/>
        <v>4172.0317865148809</v>
      </c>
      <c r="DF18" s="46">
        <f t="shared" si="27"/>
        <v>4439.1964241305686</v>
      </c>
      <c r="DG18" s="46">
        <f t="shared" si="28"/>
        <v>9256.6954062878103</v>
      </c>
      <c r="DI18" s="316">
        <v>1992</v>
      </c>
      <c r="DJ18" s="88">
        <f t="shared" si="29"/>
        <v>5.929938447064672E-2</v>
      </c>
      <c r="DK18" s="88">
        <f t="shared" si="30"/>
        <v>5.2659774521034458E-2</v>
      </c>
      <c r="DL18" s="88">
        <f t="shared" si="31"/>
        <v>8.9213513674577846E-2</v>
      </c>
      <c r="DM18" s="88">
        <f t="shared" si="32"/>
        <v>9.7421094365672034E-2</v>
      </c>
      <c r="DN18" s="88">
        <f t="shared" si="33"/>
        <v>3.0716857287511289E-2</v>
      </c>
      <c r="DO18" s="88">
        <f t="shared" si="34"/>
        <v>2.2337041208286966E-2</v>
      </c>
      <c r="DQ18" s="316">
        <v>1992</v>
      </c>
      <c r="DR18" s="61">
        <v>504161.2</v>
      </c>
      <c r="DS18" s="43"/>
      <c r="DT18" s="61">
        <v>443774.5</v>
      </c>
      <c r="DU18" s="43"/>
      <c r="DV18" s="89">
        <v>0.8</v>
      </c>
      <c r="DW18" s="46">
        <f t="shared" si="6"/>
        <v>500159.92063492065</v>
      </c>
      <c r="DX18" s="43"/>
      <c r="DY18" s="46">
        <f t="shared" si="7"/>
        <v>440252.48015873018</v>
      </c>
      <c r="DZ18" s="43"/>
      <c r="EB18" s="316">
        <v>1992</v>
      </c>
      <c r="EC18" s="88">
        <f t="shared" si="8"/>
        <v>5.5717077009973408E-2</v>
      </c>
      <c r="ED18" s="88">
        <f t="shared" si="9"/>
        <v>2.436902293856714E-3</v>
      </c>
      <c r="EE18" s="88">
        <f t="shared" si="10"/>
        <v>4.9767112946255361E-2</v>
      </c>
      <c r="EF18" s="88">
        <f t="shared" si="11"/>
        <v>1.0127418038963665E-2</v>
      </c>
      <c r="EG18" s="88">
        <f t="shared" si="12"/>
        <v>2.2782149818152988E-2</v>
      </c>
      <c r="EH18" s="88">
        <f t="shared" si="13"/>
        <v>4.9884093495987714E-2</v>
      </c>
      <c r="EI18" s="140"/>
      <c r="EJ18" s="316">
        <v>1992</v>
      </c>
      <c r="EK18" s="88">
        <f t="shared" si="14"/>
        <v>0.67067963326565583</v>
      </c>
      <c r="EL18" s="88">
        <f t="shared" si="15"/>
        <v>3.3014679822307366E-2</v>
      </c>
      <c r="EM18" s="88">
        <f t="shared" si="16"/>
        <v>0.40561193904863796</v>
      </c>
      <c r="EN18" s="88">
        <f t="shared" si="17"/>
        <v>8.4322697346026293E-2</v>
      </c>
      <c r="EO18" s="88">
        <f t="shared" si="18"/>
        <v>0.29394417965248465</v>
      </c>
      <c r="EP18" s="88">
        <f t="shared" si="19"/>
        <v>0.7886301600258111</v>
      </c>
      <c r="ER18" s="316">
        <v>1992</v>
      </c>
      <c r="ES18" s="317">
        <f t="shared" si="35"/>
        <v>124451</v>
      </c>
      <c r="ET18" s="61">
        <v>21364</v>
      </c>
      <c r="EU18" s="61">
        <v>86845</v>
      </c>
      <c r="EV18" s="61">
        <v>16242</v>
      </c>
      <c r="EW18" s="88">
        <f t="shared" si="36"/>
        <v>0.17166595688262851</v>
      </c>
      <c r="EX18" s="88">
        <f t="shared" si="36"/>
        <v>0.69782484672682421</v>
      </c>
      <c r="EY18" s="88">
        <f t="shared" si="36"/>
        <v>0.13050919639054728</v>
      </c>
      <c r="EZ18" s="88">
        <f t="shared" si="51"/>
        <v>-4.9179696589740085E-3</v>
      </c>
      <c r="FA18" s="88">
        <f t="shared" si="37"/>
        <v>2.6502604221545489E-5</v>
      </c>
      <c r="FB18" s="88">
        <f t="shared" si="37"/>
        <v>4.8914670547524353E-3</v>
      </c>
      <c r="FC18" s="374"/>
      <c r="FD18" s="316">
        <v>1992</v>
      </c>
      <c r="FE18" s="159">
        <v>5.3482348178137684E-2</v>
      </c>
      <c r="FF18" s="43"/>
      <c r="FG18" s="159">
        <v>2.5000000000000001E-2</v>
      </c>
      <c r="FH18" s="55"/>
      <c r="FI18" s="319">
        <f t="shared" si="55"/>
        <v>2.8482348178137683E-2</v>
      </c>
      <c r="FK18" s="345">
        <f t="shared" si="52"/>
        <v>-1.6030362036102308E-2</v>
      </c>
      <c r="FL18" s="345">
        <f t="shared" si="53"/>
        <v>1.1441461854123036E-2</v>
      </c>
      <c r="FM18" s="345">
        <f t="shared" si="54"/>
        <v>2.8615026672179772E-3</v>
      </c>
      <c r="FO18" s="316">
        <v>1992</v>
      </c>
      <c r="FP18" s="61">
        <v>249693.19601185148</v>
      </c>
      <c r="FQ18" s="61">
        <v>14400.42202977142</v>
      </c>
      <c r="FR18" s="61">
        <v>231691.50632899883</v>
      </c>
      <c r="FS18" s="61">
        <v>55326.119467974335</v>
      </c>
      <c r="FT18" s="61">
        <v>100604.31713659353</v>
      </c>
      <c r="FU18" s="61">
        <v>284527.81732235401</v>
      </c>
      <c r="FV18" s="285">
        <f t="shared" si="38"/>
        <v>936243.37829754362</v>
      </c>
    </row>
    <row r="19" spans="1:178" hidden="1" outlineLevel="1">
      <c r="A19" s="316">
        <v>1993</v>
      </c>
      <c r="B19" s="61">
        <v>307163.5</v>
      </c>
      <c r="C19" s="61">
        <v>18384.2</v>
      </c>
      <c r="D19" s="61">
        <v>179014.8</v>
      </c>
      <c r="E19" s="61">
        <v>40578.300000000003</v>
      </c>
      <c r="F19" s="61">
        <v>161304.20000000001</v>
      </c>
      <c r="G19" s="61">
        <v>387212.1</v>
      </c>
      <c r="I19" s="316">
        <v>1993</v>
      </c>
      <c r="J19" s="61">
        <v>305995.59999999998</v>
      </c>
      <c r="K19" s="61">
        <v>18701.599999999999</v>
      </c>
      <c r="L19" s="61">
        <v>178080.7</v>
      </c>
      <c r="M19" s="61">
        <v>41237.699999999997</v>
      </c>
      <c r="N19" s="61">
        <v>164049.70000000001</v>
      </c>
      <c r="O19" s="61">
        <v>403440</v>
      </c>
      <c r="Q19" s="316">
        <v>1993</v>
      </c>
      <c r="R19" s="46">
        <f t="shared" si="0"/>
        <v>348288.32875030633</v>
      </c>
      <c r="S19" s="46">
        <f t="shared" si="0"/>
        <v>17141.333490330482</v>
      </c>
      <c r="T19" s="46">
        <f t="shared" si="0"/>
        <v>202744.89463776446</v>
      </c>
      <c r="U19" s="46">
        <f t="shared" si="0"/>
        <v>44081.111975232459</v>
      </c>
      <c r="V19" s="46">
        <f t="shared" si="0"/>
        <v>159835.10132492101</v>
      </c>
      <c r="W19" s="46">
        <f t="shared" si="0"/>
        <v>402717.34265171667</v>
      </c>
      <c r="Y19" s="316">
        <v>1993</v>
      </c>
      <c r="Z19" s="46">
        <f t="shared" si="1"/>
        <v>363327.37178391038</v>
      </c>
      <c r="AA19" s="46">
        <f t="shared" si="1"/>
        <v>18411.278749785906</v>
      </c>
      <c r="AB19" s="46">
        <f t="shared" si="1"/>
        <v>209492.83307443623</v>
      </c>
      <c r="AC19" s="46">
        <f t="shared" si="1"/>
        <v>47262.795299721976</v>
      </c>
      <c r="AD19" s="46">
        <f t="shared" si="1"/>
        <v>167722.34502038907</v>
      </c>
      <c r="AE19" s="46">
        <f t="shared" si="1"/>
        <v>443607.43554994813</v>
      </c>
      <c r="AG19" s="316">
        <v>1993</v>
      </c>
      <c r="AH19" s="48">
        <f t="shared" si="2"/>
        <v>0.95860745927353763</v>
      </c>
      <c r="AI19" s="48">
        <f t="shared" si="2"/>
        <v>0.93102351679563855</v>
      </c>
      <c r="AJ19" s="48">
        <f t="shared" si="2"/>
        <v>0.96778916807013571</v>
      </c>
      <c r="AK19" s="48">
        <f t="shared" si="2"/>
        <v>0.93268101676355497</v>
      </c>
      <c r="AL19" s="48">
        <f t="shared" si="2"/>
        <v>0.95297440126711053</v>
      </c>
      <c r="AM19" s="48">
        <f t="shared" si="2"/>
        <v>0.90782369811376296</v>
      </c>
      <c r="AO19" s="316">
        <v>1993</v>
      </c>
      <c r="AP19" s="62">
        <v>-1.5708052360174363E-2</v>
      </c>
      <c r="AS19" s="316">
        <v>1993</v>
      </c>
      <c r="AT19" s="308">
        <f t="shared" si="39"/>
        <v>1.2147180338732522E-2</v>
      </c>
      <c r="AU19" s="308">
        <f t="shared" si="40"/>
        <v>5.6196487415356433E-3</v>
      </c>
      <c r="AV19" s="308">
        <f t="shared" si="41"/>
        <v>-5.850564210062692E-3</v>
      </c>
      <c r="AW19" s="308">
        <f t="shared" si="42"/>
        <v>-6.3765888226257061E-3</v>
      </c>
      <c r="AX19" s="308">
        <f t="shared" si="43"/>
        <v>-1.5016051653528373E-2</v>
      </c>
      <c r="AY19" s="308">
        <f t="shared" si="44"/>
        <v>-3.3559604856244762E-3</v>
      </c>
      <c r="BA19" s="316">
        <v>1993</v>
      </c>
      <c r="BB19" s="61">
        <v>25036.9</v>
      </c>
      <c r="BC19" s="61">
        <v>1411.3</v>
      </c>
      <c r="BD19" s="61">
        <v>14379.8</v>
      </c>
      <c r="BE19" s="61">
        <v>5297.6</v>
      </c>
      <c r="BF19" s="61">
        <v>11178.2</v>
      </c>
      <c r="BG19" s="61">
        <v>26978</v>
      </c>
      <c r="BI19" s="316">
        <v>1993</v>
      </c>
      <c r="BJ19" s="61">
        <v>25127</v>
      </c>
      <c r="BK19" s="61">
        <v>1447</v>
      </c>
      <c r="BL19" s="61">
        <v>14290.6</v>
      </c>
      <c r="BM19" s="61">
        <v>6132.3</v>
      </c>
      <c r="BN19" s="61">
        <v>11316.7</v>
      </c>
      <c r="BO19" s="61">
        <v>28140.9</v>
      </c>
      <c r="BQ19" s="316">
        <v>1993</v>
      </c>
      <c r="BR19" s="46">
        <f>BB19/BB$20*BR$20</f>
        <v>28679.046017134558</v>
      </c>
      <c r="BS19" s="46">
        <f t="shared" si="3"/>
        <v>1400.1221766494593</v>
      </c>
      <c r="BT19" s="46">
        <f t="shared" si="3"/>
        <v>17958.035918488476</v>
      </c>
      <c r="BU19" s="46">
        <f t="shared" si="3"/>
        <v>5805.9494899115853</v>
      </c>
      <c r="BV19" s="46">
        <f t="shared" si="3"/>
        <v>11460.040612802903</v>
      </c>
      <c r="BW19" s="46">
        <f t="shared" si="3"/>
        <v>26741.232292078374</v>
      </c>
      <c r="BY19" s="316">
        <v>1993</v>
      </c>
      <c r="BZ19" s="46">
        <f>BJ19/BJ$20*BZ$20</f>
        <v>29959.180745299607</v>
      </c>
      <c r="CA19" s="46">
        <f t="shared" si="4"/>
        <v>1518.2916091636764</v>
      </c>
      <c r="CB19" s="46">
        <f t="shared" si="4"/>
        <v>18539.169478824413</v>
      </c>
      <c r="CC19" s="46">
        <f t="shared" si="4"/>
        <v>7165.5979576719574</v>
      </c>
      <c r="CD19" s="46">
        <f t="shared" si="4"/>
        <v>11982.646267149486</v>
      </c>
      <c r="CE19" s="46">
        <f t="shared" si="4"/>
        <v>29639.302663673981</v>
      </c>
      <c r="CG19" s="316">
        <v>1993</v>
      </c>
      <c r="CH19" s="48">
        <f t="shared" si="5"/>
        <v>0.95727070312608953</v>
      </c>
      <c r="CI19" s="48">
        <f t="shared" si="5"/>
        <v>0.92216947534913363</v>
      </c>
      <c r="CJ19" s="48">
        <f t="shared" si="5"/>
        <v>0.96865374357790346</v>
      </c>
      <c r="CK19" s="48">
        <f t="shared" si="5"/>
        <v>0.81025331370920084</v>
      </c>
      <c r="CL19" s="48">
        <f t="shared" si="5"/>
        <v>0.95638645732376237</v>
      </c>
      <c r="CM19" s="48">
        <f t="shared" si="5"/>
        <v>0.90222204602851563</v>
      </c>
      <c r="CO19" s="316">
        <v>1993</v>
      </c>
      <c r="CP19" s="62">
        <v>-1.5708052360174363E-2</v>
      </c>
      <c r="CS19" s="316">
        <v>1993</v>
      </c>
      <c r="CT19" s="308">
        <f t="shared" si="45"/>
        <v>1.6258798542404751E-2</v>
      </c>
      <c r="CU19" s="308">
        <f t="shared" si="46"/>
        <v>7.3824162171041152E-3</v>
      </c>
      <c r="CV19" s="308">
        <f t="shared" si="47"/>
        <v>-3.5545086950496962E-3</v>
      </c>
      <c r="CW19" s="308">
        <f t="shared" si="48"/>
        <v>-3.7548700365602761E-3</v>
      </c>
      <c r="CX19" s="308">
        <f t="shared" si="49"/>
        <v>-1.1074755978921935E-2</v>
      </c>
      <c r="CY19" s="308">
        <f t="shared" si="50"/>
        <v>1.5168491249673011E-4</v>
      </c>
      <c r="DA19" s="316">
        <v>1993</v>
      </c>
      <c r="DB19" s="46">
        <f t="shared" si="23"/>
        <v>20814.123046823886</v>
      </c>
      <c r="DC19" s="46">
        <f t="shared" si="24"/>
        <v>942.66841729775138</v>
      </c>
      <c r="DD19" s="46">
        <f t="shared" si="25"/>
        <v>17442.889134339719</v>
      </c>
      <c r="DE19" s="46">
        <f t="shared" si="26"/>
        <v>4833.3858761202746</v>
      </c>
      <c r="DF19" s="46">
        <f t="shared" si="27"/>
        <v>-3782.3628474383386</v>
      </c>
      <c r="DG19" s="46">
        <f t="shared" si="28"/>
        <v>19064.701562079237</v>
      </c>
      <c r="DI19" s="316">
        <v>1993</v>
      </c>
      <c r="DJ19" s="88">
        <f t="shared" si="29"/>
        <v>5.8766692234675427E-2</v>
      </c>
      <c r="DK19" s="88">
        <f t="shared" si="30"/>
        <v>5.2853028824003973E-2</v>
      </c>
      <c r="DL19" s="88">
        <f t="shared" si="31"/>
        <v>8.3700468677823575E-2</v>
      </c>
      <c r="DM19" s="88">
        <f t="shared" si="32"/>
        <v>0.1075745189562911</v>
      </c>
      <c r="DN19" s="88">
        <f t="shared" si="33"/>
        <v>-2.489095261437747E-2</v>
      </c>
      <c r="DO19" s="88">
        <f t="shared" si="34"/>
        <v>4.4025995364453202E-2</v>
      </c>
      <c r="DQ19" s="316">
        <v>1993</v>
      </c>
      <c r="DR19" s="61">
        <v>504497.8</v>
      </c>
      <c r="DS19" s="43"/>
      <c r="DT19" s="61">
        <v>441736.6</v>
      </c>
      <c r="DU19" s="43"/>
      <c r="DV19" s="89">
        <v>-1.7</v>
      </c>
      <c r="DW19" s="46">
        <f t="shared" si="6"/>
        <v>513222.58392675483</v>
      </c>
      <c r="DX19" s="43"/>
      <c r="DY19" s="46">
        <f t="shared" si="7"/>
        <v>449375.99186164798</v>
      </c>
      <c r="DZ19" s="43"/>
      <c r="EB19" s="316">
        <v>1993</v>
      </c>
      <c r="EC19" s="88">
        <f t="shared" si="8"/>
        <v>5.6846721664860697E-2</v>
      </c>
      <c r="ED19" s="88">
        <f t="shared" si="9"/>
        <v>2.7752790530493083E-3</v>
      </c>
      <c r="EE19" s="88">
        <f t="shared" si="10"/>
        <v>3.5595865667775908E-2</v>
      </c>
      <c r="EF19" s="88">
        <f t="shared" si="11"/>
        <v>1.1508374248433957E-2</v>
      </c>
      <c r="EG19" s="88">
        <f t="shared" si="12"/>
        <v>2.2715739519187008E-2</v>
      </c>
      <c r="EH19" s="88">
        <f t="shared" si="13"/>
        <v>5.3005646986128335E-2</v>
      </c>
      <c r="EI19" s="140"/>
      <c r="EJ19" s="316">
        <v>1993</v>
      </c>
      <c r="EK19" s="88">
        <f t="shared" si="14"/>
        <v>0.67863016877685323</v>
      </c>
      <c r="EL19" s="88">
        <f t="shared" si="15"/>
        <v>3.3399413874539916E-2</v>
      </c>
      <c r="EM19" s="88">
        <f t="shared" si="16"/>
        <v>0.39504281570489003</v>
      </c>
      <c r="EN19" s="88">
        <f t="shared" si="17"/>
        <v>8.5890826623334152E-2</v>
      </c>
      <c r="EO19" s="88">
        <f t="shared" si="18"/>
        <v>0.31143427107590432</v>
      </c>
      <c r="EP19" s="88">
        <f t="shared" si="19"/>
        <v>0.78468359589801484</v>
      </c>
      <c r="ER19" s="316">
        <v>1993</v>
      </c>
      <c r="ES19" s="317">
        <f t="shared" si="35"/>
        <v>124764</v>
      </c>
      <c r="ET19" s="61">
        <v>20841</v>
      </c>
      <c r="EU19" s="61">
        <v>87023</v>
      </c>
      <c r="EV19" s="61">
        <v>16900</v>
      </c>
      <c r="EW19" s="88">
        <f t="shared" si="36"/>
        <v>0.16704337789747042</v>
      </c>
      <c r="EX19" s="88">
        <f t="shared" si="36"/>
        <v>0.69750088166458268</v>
      </c>
      <c r="EY19" s="88">
        <f t="shared" si="36"/>
        <v>0.13545574043794684</v>
      </c>
      <c r="EZ19" s="88">
        <f t="shared" si="51"/>
        <v>-4.6225789851580823E-3</v>
      </c>
      <c r="FA19" s="88">
        <f t="shared" si="37"/>
        <v>-3.2396506224152688E-4</v>
      </c>
      <c r="FB19" s="88">
        <f t="shared" si="37"/>
        <v>4.9465440473995537E-3</v>
      </c>
      <c r="FC19" s="374"/>
      <c r="FD19" s="316">
        <v>1993</v>
      </c>
      <c r="FE19" s="159">
        <v>4.3461382113821161E-2</v>
      </c>
      <c r="FF19" s="43"/>
      <c r="FG19" s="159">
        <v>0.02</v>
      </c>
      <c r="FH19" s="55"/>
      <c r="FI19" s="319">
        <f t="shared" si="55"/>
        <v>2.346138211382116E-2</v>
      </c>
      <c r="FK19" s="345">
        <f t="shared" si="52"/>
        <v>-6.4249686986234122E-3</v>
      </c>
      <c r="FL19" s="345">
        <f t="shared" si="53"/>
        <v>1.4980692302690946E-2</v>
      </c>
      <c r="FM19" s="345">
        <f t="shared" si="54"/>
        <v>3.8238916785514054E-3</v>
      </c>
      <c r="FO19" s="316">
        <v>1993</v>
      </c>
      <c r="FP19" s="61">
        <v>256914.81187267735</v>
      </c>
      <c r="FQ19" s="61">
        <v>16210.053168005768</v>
      </c>
      <c r="FR19" s="61">
        <v>173169.5629921793</v>
      </c>
      <c r="FS19" s="61">
        <v>57791.663358336991</v>
      </c>
      <c r="FT19" s="61">
        <v>100293.00251845777</v>
      </c>
      <c r="FU19" s="61">
        <v>307141.71781202551</v>
      </c>
      <c r="FV19" s="285">
        <f t="shared" si="38"/>
        <v>911520.81172168278</v>
      </c>
    </row>
    <row r="20" spans="1:178" hidden="1" outlineLevel="1">
      <c r="A20" s="316">
        <v>1994</v>
      </c>
      <c r="B20" s="61">
        <v>318334</v>
      </c>
      <c r="C20" s="61">
        <v>19023.7</v>
      </c>
      <c r="D20" s="61">
        <v>177181.7</v>
      </c>
      <c r="E20" s="61">
        <v>42297.3</v>
      </c>
      <c r="F20" s="61">
        <v>166168.4</v>
      </c>
      <c r="G20" s="61">
        <v>410533.3</v>
      </c>
      <c r="I20" s="316">
        <v>1994</v>
      </c>
      <c r="J20" s="61">
        <v>314902.59999999998</v>
      </c>
      <c r="K20" s="61">
        <v>19267.099999999999</v>
      </c>
      <c r="L20" s="61">
        <v>176466.5</v>
      </c>
      <c r="M20" s="61">
        <v>43054.9</v>
      </c>
      <c r="N20" s="61">
        <v>168889.7</v>
      </c>
      <c r="O20" s="61">
        <v>423331.7</v>
      </c>
      <c r="Q20" s="316">
        <v>1994</v>
      </c>
      <c r="R20" s="75">
        <v>360954.4</v>
      </c>
      <c r="S20" s="75">
        <v>17737.599999999999</v>
      </c>
      <c r="T20" s="75">
        <v>200668.79999999999</v>
      </c>
      <c r="U20" s="75">
        <v>45948.5</v>
      </c>
      <c r="V20" s="75">
        <v>164655</v>
      </c>
      <c r="W20" s="75">
        <v>426972.4</v>
      </c>
      <c r="Y20" s="316">
        <v>1994</v>
      </c>
      <c r="Z20" s="75">
        <v>373903.2</v>
      </c>
      <c r="AA20" s="75">
        <v>18968</v>
      </c>
      <c r="AB20" s="75">
        <v>207593.9</v>
      </c>
      <c r="AC20" s="75">
        <v>49345.5</v>
      </c>
      <c r="AD20" s="75">
        <v>172670.7</v>
      </c>
      <c r="AE20" s="75">
        <v>465479.6</v>
      </c>
      <c r="AG20" s="316">
        <v>1994</v>
      </c>
      <c r="AH20" s="48">
        <f t="shared" si="2"/>
        <v>0.96536857667973963</v>
      </c>
      <c r="AI20" s="48">
        <f t="shared" si="2"/>
        <v>0.93513285533530144</v>
      </c>
      <c r="AJ20" s="48">
        <f t="shared" si="2"/>
        <v>0.96664111999437363</v>
      </c>
      <c r="AK20" s="48">
        <f t="shared" si="2"/>
        <v>0.93115886960310468</v>
      </c>
      <c r="AL20" s="48">
        <f t="shared" si="2"/>
        <v>0.95357811139932824</v>
      </c>
      <c r="AM20" s="48">
        <f t="shared" si="2"/>
        <v>0.91727414047790723</v>
      </c>
      <c r="AO20" s="316">
        <v>1994</v>
      </c>
      <c r="AP20" s="62">
        <v>-1.6361731280731817E-2</v>
      </c>
      <c r="AS20" s="316">
        <v>1994</v>
      </c>
      <c r="AT20" s="308">
        <f t="shared" si="39"/>
        <v>7.0530615433828103E-3</v>
      </c>
      <c r="AU20" s="308">
        <f t="shared" si="40"/>
        <v>4.4137859737487517E-3</v>
      </c>
      <c r="AV20" s="308">
        <f t="shared" si="41"/>
        <v>-1.1862584472311921E-3</v>
      </c>
      <c r="AW20" s="308">
        <f t="shared" si="42"/>
        <v>-1.632012588539844E-3</v>
      </c>
      <c r="AX20" s="308">
        <f t="shared" si="43"/>
        <v>6.3350089091063211E-4</v>
      </c>
      <c r="AY20" s="308">
        <f t="shared" si="44"/>
        <v>1.0409997429875473E-2</v>
      </c>
      <c r="BA20" s="316">
        <v>1994</v>
      </c>
      <c r="BB20" s="61">
        <v>26647.9</v>
      </c>
      <c r="BC20" s="61">
        <v>1414.1</v>
      </c>
      <c r="BD20" s="61">
        <v>12130.8</v>
      </c>
      <c r="BE20" s="61">
        <v>4852.1000000000004</v>
      </c>
      <c r="BF20" s="61">
        <v>9582.2000000000007</v>
      </c>
      <c r="BG20" s="61">
        <v>28337.599999999999</v>
      </c>
      <c r="BI20" s="316">
        <v>1994</v>
      </c>
      <c r="BJ20" s="61">
        <v>26614.799999999999</v>
      </c>
      <c r="BK20" s="61">
        <v>1449.2</v>
      </c>
      <c r="BL20" s="61">
        <v>12143.7</v>
      </c>
      <c r="BM20" s="61">
        <v>5670</v>
      </c>
      <c r="BN20" s="61">
        <v>9803.5</v>
      </c>
      <c r="BO20" s="61">
        <v>29583.200000000001</v>
      </c>
      <c r="BQ20" s="316">
        <v>1994</v>
      </c>
      <c r="BR20" s="75">
        <v>30524.400000000001</v>
      </c>
      <c r="BS20" s="75">
        <v>1402.9</v>
      </c>
      <c r="BT20" s="75">
        <v>15149.4</v>
      </c>
      <c r="BU20" s="75">
        <v>5317.7</v>
      </c>
      <c r="BV20" s="75">
        <v>9823.7999999999993</v>
      </c>
      <c r="BW20" s="75">
        <v>28088.9</v>
      </c>
      <c r="BY20" s="316">
        <v>1994</v>
      </c>
      <c r="BZ20" s="75">
        <v>31733.1</v>
      </c>
      <c r="CA20" s="75">
        <v>1520.6</v>
      </c>
      <c r="CB20" s="75">
        <v>15754</v>
      </c>
      <c r="CC20" s="75">
        <v>6625.4</v>
      </c>
      <c r="CD20" s="75">
        <v>10380.4</v>
      </c>
      <c r="CE20" s="75">
        <v>31158.400000000001</v>
      </c>
      <c r="CG20" s="316">
        <v>1994</v>
      </c>
      <c r="CH20" s="48">
        <f t="shared" si="5"/>
        <v>0.9619104342153777</v>
      </c>
      <c r="CI20" s="48">
        <f t="shared" si="5"/>
        <v>0.92259634354859932</v>
      </c>
      <c r="CJ20" s="48">
        <f t="shared" si="5"/>
        <v>0.96162244509330963</v>
      </c>
      <c r="CK20" s="48">
        <f t="shared" si="5"/>
        <v>0.80262323784224354</v>
      </c>
      <c r="CL20" s="48">
        <f t="shared" si="5"/>
        <v>0.94637971561789525</v>
      </c>
      <c r="CM20" s="48">
        <f t="shared" si="5"/>
        <v>0.90148723939611786</v>
      </c>
      <c r="CO20" s="316">
        <v>1994</v>
      </c>
      <c r="CP20" s="62">
        <v>-1.6361731280731817E-2</v>
      </c>
      <c r="CS20" s="316">
        <v>1994</v>
      </c>
      <c r="CT20" s="308">
        <f t="shared" si="45"/>
        <v>4.8468328489910117E-3</v>
      </c>
      <c r="CU20" s="308">
        <f t="shared" si="46"/>
        <v>4.6289560745238489E-4</v>
      </c>
      <c r="CV20" s="308">
        <f t="shared" si="47"/>
        <v>-7.2588358133242048E-3</v>
      </c>
      <c r="CW20" s="308">
        <f t="shared" si="48"/>
        <v>-9.4169017736294158E-3</v>
      </c>
      <c r="CX20" s="308">
        <f t="shared" si="49"/>
        <v>-1.046307340431063E-2</v>
      </c>
      <c r="CY20" s="308">
        <f t="shared" si="50"/>
        <v>-8.1444100776772999E-4</v>
      </c>
      <c r="DA20" s="316">
        <v>1994</v>
      </c>
      <c r="DB20" s="46">
        <f t="shared" si="23"/>
        <v>21157.271783910364</v>
      </c>
      <c r="DC20" s="46">
        <f t="shared" si="24"/>
        <v>963.87874978590617</v>
      </c>
      <c r="DD20" s="46">
        <f t="shared" si="25"/>
        <v>17652.933074436238</v>
      </c>
      <c r="DE20" s="46">
        <f t="shared" si="26"/>
        <v>4542.695299721976</v>
      </c>
      <c r="DF20" s="46">
        <f t="shared" si="27"/>
        <v>5432.0450203890559</v>
      </c>
      <c r="DG20" s="46">
        <f t="shared" si="28"/>
        <v>9286.2355499481564</v>
      </c>
      <c r="DI20" s="316">
        <v>1994</v>
      </c>
      <c r="DJ20" s="88">
        <f t="shared" si="29"/>
        <v>5.8231978724943657E-2</v>
      </c>
      <c r="DK20" s="88">
        <f t="shared" si="30"/>
        <v>5.2352623784869615E-2</v>
      </c>
      <c r="DL20" s="88">
        <f t="shared" si="31"/>
        <v>8.4265093060075527E-2</v>
      </c>
      <c r="DM20" s="88">
        <f t="shared" si="32"/>
        <v>9.6115671341781561E-2</v>
      </c>
      <c r="DN20" s="88">
        <f t="shared" si="33"/>
        <v>3.238712778389017E-2</v>
      </c>
      <c r="DO20" s="88">
        <f t="shared" si="34"/>
        <v>2.0933453332304591E-2</v>
      </c>
      <c r="DQ20" s="316">
        <v>1994</v>
      </c>
      <c r="DR20" s="61">
        <v>510916.1</v>
      </c>
      <c r="DS20" s="43"/>
      <c r="DT20" s="61">
        <v>446522.3</v>
      </c>
      <c r="DU20" s="43"/>
      <c r="DV20" s="89">
        <v>-2.4</v>
      </c>
      <c r="DW20" s="46">
        <f t="shared" si="6"/>
        <v>523479.61065573769</v>
      </c>
      <c r="DX20" s="43"/>
      <c r="DY20" s="46">
        <f t="shared" si="7"/>
        <v>457502.35655737703</v>
      </c>
      <c r="DZ20" s="43"/>
      <c r="EB20" s="316">
        <v>1994</v>
      </c>
      <c r="EC20" s="88">
        <f t="shared" si="8"/>
        <v>5.974444727813432E-2</v>
      </c>
      <c r="ED20" s="88">
        <f t="shared" si="9"/>
        <v>2.7458520097526778E-3</v>
      </c>
      <c r="EE20" s="88">
        <f t="shared" si="10"/>
        <v>2.9651443749766353E-2</v>
      </c>
      <c r="EF20" s="88">
        <f t="shared" si="11"/>
        <v>1.0408166820344867E-2</v>
      </c>
      <c r="EG20" s="88">
        <f t="shared" si="12"/>
        <v>1.9227814508096339E-2</v>
      </c>
      <c r="EH20" s="88">
        <f t="shared" si="13"/>
        <v>5.4977519792388616E-2</v>
      </c>
      <c r="EI20" s="140"/>
      <c r="EJ20" s="316">
        <v>1994</v>
      </c>
      <c r="EK20" s="88">
        <f t="shared" si="14"/>
        <v>0.68952905261744546</v>
      </c>
      <c r="EL20" s="88">
        <f t="shared" si="15"/>
        <v>3.3884032231515114E-2</v>
      </c>
      <c r="EM20" s="88">
        <f t="shared" si="16"/>
        <v>0.3833364202067619</v>
      </c>
      <c r="EN20" s="88">
        <f t="shared" si="17"/>
        <v>8.7775147426358266E-2</v>
      </c>
      <c r="EO20" s="88">
        <f t="shared" si="18"/>
        <v>0.31453947135351579</v>
      </c>
      <c r="EP20" s="88">
        <f t="shared" si="19"/>
        <v>0.81564284703496337</v>
      </c>
      <c r="ER20" s="316">
        <v>1994</v>
      </c>
      <c r="ES20" s="317">
        <f t="shared" si="35"/>
        <v>125034</v>
      </c>
      <c r="ET20" s="61">
        <v>20415</v>
      </c>
      <c r="EU20" s="61">
        <v>87034</v>
      </c>
      <c r="EV20" s="61">
        <v>17585</v>
      </c>
      <c r="EW20" s="88">
        <f t="shared" si="36"/>
        <v>0.16327558903978118</v>
      </c>
      <c r="EX20" s="88">
        <f t="shared" si="36"/>
        <v>0.69608266551497988</v>
      </c>
      <c r="EY20" s="88">
        <f t="shared" si="36"/>
        <v>0.14064174544523889</v>
      </c>
      <c r="EZ20" s="88">
        <f t="shared" si="51"/>
        <v>-3.7677888576892471E-3</v>
      </c>
      <c r="FA20" s="88">
        <f t="shared" si="37"/>
        <v>-1.4182161496028023E-3</v>
      </c>
      <c r="FB20" s="88">
        <f t="shared" si="37"/>
        <v>5.1860050072920494E-3</v>
      </c>
      <c r="FC20" s="374"/>
      <c r="FD20" s="316">
        <v>1994</v>
      </c>
      <c r="FE20" s="159">
        <v>4.3577651821862337E-2</v>
      </c>
      <c r="FF20" s="43"/>
      <c r="FG20" s="159">
        <v>1.7000000000000001E-2</v>
      </c>
      <c r="FH20" s="55"/>
      <c r="FI20" s="319">
        <f t="shared" si="55"/>
        <v>2.6577651821862336E-2</v>
      </c>
      <c r="FK20" s="345">
        <f t="shared" si="52"/>
        <v>-1.5735765739270491E-2</v>
      </c>
      <c r="FL20" s="345">
        <f t="shared" si="53"/>
        <v>-1.0022179011905386E-3</v>
      </c>
      <c r="FM20" s="345">
        <f t="shared" si="54"/>
        <v>1.8137206009573893E-3</v>
      </c>
      <c r="FO20" s="316">
        <v>1994</v>
      </c>
      <c r="FP20" s="61">
        <v>273139.35492519301</v>
      </c>
      <c r="FQ20" s="61">
        <v>18854.491624605209</v>
      </c>
      <c r="FR20" s="61">
        <v>134648.41893150099</v>
      </c>
      <c r="FS20" s="61">
        <v>52698.94915362668</v>
      </c>
      <c r="FT20" s="61">
        <v>92083.147856277501</v>
      </c>
      <c r="FU20" s="61">
        <v>307844.33882815018</v>
      </c>
      <c r="FV20" s="285">
        <f t="shared" si="38"/>
        <v>879268.70131935354</v>
      </c>
    </row>
    <row r="21" spans="1:178" hidden="1" outlineLevel="1">
      <c r="A21" s="316">
        <v>1995</v>
      </c>
      <c r="B21" s="61">
        <v>320686.2</v>
      </c>
      <c r="C21" s="61">
        <v>19482.5</v>
      </c>
      <c r="D21" s="61">
        <v>173589.5</v>
      </c>
      <c r="E21" s="61">
        <v>43465.599999999999</v>
      </c>
      <c r="F21" s="61">
        <v>170925.6</v>
      </c>
      <c r="G21" s="61">
        <v>428225.3</v>
      </c>
      <c r="I21" s="316">
        <v>1995</v>
      </c>
      <c r="J21" s="61">
        <v>319719.8</v>
      </c>
      <c r="K21" s="61">
        <v>19794.900000000001</v>
      </c>
      <c r="L21" s="61">
        <v>173521.2</v>
      </c>
      <c r="M21" s="61">
        <v>44388</v>
      </c>
      <c r="N21" s="61">
        <v>174180.8</v>
      </c>
      <c r="O21" s="61">
        <v>441862.2</v>
      </c>
      <c r="Q21" s="316">
        <v>1995</v>
      </c>
      <c r="R21" s="75">
        <v>362515.8</v>
      </c>
      <c r="S21" s="75">
        <v>18129.8</v>
      </c>
      <c r="T21" s="75">
        <v>198031.1</v>
      </c>
      <c r="U21" s="75">
        <v>47307.7</v>
      </c>
      <c r="V21" s="75">
        <v>169493.9</v>
      </c>
      <c r="W21" s="75">
        <v>445087.9</v>
      </c>
      <c r="Y21" s="316">
        <v>1995</v>
      </c>
      <c r="Z21" s="75">
        <v>379139</v>
      </c>
      <c r="AA21" s="75">
        <v>19457.7</v>
      </c>
      <c r="AB21" s="75">
        <v>205735</v>
      </c>
      <c r="AC21" s="75">
        <v>50848.6</v>
      </c>
      <c r="AD21" s="75">
        <v>178276</v>
      </c>
      <c r="AE21" s="75">
        <v>485919.9</v>
      </c>
      <c r="AG21" s="316">
        <v>1995</v>
      </c>
      <c r="AH21" s="48">
        <f t="shared" si="2"/>
        <v>0.9561553941957962</v>
      </c>
      <c r="AI21" s="48">
        <f t="shared" si="2"/>
        <v>0.93175452391598179</v>
      </c>
      <c r="AJ21" s="48">
        <f t="shared" si="2"/>
        <v>0.96255425668943062</v>
      </c>
      <c r="AK21" s="48">
        <f t="shared" si="2"/>
        <v>0.93036386449184438</v>
      </c>
      <c r="AL21" s="48">
        <f t="shared" si="2"/>
        <v>0.95073874217505439</v>
      </c>
      <c r="AM21" s="48">
        <f t="shared" si="2"/>
        <v>0.91596968965461179</v>
      </c>
      <c r="AO21" s="316">
        <v>1995</v>
      </c>
      <c r="AP21" s="62">
        <v>-8.4398557849852951E-3</v>
      </c>
      <c r="AS21" s="316">
        <v>1995</v>
      </c>
      <c r="AT21" s="308">
        <f t="shared" si="39"/>
        <v>-9.5436941977445899E-3</v>
      </c>
      <c r="AU21" s="308">
        <f t="shared" si="40"/>
        <v>-3.6126753541434464E-3</v>
      </c>
      <c r="AV21" s="308">
        <f t="shared" si="41"/>
        <v>-4.2279013590553749E-3</v>
      </c>
      <c r="AW21" s="308">
        <f t="shared" si="42"/>
        <v>-8.5378031312655089E-4</v>
      </c>
      <c r="AX21" s="308">
        <f t="shared" si="43"/>
        <v>-2.9775947982983997E-3</v>
      </c>
      <c r="AY21" s="308">
        <f t="shared" si="44"/>
        <v>-1.422094841369681E-3</v>
      </c>
      <c r="BA21" s="316">
        <v>1995</v>
      </c>
      <c r="BB21" s="61">
        <v>25194.3</v>
      </c>
      <c r="BC21" s="61">
        <v>1533.3</v>
      </c>
      <c r="BD21" s="61">
        <v>11353.3</v>
      </c>
      <c r="BE21" s="61">
        <v>4663</v>
      </c>
      <c r="BF21" s="61">
        <v>10716.3</v>
      </c>
      <c r="BG21" s="61">
        <v>28480.799999999999</v>
      </c>
      <c r="BI21" s="316">
        <v>1995</v>
      </c>
      <c r="BJ21" s="61">
        <v>25330.2</v>
      </c>
      <c r="BK21" s="61">
        <v>1578.4</v>
      </c>
      <c r="BL21" s="61">
        <v>11436.4</v>
      </c>
      <c r="BM21" s="61">
        <v>5486.6</v>
      </c>
      <c r="BN21" s="61">
        <v>11012.2</v>
      </c>
      <c r="BO21" s="61">
        <v>29754.799999999999</v>
      </c>
      <c r="BQ21" s="316">
        <v>1995</v>
      </c>
      <c r="BR21" s="75">
        <v>29031.8</v>
      </c>
      <c r="BS21" s="75">
        <v>1528</v>
      </c>
      <c r="BT21" s="75">
        <v>14312.3</v>
      </c>
      <c r="BU21" s="75">
        <v>5133.5</v>
      </c>
      <c r="BV21" s="75">
        <v>10821</v>
      </c>
      <c r="BW21" s="75">
        <v>28372</v>
      </c>
      <c r="BY21" s="316">
        <v>1995</v>
      </c>
      <c r="BZ21" s="75">
        <v>30403.200000000001</v>
      </c>
      <c r="CA21" s="75">
        <v>1663.5</v>
      </c>
      <c r="CB21" s="75">
        <v>14972.9</v>
      </c>
      <c r="CC21" s="75">
        <v>6267.1</v>
      </c>
      <c r="CD21" s="75">
        <v>11486.7</v>
      </c>
      <c r="CE21" s="75">
        <v>31498.1</v>
      </c>
      <c r="CG21" s="316">
        <v>1995</v>
      </c>
      <c r="CH21" s="48">
        <f t="shared" si="5"/>
        <v>0.95489290600989363</v>
      </c>
      <c r="CI21" s="48">
        <f t="shared" si="5"/>
        <v>0.91854523594830173</v>
      </c>
      <c r="CJ21" s="48">
        <f t="shared" si="5"/>
        <v>0.95588029039130695</v>
      </c>
      <c r="CK21" s="48">
        <f t="shared" si="5"/>
        <v>0.81911889071500366</v>
      </c>
      <c r="CL21" s="48">
        <f t="shared" si="5"/>
        <v>0.94204601843871605</v>
      </c>
      <c r="CM21" s="48">
        <f t="shared" si="5"/>
        <v>0.90075274381629378</v>
      </c>
      <c r="CO21" s="316">
        <v>1995</v>
      </c>
      <c r="CP21" s="62">
        <v>-8.4398557849852951E-3</v>
      </c>
      <c r="CS21" s="316">
        <v>1995</v>
      </c>
      <c r="CT21" s="308">
        <f t="shared" si="45"/>
        <v>-7.2954070939132976E-3</v>
      </c>
      <c r="CU21" s="308">
        <f t="shared" si="46"/>
        <v>-4.3909859697858211E-3</v>
      </c>
      <c r="CV21" s="308">
        <f t="shared" si="47"/>
        <v>-5.9713193377526341E-3</v>
      </c>
      <c r="CW21" s="308">
        <f t="shared" si="48"/>
        <v>2.055217453846292E-2</v>
      </c>
      <c r="CX21" s="308">
        <f t="shared" si="49"/>
        <v>-4.579237178968576E-3</v>
      </c>
      <c r="CY21" s="308">
        <f t="shared" si="50"/>
        <v>-8.1475981880352322E-4</v>
      </c>
      <c r="DA21" s="316">
        <v>1995</v>
      </c>
      <c r="DB21" s="46">
        <f t="shared" si="23"/>
        <v>25167.400000000012</v>
      </c>
      <c r="DC21" s="46">
        <f t="shared" si="24"/>
        <v>1173.7999999999993</v>
      </c>
      <c r="DD21" s="46">
        <f t="shared" si="25"/>
        <v>16831.799999999996</v>
      </c>
      <c r="DE21" s="46">
        <f t="shared" si="26"/>
        <v>4764.0000000000018</v>
      </c>
      <c r="DF21" s="46">
        <f t="shared" si="27"/>
        <v>5881.4000000000124</v>
      </c>
      <c r="DG21" s="46">
        <f t="shared" si="28"/>
        <v>11057.799999999952</v>
      </c>
      <c r="DI21" s="316">
        <v>1995</v>
      </c>
      <c r="DJ21" s="88">
        <f t="shared" si="29"/>
        <v>6.7309934763864043E-2</v>
      </c>
      <c r="DK21" s="88">
        <f t="shared" si="30"/>
        <v>6.1883171657528428E-2</v>
      </c>
      <c r="DL21" s="88">
        <f t="shared" si="31"/>
        <v>8.1080417102814661E-2</v>
      </c>
      <c r="DM21" s="88">
        <f t="shared" si="32"/>
        <v>9.6543757789464127E-2</v>
      </c>
      <c r="DN21" s="88">
        <f t="shared" si="33"/>
        <v>3.4061366520202974E-2</v>
      </c>
      <c r="DO21" s="88">
        <f t="shared" si="34"/>
        <v>2.3755713461986201E-2</v>
      </c>
      <c r="DQ21" s="316">
        <v>1995</v>
      </c>
      <c r="DR21" s="61">
        <v>521613.5</v>
      </c>
      <c r="DS21" s="43"/>
      <c r="DT21" s="61">
        <v>458270.3</v>
      </c>
      <c r="DU21" s="43"/>
      <c r="DV21" s="89">
        <v>-1.4</v>
      </c>
      <c r="DW21" s="46">
        <f t="shared" si="6"/>
        <v>529019.77687626774</v>
      </c>
      <c r="DX21" s="43"/>
      <c r="DY21" s="46">
        <f t="shared" si="7"/>
        <v>464777.18052738335</v>
      </c>
      <c r="DZ21" s="43"/>
      <c r="EB21" s="316">
        <v>1995</v>
      </c>
      <c r="EC21" s="88">
        <f t="shared" si="8"/>
        <v>5.5657685240125113E-2</v>
      </c>
      <c r="ED21" s="88">
        <f t="shared" si="9"/>
        <v>2.9293720350412711E-3</v>
      </c>
      <c r="EE21" s="88">
        <f t="shared" si="10"/>
        <v>2.7438515299163076E-2</v>
      </c>
      <c r="EF21" s="88">
        <f t="shared" si="11"/>
        <v>9.841578103327463E-3</v>
      </c>
      <c r="EG21" s="88">
        <f t="shared" si="12"/>
        <v>2.0745245282186908E-2</v>
      </c>
      <c r="EH21" s="88">
        <f t="shared" si="13"/>
        <v>5.4392763990962656E-2</v>
      </c>
      <c r="EI21" s="140"/>
      <c r="EJ21" s="316">
        <v>1995</v>
      </c>
      <c r="EK21" s="88">
        <f t="shared" si="14"/>
        <v>0.685259447464454</v>
      </c>
      <c r="EL21" s="88">
        <f t="shared" si="15"/>
        <v>3.42705524301039E-2</v>
      </c>
      <c r="EM21" s="88">
        <f t="shared" si="16"/>
        <v>0.37433591078451767</v>
      </c>
      <c r="EN21" s="88">
        <f t="shared" si="17"/>
        <v>8.9425201226578682E-2</v>
      </c>
      <c r="EO21" s="88">
        <f t="shared" si="18"/>
        <v>0.32039236982938518</v>
      </c>
      <c r="EP21" s="88">
        <f t="shared" si="19"/>
        <v>0.84134453843698453</v>
      </c>
      <c r="ER21" s="316">
        <v>1995</v>
      </c>
      <c r="ES21" s="317">
        <f t="shared" si="35"/>
        <v>125570</v>
      </c>
      <c r="ET21" s="61">
        <v>20033</v>
      </c>
      <c r="EU21" s="61">
        <v>87260</v>
      </c>
      <c r="EV21" s="61">
        <v>18277</v>
      </c>
      <c r="EW21" s="88">
        <f t="shared" si="36"/>
        <v>0.15953651349844708</v>
      </c>
      <c r="EX21" s="88">
        <f t="shared" si="36"/>
        <v>0.6949112049056303</v>
      </c>
      <c r="EY21" s="88">
        <f t="shared" si="36"/>
        <v>0.14555228159592259</v>
      </c>
      <c r="EZ21" s="88">
        <f t="shared" si="51"/>
        <v>-3.739075541334097E-3</v>
      </c>
      <c r="FA21" s="88">
        <f t="shared" si="37"/>
        <v>-1.1714606093495838E-3</v>
      </c>
      <c r="FB21" s="88">
        <f t="shared" si="37"/>
        <v>4.9105361506837086E-3</v>
      </c>
      <c r="FC21" s="374"/>
      <c r="FD21" s="316">
        <v>1995</v>
      </c>
      <c r="FE21" s="159">
        <v>3.4601927710843354E-2</v>
      </c>
      <c r="FF21" s="43"/>
      <c r="FG21" s="159">
        <v>1.4999999999999999E-2</v>
      </c>
      <c r="FH21" s="55"/>
      <c r="FI21" s="319">
        <f t="shared" si="55"/>
        <v>1.9601927710843355E-2</v>
      </c>
      <c r="FK21" s="345">
        <f t="shared" si="52"/>
        <v>-1.2797781412537734E-2</v>
      </c>
      <c r="FL21" s="345">
        <f t="shared" si="53"/>
        <v>3.7643863023613111E-3</v>
      </c>
      <c r="FM21" s="345">
        <f t="shared" si="54"/>
        <v>3.6290813764051771E-3</v>
      </c>
      <c r="FO21" s="316">
        <v>1995</v>
      </c>
      <c r="FP21" s="61">
        <v>261032.82362725239</v>
      </c>
      <c r="FQ21" s="61">
        <v>16770.87984979598</v>
      </c>
      <c r="FR21" s="61">
        <v>122844.29150569983</v>
      </c>
      <c r="FS21" s="61">
        <v>48053.394024849236</v>
      </c>
      <c r="FT21" s="61">
        <v>94882.371677233547</v>
      </c>
      <c r="FU21" s="61">
        <v>309328.09627163329</v>
      </c>
      <c r="FV21" s="285">
        <f t="shared" si="38"/>
        <v>852911.85695646424</v>
      </c>
    </row>
    <row r="22" spans="1:178" hidden="1" outlineLevel="1">
      <c r="A22" s="316">
        <v>1996</v>
      </c>
      <c r="B22" s="61">
        <v>337087.8</v>
      </c>
      <c r="C22" s="61">
        <v>20451.3</v>
      </c>
      <c r="D22" s="61">
        <v>174457.5</v>
      </c>
      <c r="E22" s="61">
        <v>44840.5</v>
      </c>
      <c r="F22" s="61">
        <v>178895.5</v>
      </c>
      <c r="G22" s="61">
        <v>450831.2</v>
      </c>
      <c r="I22" s="316">
        <v>1996</v>
      </c>
      <c r="J22" s="61">
        <v>329745.09999999998</v>
      </c>
      <c r="K22" s="61">
        <v>20457.599999999999</v>
      </c>
      <c r="L22" s="61">
        <v>171877.9</v>
      </c>
      <c r="M22" s="61">
        <v>45135.199999999997</v>
      </c>
      <c r="N22" s="61">
        <v>180876.6</v>
      </c>
      <c r="O22" s="61">
        <v>460090.2</v>
      </c>
      <c r="Q22" s="316">
        <v>1996</v>
      </c>
      <c r="R22" s="75">
        <v>379462.2</v>
      </c>
      <c r="S22" s="75">
        <v>19011.2</v>
      </c>
      <c r="T22" s="75">
        <v>201130</v>
      </c>
      <c r="U22" s="75">
        <v>48914.6</v>
      </c>
      <c r="V22" s="75">
        <v>177547.1</v>
      </c>
      <c r="W22" s="75">
        <v>468772.8</v>
      </c>
      <c r="Y22" s="316">
        <v>1996</v>
      </c>
      <c r="Z22" s="75">
        <v>390368.7</v>
      </c>
      <c r="AA22" s="75">
        <v>20096.8</v>
      </c>
      <c r="AB22" s="75">
        <v>206070.5</v>
      </c>
      <c r="AC22" s="75">
        <v>51840.7</v>
      </c>
      <c r="AD22" s="75">
        <v>185281</v>
      </c>
      <c r="AE22" s="75">
        <v>506172.6</v>
      </c>
      <c r="AG22" s="316">
        <v>1996</v>
      </c>
      <c r="AH22" s="48">
        <f t="shared" ref="AH22:AM46" si="56">R22/Z22</f>
        <v>0.97206102845848041</v>
      </c>
      <c r="AI22" s="48">
        <f t="shared" si="56"/>
        <v>0.9459814497830501</v>
      </c>
      <c r="AJ22" s="48">
        <f t="shared" si="56"/>
        <v>0.97602519526084519</v>
      </c>
      <c r="AK22" s="48">
        <f t="shared" si="56"/>
        <v>0.94355593192221554</v>
      </c>
      <c r="AL22" s="48">
        <f t="shared" si="56"/>
        <v>0.95825853703293917</v>
      </c>
      <c r="AM22" s="48">
        <f t="shared" si="56"/>
        <v>0.92611255528252623</v>
      </c>
      <c r="AO22" s="316">
        <v>1996</v>
      </c>
      <c r="AP22" s="62">
        <v>-1.6775473101399707E-2</v>
      </c>
      <c r="AS22" s="316">
        <v>1996</v>
      </c>
      <c r="AT22" s="308">
        <f t="shared" si="39"/>
        <v>1.6634988788681193E-2</v>
      </c>
      <c r="AU22" s="308">
        <f t="shared" si="40"/>
        <v>1.5268963554129433E-2</v>
      </c>
      <c r="AV22" s="308">
        <f t="shared" si="41"/>
        <v>1.3994991428063486E-2</v>
      </c>
      <c r="AW22" s="308">
        <f t="shared" si="42"/>
        <v>1.4179470993939125E-2</v>
      </c>
      <c r="AX22" s="308">
        <f t="shared" si="43"/>
        <v>7.909422982681269E-3</v>
      </c>
      <c r="AY22" s="308">
        <f t="shared" si="44"/>
        <v>1.1073363826852312E-2</v>
      </c>
      <c r="BA22" s="316">
        <v>1996</v>
      </c>
      <c r="BB22" s="61">
        <v>28157.1</v>
      </c>
      <c r="BC22" s="61">
        <v>1547</v>
      </c>
      <c r="BD22" s="61">
        <v>11551.9</v>
      </c>
      <c r="BE22" s="61">
        <v>4186.8</v>
      </c>
      <c r="BF22" s="61">
        <v>8774.2000000000007</v>
      </c>
      <c r="BG22" s="61">
        <v>30596.400000000001</v>
      </c>
      <c r="BI22" s="316">
        <v>1996</v>
      </c>
      <c r="BJ22" s="61">
        <v>28132.6</v>
      </c>
      <c r="BK22" s="61">
        <v>1582.4</v>
      </c>
      <c r="BL22" s="61">
        <v>11589</v>
      </c>
      <c r="BM22" s="61">
        <v>4898.7</v>
      </c>
      <c r="BN22" s="61">
        <v>9023.2999999999993</v>
      </c>
      <c r="BO22" s="61">
        <v>31841.4</v>
      </c>
      <c r="BQ22" s="316">
        <v>1996</v>
      </c>
      <c r="BR22" s="75">
        <v>32313.1</v>
      </c>
      <c r="BS22" s="75">
        <v>1557.4</v>
      </c>
      <c r="BT22" s="75">
        <v>15300.8</v>
      </c>
      <c r="BU22" s="75">
        <v>4671.3999999999996</v>
      </c>
      <c r="BV22" s="75">
        <v>8898.7999999999993</v>
      </c>
      <c r="BW22" s="75">
        <v>30465.3</v>
      </c>
      <c r="BY22" s="316">
        <v>1996</v>
      </c>
      <c r="BZ22" s="75">
        <v>33702.699999999997</v>
      </c>
      <c r="CA22" s="75">
        <v>1685.9</v>
      </c>
      <c r="CB22" s="75">
        <v>15954.3</v>
      </c>
      <c r="CC22" s="75">
        <v>5675.6</v>
      </c>
      <c r="CD22" s="75">
        <v>9455.9</v>
      </c>
      <c r="CE22" s="75">
        <v>33706</v>
      </c>
      <c r="CG22" s="316">
        <v>1996</v>
      </c>
      <c r="CH22" s="48">
        <f t="shared" ref="CH22:CM46" si="57">BR22/BZ22</f>
        <v>0.95876888201835464</v>
      </c>
      <c r="CI22" s="48">
        <f t="shared" si="57"/>
        <v>0.92377958360519608</v>
      </c>
      <c r="CJ22" s="48">
        <f t="shared" si="57"/>
        <v>0.95903925587459182</v>
      </c>
      <c r="CK22" s="48">
        <f t="shared" si="57"/>
        <v>0.82306716470505314</v>
      </c>
      <c r="CL22" s="48">
        <f t="shared" si="57"/>
        <v>0.94108440233081991</v>
      </c>
      <c r="CM22" s="48">
        <f t="shared" si="57"/>
        <v>0.90385391324986653</v>
      </c>
      <c r="CO22" s="316">
        <v>1996</v>
      </c>
      <c r="CP22" s="62">
        <v>-1.6775473101399707E-2</v>
      </c>
      <c r="CS22" s="316">
        <v>1996</v>
      </c>
      <c r="CT22" s="308">
        <f t="shared" si="45"/>
        <v>4.0590688066342029E-3</v>
      </c>
      <c r="CU22" s="308">
        <f t="shared" si="46"/>
        <v>5.6985191932223955E-3</v>
      </c>
      <c r="CV22" s="308">
        <f t="shared" si="47"/>
        <v>3.3047710210571957E-3</v>
      </c>
      <c r="CW22" s="308">
        <f t="shared" si="48"/>
        <v>4.8201476425517864E-3</v>
      </c>
      <c r="CX22" s="308">
        <f t="shared" si="49"/>
        <v>-1.0207740270372634E-3</v>
      </c>
      <c r="CY22" s="308">
        <f t="shared" si="50"/>
        <v>3.4428642653185904E-3</v>
      </c>
      <c r="DA22" s="316">
        <v>1996</v>
      </c>
      <c r="DB22" s="46">
        <f t="shared" si="23"/>
        <v>22472.999999999985</v>
      </c>
      <c r="DC22" s="46">
        <f t="shared" si="24"/>
        <v>1046.8000000000015</v>
      </c>
      <c r="DD22" s="46">
        <f t="shared" si="25"/>
        <v>15618.8</v>
      </c>
      <c r="DE22" s="46">
        <f t="shared" si="26"/>
        <v>4683.5000000000018</v>
      </c>
      <c r="DF22" s="46">
        <f t="shared" si="27"/>
        <v>2450.8999999999996</v>
      </c>
      <c r="DG22" s="46">
        <f t="shared" si="28"/>
        <v>13453.300000000047</v>
      </c>
      <c r="DI22" s="316">
        <v>1996</v>
      </c>
      <c r="DJ22" s="88">
        <f t="shared" si="29"/>
        <v>5.9273775580987412E-2</v>
      </c>
      <c r="DK22" s="88">
        <f t="shared" si="30"/>
        <v>5.3798753192823484E-2</v>
      </c>
      <c r="DL22" s="88">
        <f t="shared" si="31"/>
        <v>7.5917077794249888E-2</v>
      </c>
      <c r="DM22" s="88">
        <f t="shared" si="32"/>
        <v>9.2106764001368802E-2</v>
      </c>
      <c r="DN22" s="88">
        <f t="shared" si="33"/>
        <v>1.3747784334402834E-2</v>
      </c>
      <c r="DO22" s="88">
        <f t="shared" si="34"/>
        <v>2.7686250347022309E-2</v>
      </c>
      <c r="DQ22" s="316">
        <v>1996</v>
      </c>
      <c r="DR22" s="61">
        <v>535562.1</v>
      </c>
      <c r="DS22" s="43"/>
      <c r="DT22" s="61">
        <v>472631.9</v>
      </c>
      <c r="DU22" s="43"/>
      <c r="DV22" s="89">
        <v>0.4</v>
      </c>
      <c r="DW22" s="46">
        <f t="shared" si="6"/>
        <v>533428.38645418326</v>
      </c>
      <c r="DX22" s="43"/>
      <c r="DY22" s="46">
        <f t="shared" si="7"/>
        <v>470748.90438247012</v>
      </c>
      <c r="DZ22" s="43"/>
      <c r="EB22" s="316">
        <v>1996</v>
      </c>
      <c r="EC22" s="88">
        <f t="shared" si="8"/>
        <v>6.0334926612618779E-2</v>
      </c>
      <c r="ED22" s="88">
        <f t="shared" si="9"/>
        <v>2.9079727635693419E-3</v>
      </c>
      <c r="EE22" s="88">
        <f t="shared" si="10"/>
        <v>2.8569609387968268E-2</v>
      </c>
      <c r="EF22" s="88">
        <f t="shared" si="11"/>
        <v>8.7224245330280083E-3</v>
      </c>
      <c r="EG22" s="88">
        <f t="shared" si="12"/>
        <v>1.6615813553647652E-2</v>
      </c>
      <c r="EH22" s="88">
        <f t="shared" si="13"/>
        <v>5.6884719811203965E-2</v>
      </c>
      <c r="EI22" s="140"/>
      <c r="EJ22" s="316">
        <v>1996</v>
      </c>
      <c r="EK22" s="88">
        <f t="shared" si="14"/>
        <v>0.71136484228439623</v>
      </c>
      <c r="EL22" s="88">
        <f t="shared" si="15"/>
        <v>3.5639648137909687E-2</v>
      </c>
      <c r="EM22" s="88">
        <f t="shared" si="16"/>
        <v>0.37705155013769648</v>
      </c>
      <c r="EN22" s="88">
        <f t="shared" si="17"/>
        <v>9.1698532065655883E-2</v>
      </c>
      <c r="EO22" s="88">
        <f t="shared" si="18"/>
        <v>0.33284149195770202</v>
      </c>
      <c r="EP22" s="88">
        <f t="shared" si="19"/>
        <v>0.8787923775786225</v>
      </c>
      <c r="ER22" s="316">
        <v>1996</v>
      </c>
      <c r="ES22" s="317">
        <f t="shared" si="35"/>
        <v>125864</v>
      </c>
      <c r="ET22" s="61">
        <v>19686</v>
      </c>
      <c r="EU22" s="61">
        <v>87161</v>
      </c>
      <c r="EV22" s="61">
        <v>19017</v>
      </c>
      <c r="EW22" s="88">
        <f t="shared" si="36"/>
        <v>0.15640691540075002</v>
      </c>
      <c r="EX22" s="88">
        <f t="shared" si="36"/>
        <v>0.69250143011504484</v>
      </c>
      <c r="EY22" s="88">
        <f t="shared" si="36"/>
        <v>0.15109165448420517</v>
      </c>
      <c r="EZ22" s="88">
        <f t="shared" si="51"/>
        <v>-3.1295980976970561E-3</v>
      </c>
      <c r="FA22" s="88">
        <f t="shared" si="37"/>
        <v>-2.4097747905854616E-3</v>
      </c>
      <c r="FB22" s="88">
        <f t="shared" si="37"/>
        <v>5.5393728882825732E-3</v>
      </c>
      <c r="FC22" s="374"/>
      <c r="FD22" s="316">
        <v>1996</v>
      </c>
      <c r="FE22" s="159">
        <v>3.1179838056680155E-2</v>
      </c>
      <c r="FF22" s="43"/>
      <c r="FG22" s="159">
        <v>1.3999999999999999E-2</v>
      </c>
      <c r="FH22" s="55"/>
      <c r="FI22" s="319">
        <f t="shared" si="55"/>
        <v>1.7179838056680156E-2</v>
      </c>
      <c r="FK22" s="345">
        <f t="shared" si="52"/>
        <v>2.8551618152056202E-3</v>
      </c>
      <c r="FL22" s="345">
        <f t="shared" si="53"/>
        <v>8.8605573918283387E-3</v>
      </c>
      <c r="FM22" s="345">
        <f t="shared" si="54"/>
        <v>4.0439923116183593E-4</v>
      </c>
      <c r="FO22" s="316">
        <v>1996</v>
      </c>
      <c r="FP22" s="61">
        <v>294042.70406954671</v>
      </c>
      <c r="FQ22" s="61">
        <v>16066.356323495169</v>
      </c>
      <c r="FR22" s="61">
        <v>130122.78759462836</v>
      </c>
      <c r="FS22" s="61">
        <v>46134.702004971121</v>
      </c>
      <c r="FT22" s="61">
        <v>91429.568433127468</v>
      </c>
      <c r="FU22" s="61">
        <v>335999.3103311382</v>
      </c>
      <c r="FV22" s="285">
        <f t="shared" si="38"/>
        <v>913795.428756907</v>
      </c>
    </row>
    <row r="23" spans="1:178" hidden="1" outlineLevel="1">
      <c r="A23" s="316">
        <v>1997</v>
      </c>
      <c r="B23" s="61">
        <v>342073.3</v>
      </c>
      <c r="C23" s="61">
        <v>21159.3</v>
      </c>
      <c r="D23" s="61">
        <v>171303.8</v>
      </c>
      <c r="E23" s="61">
        <v>45243</v>
      </c>
      <c r="F23" s="61">
        <v>182705</v>
      </c>
      <c r="G23" s="61">
        <v>466963.6</v>
      </c>
      <c r="I23" s="316">
        <v>1997</v>
      </c>
      <c r="J23" s="61">
        <v>336086</v>
      </c>
      <c r="K23" s="61">
        <v>21112.9</v>
      </c>
      <c r="L23" s="61">
        <v>170452.9</v>
      </c>
      <c r="M23" s="61">
        <v>45440.7</v>
      </c>
      <c r="N23" s="61">
        <v>186793</v>
      </c>
      <c r="O23" s="61">
        <v>475789.6</v>
      </c>
      <c r="Q23" s="316">
        <v>1997</v>
      </c>
      <c r="R23" s="75">
        <v>385610.1</v>
      </c>
      <c r="S23" s="75">
        <v>19651</v>
      </c>
      <c r="T23" s="75">
        <v>199331.7</v>
      </c>
      <c r="U23" s="75">
        <v>49428.5</v>
      </c>
      <c r="V23" s="75">
        <v>181383.4</v>
      </c>
      <c r="W23" s="75">
        <v>485926.3</v>
      </c>
      <c r="Y23" s="316">
        <v>1997</v>
      </c>
      <c r="Z23" s="75">
        <v>397826.5</v>
      </c>
      <c r="AA23" s="75">
        <v>20712.2</v>
      </c>
      <c r="AB23" s="75">
        <v>206274.2</v>
      </c>
      <c r="AC23" s="75">
        <v>52259.6</v>
      </c>
      <c r="AD23" s="75">
        <v>191387.1</v>
      </c>
      <c r="AE23" s="75">
        <v>523905.8</v>
      </c>
      <c r="AG23" s="316">
        <v>1997</v>
      </c>
      <c r="AH23" s="48">
        <f t="shared" si="56"/>
        <v>0.96929214117209384</v>
      </c>
      <c r="AI23" s="48">
        <f t="shared" si="56"/>
        <v>0.94876449628721238</v>
      </c>
      <c r="AJ23" s="48">
        <f t="shared" si="56"/>
        <v>0.96634334298715008</v>
      </c>
      <c r="AK23" s="48">
        <f t="shared" si="56"/>
        <v>0.94582622140238348</v>
      </c>
      <c r="AL23" s="48">
        <f t="shared" si="56"/>
        <v>0.94773054192262696</v>
      </c>
      <c r="AM23" s="48">
        <f t="shared" si="56"/>
        <v>0.92750700603047342</v>
      </c>
      <c r="AO23" s="316">
        <v>1997</v>
      </c>
      <c r="AP23" s="62">
        <v>6.8078668683813071E-3</v>
      </c>
      <c r="AS23" s="316">
        <v>1997</v>
      </c>
      <c r="AT23" s="308">
        <f t="shared" si="39"/>
        <v>-2.848470626147348E-3</v>
      </c>
      <c r="AU23" s="308">
        <f t="shared" si="40"/>
        <v>2.9419673132073942E-3</v>
      </c>
      <c r="AV23" s="308">
        <f t="shared" si="41"/>
        <v>-9.9196745337168934E-3</v>
      </c>
      <c r="AW23" s="308">
        <f t="shared" si="42"/>
        <v>2.4060995255923423E-3</v>
      </c>
      <c r="AX23" s="308">
        <f t="shared" si="43"/>
        <v>-1.0986591513090116E-2</v>
      </c>
      <c r="AY23" s="308">
        <f t="shared" si="44"/>
        <v>1.5057033186660629E-3</v>
      </c>
      <c r="BA23" s="316">
        <v>1997</v>
      </c>
      <c r="BB23" s="61">
        <v>25312.5</v>
      </c>
      <c r="BC23" s="61">
        <v>1593.2</v>
      </c>
      <c r="BD23" s="61">
        <v>11686.7</v>
      </c>
      <c r="BE23" s="61">
        <v>3923.8</v>
      </c>
      <c r="BF23" s="61">
        <v>9266.4</v>
      </c>
      <c r="BG23" s="61">
        <v>27980.5</v>
      </c>
      <c r="BI23" s="316">
        <v>1997</v>
      </c>
      <c r="BJ23" s="61">
        <v>24858</v>
      </c>
      <c r="BK23" s="61">
        <v>1599.2</v>
      </c>
      <c r="BL23" s="61">
        <v>11622.3</v>
      </c>
      <c r="BM23" s="61">
        <v>4516.2</v>
      </c>
      <c r="BN23" s="61">
        <v>9484.5</v>
      </c>
      <c r="BO23" s="61">
        <v>28694.6</v>
      </c>
      <c r="BQ23" s="316">
        <v>1997</v>
      </c>
      <c r="BR23" s="75">
        <v>29648.3</v>
      </c>
      <c r="BS23" s="75">
        <v>1593.8</v>
      </c>
      <c r="BT23" s="75">
        <v>15312.8</v>
      </c>
      <c r="BU23" s="75">
        <v>4337.6000000000004</v>
      </c>
      <c r="BV23" s="75">
        <v>9309.7999999999993</v>
      </c>
      <c r="BW23" s="75">
        <v>27928.9</v>
      </c>
      <c r="BY23" s="316">
        <v>1997</v>
      </c>
      <c r="BZ23" s="75">
        <v>30418.3</v>
      </c>
      <c r="CA23" s="75">
        <v>1693.8</v>
      </c>
      <c r="CB23" s="75">
        <v>15846.1</v>
      </c>
      <c r="CC23" s="75">
        <v>5182.5</v>
      </c>
      <c r="CD23" s="75">
        <v>9845.5</v>
      </c>
      <c r="CE23" s="75">
        <v>30450.1</v>
      </c>
      <c r="CG23" s="316">
        <v>1997</v>
      </c>
      <c r="CH23" s="48">
        <f t="shared" si="57"/>
        <v>0.974686290818356</v>
      </c>
      <c r="CI23" s="48">
        <f t="shared" si="57"/>
        <v>0.94096115243830436</v>
      </c>
      <c r="CJ23" s="48">
        <f t="shared" si="57"/>
        <v>0.96634503126952365</v>
      </c>
      <c r="CK23" s="48">
        <f t="shared" si="57"/>
        <v>0.8369705740472746</v>
      </c>
      <c r="CL23" s="48">
        <f t="shared" si="57"/>
        <v>0.9455893555431415</v>
      </c>
      <c r="CM23" s="48">
        <f t="shared" si="57"/>
        <v>0.91720224235716807</v>
      </c>
      <c r="CO23" s="316">
        <v>1997</v>
      </c>
      <c r="CP23" s="62">
        <v>6.8078668683813071E-3</v>
      </c>
      <c r="CS23" s="316">
        <v>1997</v>
      </c>
      <c r="CT23" s="308">
        <f t="shared" si="45"/>
        <v>1.6601924716718841E-2</v>
      </c>
      <c r="CU23" s="308">
        <f t="shared" si="46"/>
        <v>1.8599208228931019E-2</v>
      </c>
      <c r="CV23" s="308">
        <f t="shared" si="47"/>
        <v>7.6178064142633506E-3</v>
      </c>
      <c r="CW23" s="308">
        <f t="shared" si="48"/>
        <v>1.689219293203581E-2</v>
      </c>
      <c r="CX23" s="308">
        <f t="shared" si="49"/>
        <v>4.7869810626592901E-3</v>
      </c>
      <c r="CY23" s="308">
        <f t="shared" si="50"/>
        <v>1.4768237335286649E-2</v>
      </c>
      <c r="DA23" s="316">
        <v>1997</v>
      </c>
      <c r="DB23" s="46">
        <f t="shared" si="23"/>
        <v>22960.500000000011</v>
      </c>
      <c r="DC23" s="46">
        <f t="shared" si="24"/>
        <v>1078.3999999999985</v>
      </c>
      <c r="DD23" s="46">
        <f t="shared" si="25"/>
        <v>15642.399999999989</v>
      </c>
      <c r="DE23" s="46">
        <f t="shared" si="26"/>
        <v>4763.5999999999985</v>
      </c>
      <c r="DF23" s="46">
        <f t="shared" si="27"/>
        <v>3739.3999999999942</v>
      </c>
      <c r="DG23" s="46">
        <f t="shared" si="28"/>
        <v>12716.899999999987</v>
      </c>
      <c r="DI23" s="316">
        <v>1997</v>
      </c>
      <c r="DJ23" s="88">
        <f t="shared" si="29"/>
        <v>5.8817471790130742E-2</v>
      </c>
      <c r="DK23" s="88">
        <f t="shared" si="30"/>
        <v>5.3660284224354052E-2</v>
      </c>
      <c r="DL23" s="88">
        <f t="shared" si="31"/>
        <v>7.5908002358416118E-2</v>
      </c>
      <c r="DM23" s="88">
        <f t="shared" si="32"/>
        <v>9.1889191311074092E-2</v>
      </c>
      <c r="DN23" s="88">
        <f t="shared" si="33"/>
        <v>2.0182317668838112E-2</v>
      </c>
      <c r="DO23" s="88">
        <f t="shared" si="34"/>
        <v>2.5123643595089871E-2</v>
      </c>
      <c r="DQ23" s="316">
        <v>1997</v>
      </c>
      <c r="DR23" s="61">
        <v>543545.4</v>
      </c>
      <c r="DS23" s="43"/>
      <c r="DT23" s="61">
        <v>477269.5</v>
      </c>
      <c r="DU23" s="43"/>
      <c r="DV23" s="89">
        <v>0.3</v>
      </c>
      <c r="DW23" s="46">
        <f t="shared" si="6"/>
        <v>541919.6410767698</v>
      </c>
      <c r="DX23" s="43"/>
      <c r="DY23" s="46">
        <f t="shared" si="7"/>
        <v>475841.97407776676</v>
      </c>
      <c r="DZ23" s="43"/>
      <c r="EB23" s="316">
        <v>1997</v>
      </c>
      <c r="EC23" s="88">
        <f t="shared" si="8"/>
        <v>5.4546133588840966E-2</v>
      </c>
      <c r="ED23" s="88">
        <f t="shared" si="9"/>
        <v>2.9322297640638666E-3</v>
      </c>
      <c r="EE23" s="88">
        <f t="shared" si="10"/>
        <v>2.8172071734946149E-2</v>
      </c>
      <c r="EF23" s="88">
        <f t="shared" si="11"/>
        <v>7.9801981582403245E-3</v>
      </c>
      <c r="EG23" s="88">
        <f t="shared" si="12"/>
        <v>1.7127916085758428E-2</v>
      </c>
      <c r="EH23" s="88">
        <f t="shared" si="13"/>
        <v>5.1382828370914374E-2</v>
      </c>
      <c r="EI23" s="140"/>
      <c r="EJ23" s="316">
        <v>1997</v>
      </c>
      <c r="EK23" s="88">
        <f t="shared" si="14"/>
        <v>0.71156324807458571</v>
      </c>
      <c r="EL23" s="88">
        <f t="shared" si="15"/>
        <v>3.6261833878090032E-2</v>
      </c>
      <c r="EM23" s="88">
        <f t="shared" si="16"/>
        <v>0.36782519933017549</v>
      </c>
      <c r="EN23" s="88">
        <f t="shared" si="17"/>
        <v>9.1210017599265836E-2</v>
      </c>
      <c r="EO23" s="88">
        <f t="shared" si="18"/>
        <v>0.33470534420859777</v>
      </c>
      <c r="EP23" s="88">
        <f t="shared" si="19"/>
        <v>0.89667593341788909</v>
      </c>
      <c r="ER23" s="316">
        <v>1997</v>
      </c>
      <c r="ES23" s="317">
        <f t="shared" si="35"/>
        <v>126166</v>
      </c>
      <c r="ET23" s="61">
        <v>19366</v>
      </c>
      <c r="EU23" s="61">
        <v>87042</v>
      </c>
      <c r="EV23" s="61">
        <v>19758</v>
      </c>
      <c r="EW23" s="88">
        <f t="shared" si="36"/>
        <v>0.15349618756241776</v>
      </c>
      <c r="EX23" s="88">
        <f t="shared" si="36"/>
        <v>0.68990060713662948</v>
      </c>
      <c r="EY23" s="88">
        <f t="shared" si="36"/>
        <v>0.1566032053009527</v>
      </c>
      <c r="EZ23" s="88">
        <f t="shared" si="51"/>
        <v>-2.9107278383322666E-3</v>
      </c>
      <c r="FA23" s="88">
        <f t="shared" si="51"/>
        <v>-2.6008229784153514E-3</v>
      </c>
      <c r="FB23" s="88">
        <f t="shared" si="51"/>
        <v>5.5115508167475347E-3</v>
      </c>
      <c r="FC23" s="374"/>
      <c r="FD23" s="316">
        <v>1997</v>
      </c>
      <c r="FE23" s="159">
        <v>2.3731061224489789E-2</v>
      </c>
      <c r="FF23" s="43"/>
      <c r="FG23" s="159">
        <v>1.1000000000000001E-2</v>
      </c>
      <c r="FH23" s="55"/>
      <c r="FI23" s="319">
        <f t="shared" si="55"/>
        <v>1.2731061224489788E-2</v>
      </c>
      <c r="FK23" s="345">
        <f t="shared" si="52"/>
        <v>4.636711325274212E-3</v>
      </c>
      <c r="FL23" s="345">
        <f t="shared" si="53"/>
        <v>1.0124568630111186E-2</v>
      </c>
      <c r="FM23" s="345">
        <f t="shared" si="54"/>
        <v>1.5866575690681693E-3</v>
      </c>
      <c r="FO23" s="316">
        <v>1997</v>
      </c>
      <c r="FP23" s="61">
        <v>255267.77226008195</v>
      </c>
      <c r="FQ23" s="61">
        <v>15564.097344000067</v>
      </c>
      <c r="FR23" s="61">
        <v>131622.87104308646</v>
      </c>
      <c r="FS23" s="61">
        <v>45080.024366319471</v>
      </c>
      <c r="FT23" s="61">
        <v>86974.314633486239</v>
      </c>
      <c r="FU23" s="61">
        <v>307638.1702635102</v>
      </c>
      <c r="FV23" s="285">
        <f t="shared" si="38"/>
        <v>842147.24991048442</v>
      </c>
    </row>
    <row r="24" spans="1:178" hidden="1" outlineLevel="1">
      <c r="A24" s="316">
        <v>1998</v>
      </c>
      <c r="B24" s="61">
        <v>338508.7</v>
      </c>
      <c r="C24" s="61">
        <v>21174.3</v>
      </c>
      <c r="D24" s="61">
        <v>166233.29999999999</v>
      </c>
      <c r="E24" s="61">
        <v>44510.400000000001</v>
      </c>
      <c r="F24" s="61">
        <v>183110.8</v>
      </c>
      <c r="G24" s="61">
        <v>474684.4</v>
      </c>
      <c r="I24" s="316">
        <v>1998</v>
      </c>
      <c r="J24" s="61">
        <v>338919.7</v>
      </c>
      <c r="K24" s="61">
        <v>21539.7</v>
      </c>
      <c r="L24" s="61">
        <v>168944.5</v>
      </c>
      <c r="M24" s="61">
        <v>45673.8</v>
      </c>
      <c r="N24" s="61">
        <v>191392.7</v>
      </c>
      <c r="O24" s="61">
        <v>493127.7</v>
      </c>
      <c r="Q24" s="316">
        <v>1998</v>
      </c>
      <c r="R24" s="75">
        <v>381653.1</v>
      </c>
      <c r="S24" s="75">
        <v>19631.400000000001</v>
      </c>
      <c r="T24" s="75">
        <v>195249.3</v>
      </c>
      <c r="U24" s="75">
        <v>48635.6</v>
      </c>
      <c r="V24" s="75">
        <v>181776</v>
      </c>
      <c r="W24" s="75">
        <v>494359</v>
      </c>
      <c r="Y24" s="316">
        <v>1998</v>
      </c>
      <c r="Z24" s="75">
        <v>400893.5</v>
      </c>
      <c r="AA24" s="75">
        <v>21083.8</v>
      </c>
      <c r="AB24" s="75">
        <v>206188.2</v>
      </c>
      <c r="AC24" s="75">
        <v>52490.5</v>
      </c>
      <c r="AD24" s="75">
        <v>196069.4</v>
      </c>
      <c r="AE24" s="75">
        <v>543475</v>
      </c>
      <c r="AG24" s="316">
        <v>1998</v>
      </c>
      <c r="AH24" s="48">
        <f t="shared" si="56"/>
        <v>0.95200620613704134</v>
      </c>
      <c r="AI24" s="48">
        <f t="shared" si="56"/>
        <v>0.93111298722241731</v>
      </c>
      <c r="AJ24" s="48">
        <f t="shared" si="56"/>
        <v>0.94694701248665047</v>
      </c>
      <c r="AK24" s="48">
        <f t="shared" si="56"/>
        <v>0.92656004419847393</v>
      </c>
      <c r="AL24" s="48">
        <f t="shared" si="56"/>
        <v>0.92710030223992124</v>
      </c>
      <c r="AM24" s="48">
        <f t="shared" si="56"/>
        <v>0.90962601775610652</v>
      </c>
      <c r="AO24" s="316">
        <v>1998</v>
      </c>
      <c r="AP24" s="62">
        <v>-1.5527172551965895E-2</v>
      </c>
      <c r="AS24" s="316">
        <v>1998</v>
      </c>
      <c r="AT24" s="308">
        <f t="shared" si="39"/>
        <v>-1.7833565651476202E-2</v>
      </c>
      <c r="AU24" s="308">
        <f t="shared" si="40"/>
        <v>-1.8604731873790081E-2</v>
      </c>
      <c r="AV24" s="308">
        <f t="shared" si="41"/>
        <v>-2.0071882981613887E-2</v>
      </c>
      <c r="AW24" s="308">
        <f t="shared" si="42"/>
        <v>-2.0369679723346468E-2</v>
      </c>
      <c r="AX24" s="308">
        <f t="shared" si="43"/>
        <v>-2.176804352095052E-2</v>
      </c>
      <c r="AY24" s="308">
        <f t="shared" si="44"/>
        <v>-1.9278547933447521E-2</v>
      </c>
      <c r="BA24" s="316">
        <v>1998</v>
      </c>
      <c r="BB24" s="61">
        <v>21493.599999999999</v>
      </c>
      <c r="BC24" s="61">
        <v>1363.4</v>
      </c>
      <c r="BD24" s="61">
        <v>11428.7</v>
      </c>
      <c r="BE24" s="61">
        <v>3600.8</v>
      </c>
      <c r="BF24" s="61">
        <v>9974.2999999999993</v>
      </c>
      <c r="BG24" s="61">
        <v>27357.3</v>
      </c>
      <c r="BI24" s="316">
        <v>1998</v>
      </c>
      <c r="BJ24" s="61">
        <v>21538.1</v>
      </c>
      <c r="BK24" s="61">
        <v>1393.1</v>
      </c>
      <c r="BL24" s="61">
        <v>11609.5</v>
      </c>
      <c r="BM24" s="61">
        <v>4227.2</v>
      </c>
      <c r="BN24" s="61">
        <v>10411.9</v>
      </c>
      <c r="BO24" s="61">
        <v>28528.1</v>
      </c>
      <c r="BQ24" s="316">
        <v>1998</v>
      </c>
      <c r="BR24" s="75">
        <v>25188.1</v>
      </c>
      <c r="BS24" s="75">
        <v>1367.7</v>
      </c>
      <c r="BT24" s="75">
        <v>15010.5</v>
      </c>
      <c r="BU24" s="75">
        <v>3870.5</v>
      </c>
      <c r="BV24" s="75">
        <v>9876.5</v>
      </c>
      <c r="BW24" s="75">
        <v>27454.400000000001</v>
      </c>
      <c r="BY24" s="316">
        <v>1998</v>
      </c>
      <c r="BZ24" s="75">
        <v>26324.5</v>
      </c>
      <c r="CA24" s="75">
        <v>1478.3</v>
      </c>
      <c r="CB24" s="75">
        <v>15854.3</v>
      </c>
      <c r="CC24" s="75">
        <v>4711.2</v>
      </c>
      <c r="CD24" s="75">
        <v>10652</v>
      </c>
      <c r="CE24" s="75">
        <v>30436.7</v>
      </c>
      <c r="CG24" s="316">
        <v>1998</v>
      </c>
      <c r="CH24" s="48">
        <f t="shared" si="57"/>
        <v>0.95683108890957091</v>
      </c>
      <c r="CI24" s="48">
        <f t="shared" si="57"/>
        <v>0.92518433335588179</v>
      </c>
      <c r="CJ24" s="48">
        <f t="shared" si="57"/>
        <v>0.94677784575793322</v>
      </c>
      <c r="CK24" s="48">
        <f t="shared" si="57"/>
        <v>0.82155289522839192</v>
      </c>
      <c r="CL24" s="48">
        <f t="shared" si="57"/>
        <v>0.92719677055951932</v>
      </c>
      <c r="CM24" s="48">
        <f t="shared" si="57"/>
        <v>0.90201631582924569</v>
      </c>
      <c r="CO24" s="316">
        <v>1998</v>
      </c>
      <c r="CP24" s="62">
        <v>-1.5527172551965895E-2</v>
      </c>
      <c r="CS24" s="316">
        <v>1998</v>
      </c>
      <c r="CT24" s="308">
        <f t="shared" si="45"/>
        <v>-1.8318921766914076E-2</v>
      </c>
      <c r="CU24" s="308">
        <f t="shared" si="46"/>
        <v>-1.6766706087217531E-2</v>
      </c>
      <c r="CV24" s="308">
        <f t="shared" si="47"/>
        <v>-2.0248653305418585E-2</v>
      </c>
      <c r="CW24" s="308">
        <f t="shared" si="48"/>
        <v>-1.8420813463403629E-2</v>
      </c>
      <c r="CX24" s="308">
        <f t="shared" si="49"/>
        <v>-1.9450922195562992E-2</v>
      </c>
      <c r="CY24" s="308">
        <f t="shared" si="50"/>
        <v>-1.6556791759356426E-2</v>
      </c>
      <c r="DA24" s="316">
        <v>1998</v>
      </c>
      <c r="DB24" s="46">
        <f t="shared" si="23"/>
        <v>23257.5</v>
      </c>
      <c r="DC24" s="46">
        <f t="shared" si="24"/>
        <v>1106.7000000000014</v>
      </c>
      <c r="DD24" s="46">
        <f t="shared" si="25"/>
        <v>15940.3</v>
      </c>
      <c r="DE24" s="46">
        <f t="shared" si="26"/>
        <v>4480.2999999999984</v>
      </c>
      <c r="DF24" s="46">
        <f t="shared" si="27"/>
        <v>5969.7000000000116</v>
      </c>
      <c r="DG24" s="46">
        <f t="shared" si="28"/>
        <v>10867.499999999989</v>
      </c>
      <c r="DI24" s="316">
        <v>1998</v>
      </c>
      <c r="DJ24" s="88">
        <f t="shared" si="29"/>
        <v>5.8461414712192378E-2</v>
      </c>
      <c r="DK24" s="88">
        <f t="shared" si="30"/>
        <v>5.3432276629233076E-2</v>
      </c>
      <c r="DL24" s="88">
        <f t="shared" si="31"/>
        <v>7.7277235834631752E-2</v>
      </c>
      <c r="DM24" s="88">
        <f t="shared" si="32"/>
        <v>8.5731616774716968E-2</v>
      </c>
      <c r="DN24" s="88">
        <f t="shared" si="33"/>
        <v>3.1191757438197305E-2</v>
      </c>
      <c r="DO24" s="88">
        <f t="shared" si="34"/>
        <v>2.0743232848347906E-2</v>
      </c>
      <c r="DQ24" s="316">
        <v>1998</v>
      </c>
      <c r="DR24" s="61">
        <v>536497.4</v>
      </c>
      <c r="DS24" s="43"/>
      <c r="DT24" s="61">
        <v>471206.6</v>
      </c>
      <c r="DU24" s="43"/>
      <c r="DV24" s="89">
        <v>-1.9</v>
      </c>
      <c r="DW24" s="46">
        <f t="shared" si="6"/>
        <v>546888.27726809378</v>
      </c>
      <c r="DX24" s="43"/>
      <c r="DY24" s="46">
        <f t="shared" si="7"/>
        <v>480332.92558613658</v>
      </c>
      <c r="DZ24" s="43"/>
      <c r="EB24" s="316">
        <v>1998</v>
      </c>
      <c r="EC24" s="88">
        <f t="shared" si="8"/>
        <v>4.694915576478096E-2</v>
      </c>
      <c r="ED24" s="88">
        <f t="shared" si="9"/>
        <v>2.549313379710694E-3</v>
      </c>
      <c r="EE24" s="88">
        <f t="shared" si="10"/>
        <v>2.7978700362760376E-2</v>
      </c>
      <c r="EF24" s="88">
        <f t="shared" si="11"/>
        <v>7.2143872458654973E-3</v>
      </c>
      <c r="EG24" s="88">
        <f t="shared" si="12"/>
        <v>1.8409222486446344E-2</v>
      </c>
      <c r="EH24" s="88">
        <f t="shared" si="13"/>
        <v>5.1173407364136343E-2</v>
      </c>
      <c r="EI24" s="140"/>
      <c r="EJ24" s="316">
        <v>1998</v>
      </c>
      <c r="EK24" s="88">
        <f t="shared" si="14"/>
        <v>0.69786301126529215</v>
      </c>
      <c r="EL24" s="88">
        <f t="shared" si="15"/>
        <v>3.589654563097603E-2</v>
      </c>
      <c r="EM24" s="88">
        <f t="shared" si="16"/>
        <v>0.35701862357580855</v>
      </c>
      <c r="EN24" s="88">
        <f t="shared" si="17"/>
        <v>8.8931509453727076E-2</v>
      </c>
      <c r="EO24" s="88">
        <f t="shared" si="18"/>
        <v>0.33238233027783548</v>
      </c>
      <c r="EP24" s="88">
        <f t="shared" si="19"/>
        <v>0.90394879639677661</v>
      </c>
      <c r="ER24" s="316">
        <v>1998</v>
      </c>
      <c r="ES24" s="317">
        <f t="shared" si="35"/>
        <v>126487</v>
      </c>
      <c r="ET24" s="61">
        <v>19059</v>
      </c>
      <c r="EU24" s="61">
        <v>86920</v>
      </c>
      <c r="EV24" s="61">
        <v>20508</v>
      </c>
      <c r="EW24" s="88">
        <f t="shared" si="36"/>
        <v>0.15067951647204852</v>
      </c>
      <c r="EX24" s="88">
        <f t="shared" si="36"/>
        <v>0.68718524433340977</v>
      </c>
      <c r="EY24" s="88">
        <f t="shared" si="36"/>
        <v>0.16213523919454173</v>
      </c>
      <c r="EZ24" s="88">
        <f t="shared" si="51"/>
        <v>-2.8166710903692327E-3</v>
      </c>
      <c r="FA24" s="88">
        <f t="shared" si="51"/>
        <v>-2.7153628032197119E-3</v>
      </c>
      <c r="FB24" s="88">
        <f t="shared" si="51"/>
        <v>5.5320338935890279E-3</v>
      </c>
      <c r="FC24" s="374"/>
      <c r="FD24" s="316">
        <v>1998</v>
      </c>
      <c r="FE24" s="159">
        <v>1.5285263157894748E-2</v>
      </c>
      <c r="FF24" s="43"/>
      <c r="FG24" s="159">
        <v>9.0000000000000011E-3</v>
      </c>
      <c r="FH24" s="55"/>
      <c r="FI24" s="319">
        <f t="shared" si="55"/>
        <v>6.2852631578947469E-3</v>
      </c>
      <c r="FK24" s="345">
        <f t="shared" si="52"/>
        <v>-4.6258199644364506E-3</v>
      </c>
      <c r="FL24" s="345">
        <f t="shared" si="53"/>
        <v>1.1951028978088918E-2</v>
      </c>
      <c r="FM24" s="345">
        <f t="shared" si="54"/>
        <v>3.2488780634037755E-3</v>
      </c>
      <c r="FO24" s="316">
        <v>1998</v>
      </c>
      <c r="FP24" s="61">
        <v>219038.39408450801</v>
      </c>
      <c r="FQ24" s="61">
        <v>13458.214968442178</v>
      </c>
      <c r="FR24" s="61">
        <v>118461.50946285276</v>
      </c>
      <c r="FS24" s="61">
        <v>41086.205086666465</v>
      </c>
      <c r="FT24" s="61">
        <v>84051.186621772213</v>
      </c>
      <c r="FU24" s="61">
        <v>316032.85761857359</v>
      </c>
      <c r="FV24" s="285">
        <f t="shared" si="38"/>
        <v>792128.36784281523</v>
      </c>
    </row>
    <row r="25" spans="1:178" hidden="1" outlineLevel="1">
      <c r="A25" s="316">
        <v>1999</v>
      </c>
      <c r="B25" s="61">
        <v>338387.5</v>
      </c>
      <c r="C25" s="61">
        <v>21310</v>
      </c>
      <c r="D25" s="61">
        <v>162497.60000000001</v>
      </c>
      <c r="E25" s="61">
        <v>43812.1</v>
      </c>
      <c r="F25" s="61">
        <v>183519.4</v>
      </c>
      <c r="G25" s="61">
        <v>484834.2</v>
      </c>
      <c r="I25" s="316">
        <v>1999</v>
      </c>
      <c r="J25" s="61">
        <v>341760.6</v>
      </c>
      <c r="K25" s="61">
        <v>21890.9</v>
      </c>
      <c r="L25" s="61">
        <v>167390.39999999999</v>
      </c>
      <c r="M25" s="61">
        <v>45581</v>
      </c>
      <c r="N25" s="61">
        <v>194460.2</v>
      </c>
      <c r="O25" s="61">
        <v>510149.4</v>
      </c>
      <c r="Q25" s="316">
        <v>1999</v>
      </c>
      <c r="R25" s="75">
        <v>380830.8</v>
      </c>
      <c r="S25" s="75">
        <v>19685.8</v>
      </c>
      <c r="T25" s="75">
        <v>192072.1</v>
      </c>
      <c r="U25" s="75">
        <v>48092.9</v>
      </c>
      <c r="V25" s="75">
        <v>182668.79999999999</v>
      </c>
      <c r="W25" s="75">
        <v>504783.2</v>
      </c>
      <c r="Y25" s="316">
        <v>1999</v>
      </c>
      <c r="Z25" s="75">
        <v>403933.2</v>
      </c>
      <c r="AA25" s="75">
        <v>21364.1</v>
      </c>
      <c r="AB25" s="75">
        <v>205659.5</v>
      </c>
      <c r="AC25" s="75">
        <v>52639.199999999997</v>
      </c>
      <c r="AD25" s="75">
        <v>199731.8</v>
      </c>
      <c r="AE25" s="75">
        <v>562159.5</v>
      </c>
      <c r="AG25" s="316">
        <v>1999</v>
      </c>
      <c r="AH25" s="48">
        <f t="shared" si="56"/>
        <v>0.94280638481808376</v>
      </c>
      <c r="AI25" s="48">
        <f t="shared" si="56"/>
        <v>0.92144298145018988</v>
      </c>
      <c r="AJ25" s="48">
        <f t="shared" si="56"/>
        <v>0.93393254384066871</v>
      </c>
      <c r="AK25" s="48">
        <f t="shared" si="56"/>
        <v>0.91363280596969565</v>
      </c>
      <c r="AL25" s="48">
        <f t="shared" si="56"/>
        <v>0.91457043895864354</v>
      </c>
      <c r="AM25" s="48">
        <f t="shared" si="56"/>
        <v>0.89793590609070917</v>
      </c>
      <c r="AO25" s="316">
        <v>1999</v>
      </c>
      <c r="AP25" s="62">
        <v>-1.3736962604935177E-2</v>
      </c>
      <c r="AS25" s="316">
        <v>1999</v>
      </c>
      <c r="AT25" s="308">
        <f t="shared" si="39"/>
        <v>-9.6636148584448023E-3</v>
      </c>
      <c r="AU25" s="308">
        <f t="shared" si="40"/>
        <v>-1.0385426800966213E-2</v>
      </c>
      <c r="AV25" s="308">
        <f t="shared" si="41"/>
        <v>-1.3743608115734163E-2</v>
      </c>
      <c r="AW25" s="308">
        <f t="shared" si="42"/>
        <v>-1.3951862385735647E-2</v>
      </c>
      <c r="AX25" s="308">
        <f t="shared" si="43"/>
        <v>-1.3515110771730843E-2</v>
      </c>
      <c r="AY25" s="308">
        <f t="shared" si="44"/>
        <v>-1.2851558153794795E-2</v>
      </c>
      <c r="BA25" s="316">
        <v>1999</v>
      </c>
      <c r="BB25" s="61">
        <v>21258.2</v>
      </c>
      <c r="BC25" s="61">
        <v>1283</v>
      </c>
      <c r="BD25" s="61">
        <v>10904.4</v>
      </c>
      <c r="BE25" s="61">
        <v>3384.8</v>
      </c>
      <c r="BF25" s="61">
        <v>6758.6</v>
      </c>
      <c r="BG25" s="61">
        <v>28594.1</v>
      </c>
      <c r="BI25" s="316">
        <v>1999</v>
      </c>
      <c r="BJ25" s="61">
        <v>21560.9</v>
      </c>
      <c r="BK25" s="61">
        <v>1329.9</v>
      </c>
      <c r="BL25" s="61">
        <v>11294.8</v>
      </c>
      <c r="BM25" s="61">
        <v>4043.2</v>
      </c>
      <c r="BN25" s="61">
        <v>7180.9</v>
      </c>
      <c r="BO25" s="61">
        <v>30406.5</v>
      </c>
      <c r="BQ25" s="316">
        <v>1999</v>
      </c>
      <c r="BR25" s="75">
        <v>24877</v>
      </c>
      <c r="BS25" s="75">
        <v>1277.2</v>
      </c>
      <c r="BT25" s="75">
        <v>14186</v>
      </c>
      <c r="BU25" s="75">
        <v>3890.6</v>
      </c>
      <c r="BV25" s="75">
        <v>6941.1</v>
      </c>
      <c r="BW25" s="75">
        <v>28399.4</v>
      </c>
      <c r="BY25" s="316">
        <v>1999</v>
      </c>
      <c r="BZ25" s="75">
        <v>26331.3</v>
      </c>
      <c r="CA25" s="75">
        <v>1401.4</v>
      </c>
      <c r="CB25" s="75">
        <v>15274.7</v>
      </c>
      <c r="CC25" s="75">
        <v>4823.6000000000004</v>
      </c>
      <c r="CD25" s="75">
        <v>7615.4</v>
      </c>
      <c r="CE25" s="75">
        <v>32113.8</v>
      </c>
      <c r="CG25" s="316">
        <v>1999</v>
      </c>
      <c r="CH25" s="48">
        <f t="shared" si="57"/>
        <v>0.94476915306118581</v>
      </c>
      <c r="CI25" s="48">
        <f t="shared" si="57"/>
        <v>0.91137433994576844</v>
      </c>
      <c r="CJ25" s="48">
        <f t="shared" si="57"/>
        <v>0.92872527774686242</v>
      </c>
      <c r="CK25" s="48">
        <f t="shared" si="57"/>
        <v>0.80657600132680973</v>
      </c>
      <c r="CL25" s="48">
        <f t="shared" si="57"/>
        <v>0.91145573443285988</v>
      </c>
      <c r="CM25" s="48">
        <f t="shared" si="57"/>
        <v>0.88433632893024194</v>
      </c>
      <c r="CO25" s="316">
        <v>1999</v>
      </c>
      <c r="CP25" s="62">
        <v>-1.3736962604935177E-2</v>
      </c>
      <c r="CS25" s="316">
        <v>1999</v>
      </c>
      <c r="CT25" s="308">
        <f t="shared" si="45"/>
        <v>-1.2606128697313923E-2</v>
      </c>
      <c r="CU25" s="308">
        <f t="shared" si="46"/>
        <v>-1.4926748013577962E-2</v>
      </c>
      <c r="CV25" s="308">
        <f t="shared" si="47"/>
        <v>-1.9067374772187451E-2</v>
      </c>
      <c r="CW25" s="308">
        <f t="shared" si="48"/>
        <v>-1.8229981281264407E-2</v>
      </c>
      <c r="CX25" s="308">
        <f t="shared" si="49"/>
        <v>-1.6977017852597198E-2</v>
      </c>
      <c r="CY25" s="308">
        <f t="shared" si="50"/>
        <v>-1.9600517849558075E-2</v>
      </c>
      <c r="DA25" s="316">
        <v>1999</v>
      </c>
      <c r="DB25" s="46">
        <f t="shared" si="23"/>
        <v>23291.599999999988</v>
      </c>
      <c r="DC25" s="46">
        <f t="shared" si="24"/>
        <v>1121.1000000000008</v>
      </c>
      <c r="DD25" s="46">
        <f t="shared" si="25"/>
        <v>15803.400000000012</v>
      </c>
      <c r="DE25" s="46">
        <f t="shared" si="26"/>
        <v>4674.9000000000033</v>
      </c>
      <c r="DF25" s="46">
        <f t="shared" si="27"/>
        <v>3953.0000000000055</v>
      </c>
      <c r="DG25" s="46">
        <f t="shared" si="28"/>
        <v>13429.3</v>
      </c>
      <c r="DI25" s="316">
        <v>1999</v>
      </c>
      <c r="DJ25" s="88">
        <f t="shared" si="29"/>
        <v>5.8099220865391897E-2</v>
      </c>
      <c r="DK25" s="88">
        <f t="shared" si="30"/>
        <v>5.3173526593877807E-2</v>
      </c>
      <c r="DL25" s="88">
        <f t="shared" si="31"/>
        <v>7.6645511236821562E-2</v>
      </c>
      <c r="DM25" s="88">
        <f t="shared" si="32"/>
        <v>8.906183023594752E-2</v>
      </c>
      <c r="DN25" s="88">
        <f t="shared" si="33"/>
        <v>2.0161228626190551E-2</v>
      </c>
      <c r="DO25" s="88">
        <f t="shared" si="34"/>
        <v>2.4710060260361561E-2</v>
      </c>
      <c r="DQ25" s="316">
        <v>1999</v>
      </c>
      <c r="DR25" s="61">
        <v>528069.9</v>
      </c>
      <c r="DS25" s="43"/>
      <c r="DT25" s="61">
        <v>469633.1</v>
      </c>
      <c r="DU25" s="43"/>
      <c r="DV25" s="89">
        <v>-3</v>
      </c>
      <c r="DW25" s="46">
        <f t="shared" si="6"/>
        <v>544401.95876288658</v>
      </c>
      <c r="DX25" s="43"/>
      <c r="DY25" s="46">
        <f t="shared" si="7"/>
        <v>484157.8350515464</v>
      </c>
      <c r="DZ25" s="43"/>
      <c r="EB25" s="316">
        <v>1999</v>
      </c>
      <c r="EC25" s="88">
        <f t="shared" si="8"/>
        <v>4.7109293674947199E-2</v>
      </c>
      <c r="ED25" s="88">
        <f t="shared" si="9"/>
        <v>2.4186192017382549E-3</v>
      </c>
      <c r="EE25" s="88">
        <f t="shared" si="10"/>
        <v>2.6863867832648668E-2</v>
      </c>
      <c r="EF25" s="88">
        <f t="shared" si="11"/>
        <v>7.3675852382421338E-3</v>
      </c>
      <c r="EG25" s="88">
        <f t="shared" si="12"/>
        <v>1.3144282603496241E-2</v>
      </c>
      <c r="EH25" s="88">
        <f t="shared" si="13"/>
        <v>5.3779622735550731E-2</v>
      </c>
      <c r="EI25" s="140"/>
      <c r="EJ25" s="316">
        <v>1999</v>
      </c>
      <c r="EK25" s="88">
        <f t="shared" si="14"/>
        <v>0.69953973138783332</v>
      </c>
      <c r="EL25" s="88">
        <f t="shared" si="15"/>
        <v>3.6160413611910087E-2</v>
      </c>
      <c r="EM25" s="88">
        <f t="shared" si="16"/>
        <v>0.35281302153370225</v>
      </c>
      <c r="EN25" s="88">
        <f t="shared" si="17"/>
        <v>8.8340791626260087E-2</v>
      </c>
      <c r="EO25" s="88">
        <f t="shared" si="18"/>
        <v>0.33554030631172121</v>
      </c>
      <c r="EP25" s="88">
        <f t="shared" si="19"/>
        <v>0.92722517227359491</v>
      </c>
      <c r="ER25" s="316">
        <v>1999</v>
      </c>
      <c r="ES25" s="317">
        <f t="shared" si="35"/>
        <v>126686</v>
      </c>
      <c r="ET25" s="61">
        <v>18742</v>
      </c>
      <c r="EU25" s="61">
        <v>86758</v>
      </c>
      <c r="EV25" s="61">
        <v>21186</v>
      </c>
      <c r="EW25" s="88">
        <f t="shared" si="36"/>
        <v>0.14794057749080403</v>
      </c>
      <c r="EX25" s="88">
        <f t="shared" si="36"/>
        <v>0.68482705271300692</v>
      </c>
      <c r="EY25" s="88">
        <f t="shared" si="36"/>
        <v>0.167232369796189</v>
      </c>
      <c r="EZ25" s="88">
        <f t="shared" si="51"/>
        <v>-2.7389389812444986E-3</v>
      </c>
      <c r="FA25" s="88">
        <f t="shared" si="51"/>
        <v>-2.3581916204028497E-3</v>
      </c>
      <c r="FB25" s="88">
        <f t="shared" si="51"/>
        <v>5.0971306016472651E-3</v>
      </c>
      <c r="FC25" s="374"/>
      <c r="FD25" s="316">
        <v>1999</v>
      </c>
      <c r="FE25" s="159">
        <v>1.7434979591836732E-2</v>
      </c>
      <c r="FF25" s="43"/>
      <c r="FG25" s="159">
        <v>8.0000000000000002E-3</v>
      </c>
      <c r="FH25" s="55"/>
      <c r="FI25" s="319">
        <f t="shared" si="55"/>
        <v>9.434979591836732E-3</v>
      </c>
      <c r="FK25" s="345">
        <f t="shared" si="52"/>
        <v>-6.357636274815448E-3</v>
      </c>
      <c r="FL25" s="345">
        <f t="shared" si="53"/>
        <v>4.0426859695847361E-3</v>
      </c>
      <c r="FM25" s="345">
        <f t="shared" si="54"/>
        <v>-1.7866119997980885E-3</v>
      </c>
      <c r="FO25" s="316">
        <v>1999</v>
      </c>
      <c r="FP25" s="61">
        <v>224087.45780971562</v>
      </c>
      <c r="FQ25" s="61">
        <v>12346.873871953054</v>
      </c>
      <c r="FR25" s="61">
        <v>106171.27402252714</v>
      </c>
      <c r="FS25" s="61">
        <v>39279.185919731259</v>
      </c>
      <c r="FT25" s="61">
        <v>76108.415206839811</v>
      </c>
      <c r="FU25" s="61">
        <v>321962.11012480356</v>
      </c>
      <c r="FV25" s="285">
        <f t="shared" si="38"/>
        <v>779955.31695557036</v>
      </c>
    </row>
    <row r="26" spans="1:178" hidden="1" outlineLevel="1">
      <c r="A26" s="316">
        <v>2000</v>
      </c>
      <c r="B26" s="61">
        <v>341085.8</v>
      </c>
      <c r="C26" s="61">
        <v>21494.7</v>
      </c>
      <c r="D26" s="61">
        <v>161614.5</v>
      </c>
      <c r="E26" s="61">
        <v>43573.2</v>
      </c>
      <c r="F26" s="61">
        <v>187043.5</v>
      </c>
      <c r="G26" s="61">
        <v>500109.9</v>
      </c>
      <c r="I26" s="316">
        <v>2000</v>
      </c>
      <c r="J26" s="61">
        <v>344601.2</v>
      </c>
      <c r="K26" s="61">
        <v>22043.8</v>
      </c>
      <c r="L26" s="61">
        <v>165995.29999999999</v>
      </c>
      <c r="M26" s="61">
        <v>45212.3</v>
      </c>
      <c r="N26" s="61">
        <v>197679.2</v>
      </c>
      <c r="O26" s="61">
        <v>525035.80000000005</v>
      </c>
      <c r="Q26" s="316">
        <v>2000</v>
      </c>
      <c r="R26" s="75">
        <v>383484.8</v>
      </c>
      <c r="S26" s="75">
        <v>19774.7</v>
      </c>
      <c r="T26" s="75">
        <v>192225</v>
      </c>
      <c r="U26" s="75">
        <v>47993.4</v>
      </c>
      <c r="V26" s="75">
        <v>186384.7</v>
      </c>
      <c r="W26" s="75">
        <v>520876.5</v>
      </c>
      <c r="Y26" s="316">
        <v>2000</v>
      </c>
      <c r="Z26" s="75">
        <v>407297.5</v>
      </c>
      <c r="AA26" s="75">
        <v>21427.5</v>
      </c>
      <c r="AB26" s="75">
        <v>205301.1</v>
      </c>
      <c r="AC26" s="75">
        <v>52396.3</v>
      </c>
      <c r="AD26" s="75">
        <v>203309.6</v>
      </c>
      <c r="AE26" s="75">
        <v>578866.30000000005</v>
      </c>
      <c r="AG26" s="316">
        <v>2000</v>
      </c>
      <c r="AH26" s="48">
        <f t="shared" si="56"/>
        <v>0.94153487315782691</v>
      </c>
      <c r="AI26" s="48">
        <f t="shared" si="56"/>
        <v>0.92286547660716367</v>
      </c>
      <c r="AJ26" s="48">
        <f t="shared" si="56"/>
        <v>0.93630769635428157</v>
      </c>
      <c r="AK26" s="48">
        <f t="shared" si="56"/>
        <v>0.91596925737122659</v>
      </c>
      <c r="AL26" s="48">
        <f t="shared" si="56"/>
        <v>0.91675307019442276</v>
      </c>
      <c r="AM26" s="48">
        <f t="shared" si="56"/>
        <v>0.8998217723159907</v>
      </c>
      <c r="AO26" s="316">
        <v>2000</v>
      </c>
      <c r="AP26" s="62">
        <v>8.5977130082959263E-5</v>
      </c>
      <c r="AS26" s="316">
        <v>2000</v>
      </c>
      <c r="AT26" s="308">
        <f t="shared" si="39"/>
        <v>-1.3486455763684901E-3</v>
      </c>
      <c r="AU26" s="308">
        <f t="shared" si="40"/>
        <v>1.5437690509454427E-3</v>
      </c>
      <c r="AV26" s="308">
        <f t="shared" si="41"/>
        <v>2.5431735185557081E-3</v>
      </c>
      <c r="AW26" s="308">
        <f t="shared" si="42"/>
        <v>2.557319949835879E-3</v>
      </c>
      <c r="AX26" s="308">
        <f t="shared" si="43"/>
        <v>2.386509712980045E-3</v>
      </c>
      <c r="AY26" s="308">
        <f t="shared" si="44"/>
        <v>2.1002236490261783E-3</v>
      </c>
      <c r="BA26" s="316">
        <v>2000</v>
      </c>
      <c r="BB26" s="61">
        <v>21276.1</v>
      </c>
      <c r="BC26" s="61">
        <v>1103.9000000000001</v>
      </c>
      <c r="BD26" s="61">
        <v>11092.9</v>
      </c>
      <c r="BE26" s="61">
        <v>2980.4</v>
      </c>
      <c r="BF26" s="61">
        <v>8728.4</v>
      </c>
      <c r="BG26" s="61">
        <v>25240.2</v>
      </c>
      <c r="BI26" s="316">
        <v>2000</v>
      </c>
      <c r="BJ26" s="61">
        <v>21572.799999999999</v>
      </c>
      <c r="BK26" s="61">
        <v>1141.3</v>
      </c>
      <c r="BL26" s="61">
        <v>11464</v>
      </c>
      <c r="BM26" s="61">
        <v>3551.8</v>
      </c>
      <c r="BN26" s="61">
        <v>9258.5</v>
      </c>
      <c r="BO26" s="61">
        <v>26737.3</v>
      </c>
      <c r="BQ26" s="316">
        <v>2000</v>
      </c>
      <c r="BR26" s="75">
        <v>25163.8</v>
      </c>
      <c r="BS26" s="75">
        <v>1090.9000000000001</v>
      </c>
      <c r="BT26" s="75">
        <v>14498.5</v>
      </c>
      <c r="BU26" s="75">
        <v>3413.8</v>
      </c>
      <c r="BV26" s="75">
        <v>8937.1</v>
      </c>
      <c r="BW26" s="75">
        <v>25016.1</v>
      </c>
      <c r="BY26" s="316">
        <v>2000</v>
      </c>
      <c r="BZ26" s="75">
        <v>26664.1</v>
      </c>
      <c r="CA26" s="75">
        <v>1194</v>
      </c>
      <c r="CB26" s="75">
        <v>15581.5</v>
      </c>
      <c r="CC26" s="75">
        <v>4216.7</v>
      </c>
      <c r="CD26" s="75">
        <v>9792.4</v>
      </c>
      <c r="CE26" s="75">
        <v>28184.5</v>
      </c>
      <c r="CG26" s="316">
        <v>2000</v>
      </c>
      <c r="CH26" s="48">
        <f t="shared" si="57"/>
        <v>0.94373333433342965</v>
      </c>
      <c r="CI26" s="48">
        <f t="shared" si="57"/>
        <v>0.91365159128978235</v>
      </c>
      <c r="CJ26" s="48">
        <f t="shared" si="57"/>
        <v>0.93049449667875361</v>
      </c>
      <c r="CK26" s="48">
        <f t="shared" si="57"/>
        <v>0.80959043802025288</v>
      </c>
      <c r="CL26" s="48">
        <f t="shared" si="57"/>
        <v>0.91265675421755654</v>
      </c>
      <c r="CM26" s="48">
        <f t="shared" si="57"/>
        <v>0.88758360091539668</v>
      </c>
      <c r="CO26" s="316">
        <v>2000</v>
      </c>
      <c r="CP26" s="62">
        <v>8.5977130082959263E-5</v>
      </c>
      <c r="CS26" s="316">
        <v>2000</v>
      </c>
      <c r="CT26" s="308">
        <f t="shared" si="45"/>
        <v>-1.0963722983545754E-3</v>
      </c>
      <c r="CU26" s="308">
        <f t="shared" si="46"/>
        <v>2.4987003080967352E-3</v>
      </c>
      <c r="CV26" s="308">
        <f t="shared" si="47"/>
        <v>1.9049970688678197E-3</v>
      </c>
      <c r="CW26" s="308">
        <f t="shared" si="48"/>
        <v>3.7373250487051646E-3</v>
      </c>
      <c r="CX26" s="308">
        <f t="shared" si="49"/>
        <v>1.3176940352939148E-3</v>
      </c>
      <c r="CY26" s="308">
        <f t="shared" si="50"/>
        <v>3.6719875446968864E-3</v>
      </c>
      <c r="DA26" s="316">
        <v>2000</v>
      </c>
      <c r="DB26" s="46">
        <f t="shared" si="23"/>
        <v>23299.80000000001</v>
      </c>
      <c r="DC26" s="46">
        <f t="shared" si="24"/>
        <v>1130.5999999999985</v>
      </c>
      <c r="DD26" s="46">
        <f t="shared" si="25"/>
        <v>15939.899999999994</v>
      </c>
      <c r="DE26" s="46">
        <f t="shared" si="26"/>
        <v>4459.599999999994</v>
      </c>
      <c r="DF26" s="46">
        <f t="shared" si="27"/>
        <v>6214.5999999999822</v>
      </c>
      <c r="DG26" s="46">
        <f t="shared" si="28"/>
        <v>11477.699999999953</v>
      </c>
      <c r="DI26" s="316">
        <v>2000</v>
      </c>
      <c r="DJ26" s="88">
        <f t="shared" si="29"/>
        <v>5.7682309847271802E-2</v>
      </c>
      <c r="DK26" s="88">
        <f t="shared" si="30"/>
        <v>5.2920553639048622E-2</v>
      </c>
      <c r="DL26" s="88">
        <f t="shared" si="31"/>
        <v>7.7506266425815457E-2</v>
      </c>
      <c r="DM26" s="88">
        <f t="shared" si="32"/>
        <v>8.4720132524810296E-2</v>
      </c>
      <c r="DN26" s="88">
        <f t="shared" si="33"/>
        <v>3.1114724846018422E-2</v>
      </c>
      <c r="DO26" s="88">
        <f t="shared" si="34"/>
        <v>2.0417159187027797E-2</v>
      </c>
      <c r="DQ26" s="316">
        <v>2000</v>
      </c>
      <c r="DR26" s="61">
        <v>535417.69999999995</v>
      </c>
      <c r="DS26" s="43"/>
      <c r="DT26" s="61">
        <v>482616.8</v>
      </c>
      <c r="DU26" s="43"/>
      <c r="DV26" s="89">
        <v>-1.2</v>
      </c>
      <c r="DW26" s="46">
        <f t="shared" si="6"/>
        <v>541920.74898785423</v>
      </c>
      <c r="DX26" s="43"/>
      <c r="DY26" s="46">
        <f t="shared" si="7"/>
        <v>488478.54251012148</v>
      </c>
      <c r="DZ26" s="43"/>
      <c r="EB26" s="316">
        <v>2000</v>
      </c>
      <c r="EC26" s="88">
        <f t="shared" si="8"/>
        <v>4.6998446259808001E-2</v>
      </c>
      <c r="ED26" s="88">
        <f t="shared" si="9"/>
        <v>2.0374746669749623E-3</v>
      </c>
      <c r="EE26" s="88">
        <f t="shared" si="10"/>
        <v>2.7078858244693818E-2</v>
      </c>
      <c r="EF26" s="88">
        <f t="shared" si="11"/>
        <v>6.3759565662472508E-3</v>
      </c>
      <c r="EG26" s="88">
        <f t="shared" si="12"/>
        <v>1.6691827707601001E-2</v>
      </c>
      <c r="EH26" s="88">
        <f t="shared" si="13"/>
        <v>4.6722586870026901E-2</v>
      </c>
      <c r="EI26" s="140"/>
      <c r="EJ26" s="316">
        <v>2000</v>
      </c>
      <c r="EK26" s="88">
        <f t="shared" si="14"/>
        <v>0.70764000218894518</v>
      </c>
      <c r="EL26" s="88">
        <f t="shared" si="15"/>
        <v>3.6490021902525822E-2</v>
      </c>
      <c r="EM26" s="88">
        <f t="shared" si="16"/>
        <v>0.35471053721234841</v>
      </c>
      <c r="EN26" s="88">
        <f t="shared" si="17"/>
        <v>8.8561657935477295E-2</v>
      </c>
      <c r="EO26" s="88">
        <f t="shared" si="18"/>
        <v>0.34393350014390639</v>
      </c>
      <c r="EP26" s="88">
        <f t="shared" si="19"/>
        <v>0.96116729424522207</v>
      </c>
      <c r="ER26" s="316">
        <v>2000</v>
      </c>
      <c r="ES26" s="317">
        <f t="shared" si="35"/>
        <v>126926</v>
      </c>
      <c r="ET26" s="318">
        <v>18505</v>
      </c>
      <c r="EU26" s="318">
        <v>86380</v>
      </c>
      <c r="EV26" s="318">
        <v>22041</v>
      </c>
      <c r="EW26" s="88">
        <f t="shared" si="36"/>
        <v>0.14579361202590485</v>
      </c>
      <c r="EX26" s="88">
        <f t="shared" si="36"/>
        <v>0.68055402360430484</v>
      </c>
      <c r="EY26" s="88">
        <f t="shared" si="36"/>
        <v>0.17365236436979029</v>
      </c>
      <c r="EZ26" s="88">
        <f t="shared" si="51"/>
        <v>-2.1469654648991754E-3</v>
      </c>
      <c r="FA26" s="88">
        <f t="shared" si="51"/>
        <v>-4.2730291087020866E-3</v>
      </c>
      <c r="FB26" s="88">
        <f t="shared" si="51"/>
        <v>6.4199945736012898E-3</v>
      </c>
      <c r="FC26" s="374"/>
      <c r="FD26" s="316">
        <v>2000</v>
      </c>
      <c r="FE26" s="159">
        <v>1.7461935483870965E-2</v>
      </c>
      <c r="FF26" s="43"/>
      <c r="FG26" s="159">
        <v>9.0000000000000011E-3</v>
      </c>
      <c r="FH26" s="55"/>
      <c r="FI26" s="319">
        <f t="shared" si="55"/>
        <v>8.4619354838709644E-3</v>
      </c>
      <c r="FK26" s="345">
        <f t="shared" si="52"/>
        <v>-1.221448286234017E-2</v>
      </c>
      <c r="FL26" s="345">
        <f t="shared" si="53"/>
        <v>3.0615386387319865E-3</v>
      </c>
      <c r="FM26" s="345">
        <f t="shared" si="54"/>
        <v>2.3819882559678422E-3</v>
      </c>
      <c r="FO26" s="316">
        <v>2000</v>
      </c>
      <c r="FP26" s="61">
        <v>222438.65014101149</v>
      </c>
      <c r="FQ26" s="61">
        <v>10892.9707798491</v>
      </c>
      <c r="FR26" s="61">
        <v>105896.07585302283</v>
      </c>
      <c r="FS26" s="61">
        <v>34486.799161285642</v>
      </c>
      <c r="FT26" s="61">
        <v>73298.295024147359</v>
      </c>
      <c r="FU26" s="61">
        <v>288365.18616223783</v>
      </c>
      <c r="FV26" s="285">
        <f t="shared" si="38"/>
        <v>735377.97712155432</v>
      </c>
    </row>
    <row r="27" spans="1:178" hidden="1" outlineLevel="1">
      <c r="A27" s="316">
        <v>2001</v>
      </c>
      <c r="B27" s="61">
        <v>337903</v>
      </c>
      <c r="C27" s="61">
        <v>21243.3</v>
      </c>
      <c r="D27" s="61">
        <v>156625.79999999999</v>
      </c>
      <c r="E27" s="61">
        <v>42297.7</v>
      </c>
      <c r="F27" s="61">
        <v>185914.4</v>
      </c>
      <c r="G27" s="61">
        <v>504881</v>
      </c>
      <c r="I27" s="316">
        <v>2001</v>
      </c>
      <c r="J27" s="61">
        <v>346483.6</v>
      </c>
      <c r="K27" s="61">
        <v>22129.4</v>
      </c>
      <c r="L27" s="61">
        <v>163649.1</v>
      </c>
      <c r="M27" s="61">
        <v>44619.3</v>
      </c>
      <c r="N27" s="61">
        <v>199616.9</v>
      </c>
      <c r="O27" s="61">
        <v>539312.19999999995</v>
      </c>
      <c r="Q27" s="316">
        <v>2001</v>
      </c>
      <c r="R27" s="75">
        <v>380328.1</v>
      </c>
      <c r="S27" s="75">
        <v>19504.599999999999</v>
      </c>
      <c r="T27" s="75">
        <v>188057.60000000001</v>
      </c>
      <c r="U27" s="75">
        <v>46802.2</v>
      </c>
      <c r="V27" s="75">
        <v>185254.8</v>
      </c>
      <c r="W27" s="75">
        <v>526198.4</v>
      </c>
      <c r="Y27" s="316">
        <v>2001</v>
      </c>
      <c r="Z27" s="75">
        <v>409765.9</v>
      </c>
      <c r="AA27" s="75">
        <v>21446.7</v>
      </c>
      <c r="AB27" s="75">
        <v>204072.1</v>
      </c>
      <c r="AC27" s="75">
        <v>51887.7</v>
      </c>
      <c r="AD27" s="75">
        <v>205375</v>
      </c>
      <c r="AE27" s="75">
        <v>595141.80000000005</v>
      </c>
      <c r="AG27" s="316">
        <v>2001</v>
      </c>
      <c r="AH27" s="48">
        <f t="shared" si="56"/>
        <v>0.92815946861366438</v>
      </c>
      <c r="AI27" s="48">
        <f t="shared" si="56"/>
        <v>0.90944527596320168</v>
      </c>
      <c r="AJ27" s="48">
        <f t="shared" si="56"/>
        <v>0.92152528444603643</v>
      </c>
      <c r="AK27" s="48">
        <f t="shared" si="56"/>
        <v>0.90199025973400249</v>
      </c>
      <c r="AL27" s="48">
        <f t="shared" si="56"/>
        <v>0.90203189287888008</v>
      </c>
      <c r="AM27" s="48">
        <f t="shared" si="56"/>
        <v>0.88415634727723713</v>
      </c>
      <c r="AO27" s="316">
        <v>2001</v>
      </c>
      <c r="AP27" s="62">
        <v>-2.3125859697385676E-2</v>
      </c>
      <c r="AS27" s="316">
        <v>2001</v>
      </c>
      <c r="AT27" s="308">
        <f t="shared" si="39"/>
        <v>-1.4205957660710533E-2</v>
      </c>
      <c r="AU27" s="308">
        <f t="shared" si="40"/>
        <v>-1.4541881762984765E-2</v>
      </c>
      <c r="AV27" s="308">
        <f t="shared" si="41"/>
        <v>-1.5787985045731978E-2</v>
      </c>
      <c r="AW27" s="308">
        <f t="shared" si="42"/>
        <v>-1.5261426652399823E-2</v>
      </c>
      <c r="AX27" s="308">
        <f t="shared" si="43"/>
        <v>-1.6057952565591838E-2</v>
      </c>
      <c r="AY27" s="308">
        <f t="shared" si="44"/>
        <v>-1.7409475432488608E-2</v>
      </c>
      <c r="BA27" s="316">
        <v>2001</v>
      </c>
      <c r="BB27" s="61">
        <v>20112.099999999999</v>
      </c>
      <c r="BC27" s="61">
        <v>1028.0999999999999</v>
      </c>
      <c r="BD27" s="61">
        <v>9928.1</v>
      </c>
      <c r="BE27" s="61">
        <v>2708.5</v>
      </c>
      <c r="BF27" s="61">
        <v>7565.2</v>
      </c>
      <c r="BG27" s="61">
        <v>24637.3</v>
      </c>
      <c r="BI27" s="316">
        <v>2001</v>
      </c>
      <c r="BJ27" s="61">
        <v>20615.599999999999</v>
      </c>
      <c r="BK27" s="61">
        <v>1075.2</v>
      </c>
      <c r="BL27" s="61">
        <v>10396.799999999999</v>
      </c>
      <c r="BM27" s="61">
        <v>3263.5</v>
      </c>
      <c r="BN27" s="61">
        <v>8100.8</v>
      </c>
      <c r="BO27" s="61">
        <v>26412.7</v>
      </c>
      <c r="BQ27" s="316">
        <v>2001</v>
      </c>
      <c r="BR27" s="75">
        <v>24082.799999999999</v>
      </c>
      <c r="BS27" s="75">
        <v>1039.4000000000001</v>
      </c>
      <c r="BT27" s="75">
        <v>13524.4</v>
      </c>
      <c r="BU27" s="75">
        <v>3123.2</v>
      </c>
      <c r="BV27" s="75">
        <v>7608.2</v>
      </c>
      <c r="BW27" s="75">
        <v>24589.200000000001</v>
      </c>
      <c r="BY27" s="316">
        <v>2001</v>
      </c>
      <c r="BZ27" s="75">
        <v>25798.400000000001</v>
      </c>
      <c r="CA27" s="75">
        <v>1150</v>
      </c>
      <c r="CB27" s="75">
        <v>14711.8</v>
      </c>
      <c r="CC27" s="75">
        <v>3902.6</v>
      </c>
      <c r="CD27" s="75">
        <v>8416.9</v>
      </c>
      <c r="CE27" s="75">
        <v>28035.5</v>
      </c>
      <c r="CG27" s="316">
        <v>2001</v>
      </c>
      <c r="CH27" s="48">
        <f t="shared" si="57"/>
        <v>0.93349975192259982</v>
      </c>
      <c r="CI27" s="48">
        <f t="shared" si="57"/>
        <v>0.90382608695652178</v>
      </c>
      <c r="CJ27" s="48">
        <f t="shared" si="57"/>
        <v>0.91928927799453497</v>
      </c>
      <c r="CK27" s="48">
        <f t="shared" si="57"/>
        <v>0.80028698816173827</v>
      </c>
      <c r="CL27" s="48">
        <f t="shared" si="57"/>
        <v>0.90391949530112037</v>
      </c>
      <c r="CM27" s="48">
        <f t="shared" si="57"/>
        <v>0.87707371011752955</v>
      </c>
      <c r="CO27" s="316">
        <v>2001</v>
      </c>
      <c r="CP27" s="62">
        <v>-2.3125859697385676E-2</v>
      </c>
      <c r="CS27" s="316">
        <v>2001</v>
      </c>
      <c r="CT27" s="308">
        <f t="shared" si="45"/>
        <v>-1.0843722520470167E-2</v>
      </c>
      <c r="CU27" s="308">
        <f t="shared" si="46"/>
        <v>-1.0754104110287988E-2</v>
      </c>
      <c r="CV27" s="308">
        <f t="shared" si="47"/>
        <v>-1.2042219190133707E-2</v>
      </c>
      <c r="CW27" s="308">
        <f t="shared" si="48"/>
        <v>-1.1491551062862038E-2</v>
      </c>
      <c r="CX27" s="308">
        <f t="shared" si="49"/>
        <v>-9.5734336880318738E-3</v>
      </c>
      <c r="CY27" s="308">
        <f t="shared" si="50"/>
        <v>-1.1841015073991823E-2</v>
      </c>
      <c r="DA27" s="316">
        <v>2001</v>
      </c>
      <c r="DB27" s="46">
        <f t="shared" si="23"/>
        <v>23329.999999999978</v>
      </c>
      <c r="DC27" s="46">
        <f t="shared" si="24"/>
        <v>1130.7999999999993</v>
      </c>
      <c r="DD27" s="46">
        <f t="shared" si="25"/>
        <v>15940.8</v>
      </c>
      <c r="DE27" s="46">
        <f t="shared" si="26"/>
        <v>4411.2000000000062</v>
      </c>
      <c r="DF27" s="46">
        <f t="shared" si="27"/>
        <v>6351.5000000000055</v>
      </c>
      <c r="DG27" s="46">
        <f t="shared" si="28"/>
        <v>11760</v>
      </c>
      <c r="DI27" s="316">
        <v>2001</v>
      </c>
      <c r="DJ27" s="88">
        <f t="shared" si="29"/>
        <v>5.7279998035833703E-2</v>
      </c>
      <c r="DK27" s="88">
        <f t="shared" si="30"/>
        <v>5.277330533193323E-2</v>
      </c>
      <c r="DL27" s="88">
        <f t="shared" si="31"/>
        <v>7.7645955136139061E-2</v>
      </c>
      <c r="DM27" s="88">
        <f t="shared" si="32"/>
        <v>8.4189150760645426E-2</v>
      </c>
      <c r="DN27" s="88">
        <f t="shared" si="33"/>
        <v>3.1240531681730747E-2</v>
      </c>
      <c r="DO27" s="88">
        <f t="shared" si="34"/>
        <v>2.0315572006869287E-2</v>
      </c>
      <c r="DQ27" s="316">
        <v>2001</v>
      </c>
      <c r="DR27" s="61">
        <v>531653.9</v>
      </c>
      <c r="DS27" s="43"/>
      <c r="DT27" s="61">
        <v>484480.2</v>
      </c>
      <c r="DU27" s="43"/>
      <c r="DV27" s="89">
        <v>-1.7</v>
      </c>
      <c r="DW27" s="46">
        <f t="shared" si="6"/>
        <v>540848.32146490342</v>
      </c>
      <c r="DX27" s="43"/>
      <c r="DY27" s="46">
        <f t="shared" si="7"/>
        <v>492858.7995930824</v>
      </c>
      <c r="DZ27" s="43"/>
      <c r="EB27" s="316">
        <v>2001</v>
      </c>
      <c r="EC27" s="88">
        <f t="shared" si="8"/>
        <v>4.5297890225201018E-2</v>
      </c>
      <c r="ED27" s="88">
        <f t="shared" si="9"/>
        <v>1.9550312712838182E-3</v>
      </c>
      <c r="EE27" s="88">
        <f t="shared" si="10"/>
        <v>2.5438353786175552E-2</v>
      </c>
      <c r="EF27" s="88">
        <f t="shared" si="11"/>
        <v>5.8744984283948627E-3</v>
      </c>
      <c r="EG27" s="88">
        <f t="shared" si="12"/>
        <v>1.4310437673832542E-2</v>
      </c>
      <c r="EH27" s="88">
        <f t="shared" si="13"/>
        <v>4.6250389586157459E-2</v>
      </c>
      <c r="EI27" s="140"/>
      <c r="EJ27" s="316">
        <v>2001</v>
      </c>
      <c r="EK27" s="88">
        <f t="shared" si="14"/>
        <v>0.70320658289161408</v>
      </c>
      <c r="EL27" s="88">
        <f t="shared" si="15"/>
        <v>3.6062975932274734E-2</v>
      </c>
      <c r="EM27" s="88">
        <f t="shared" si="16"/>
        <v>0.3477085765758513</v>
      </c>
      <c r="EN27" s="88">
        <f t="shared" si="17"/>
        <v>8.6534797544041323E-2</v>
      </c>
      <c r="EO27" s="88">
        <f t="shared" si="18"/>
        <v>0.34252634730978171</v>
      </c>
      <c r="EP27" s="88">
        <f t="shared" si="19"/>
        <v>0.97291306844546788</v>
      </c>
      <c r="ER27" s="316">
        <v>2001</v>
      </c>
      <c r="ES27" s="317">
        <f t="shared" si="35"/>
        <v>127291</v>
      </c>
      <c r="ET27" s="318">
        <v>18283</v>
      </c>
      <c r="EU27" s="318">
        <v>86139</v>
      </c>
      <c r="EV27" s="318">
        <v>22869</v>
      </c>
      <c r="EW27" s="88">
        <f t="shared" si="36"/>
        <v>0.14363152147441688</v>
      </c>
      <c r="EX27" s="88">
        <f t="shared" si="36"/>
        <v>0.67670927245445478</v>
      </c>
      <c r="EY27" s="88">
        <f t="shared" si="36"/>
        <v>0.17965920607112837</v>
      </c>
      <c r="EZ27" s="88">
        <f t="shared" si="51"/>
        <v>-2.1620905514879718E-3</v>
      </c>
      <c r="FA27" s="88">
        <f t="shared" si="51"/>
        <v>-3.8447511498500564E-3</v>
      </c>
      <c r="FB27" s="88">
        <f t="shared" si="51"/>
        <v>6.0068417013380837E-3</v>
      </c>
      <c r="FC27" s="374"/>
      <c r="FD27" s="316">
        <v>2001</v>
      </c>
      <c r="FE27" s="159">
        <v>1.3287439024390255E-2</v>
      </c>
      <c r="FF27" s="43"/>
      <c r="FG27" s="159">
        <v>9.0000000000000011E-3</v>
      </c>
      <c r="FH27" s="55"/>
      <c r="FI27" s="319">
        <f t="shared" si="55"/>
        <v>4.2874390243902542E-3</v>
      </c>
      <c r="FK27" s="345">
        <f t="shared" si="52"/>
        <v>-1.3216319091094997E-2</v>
      </c>
      <c r="FL27" s="345">
        <f t="shared" si="53"/>
        <v>2.5989702984959839E-3</v>
      </c>
      <c r="FM27" s="345">
        <f t="shared" si="54"/>
        <v>-1.8610159584391342E-5</v>
      </c>
      <c r="FO27" s="316">
        <v>2001</v>
      </c>
      <c r="FP27" s="61">
        <v>211600.13096553594</v>
      </c>
      <c r="FQ27" s="61">
        <v>10655.395056802863</v>
      </c>
      <c r="FR27" s="61">
        <v>98030.729515460524</v>
      </c>
      <c r="FS27" s="61">
        <v>31315.076687863988</v>
      </c>
      <c r="FT27" s="61">
        <v>71034.623706564613</v>
      </c>
      <c r="FU27" s="61">
        <v>289550.86796045094</v>
      </c>
      <c r="FV27" s="285">
        <f t="shared" si="38"/>
        <v>712186.82389267883</v>
      </c>
    </row>
    <row r="28" spans="1:178" hidden="1" outlineLevel="1">
      <c r="A28" s="316">
        <v>2002</v>
      </c>
      <c r="B28" s="61">
        <v>335870.4</v>
      </c>
      <c r="C28" s="61">
        <v>21063.7</v>
      </c>
      <c r="D28" s="61">
        <v>152422</v>
      </c>
      <c r="E28" s="61">
        <v>41358.300000000003</v>
      </c>
      <c r="F28" s="61">
        <v>184982.5</v>
      </c>
      <c r="G28" s="61">
        <v>511975.7</v>
      </c>
      <c r="I28" s="316">
        <v>2002</v>
      </c>
      <c r="J28" s="61">
        <v>347765.2</v>
      </c>
      <c r="K28" s="61">
        <v>22136.6</v>
      </c>
      <c r="L28" s="61">
        <v>160561.79999999999</v>
      </c>
      <c r="M28" s="61">
        <v>43996.4</v>
      </c>
      <c r="N28" s="61">
        <v>200318.3</v>
      </c>
      <c r="O28" s="61">
        <v>551853.9</v>
      </c>
      <c r="Q28" s="316">
        <v>2002</v>
      </c>
      <c r="R28" s="75">
        <v>378123</v>
      </c>
      <c r="S28" s="75">
        <v>19257.099999999999</v>
      </c>
      <c r="T28" s="75">
        <v>184406.39999999999</v>
      </c>
      <c r="U28" s="75">
        <v>45936.3</v>
      </c>
      <c r="V28" s="75">
        <v>184519.5</v>
      </c>
      <c r="W28" s="75">
        <v>533665</v>
      </c>
      <c r="Y28" s="316">
        <v>2002</v>
      </c>
      <c r="Z28" s="75">
        <v>411582.4</v>
      </c>
      <c r="AA28" s="75">
        <v>21368</v>
      </c>
      <c r="AB28" s="75">
        <v>201892</v>
      </c>
      <c r="AC28" s="75">
        <v>51390</v>
      </c>
      <c r="AD28" s="75">
        <v>206334.9</v>
      </c>
      <c r="AE28" s="75">
        <v>609422.9</v>
      </c>
      <c r="AG28" s="316">
        <v>2002</v>
      </c>
      <c r="AH28" s="48">
        <f t="shared" si="56"/>
        <v>0.91870546456796987</v>
      </c>
      <c r="AI28" s="48">
        <f t="shared" si="56"/>
        <v>0.90121209284912007</v>
      </c>
      <c r="AJ28" s="48">
        <f t="shared" si="56"/>
        <v>0.91339131813048557</v>
      </c>
      <c r="AK28" s="48">
        <f t="shared" si="56"/>
        <v>0.89387624051371872</v>
      </c>
      <c r="AL28" s="48">
        <f t="shared" si="56"/>
        <v>0.89427188517308509</v>
      </c>
      <c r="AM28" s="48">
        <f t="shared" si="56"/>
        <v>0.87568911506279135</v>
      </c>
      <c r="AO28" s="316">
        <v>2002</v>
      </c>
      <c r="AP28" s="62">
        <v>-2.0417143360028978E-2</v>
      </c>
      <c r="AS28" s="316">
        <v>2002</v>
      </c>
      <c r="AT28" s="308">
        <f t="shared" si="39"/>
        <v>-1.0185754027608462E-2</v>
      </c>
      <c r="AU28" s="308">
        <f t="shared" si="40"/>
        <v>-9.0529725445676057E-3</v>
      </c>
      <c r="AV28" s="308">
        <f t="shared" si="41"/>
        <v>-8.8266339001652483E-3</v>
      </c>
      <c r="AW28" s="308">
        <f t="shared" si="42"/>
        <v>-8.9956838587997856E-3</v>
      </c>
      <c r="AX28" s="308">
        <f t="shared" si="43"/>
        <v>-8.6028085781185704E-3</v>
      </c>
      <c r="AY28" s="308">
        <f t="shared" si="44"/>
        <v>-9.5766232301793819E-3</v>
      </c>
      <c r="BA28" s="316">
        <v>2002</v>
      </c>
      <c r="BB28" s="61">
        <v>19249.900000000001</v>
      </c>
      <c r="BC28" s="61">
        <v>940.5</v>
      </c>
      <c r="BD28" s="61">
        <v>8945.1</v>
      </c>
      <c r="BE28" s="61">
        <v>2604.6</v>
      </c>
      <c r="BF28" s="61">
        <v>6371.4</v>
      </c>
      <c r="BG28" s="61">
        <v>22963.1</v>
      </c>
      <c r="BI28" s="316">
        <v>2002</v>
      </c>
      <c r="BJ28" s="61">
        <v>19986.3</v>
      </c>
      <c r="BK28" s="61">
        <v>995.3</v>
      </c>
      <c r="BL28" s="61">
        <v>9468</v>
      </c>
      <c r="BM28" s="61">
        <v>3176.7</v>
      </c>
      <c r="BN28" s="61">
        <v>6902.8</v>
      </c>
      <c r="BO28" s="61">
        <v>24954.799999999999</v>
      </c>
      <c r="BQ28" s="316">
        <v>2002</v>
      </c>
      <c r="BR28" s="75">
        <v>23184.6</v>
      </c>
      <c r="BS28" s="75">
        <v>940.8</v>
      </c>
      <c r="BT28" s="75">
        <v>12459.8</v>
      </c>
      <c r="BU28" s="75">
        <v>3065.5</v>
      </c>
      <c r="BV28" s="75">
        <v>6567</v>
      </c>
      <c r="BW28" s="75">
        <v>22757.7</v>
      </c>
      <c r="BY28" s="316">
        <v>2002</v>
      </c>
      <c r="BZ28" s="75">
        <v>25157.1</v>
      </c>
      <c r="CA28" s="75">
        <v>1053</v>
      </c>
      <c r="CB28" s="75">
        <v>13697</v>
      </c>
      <c r="CC28" s="75">
        <v>3875.6</v>
      </c>
      <c r="CD28" s="75">
        <v>7351.6</v>
      </c>
      <c r="CE28" s="75">
        <v>26311.7</v>
      </c>
      <c r="CG28" s="316">
        <v>2002</v>
      </c>
      <c r="CH28" s="48">
        <f t="shared" si="57"/>
        <v>0.92159271140155263</v>
      </c>
      <c r="CI28" s="48">
        <f t="shared" si="57"/>
        <v>0.89344729344729346</v>
      </c>
      <c r="CJ28" s="48">
        <f t="shared" si="57"/>
        <v>0.90967365116448851</v>
      </c>
      <c r="CK28" s="48">
        <f t="shared" si="57"/>
        <v>0.79097430075343178</v>
      </c>
      <c r="CL28" s="48">
        <f t="shared" si="57"/>
        <v>0.89327493334784258</v>
      </c>
      <c r="CM28" s="48">
        <f t="shared" si="57"/>
        <v>0.86492700965730074</v>
      </c>
      <c r="CO28" s="316">
        <v>2002</v>
      </c>
      <c r="CP28" s="62">
        <v>-2.0417143360028978E-2</v>
      </c>
      <c r="CS28" s="316">
        <v>2002</v>
      </c>
      <c r="CT28" s="308">
        <f t="shared" si="45"/>
        <v>-1.2755269079101406E-2</v>
      </c>
      <c r="CU28" s="308">
        <f t="shared" si="46"/>
        <v>-1.148317542391053E-2</v>
      </c>
      <c r="CV28" s="308">
        <f t="shared" si="47"/>
        <v>-1.0459848776897873E-2</v>
      </c>
      <c r="CW28" s="308">
        <f t="shared" si="48"/>
        <v>-1.1636684771918815E-2</v>
      </c>
      <c r="CX28" s="308">
        <f t="shared" si="49"/>
        <v>-1.1776006611885048E-2</v>
      </c>
      <c r="CY28" s="308">
        <f t="shared" si="50"/>
        <v>-1.3849121596178238E-2</v>
      </c>
      <c r="DA28" s="316">
        <v>2002</v>
      </c>
      <c r="DB28" s="46">
        <f t="shared" si="23"/>
        <v>23340.6</v>
      </c>
      <c r="DC28" s="46">
        <f t="shared" si="24"/>
        <v>1131.7000000000007</v>
      </c>
      <c r="DD28" s="46">
        <f t="shared" si="25"/>
        <v>15877.100000000006</v>
      </c>
      <c r="DE28" s="46">
        <f t="shared" si="26"/>
        <v>4373.2999999999975</v>
      </c>
      <c r="DF28" s="46">
        <f t="shared" si="27"/>
        <v>6391.7000000000062</v>
      </c>
      <c r="DG28" s="46">
        <f t="shared" si="28"/>
        <v>12030.600000000024</v>
      </c>
      <c r="DI28" s="316">
        <v>2002</v>
      </c>
      <c r="DJ28" s="88">
        <f t="shared" si="29"/>
        <v>5.696081591952868E-2</v>
      </c>
      <c r="DK28" s="88">
        <f t="shared" si="30"/>
        <v>5.276802491758642E-2</v>
      </c>
      <c r="DL28" s="88">
        <f t="shared" si="31"/>
        <v>7.7801424104519942E-2</v>
      </c>
      <c r="DM28" s="88">
        <f t="shared" si="32"/>
        <v>8.4283943979016174E-2</v>
      </c>
      <c r="DN28" s="88">
        <f t="shared" si="33"/>
        <v>3.1122093730979943E-2</v>
      </c>
      <c r="DO28" s="88">
        <f t="shared" si="34"/>
        <v>2.0214678249788575E-2</v>
      </c>
      <c r="DQ28" s="316">
        <v>2002</v>
      </c>
      <c r="DR28" s="61">
        <v>524478.69999999995</v>
      </c>
      <c r="DS28" s="61">
        <v>523.46600000000001</v>
      </c>
      <c r="DT28" s="61">
        <v>484683.5</v>
      </c>
      <c r="DU28" s="61">
        <v>486.54559999999998</v>
      </c>
      <c r="DV28" s="89">
        <v>-2.7</v>
      </c>
      <c r="DW28" s="46">
        <f t="shared" si="6"/>
        <v>539032.57965056528</v>
      </c>
      <c r="DX28" s="61">
        <v>537.43942505133475</v>
      </c>
      <c r="DY28" s="46">
        <f t="shared" si="7"/>
        <v>498133.09352517989</v>
      </c>
      <c r="DZ28" s="61">
        <v>499.53347022587269</v>
      </c>
      <c r="EB28" s="316">
        <v>2002</v>
      </c>
      <c r="EC28" s="88">
        <f t="shared" si="8"/>
        <v>4.4205036353239892E-2</v>
      </c>
      <c r="ED28" s="88">
        <f t="shared" si="9"/>
        <v>1.7937811392531289E-3</v>
      </c>
      <c r="EE28" s="88">
        <f t="shared" si="10"/>
        <v>2.3756541495393427E-2</v>
      </c>
      <c r="EF28" s="88">
        <f t="shared" si="11"/>
        <v>5.844851278040462E-3</v>
      </c>
      <c r="EG28" s="88">
        <f t="shared" si="12"/>
        <v>1.2521004189493302E-2</v>
      </c>
      <c r="EH28" s="88">
        <f t="shared" si="13"/>
        <v>4.3391085281442324E-2</v>
      </c>
      <c r="EI28" s="140"/>
      <c r="EJ28" s="316">
        <v>2002</v>
      </c>
      <c r="EK28" s="88">
        <f t="shared" si="14"/>
        <v>0.70148450070517632</v>
      </c>
      <c r="EL28" s="88">
        <f t="shared" si="15"/>
        <v>3.5725298853890537E-2</v>
      </c>
      <c r="EM28" s="88">
        <f t="shared" si="16"/>
        <v>0.34210622318885398</v>
      </c>
      <c r="EN28" s="88">
        <f t="shared" si="17"/>
        <v>8.5219895297940607E-2</v>
      </c>
      <c r="EO28" s="88">
        <f t="shared" si="18"/>
        <v>0.34231604353046174</v>
      </c>
      <c r="EP28" s="88">
        <f t="shared" si="19"/>
        <v>0.99004219809117122</v>
      </c>
      <c r="ER28" s="316">
        <v>2002</v>
      </c>
      <c r="ES28" s="317">
        <f t="shared" si="35"/>
        <v>127436</v>
      </c>
      <c r="ET28" s="318">
        <v>18102</v>
      </c>
      <c r="EU28" s="318">
        <v>85706</v>
      </c>
      <c r="EV28" s="318">
        <v>23628</v>
      </c>
      <c r="EW28" s="88">
        <f t="shared" si="36"/>
        <v>0.14204777299978028</v>
      </c>
      <c r="EX28" s="88">
        <f t="shared" si="36"/>
        <v>0.67254151103298909</v>
      </c>
      <c r="EY28" s="88">
        <f t="shared" si="36"/>
        <v>0.1854107159672306</v>
      </c>
      <c r="EZ28" s="88">
        <f t="shared" si="51"/>
        <v>-1.5837484746366037E-3</v>
      </c>
      <c r="FA28" s="88">
        <f t="shared" si="51"/>
        <v>-4.1677614214656877E-3</v>
      </c>
      <c r="FB28" s="88">
        <f t="shared" si="51"/>
        <v>5.751509896102236E-3</v>
      </c>
      <c r="FC28" s="374"/>
      <c r="FD28" s="316">
        <v>2002</v>
      </c>
      <c r="FE28" s="159">
        <v>1.2699065040650411E-2</v>
      </c>
      <c r="FF28" s="159">
        <v>1.1000000000000001E-2</v>
      </c>
      <c r="FG28" s="159">
        <v>0.01</v>
      </c>
      <c r="FH28" s="159">
        <v>0.01</v>
      </c>
      <c r="FI28" s="319">
        <f t="shared" si="55"/>
        <v>2.6990650406504106E-3</v>
      </c>
      <c r="FK28" s="345">
        <f t="shared" si="52"/>
        <v>-2.871929246403282E-2</v>
      </c>
      <c r="FL28" s="345">
        <f t="shared" si="53"/>
        <v>-4.8634839656602757E-3</v>
      </c>
      <c r="FM28" s="345">
        <f t="shared" si="54"/>
        <v>-1.2042999894578722E-3</v>
      </c>
      <c r="FO28" s="316">
        <v>2002</v>
      </c>
      <c r="FP28" s="61">
        <v>202702.63081743242</v>
      </c>
      <c r="FQ28" s="61">
        <v>10173.553061078926</v>
      </c>
      <c r="FR28" s="61">
        <v>90025.963727167808</v>
      </c>
      <c r="FS28" s="61">
        <v>29690.450854777802</v>
      </c>
      <c r="FT28" s="61">
        <v>62842.394694031776</v>
      </c>
      <c r="FU28" s="61">
        <v>270958.53636404313</v>
      </c>
      <c r="FV28" s="285">
        <f t="shared" si="38"/>
        <v>666393.52951853187</v>
      </c>
    </row>
    <row r="29" spans="1:178" hidden="1" outlineLevel="1">
      <c r="A29" s="316">
        <v>2003</v>
      </c>
      <c r="B29" s="61">
        <v>338468.8</v>
      </c>
      <c r="C29" s="61">
        <v>21090.799999999999</v>
      </c>
      <c r="D29" s="61">
        <v>150556.9</v>
      </c>
      <c r="E29" s="61">
        <v>40955.800000000003</v>
      </c>
      <c r="F29" s="61">
        <v>186665.3</v>
      </c>
      <c r="G29" s="61">
        <v>526334.4</v>
      </c>
      <c r="I29" s="316">
        <v>2003</v>
      </c>
      <c r="J29" s="61">
        <v>348845.8</v>
      </c>
      <c r="K29" s="61">
        <v>22020</v>
      </c>
      <c r="L29" s="61">
        <v>157663.1</v>
      </c>
      <c r="M29" s="61">
        <v>43297.8</v>
      </c>
      <c r="N29" s="61">
        <v>200675</v>
      </c>
      <c r="O29" s="61">
        <v>562040.19999999995</v>
      </c>
      <c r="Q29" s="316">
        <v>2003</v>
      </c>
      <c r="R29" s="75">
        <v>380660</v>
      </c>
      <c r="S29" s="75">
        <v>19201.400000000001</v>
      </c>
      <c r="T29" s="75">
        <v>183528.8</v>
      </c>
      <c r="U29" s="75">
        <v>45683</v>
      </c>
      <c r="V29" s="75">
        <v>186334.4</v>
      </c>
      <c r="W29" s="75">
        <v>548938.30000000005</v>
      </c>
      <c r="Y29" s="316">
        <v>2003</v>
      </c>
      <c r="Z29" s="75">
        <v>413311.2</v>
      </c>
      <c r="AA29" s="75">
        <v>21163.200000000001</v>
      </c>
      <c r="AB29" s="75">
        <v>199719.8</v>
      </c>
      <c r="AC29" s="75">
        <v>50780.800000000003</v>
      </c>
      <c r="AD29" s="75">
        <v>206947.7</v>
      </c>
      <c r="AE29" s="75">
        <v>621223.19999999995</v>
      </c>
      <c r="AG29" s="316">
        <v>2003</v>
      </c>
      <c r="AH29" s="48">
        <f t="shared" si="56"/>
        <v>0.92100093101759639</v>
      </c>
      <c r="AI29" s="48">
        <f t="shared" si="56"/>
        <v>0.90730135329250783</v>
      </c>
      <c r="AJ29" s="48">
        <f t="shared" si="56"/>
        <v>0.91893142292351582</v>
      </c>
      <c r="AK29" s="48">
        <f t="shared" si="56"/>
        <v>0.89961166425105543</v>
      </c>
      <c r="AL29" s="48">
        <f t="shared" si="56"/>
        <v>0.90039367434380757</v>
      </c>
      <c r="AM29" s="48">
        <f t="shared" si="56"/>
        <v>0.88364101662655237</v>
      </c>
      <c r="AO29" s="316">
        <v>2003</v>
      </c>
      <c r="AP29" s="62">
        <v>-8.8042404096658755E-3</v>
      </c>
      <c r="AS29" s="316">
        <v>2003</v>
      </c>
      <c r="AT29" s="308">
        <f t="shared" si="39"/>
        <v>2.4985880003511873E-3</v>
      </c>
      <c r="AU29" s="308">
        <f t="shared" si="40"/>
        <v>6.7567451565557768E-3</v>
      </c>
      <c r="AV29" s="308">
        <f t="shared" si="41"/>
        <v>6.0654230920100805E-3</v>
      </c>
      <c r="AW29" s="308">
        <f t="shared" si="42"/>
        <v>6.416351030921863E-3</v>
      </c>
      <c r="AX29" s="308">
        <f t="shared" si="43"/>
        <v>6.8455570081324968E-3</v>
      </c>
      <c r="AY29" s="308">
        <f t="shared" si="44"/>
        <v>9.0807358764426471E-3</v>
      </c>
      <c r="BA29" s="316">
        <v>2003</v>
      </c>
      <c r="BB29" s="61">
        <v>18975.099999999999</v>
      </c>
      <c r="BC29" s="61">
        <v>820.5</v>
      </c>
      <c r="BD29" s="61">
        <v>8894.2000000000007</v>
      </c>
      <c r="BE29" s="61">
        <v>2492.5</v>
      </c>
      <c r="BF29" s="61">
        <v>6089.4</v>
      </c>
      <c r="BG29" s="61">
        <v>21077</v>
      </c>
      <c r="BI29" s="316">
        <v>2003</v>
      </c>
      <c r="BJ29" s="61">
        <v>19720.099999999999</v>
      </c>
      <c r="BK29" s="61">
        <v>867.1</v>
      </c>
      <c r="BL29" s="61">
        <v>9411</v>
      </c>
      <c r="BM29" s="61">
        <v>3035.4</v>
      </c>
      <c r="BN29" s="61">
        <v>6596.4</v>
      </c>
      <c r="BO29" s="61">
        <v>22838.5</v>
      </c>
      <c r="BQ29" s="316">
        <v>2003</v>
      </c>
      <c r="BR29" s="75">
        <v>23019.200000000001</v>
      </c>
      <c r="BS29" s="75">
        <v>826</v>
      </c>
      <c r="BT29" s="75">
        <v>12348.1</v>
      </c>
      <c r="BU29" s="75">
        <v>2944.7</v>
      </c>
      <c r="BV29" s="75">
        <v>6296</v>
      </c>
      <c r="BW29" s="75">
        <v>20861.2</v>
      </c>
      <c r="BY29" s="316">
        <v>2003</v>
      </c>
      <c r="BZ29" s="75">
        <v>25042.3</v>
      </c>
      <c r="CA29" s="75">
        <v>922.7</v>
      </c>
      <c r="CB29" s="75">
        <v>13565</v>
      </c>
      <c r="CC29" s="75">
        <v>3717.9</v>
      </c>
      <c r="CD29" s="75">
        <v>7052</v>
      </c>
      <c r="CE29" s="75">
        <v>24061.9</v>
      </c>
      <c r="CG29" s="316">
        <v>2003</v>
      </c>
      <c r="CH29" s="48">
        <f t="shared" si="57"/>
        <v>0.91921269212492474</v>
      </c>
      <c r="CI29" s="48">
        <f t="shared" si="57"/>
        <v>0.89519887287308975</v>
      </c>
      <c r="CJ29" s="48">
        <f t="shared" si="57"/>
        <v>0.91029119056395136</v>
      </c>
      <c r="CK29" s="48">
        <f t="shared" si="57"/>
        <v>0.79203313698593281</v>
      </c>
      <c r="CL29" s="48">
        <f t="shared" si="57"/>
        <v>0.89279636982416333</v>
      </c>
      <c r="CM29" s="48">
        <f t="shared" si="57"/>
        <v>0.86698057925600225</v>
      </c>
      <c r="CO29" s="316">
        <v>2003</v>
      </c>
      <c r="CP29" s="62">
        <v>-8.8042404096658755E-3</v>
      </c>
      <c r="CS29" s="316">
        <v>2003</v>
      </c>
      <c r="CT29" s="308">
        <f t="shared" si="45"/>
        <v>-2.5825066183611245E-3</v>
      </c>
      <c r="CU29" s="308">
        <f t="shared" si="46"/>
        <v>1.960473145582009E-3</v>
      </c>
      <c r="CV29" s="308">
        <f t="shared" si="47"/>
        <v>6.7885818026303113E-4</v>
      </c>
      <c r="CW29" s="308">
        <f t="shared" si="48"/>
        <v>1.3386480843846638E-3</v>
      </c>
      <c r="CX29" s="308">
        <f t="shared" si="49"/>
        <v>-5.3574045997872854E-4</v>
      </c>
      <c r="CY29" s="308">
        <f t="shared" si="50"/>
        <v>2.3742692455808179E-3</v>
      </c>
      <c r="DA29" s="316">
        <v>2003</v>
      </c>
      <c r="DB29" s="46">
        <f t="shared" si="23"/>
        <v>23313.500000000011</v>
      </c>
      <c r="DC29" s="46">
        <f t="shared" si="24"/>
        <v>1127.4999999999993</v>
      </c>
      <c r="DD29" s="46">
        <f t="shared" si="25"/>
        <v>15737.200000000012</v>
      </c>
      <c r="DE29" s="46">
        <f t="shared" si="26"/>
        <v>4327.0999999999967</v>
      </c>
      <c r="DF29" s="46">
        <f t="shared" si="27"/>
        <v>6439.1999999999825</v>
      </c>
      <c r="DG29" s="46">
        <f t="shared" si="28"/>
        <v>12261.600000000071</v>
      </c>
      <c r="DI29" s="316">
        <v>2003</v>
      </c>
      <c r="DJ29" s="88">
        <f t="shared" si="29"/>
        <v>5.664357853980153E-2</v>
      </c>
      <c r="DK29" s="88">
        <f t="shared" si="30"/>
        <v>5.2765818045675747E-2</v>
      </c>
      <c r="DL29" s="88">
        <f t="shared" si="31"/>
        <v>7.7948606185485367E-2</v>
      </c>
      <c r="DM29" s="88">
        <f t="shared" si="32"/>
        <v>8.4201206460400788E-2</v>
      </c>
      <c r="DN29" s="88">
        <f t="shared" si="33"/>
        <v>3.1207517487346941E-2</v>
      </c>
      <c r="DO29" s="88">
        <f t="shared" si="34"/>
        <v>2.0120018463369315E-2</v>
      </c>
      <c r="DQ29" s="316">
        <v>2003</v>
      </c>
      <c r="DR29" s="61">
        <v>523968.6</v>
      </c>
      <c r="DS29" s="61">
        <v>526.22259999999994</v>
      </c>
      <c r="DT29" s="61">
        <v>492124</v>
      </c>
      <c r="DU29" s="61">
        <v>495.92520000000002</v>
      </c>
      <c r="DV29" s="89">
        <v>-2.2000000000000002</v>
      </c>
      <c r="DW29" s="46">
        <f t="shared" si="6"/>
        <v>535755.21472392639</v>
      </c>
      <c r="DX29" s="61">
        <v>535.86822810590627</v>
      </c>
      <c r="DY29" s="46">
        <f t="shared" si="7"/>
        <v>503194.27402862988</v>
      </c>
      <c r="DZ29" s="61">
        <v>505.01547861507129</v>
      </c>
      <c r="EB29" s="316">
        <v>2003</v>
      </c>
      <c r="EC29" s="88">
        <f t="shared" si="8"/>
        <v>4.3932403582962798E-2</v>
      </c>
      <c r="ED29" s="88">
        <f t="shared" si="9"/>
        <v>1.5764303433450021E-3</v>
      </c>
      <c r="EE29" s="88">
        <f t="shared" si="10"/>
        <v>2.3566488526220848E-2</v>
      </c>
      <c r="EF29" s="88">
        <f t="shared" si="11"/>
        <v>5.6199932591380472E-3</v>
      </c>
      <c r="EG29" s="88">
        <f t="shared" si="12"/>
        <v>1.201598721755464E-2</v>
      </c>
      <c r="EH29" s="88">
        <f t="shared" si="13"/>
        <v>3.9813836172625613E-2</v>
      </c>
      <c r="EI29" s="140"/>
      <c r="EJ29" s="316">
        <v>2003</v>
      </c>
      <c r="EK29" s="88">
        <f t="shared" si="14"/>
        <v>0.71051104970794055</v>
      </c>
      <c r="EL29" s="88">
        <f t="shared" si="15"/>
        <v>3.5839875137555953E-2</v>
      </c>
      <c r="EM29" s="88">
        <f t="shared" si="16"/>
        <v>0.34256092139872502</v>
      </c>
      <c r="EN29" s="88">
        <f t="shared" si="17"/>
        <v>8.5268418756391129E-2</v>
      </c>
      <c r="EO29" s="88">
        <f t="shared" si="18"/>
        <v>0.34779764130904028</v>
      </c>
      <c r="EP29" s="88">
        <f t="shared" si="19"/>
        <v>1.0246065458884368</v>
      </c>
      <c r="ER29" s="316">
        <v>2003</v>
      </c>
      <c r="ES29" s="317">
        <f t="shared" si="35"/>
        <v>127620</v>
      </c>
      <c r="ET29" s="318">
        <v>17905</v>
      </c>
      <c r="EU29" s="318">
        <v>85404</v>
      </c>
      <c r="EV29" s="318">
        <v>24311</v>
      </c>
      <c r="EW29" s="88">
        <f t="shared" si="36"/>
        <v>0.14029932612443191</v>
      </c>
      <c r="EX29" s="88">
        <f t="shared" si="36"/>
        <v>0.6692054536906441</v>
      </c>
      <c r="EY29" s="88">
        <f t="shared" si="36"/>
        <v>0.19049522018492399</v>
      </c>
      <c r="EZ29" s="88">
        <f t="shared" si="51"/>
        <v>-1.748446875348364E-3</v>
      </c>
      <c r="FA29" s="88">
        <f t="shared" si="51"/>
        <v>-3.3360573423449891E-3</v>
      </c>
      <c r="FB29" s="88">
        <f t="shared" si="51"/>
        <v>5.0845042176933808E-3</v>
      </c>
      <c r="FC29" s="374"/>
      <c r="FD29" s="316">
        <v>2003</v>
      </c>
      <c r="FE29" s="159">
        <v>9.9291020408163264E-3</v>
      </c>
      <c r="FF29" s="159">
        <v>1.1000000000000001E-2</v>
      </c>
      <c r="FG29" s="159">
        <v>1.1000000000000001E-2</v>
      </c>
      <c r="FH29" s="159">
        <v>1.1000000000000001E-2</v>
      </c>
      <c r="FI29" s="319">
        <f t="shared" si="55"/>
        <v>-1.0708979591836747E-3</v>
      </c>
      <c r="FK29" s="345">
        <f t="shared" si="52"/>
        <v>-1.3291063028479488E-2</v>
      </c>
      <c r="FL29" s="345">
        <f t="shared" si="53"/>
        <v>6.7157535286727077E-4</v>
      </c>
      <c r="FM29" s="345">
        <f t="shared" si="54"/>
        <v>-2.0492112219957677E-3</v>
      </c>
      <c r="FO29" s="316">
        <v>2003</v>
      </c>
      <c r="FP29" s="61">
        <v>201541.57704602586</v>
      </c>
      <c r="FQ29" s="61">
        <v>9360.8434453524096</v>
      </c>
      <c r="FR29" s="61">
        <v>86942.955019569912</v>
      </c>
      <c r="FS29" s="61">
        <v>28165.556551721071</v>
      </c>
      <c r="FT29" s="61">
        <v>57583.46796415031</v>
      </c>
      <c r="FU29" s="61">
        <v>241013.9918968468</v>
      </c>
      <c r="FV29" s="285">
        <f t="shared" si="38"/>
        <v>624608.39192366635</v>
      </c>
    </row>
    <row r="30" spans="1:178" hidden="1" outlineLevel="1">
      <c r="A30" s="316">
        <v>2004</v>
      </c>
      <c r="B30" s="61">
        <v>342265.59999999998</v>
      </c>
      <c r="C30" s="61">
        <v>21178.5</v>
      </c>
      <c r="D30" s="61">
        <v>149319.1</v>
      </c>
      <c r="E30" s="61">
        <v>40601.800000000003</v>
      </c>
      <c r="F30" s="61">
        <v>190483.7</v>
      </c>
      <c r="G30" s="61">
        <v>540276.5</v>
      </c>
      <c r="I30" s="316">
        <v>2004</v>
      </c>
      <c r="J30" s="61">
        <v>350322.4</v>
      </c>
      <c r="K30" s="61">
        <v>21856.7</v>
      </c>
      <c r="L30" s="61">
        <v>154749.20000000001</v>
      </c>
      <c r="M30" s="61">
        <v>42405.4</v>
      </c>
      <c r="N30" s="61">
        <v>202095</v>
      </c>
      <c r="O30" s="61">
        <v>568771.5</v>
      </c>
      <c r="Q30" s="316">
        <v>2004</v>
      </c>
      <c r="R30" s="75">
        <v>384698.7</v>
      </c>
      <c r="S30" s="75">
        <v>19171.2</v>
      </c>
      <c r="T30" s="75">
        <v>182984.9</v>
      </c>
      <c r="U30" s="75">
        <v>45355.4</v>
      </c>
      <c r="V30" s="75">
        <v>190237.4</v>
      </c>
      <c r="W30" s="75">
        <v>563249.19999999995</v>
      </c>
      <c r="Y30" s="316">
        <v>2004</v>
      </c>
      <c r="Z30" s="75">
        <v>415787</v>
      </c>
      <c r="AA30" s="75">
        <v>20905.7</v>
      </c>
      <c r="AB30" s="75">
        <v>197309.9</v>
      </c>
      <c r="AC30" s="75">
        <v>49861.3</v>
      </c>
      <c r="AD30" s="75">
        <v>208751.6</v>
      </c>
      <c r="AE30" s="75">
        <v>629255.9</v>
      </c>
      <c r="AG30" s="316">
        <v>2004</v>
      </c>
      <c r="AH30" s="48">
        <f t="shared" si="56"/>
        <v>0.92523022605324368</v>
      </c>
      <c r="AI30" s="48">
        <f t="shared" si="56"/>
        <v>0.91703219696063754</v>
      </c>
      <c r="AJ30" s="48">
        <f t="shared" si="56"/>
        <v>0.92739847316328272</v>
      </c>
      <c r="AK30" s="48">
        <f t="shared" si="56"/>
        <v>0.90963131727411839</v>
      </c>
      <c r="AL30" s="48">
        <f t="shared" si="56"/>
        <v>0.91130990133728307</v>
      </c>
      <c r="AM30" s="48">
        <f t="shared" si="56"/>
        <v>0.89510356597371588</v>
      </c>
      <c r="AO30" s="316">
        <v>2004</v>
      </c>
      <c r="AP30" s="62">
        <v>1.3051753829420809E-2</v>
      </c>
      <c r="AS30" s="316">
        <v>2004</v>
      </c>
      <c r="AT30" s="308">
        <f t="shared" si="39"/>
        <v>4.5920638006027303E-3</v>
      </c>
      <c r="AU30" s="308">
        <f t="shared" si="40"/>
        <v>1.0725040399000241E-2</v>
      </c>
      <c r="AV30" s="308">
        <f t="shared" si="41"/>
        <v>9.2140175300889915E-3</v>
      </c>
      <c r="AW30" s="308">
        <f t="shared" si="42"/>
        <v>1.1137753567706854E-2</v>
      </c>
      <c r="AX30" s="308">
        <f t="shared" si="43"/>
        <v>1.2123837943920579E-2</v>
      </c>
      <c r="AY30" s="308">
        <f t="shared" si="44"/>
        <v>1.2971952559336586E-2</v>
      </c>
      <c r="BA30" s="316">
        <v>2004</v>
      </c>
      <c r="BB30" s="61">
        <v>19381.5</v>
      </c>
      <c r="BC30" s="61">
        <v>774</v>
      </c>
      <c r="BD30" s="61">
        <v>8703.2000000000007</v>
      </c>
      <c r="BE30" s="61">
        <v>2288.6999999999998</v>
      </c>
      <c r="BF30" s="61">
        <v>6453.9</v>
      </c>
      <c r="BG30" s="61">
        <v>18924.400000000001</v>
      </c>
      <c r="BI30" s="316">
        <v>2004</v>
      </c>
      <c r="BJ30" s="61">
        <v>20056.8</v>
      </c>
      <c r="BK30" s="61">
        <v>811.4</v>
      </c>
      <c r="BL30" s="61">
        <v>9154.9</v>
      </c>
      <c r="BM30" s="61">
        <v>2766.6</v>
      </c>
      <c r="BN30" s="61">
        <v>6941.2</v>
      </c>
      <c r="BO30" s="61">
        <v>20318.599999999999</v>
      </c>
      <c r="BQ30" s="316">
        <v>2004</v>
      </c>
      <c r="BR30" s="75">
        <v>23727.8</v>
      </c>
      <c r="BS30" s="75">
        <v>775.2</v>
      </c>
      <c r="BT30" s="75">
        <v>12049.8</v>
      </c>
      <c r="BU30" s="75">
        <v>2670</v>
      </c>
      <c r="BV30" s="75">
        <v>6682.5</v>
      </c>
      <c r="BW30" s="75">
        <v>18684.2</v>
      </c>
      <c r="BY30" s="316">
        <v>2004</v>
      </c>
      <c r="BZ30" s="75">
        <v>25771.7</v>
      </c>
      <c r="CA30" s="75">
        <v>859.1</v>
      </c>
      <c r="CB30" s="75">
        <v>13165.1</v>
      </c>
      <c r="CC30" s="75">
        <v>3325.6</v>
      </c>
      <c r="CD30" s="75">
        <v>7434.8</v>
      </c>
      <c r="CE30" s="75">
        <v>21355.5</v>
      </c>
      <c r="CG30" s="316">
        <v>2004</v>
      </c>
      <c r="CH30" s="48">
        <f t="shared" si="57"/>
        <v>0.92069207696814714</v>
      </c>
      <c r="CI30" s="48">
        <f t="shared" si="57"/>
        <v>0.90233965778139913</v>
      </c>
      <c r="CJ30" s="48">
        <f t="shared" si="57"/>
        <v>0.91528359070572951</v>
      </c>
      <c r="CK30" s="48">
        <f t="shared" si="57"/>
        <v>0.80286264132788066</v>
      </c>
      <c r="CL30" s="48">
        <f t="shared" si="57"/>
        <v>0.89881368698552755</v>
      </c>
      <c r="CM30" s="48">
        <f t="shared" si="57"/>
        <v>0.87491278593336619</v>
      </c>
      <c r="CO30" s="316">
        <v>2004</v>
      </c>
      <c r="CP30" s="62">
        <v>1.3051753829420809E-2</v>
      </c>
      <c r="CS30" s="316">
        <v>2004</v>
      </c>
      <c r="CT30" s="308">
        <f t="shared" si="45"/>
        <v>1.6094042824872368E-3</v>
      </c>
      <c r="CU30" s="308">
        <f t="shared" si="46"/>
        <v>7.976758153628305E-3</v>
      </c>
      <c r="CV30" s="308">
        <f t="shared" si="47"/>
        <v>5.4843990511268537E-3</v>
      </c>
      <c r="CW30" s="308">
        <f t="shared" si="48"/>
        <v>1.3673044518262678E-2</v>
      </c>
      <c r="CX30" s="308">
        <f t="shared" si="49"/>
        <v>6.7398539742600239E-3</v>
      </c>
      <c r="CY30" s="308">
        <f t="shared" si="50"/>
        <v>9.1492322517430225E-3</v>
      </c>
      <c r="DA30" s="316">
        <v>2004</v>
      </c>
      <c r="DB30" s="46">
        <f t="shared" si="23"/>
        <v>23295.900000000012</v>
      </c>
      <c r="DC30" s="46">
        <f t="shared" si="24"/>
        <v>1116.5999999999999</v>
      </c>
      <c r="DD30" s="46">
        <f t="shared" si="25"/>
        <v>15574.999999999995</v>
      </c>
      <c r="DE30" s="46">
        <f t="shared" si="26"/>
        <v>4245.1000000000004</v>
      </c>
      <c r="DF30" s="46">
        <f t="shared" si="27"/>
        <v>5630.900000000006</v>
      </c>
      <c r="DG30" s="46">
        <f t="shared" si="28"/>
        <v>13322.79999999993</v>
      </c>
      <c r="DI30" s="316">
        <v>2004</v>
      </c>
      <c r="DJ30" s="88">
        <f t="shared" si="29"/>
        <v>5.6364066591953019E-2</v>
      </c>
      <c r="DK30" s="88">
        <f t="shared" si="30"/>
        <v>5.2761397142209114E-2</v>
      </c>
      <c r="DL30" s="88">
        <f t="shared" si="31"/>
        <v>7.798425594257552E-2</v>
      </c>
      <c r="DM30" s="88">
        <f t="shared" si="32"/>
        <v>8.3596556178713213E-2</v>
      </c>
      <c r="DN30" s="88">
        <f t="shared" si="33"/>
        <v>2.7209290076671572E-2</v>
      </c>
      <c r="DO30" s="88">
        <f t="shared" si="34"/>
        <v>2.1446076064126279E-2</v>
      </c>
      <c r="DQ30" s="316">
        <v>2004</v>
      </c>
      <c r="DR30" s="61">
        <v>529400.9</v>
      </c>
      <c r="DS30" s="61">
        <v>529.6336</v>
      </c>
      <c r="DT30" s="61">
        <v>502882.4</v>
      </c>
      <c r="DU30" s="61">
        <v>504.26499999999999</v>
      </c>
      <c r="DV30" s="89">
        <v>-1.2</v>
      </c>
      <c r="DW30" s="46">
        <f t="shared" si="6"/>
        <v>535830.87044534413</v>
      </c>
      <c r="DX30" s="61">
        <v>536.60952380952381</v>
      </c>
      <c r="DY30" s="46">
        <f t="shared" si="7"/>
        <v>508990.28340080974</v>
      </c>
      <c r="DZ30" s="61">
        <v>510.9067882472138</v>
      </c>
      <c r="EB30" s="316">
        <v>2004</v>
      </c>
      <c r="EC30" s="88">
        <f t="shared" si="8"/>
        <v>4.4820097585780448E-2</v>
      </c>
      <c r="ED30" s="88">
        <f t="shared" si="9"/>
        <v>1.4642967172892982E-3</v>
      </c>
      <c r="EE30" s="88">
        <f t="shared" si="10"/>
        <v>2.2761200443746882E-2</v>
      </c>
      <c r="EF30" s="88">
        <f t="shared" si="11"/>
        <v>5.0434368358648427E-3</v>
      </c>
      <c r="EG30" s="88">
        <f t="shared" si="12"/>
        <v>1.2622759047066221E-2</v>
      </c>
      <c r="EH30" s="88">
        <f t="shared" si="13"/>
        <v>3.5293102070661386E-2</v>
      </c>
      <c r="EI30" s="140"/>
      <c r="EJ30" s="316">
        <v>2004</v>
      </c>
      <c r="EK30" s="88">
        <f t="shared" si="14"/>
        <v>0.71794799668833209</v>
      </c>
      <c r="EL30" s="88">
        <f t="shared" si="15"/>
        <v>3.5778453720044678E-2</v>
      </c>
      <c r="EM30" s="88">
        <f t="shared" si="16"/>
        <v>0.34149749499859178</v>
      </c>
      <c r="EN30" s="88">
        <f t="shared" si="17"/>
        <v>8.4644992481123477E-2</v>
      </c>
      <c r="EO30" s="88">
        <f t="shared" si="18"/>
        <v>0.3550325494346534</v>
      </c>
      <c r="EP30" s="88">
        <f t="shared" si="19"/>
        <v>1.0511697460280101</v>
      </c>
      <c r="ER30" s="316">
        <v>2004</v>
      </c>
      <c r="ES30" s="317">
        <f t="shared" si="35"/>
        <v>127687</v>
      </c>
      <c r="ET30" s="318">
        <v>17734</v>
      </c>
      <c r="EU30" s="318">
        <v>85077</v>
      </c>
      <c r="EV30" s="318">
        <v>24876</v>
      </c>
      <c r="EW30" s="88">
        <f t="shared" si="36"/>
        <v>0.1388864958844675</v>
      </c>
      <c r="EX30" s="88">
        <f t="shared" si="36"/>
        <v>0.6662933579769279</v>
      </c>
      <c r="EY30" s="88">
        <f t="shared" si="36"/>
        <v>0.19482014613860454</v>
      </c>
      <c r="EZ30" s="88">
        <f t="shared" si="51"/>
        <v>-1.4128302399644133E-3</v>
      </c>
      <c r="FA30" s="88">
        <f t="shared" si="51"/>
        <v>-2.9120957137162007E-3</v>
      </c>
      <c r="FB30" s="88">
        <f t="shared" si="51"/>
        <v>4.3249259536805584E-3</v>
      </c>
      <c r="FC30" s="374"/>
      <c r="FD30" s="316">
        <v>2004</v>
      </c>
      <c r="FE30" s="159">
        <v>1.5047926829268294E-2</v>
      </c>
      <c r="FF30" s="159">
        <v>1.4999999999999999E-2</v>
      </c>
      <c r="FG30" s="159">
        <v>1.1000000000000001E-2</v>
      </c>
      <c r="FH30" s="159">
        <v>1.1000000000000001E-2</v>
      </c>
      <c r="FI30" s="319">
        <f t="shared" si="55"/>
        <v>4.0479268292682932E-3</v>
      </c>
      <c r="FK30" s="345">
        <f t="shared" si="52"/>
        <v>-1.8287144515227949E-2</v>
      </c>
      <c r="FL30" s="345">
        <f t="shared" si="53"/>
        <v>-9.9300327944668032E-3</v>
      </c>
      <c r="FM30" s="345">
        <f t="shared" si="54"/>
        <v>-1.0162168761638276E-3</v>
      </c>
      <c r="FO30" s="316">
        <v>2004</v>
      </c>
      <c r="FP30" s="61">
        <v>202900.01836176991</v>
      </c>
      <c r="FQ30" s="61">
        <v>7832.0515599617529</v>
      </c>
      <c r="FR30" s="61">
        <v>97161.654479727003</v>
      </c>
      <c r="FS30" s="61">
        <v>20962.026390163614</v>
      </c>
      <c r="FT30" s="61">
        <v>53719.721920954609</v>
      </c>
      <c r="FU30" s="61">
        <v>215353.05639483486</v>
      </c>
      <c r="FV30" s="285">
        <f t="shared" si="38"/>
        <v>597928.52910741174</v>
      </c>
    </row>
    <row r="31" spans="1:178" hidden="1" outlineLevel="1">
      <c r="A31" s="316">
        <v>2005</v>
      </c>
      <c r="B31" s="61">
        <v>344289</v>
      </c>
      <c r="C31" s="61">
        <v>21015.3</v>
      </c>
      <c r="D31" s="61">
        <v>148386.20000000001</v>
      </c>
      <c r="E31" s="61">
        <v>40009.1</v>
      </c>
      <c r="F31" s="61">
        <v>194135.4</v>
      </c>
      <c r="G31" s="61">
        <v>550721.5</v>
      </c>
      <c r="I31" s="316">
        <v>2005</v>
      </c>
      <c r="J31" s="61">
        <v>351749.2</v>
      </c>
      <c r="K31" s="61">
        <v>21599.599999999999</v>
      </c>
      <c r="L31" s="61">
        <v>152389.9</v>
      </c>
      <c r="M31" s="61">
        <v>41537.9</v>
      </c>
      <c r="N31" s="61">
        <v>203389.7</v>
      </c>
      <c r="O31" s="61">
        <v>573998.30000000005</v>
      </c>
      <c r="Q31" s="316">
        <v>2005</v>
      </c>
      <c r="R31" s="75">
        <v>388113.7</v>
      </c>
      <c r="S31" s="75">
        <v>18962.8</v>
      </c>
      <c r="T31" s="75">
        <v>183492.3</v>
      </c>
      <c r="U31" s="75">
        <v>44786.400000000001</v>
      </c>
      <c r="V31" s="75">
        <v>194431.4</v>
      </c>
      <c r="W31" s="75">
        <v>576320.6</v>
      </c>
      <c r="Y31" s="316">
        <v>2005</v>
      </c>
      <c r="Z31" s="75">
        <v>418194.3</v>
      </c>
      <c r="AA31" s="75">
        <v>20548</v>
      </c>
      <c r="AB31" s="75">
        <v>195633.3</v>
      </c>
      <c r="AC31" s="75">
        <v>48834.1</v>
      </c>
      <c r="AD31" s="75">
        <v>210334.2</v>
      </c>
      <c r="AE31" s="75">
        <v>635788.19999999995</v>
      </c>
      <c r="AG31" s="316">
        <v>2005</v>
      </c>
      <c r="AH31" s="48">
        <f t="shared" si="56"/>
        <v>0.92807027738063386</v>
      </c>
      <c r="AI31" s="48">
        <f t="shared" si="56"/>
        <v>0.92285380572318465</v>
      </c>
      <c r="AJ31" s="48">
        <f t="shared" si="56"/>
        <v>0.93794001327994769</v>
      </c>
      <c r="AK31" s="48">
        <f t="shared" si="56"/>
        <v>0.91711324668622951</v>
      </c>
      <c r="AL31" s="48">
        <f t="shared" si="56"/>
        <v>0.92439270456254852</v>
      </c>
      <c r="AM31" s="48">
        <f t="shared" si="56"/>
        <v>0.9064663358017655</v>
      </c>
      <c r="AO31" s="316">
        <v>2005</v>
      </c>
      <c r="AP31" s="62">
        <v>1.6104500313143033E-2</v>
      </c>
      <c r="AS31" s="316">
        <v>2005</v>
      </c>
      <c r="AT31" s="308">
        <f t="shared" si="39"/>
        <v>3.0695617668101693E-3</v>
      </c>
      <c r="AU31" s="308">
        <f t="shared" si="40"/>
        <v>6.3483144668659008E-3</v>
      </c>
      <c r="AV31" s="308">
        <f t="shared" si="41"/>
        <v>1.1366786146098207E-2</v>
      </c>
      <c r="AW31" s="308">
        <f t="shared" si="42"/>
        <v>8.2252328718541712E-3</v>
      </c>
      <c r="AX31" s="308">
        <f t="shared" si="43"/>
        <v>1.4356042007299008E-2</v>
      </c>
      <c r="AY31" s="308">
        <f t="shared" si="44"/>
        <v>1.269436326699136E-2</v>
      </c>
      <c r="BA31" s="316">
        <v>2005</v>
      </c>
      <c r="BB31" s="61">
        <v>19366.099999999999</v>
      </c>
      <c r="BC31" s="61">
        <v>680.5</v>
      </c>
      <c r="BD31" s="61">
        <v>9086.2000000000007</v>
      </c>
      <c r="BE31" s="61">
        <v>2318.6999999999998</v>
      </c>
      <c r="BF31" s="61">
        <v>7226.1</v>
      </c>
      <c r="BG31" s="61">
        <v>17180.3</v>
      </c>
      <c r="BI31" s="316">
        <v>2005</v>
      </c>
      <c r="BJ31" s="61">
        <v>19956.599999999999</v>
      </c>
      <c r="BK31" s="61">
        <v>707.2</v>
      </c>
      <c r="BL31" s="61">
        <v>9431.1</v>
      </c>
      <c r="BM31" s="61">
        <v>2772.6</v>
      </c>
      <c r="BN31" s="61">
        <v>7647.5</v>
      </c>
      <c r="BO31" s="61">
        <v>18160.7</v>
      </c>
      <c r="BQ31" s="316">
        <v>2005</v>
      </c>
      <c r="BR31" s="75">
        <v>23758</v>
      </c>
      <c r="BS31" s="75">
        <v>678.3</v>
      </c>
      <c r="BT31" s="75">
        <v>12695.3</v>
      </c>
      <c r="BU31" s="75">
        <v>2593</v>
      </c>
      <c r="BV31" s="75">
        <v>7446.9</v>
      </c>
      <c r="BW31" s="75">
        <v>16949.900000000001</v>
      </c>
      <c r="BY31" s="316">
        <v>2005</v>
      </c>
      <c r="BZ31" s="75">
        <v>25738.7</v>
      </c>
      <c r="CA31" s="75">
        <v>744.5</v>
      </c>
      <c r="CB31" s="75">
        <v>13677.1</v>
      </c>
      <c r="CC31" s="75">
        <v>3192.1</v>
      </c>
      <c r="CD31" s="75">
        <v>8155.5</v>
      </c>
      <c r="CE31" s="75">
        <v>19075.8</v>
      </c>
      <c r="CG31" s="316">
        <v>2005</v>
      </c>
      <c r="CH31" s="48">
        <f t="shared" si="57"/>
        <v>0.92304584147606517</v>
      </c>
      <c r="CI31" s="48">
        <f t="shared" si="57"/>
        <v>0.91108126259234379</v>
      </c>
      <c r="CJ31" s="48">
        <f t="shared" si="57"/>
        <v>0.92821577673629641</v>
      </c>
      <c r="CK31" s="48">
        <f t="shared" si="57"/>
        <v>0.81231790983991736</v>
      </c>
      <c r="CL31" s="48">
        <f t="shared" si="57"/>
        <v>0.91311384954938379</v>
      </c>
      <c r="CM31" s="48">
        <f t="shared" si="57"/>
        <v>0.88855513268119823</v>
      </c>
      <c r="CO31" s="316">
        <v>2005</v>
      </c>
      <c r="CP31" s="62">
        <v>1.6104500313143033E-2</v>
      </c>
      <c r="CS31" s="316">
        <v>2005</v>
      </c>
      <c r="CT31" s="308">
        <f t="shared" si="45"/>
        <v>2.5565165236014487E-3</v>
      </c>
      <c r="CU31" s="308">
        <f t="shared" si="46"/>
        <v>9.6877098723975319E-3</v>
      </c>
      <c r="CV31" s="308">
        <f t="shared" si="47"/>
        <v>1.4129157522200897E-2</v>
      </c>
      <c r="CW31" s="308">
        <f t="shared" si="48"/>
        <v>1.1776944181134619E-2</v>
      </c>
      <c r="CX31" s="308">
        <f t="shared" si="49"/>
        <v>1.5910040947214155E-2</v>
      </c>
      <c r="CY31" s="308">
        <f t="shared" si="50"/>
        <v>1.5592807611421788E-2</v>
      </c>
      <c r="DA31" s="316">
        <v>2005</v>
      </c>
      <c r="DB31" s="46">
        <f t="shared" si="23"/>
        <v>23331.400000000012</v>
      </c>
      <c r="DC31" s="46">
        <f t="shared" si="24"/>
        <v>1102.2000000000007</v>
      </c>
      <c r="DD31" s="46">
        <f t="shared" si="25"/>
        <v>15353.700000000006</v>
      </c>
      <c r="DE31" s="46">
        <f t="shared" si="26"/>
        <v>4219.3000000000047</v>
      </c>
      <c r="DF31" s="46">
        <f t="shared" si="27"/>
        <v>6572.8999999999942</v>
      </c>
      <c r="DG31" s="46">
        <f t="shared" si="28"/>
        <v>12543.500000000069</v>
      </c>
      <c r="DI31" s="316">
        <v>2005</v>
      </c>
      <c r="DJ31" s="88">
        <f t="shared" si="29"/>
        <v>5.6113827512644723E-2</v>
      </c>
      <c r="DK31" s="88">
        <f t="shared" si="30"/>
        <v>5.2722463251649102E-2</v>
      </c>
      <c r="DL31" s="88">
        <f t="shared" si="31"/>
        <v>7.7815152711546695E-2</v>
      </c>
      <c r="DM31" s="88">
        <f t="shared" si="32"/>
        <v>8.4620737927009609E-2</v>
      </c>
      <c r="DN31" s="88">
        <f t="shared" si="33"/>
        <v>3.1486704772562192E-2</v>
      </c>
      <c r="DO31" s="88">
        <f t="shared" si="34"/>
        <v>1.9933861565700168E-2</v>
      </c>
      <c r="DQ31" s="316">
        <v>2005</v>
      </c>
      <c r="DR31" s="61">
        <v>532515.6</v>
      </c>
      <c r="DS31" s="61">
        <v>534.10969999999998</v>
      </c>
      <c r="DT31" s="61">
        <v>511953.9</v>
      </c>
      <c r="DU31" s="61">
        <v>515.13760000000002</v>
      </c>
      <c r="DV31" s="89">
        <v>-0.4</v>
      </c>
      <c r="DW31" s="46">
        <f t="shared" si="6"/>
        <v>534654.21686746983</v>
      </c>
      <c r="DX31" s="61">
        <v>534.10969999999998</v>
      </c>
      <c r="DY31" s="46">
        <f t="shared" si="7"/>
        <v>514009.93975903618</v>
      </c>
      <c r="DZ31" s="61">
        <v>515.13760000000002</v>
      </c>
      <c r="EB31" s="316">
        <v>2005</v>
      </c>
      <c r="EC31" s="88">
        <f t="shared" si="8"/>
        <v>4.4614655420423366E-2</v>
      </c>
      <c r="ED31" s="88">
        <f t="shared" si="9"/>
        <v>1.2737655009543382E-3</v>
      </c>
      <c r="EE31" s="88">
        <f t="shared" si="10"/>
        <v>2.384024054882148E-2</v>
      </c>
      <c r="EF31" s="88">
        <f t="shared" si="11"/>
        <v>4.8693409169609306E-3</v>
      </c>
      <c r="EG31" s="88">
        <f t="shared" si="12"/>
        <v>1.398437904917715E-2</v>
      </c>
      <c r="EH31" s="88">
        <f t="shared" si="13"/>
        <v>3.1829865641494828E-2</v>
      </c>
      <c r="EI31" s="140"/>
      <c r="EJ31" s="316">
        <v>2005</v>
      </c>
      <c r="EK31" s="88">
        <f t="shared" si="14"/>
        <v>0.72591534445188088</v>
      </c>
      <c r="EL31" s="88">
        <f t="shared" si="15"/>
        <v>3.546740940547094E-2</v>
      </c>
      <c r="EM31" s="88">
        <f t="shared" si="16"/>
        <v>0.34319807870417318</v>
      </c>
      <c r="EN31" s="88">
        <f t="shared" si="17"/>
        <v>8.3767037810723297E-2</v>
      </c>
      <c r="EO31" s="88">
        <f t="shared" si="18"/>
        <v>0.36365821846345914</v>
      </c>
      <c r="EP31" s="88">
        <f t="shared" si="19"/>
        <v>1.0779314589093729</v>
      </c>
      <c r="ER31" s="316">
        <v>2005</v>
      </c>
      <c r="ES31" s="317">
        <f t="shared" si="35"/>
        <v>127768</v>
      </c>
      <c r="ET31" s="318">
        <v>17585</v>
      </c>
      <c r="EU31" s="318">
        <v>84422</v>
      </c>
      <c r="EV31" s="318">
        <v>25761</v>
      </c>
      <c r="EW31" s="88">
        <f t="shared" si="36"/>
        <v>0.13763227099117151</v>
      </c>
      <c r="EX31" s="88">
        <f t="shared" si="36"/>
        <v>0.66074447435977712</v>
      </c>
      <c r="EY31" s="88">
        <f t="shared" si="36"/>
        <v>0.2016232546490514</v>
      </c>
      <c r="EZ31" s="88">
        <f t="shared" si="51"/>
        <v>-1.254224893295991E-3</v>
      </c>
      <c r="FA31" s="88">
        <f t="shared" si="51"/>
        <v>-5.5488836171507794E-3</v>
      </c>
      <c r="FB31" s="88">
        <f t="shared" si="51"/>
        <v>6.8031085104468536E-3</v>
      </c>
      <c r="FC31" s="374"/>
      <c r="FD31" s="316">
        <v>2005</v>
      </c>
      <c r="FE31" s="159">
        <v>1.3845183673469395E-2</v>
      </c>
      <c r="FF31" s="159">
        <v>1.3999999999999999E-2</v>
      </c>
      <c r="FG31" s="159">
        <v>0.01</v>
      </c>
      <c r="FH31" s="159">
        <v>9.0000000000000011E-3</v>
      </c>
      <c r="FI31" s="319">
        <f t="shared" si="55"/>
        <v>3.8451836734693951E-3</v>
      </c>
      <c r="FK31" s="345">
        <f t="shared" si="52"/>
        <v>-1.3445855950908303E-2</v>
      </c>
      <c r="FL31" s="345">
        <f t="shared" si="53"/>
        <v>-7.1263047944779001E-3</v>
      </c>
      <c r="FM31" s="345">
        <f t="shared" si="54"/>
        <v>6.7755940054496817E-4</v>
      </c>
      <c r="FO31" s="316">
        <v>2005</v>
      </c>
      <c r="FP31" s="61">
        <v>201316.05242418451</v>
      </c>
      <c r="FQ31" s="61">
        <v>6258.6123983698853</v>
      </c>
      <c r="FR31" s="61">
        <v>103304.50755456537</v>
      </c>
      <c r="FS31" s="61">
        <v>17301.983807989003</v>
      </c>
      <c r="FT31" s="61">
        <v>54181.746940259531</v>
      </c>
      <c r="FU31" s="61">
        <v>196635.03038323642</v>
      </c>
      <c r="FV31" s="285">
        <f t="shared" si="38"/>
        <v>578997.93350860476</v>
      </c>
    </row>
    <row r="32" spans="1:178" hidden="1" outlineLevel="1">
      <c r="A32" s="316">
        <v>2006</v>
      </c>
      <c r="B32" s="61">
        <v>352916.6</v>
      </c>
      <c r="C32" s="61">
        <v>21083.9</v>
      </c>
      <c r="D32" s="61">
        <v>149747.6</v>
      </c>
      <c r="E32" s="61">
        <v>39708.9</v>
      </c>
      <c r="F32" s="61">
        <v>198094.2</v>
      </c>
      <c r="G32" s="61">
        <v>561557.6</v>
      </c>
      <c r="I32" s="316">
        <v>2006</v>
      </c>
      <c r="J32" s="61">
        <v>353367.2</v>
      </c>
      <c r="K32" s="61">
        <v>21276.2</v>
      </c>
      <c r="L32" s="61">
        <v>150985.29999999999</v>
      </c>
      <c r="M32" s="61">
        <v>40478.300000000003</v>
      </c>
      <c r="N32" s="61">
        <v>203323.9</v>
      </c>
      <c r="O32" s="61">
        <v>578317.1</v>
      </c>
      <c r="Q32" s="316">
        <v>2006</v>
      </c>
      <c r="R32" s="75">
        <v>397962.8</v>
      </c>
      <c r="S32" s="75">
        <v>18909.3</v>
      </c>
      <c r="T32" s="75">
        <v>185962.4</v>
      </c>
      <c r="U32" s="75">
        <v>44498.5</v>
      </c>
      <c r="V32" s="75">
        <v>198541.4</v>
      </c>
      <c r="W32" s="75">
        <v>588222.4</v>
      </c>
      <c r="Y32" s="316">
        <v>2006</v>
      </c>
      <c r="Z32" s="75">
        <v>420672.9</v>
      </c>
      <c r="AA32" s="75">
        <v>20124</v>
      </c>
      <c r="AB32" s="75">
        <v>194934.6</v>
      </c>
      <c r="AC32" s="75">
        <v>47708.2</v>
      </c>
      <c r="AD32" s="75">
        <v>210484.9</v>
      </c>
      <c r="AE32" s="75">
        <v>641353.1</v>
      </c>
      <c r="AG32" s="316">
        <v>2006</v>
      </c>
      <c r="AH32" s="48">
        <f t="shared" si="56"/>
        <v>0.94601482529537784</v>
      </c>
      <c r="AI32" s="48">
        <f t="shared" si="56"/>
        <v>0.93963923673225991</v>
      </c>
      <c r="AJ32" s="48">
        <f t="shared" si="56"/>
        <v>0.95397328129536774</v>
      </c>
      <c r="AK32" s="48">
        <f t="shared" si="56"/>
        <v>0.93272225738971504</v>
      </c>
      <c r="AL32" s="48">
        <f t="shared" si="56"/>
        <v>0.94325721227508486</v>
      </c>
      <c r="AM32" s="48">
        <f t="shared" si="56"/>
        <v>0.91715842645806189</v>
      </c>
      <c r="AO32" s="316">
        <v>2006</v>
      </c>
      <c r="AP32" s="62">
        <v>2.210090692964628E-2</v>
      </c>
      <c r="AS32" s="316">
        <v>2006</v>
      </c>
      <c r="AT32" s="308">
        <f t="shared" si="39"/>
        <v>1.933533305838675E-2</v>
      </c>
      <c r="AU32" s="308">
        <f t="shared" si="40"/>
        <v>1.8188613304706003E-2</v>
      </c>
      <c r="AV32" s="308">
        <f t="shared" si="41"/>
        <v>1.7094129462877028E-2</v>
      </c>
      <c r="AW32" s="308">
        <f t="shared" si="42"/>
        <v>1.7019720039902264E-2</v>
      </c>
      <c r="AX32" s="308">
        <f t="shared" si="43"/>
        <v>2.0407460616495898E-2</v>
      </c>
      <c r="AY32" s="308">
        <f t="shared" si="44"/>
        <v>1.179535326796155E-2</v>
      </c>
      <c r="BA32" s="316">
        <v>2006</v>
      </c>
      <c r="BB32" s="61">
        <v>19809.3</v>
      </c>
      <c r="BC32" s="61">
        <v>612.5</v>
      </c>
      <c r="BD32" s="61">
        <v>10036</v>
      </c>
      <c r="BE32" s="61">
        <v>2050.5</v>
      </c>
      <c r="BF32" s="61">
        <v>6113.6</v>
      </c>
      <c r="BG32" s="61">
        <v>16664.599999999999</v>
      </c>
      <c r="BI32" s="316">
        <v>2006</v>
      </c>
      <c r="BJ32" s="61">
        <v>20103.900000000001</v>
      </c>
      <c r="BK32" s="61">
        <v>626.4</v>
      </c>
      <c r="BL32" s="61">
        <v>10253</v>
      </c>
      <c r="BM32" s="61">
        <v>2410.6999999999998</v>
      </c>
      <c r="BN32" s="61">
        <v>6350.9</v>
      </c>
      <c r="BO32" s="61">
        <v>17324.900000000001</v>
      </c>
      <c r="BQ32" s="316">
        <v>2006</v>
      </c>
      <c r="BR32" s="75">
        <v>24180.799999999999</v>
      </c>
      <c r="BS32" s="75">
        <v>609.20000000000005</v>
      </c>
      <c r="BT32" s="75">
        <v>13757.7</v>
      </c>
      <c r="BU32" s="75">
        <v>2414.6</v>
      </c>
      <c r="BV32" s="75">
        <v>6327.7</v>
      </c>
      <c r="BW32" s="75">
        <v>16434.5</v>
      </c>
      <c r="BY32" s="316">
        <v>2006</v>
      </c>
      <c r="BZ32" s="75">
        <v>25846.5</v>
      </c>
      <c r="CA32" s="75">
        <v>658.5</v>
      </c>
      <c r="CB32" s="75">
        <v>14600.6</v>
      </c>
      <c r="CC32" s="75">
        <v>2928.2</v>
      </c>
      <c r="CD32" s="75">
        <v>6800.1</v>
      </c>
      <c r="CE32" s="75">
        <v>18187.900000000001</v>
      </c>
      <c r="CG32" s="316">
        <v>2006</v>
      </c>
      <c r="CH32" s="48">
        <f t="shared" si="57"/>
        <v>0.93555413692376144</v>
      </c>
      <c r="CI32" s="48">
        <f t="shared" si="57"/>
        <v>0.92513287775246777</v>
      </c>
      <c r="CJ32" s="48">
        <f t="shared" si="57"/>
        <v>0.94226949577414632</v>
      </c>
      <c r="CK32" s="48">
        <f t="shared" si="57"/>
        <v>0.8246021446622499</v>
      </c>
      <c r="CL32" s="48">
        <f t="shared" si="57"/>
        <v>0.93053043337597974</v>
      </c>
      <c r="CM32" s="48">
        <f t="shared" si="57"/>
        <v>0.90359524738974806</v>
      </c>
      <c r="CO32" s="316">
        <v>2006</v>
      </c>
      <c r="CP32" s="62">
        <v>2.210090692964628E-2</v>
      </c>
      <c r="CS32" s="316">
        <v>2006</v>
      </c>
      <c r="CT32" s="308">
        <f t="shared" si="45"/>
        <v>1.3551109691035457E-2</v>
      </c>
      <c r="CU32" s="308">
        <f t="shared" si="46"/>
        <v>1.5423009710618274E-2</v>
      </c>
      <c r="CV32" s="308">
        <f t="shared" si="47"/>
        <v>1.5140573334428975E-2</v>
      </c>
      <c r="CW32" s="308">
        <f t="shared" si="48"/>
        <v>1.5122447349158463E-2</v>
      </c>
      <c r="CX32" s="308">
        <f t="shared" si="49"/>
        <v>1.9073836012005518E-2</v>
      </c>
      <c r="CY32" s="308">
        <f t="shared" si="50"/>
        <v>1.6926484531316177E-2</v>
      </c>
      <c r="DA32" s="316">
        <v>2006</v>
      </c>
      <c r="DB32" s="46">
        <f t="shared" si="23"/>
        <v>23367.899999999965</v>
      </c>
      <c r="DC32" s="46">
        <f t="shared" si="24"/>
        <v>1082.5</v>
      </c>
      <c r="DD32" s="46">
        <f t="shared" si="25"/>
        <v>15299.299999999983</v>
      </c>
      <c r="DE32" s="46">
        <f t="shared" si="26"/>
        <v>4054.1000000000013</v>
      </c>
      <c r="DF32" s="46">
        <f t="shared" si="27"/>
        <v>6649.4000000000178</v>
      </c>
      <c r="DG32" s="46">
        <f t="shared" si="28"/>
        <v>12622.999999999978</v>
      </c>
      <c r="DI32" s="316">
        <v>2006</v>
      </c>
      <c r="DJ32" s="88">
        <f t="shared" si="29"/>
        <v>5.5878093029962307E-2</v>
      </c>
      <c r="DK32" s="88">
        <f t="shared" si="30"/>
        <v>5.2681526182596847E-2</v>
      </c>
      <c r="DL32" s="88">
        <f t="shared" si="31"/>
        <v>7.8203966298171043E-2</v>
      </c>
      <c r="DM32" s="88">
        <f t="shared" si="32"/>
        <v>8.3017809276714455E-2</v>
      </c>
      <c r="DN32" s="88">
        <f t="shared" si="33"/>
        <v>3.1613498898419835E-2</v>
      </c>
      <c r="DO32" s="88">
        <f t="shared" si="34"/>
        <v>1.9854096065324865E-2</v>
      </c>
      <c r="DQ32" s="316">
        <v>2006</v>
      </c>
      <c r="DR32" s="61">
        <v>535170.19999999995</v>
      </c>
      <c r="DS32" s="61">
        <v>537.26099999999997</v>
      </c>
      <c r="DT32" s="61">
        <v>518979.7</v>
      </c>
      <c r="DU32" s="61">
        <v>521.7876</v>
      </c>
      <c r="DV32" s="89">
        <v>0.3</v>
      </c>
      <c r="DW32" s="46">
        <f t="shared" si="6"/>
        <v>533569.49152542371</v>
      </c>
      <c r="DX32" s="61">
        <v>533.52631578947376</v>
      </c>
      <c r="DY32" s="46">
        <f t="shared" si="7"/>
        <v>517427.41774675978</v>
      </c>
      <c r="DZ32" s="61">
        <v>518.16047666335658</v>
      </c>
      <c r="EB32" s="316">
        <v>2006</v>
      </c>
      <c r="EC32" s="88">
        <f t="shared" si="8"/>
        <v>4.5183382781776714E-2</v>
      </c>
      <c r="ED32" s="88">
        <f t="shared" si="9"/>
        <v>1.1383294510793017E-3</v>
      </c>
      <c r="EE32" s="88">
        <f t="shared" si="10"/>
        <v>2.5707148865912195E-2</v>
      </c>
      <c r="EF32" s="88">
        <f t="shared" si="11"/>
        <v>4.5118356739594244E-3</v>
      </c>
      <c r="EG32" s="88">
        <f t="shared" si="12"/>
        <v>1.1823715147069102E-2</v>
      </c>
      <c r="EH32" s="88">
        <f t="shared" si="13"/>
        <v>3.0708922133556766E-2</v>
      </c>
      <c r="EI32" s="140"/>
      <c r="EJ32" s="316">
        <v>2006</v>
      </c>
      <c r="EK32" s="88">
        <f t="shared" si="14"/>
        <v>0.7458499901526654</v>
      </c>
      <c r="EL32" s="88">
        <f t="shared" si="15"/>
        <v>3.543924512239284E-2</v>
      </c>
      <c r="EM32" s="88">
        <f t="shared" si="16"/>
        <v>0.3485251742342903</v>
      </c>
      <c r="EN32" s="88">
        <f t="shared" si="17"/>
        <v>8.3397759254906195E-2</v>
      </c>
      <c r="EO32" s="88">
        <f t="shared" si="18"/>
        <v>0.37210036022185095</v>
      </c>
      <c r="EP32" s="88">
        <f t="shared" si="19"/>
        <v>1.1024288482430451</v>
      </c>
      <c r="ER32" s="316">
        <v>2006</v>
      </c>
      <c r="ES32" s="317">
        <f t="shared" si="35"/>
        <v>127770</v>
      </c>
      <c r="ET32" s="318">
        <v>17435</v>
      </c>
      <c r="EU32" s="318">
        <v>83731</v>
      </c>
      <c r="EV32" s="318">
        <v>26604</v>
      </c>
      <c r="EW32" s="88">
        <f t="shared" si="36"/>
        <v>0.13645613211238944</v>
      </c>
      <c r="EX32" s="88">
        <f t="shared" si="36"/>
        <v>0.65532597636377865</v>
      </c>
      <c r="EY32" s="88">
        <f t="shared" si="36"/>
        <v>0.20821789152383188</v>
      </c>
      <c r="EZ32" s="88">
        <f t="shared" si="51"/>
        <v>-1.1761388787820681E-3</v>
      </c>
      <c r="FA32" s="88">
        <f t="shared" si="51"/>
        <v>-5.4184979959984725E-3</v>
      </c>
      <c r="FB32" s="88">
        <f t="shared" si="51"/>
        <v>6.5946368747804851E-3</v>
      </c>
      <c r="FC32" s="374"/>
      <c r="FD32" s="316">
        <v>2006</v>
      </c>
      <c r="FE32" s="159">
        <v>1.7417016129032258E-2</v>
      </c>
      <c r="FF32" s="159">
        <v>1.7000000000000001E-2</v>
      </c>
      <c r="FG32" s="159">
        <v>6.0000000000000001E-3</v>
      </c>
      <c r="FH32" s="159">
        <v>5.0000000000000001E-3</v>
      </c>
      <c r="FI32" s="319">
        <f t="shared" si="55"/>
        <v>1.1417016129032257E-2</v>
      </c>
      <c r="FK32" s="345">
        <f t="shared" si="52"/>
        <v>1.5893406245198749E-3</v>
      </c>
      <c r="FL32" s="345">
        <f t="shared" si="53"/>
        <v>-7.7067129936855272E-3</v>
      </c>
      <c r="FM32" s="345">
        <f t="shared" si="54"/>
        <v>-8.6100773711039226E-4</v>
      </c>
      <c r="FO32" s="316">
        <v>2006</v>
      </c>
      <c r="FP32" s="61">
        <v>203157.5818433786</v>
      </c>
      <c r="FQ32" s="61">
        <v>6371.8726568111861</v>
      </c>
      <c r="FR32" s="61">
        <v>106796.92237607279</v>
      </c>
      <c r="FS32" s="61">
        <v>16224.427528678531</v>
      </c>
      <c r="FT32" s="61">
        <v>54666.049505975912</v>
      </c>
      <c r="FU32" s="61">
        <v>177831.62141183708</v>
      </c>
      <c r="FV32" s="285">
        <f t="shared" si="38"/>
        <v>565048.47532275412</v>
      </c>
    </row>
    <row r="33" spans="1:178" hidden="1" outlineLevel="1">
      <c r="A33" s="316">
        <v>2007</v>
      </c>
      <c r="B33" s="61">
        <v>357722.7</v>
      </c>
      <c r="C33" s="61">
        <v>21039.9</v>
      </c>
      <c r="D33" s="61">
        <v>149919</v>
      </c>
      <c r="E33" s="61">
        <v>39257.300000000003</v>
      </c>
      <c r="F33" s="61">
        <v>202086.5</v>
      </c>
      <c r="G33" s="61">
        <v>578772.30000000005</v>
      </c>
      <c r="I33" s="316">
        <v>2007</v>
      </c>
      <c r="J33" s="61">
        <v>353066.7</v>
      </c>
      <c r="K33" s="61">
        <v>20900.400000000001</v>
      </c>
      <c r="L33" s="61">
        <v>149031.29999999999</v>
      </c>
      <c r="M33" s="61">
        <v>39349.300000000003</v>
      </c>
      <c r="N33" s="61">
        <v>202792</v>
      </c>
      <c r="O33" s="61">
        <v>581291.1</v>
      </c>
      <c r="Q33" s="316">
        <v>2007</v>
      </c>
      <c r="R33" s="75">
        <v>403714.8</v>
      </c>
      <c r="S33" s="75">
        <v>18765.5</v>
      </c>
      <c r="T33" s="75">
        <v>187429</v>
      </c>
      <c r="U33" s="75">
        <v>44088.2</v>
      </c>
      <c r="V33" s="75">
        <v>202436.4</v>
      </c>
      <c r="W33" s="75">
        <v>606659.1</v>
      </c>
      <c r="Y33" s="316">
        <v>2007</v>
      </c>
      <c r="Z33" s="75">
        <v>420606.4</v>
      </c>
      <c r="AA33" s="75">
        <v>19658.7</v>
      </c>
      <c r="AB33" s="75">
        <v>193626.9</v>
      </c>
      <c r="AC33" s="75">
        <v>46462.2</v>
      </c>
      <c r="AD33" s="75">
        <v>209997.3</v>
      </c>
      <c r="AE33" s="75">
        <v>645609.80000000005</v>
      </c>
      <c r="AG33" s="316">
        <v>2007</v>
      </c>
      <c r="AH33" s="48">
        <f t="shared" si="56"/>
        <v>0.95983988831363476</v>
      </c>
      <c r="AI33" s="48">
        <f t="shared" si="56"/>
        <v>0.95456464567850363</v>
      </c>
      <c r="AJ33" s="48">
        <f t="shared" si="56"/>
        <v>0.96799050131980635</v>
      </c>
      <c r="AK33" s="48">
        <f t="shared" si="56"/>
        <v>0.94890470102578006</v>
      </c>
      <c r="AL33" s="48">
        <f t="shared" si="56"/>
        <v>0.96399525136751762</v>
      </c>
      <c r="AM33" s="48">
        <f t="shared" si="56"/>
        <v>0.93966835695492845</v>
      </c>
      <c r="AO33" s="316">
        <v>2007</v>
      </c>
      <c r="AP33" s="62">
        <v>1.7315644383183892E-2</v>
      </c>
      <c r="AS33" s="316">
        <v>2007</v>
      </c>
      <c r="AT33" s="308">
        <f t="shared" si="39"/>
        <v>1.4614002496145195E-2</v>
      </c>
      <c r="AU33" s="308">
        <f t="shared" si="40"/>
        <v>1.5884190828545197E-2</v>
      </c>
      <c r="AV33" s="308">
        <f t="shared" si="41"/>
        <v>1.4693514272648311E-2</v>
      </c>
      <c r="AW33" s="308">
        <f t="shared" si="42"/>
        <v>1.734969173069012E-2</v>
      </c>
      <c r="AX33" s="308">
        <f t="shared" si="43"/>
        <v>2.1985561120082764E-2</v>
      </c>
      <c r="AY33" s="308">
        <f t="shared" si="44"/>
        <v>2.454312128363334E-2</v>
      </c>
      <c r="BA33" s="316">
        <v>2007</v>
      </c>
      <c r="BB33" s="61">
        <v>18279.8</v>
      </c>
      <c r="BC33" s="61">
        <v>555.6</v>
      </c>
      <c r="BD33" s="61">
        <v>9540.6</v>
      </c>
      <c r="BE33" s="61">
        <v>1937.4</v>
      </c>
      <c r="BF33" s="61">
        <v>5763.2</v>
      </c>
      <c r="BG33" s="61">
        <v>15652.7</v>
      </c>
      <c r="BI33" s="316">
        <v>2007</v>
      </c>
      <c r="BJ33" s="61">
        <v>18184.3</v>
      </c>
      <c r="BK33" s="61">
        <v>557.6</v>
      </c>
      <c r="BL33" s="61">
        <v>9593.2000000000007</v>
      </c>
      <c r="BM33" s="61">
        <v>2236.8000000000002</v>
      </c>
      <c r="BN33" s="61">
        <v>5880.5</v>
      </c>
      <c r="BO33" s="61">
        <v>16007.2</v>
      </c>
      <c r="BQ33" s="316">
        <v>2007</v>
      </c>
      <c r="BR33" s="75">
        <v>22294.1</v>
      </c>
      <c r="BS33" s="75">
        <v>560.20000000000005</v>
      </c>
      <c r="BT33" s="75">
        <v>13354.7</v>
      </c>
      <c r="BU33" s="75">
        <v>2265.1</v>
      </c>
      <c r="BV33" s="75">
        <v>5838.4</v>
      </c>
      <c r="BW33" s="75">
        <v>15557.3</v>
      </c>
      <c r="BY33" s="316">
        <v>2007</v>
      </c>
      <c r="BZ33" s="75">
        <v>23377.7</v>
      </c>
      <c r="CA33" s="75">
        <v>594.5</v>
      </c>
      <c r="CB33" s="75">
        <v>13962.9</v>
      </c>
      <c r="CC33" s="75">
        <v>2700</v>
      </c>
      <c r="CD33" s="75">
        <v>6165.3</v>
      </c>
      <c r="CE33" s="75">
        <v>16941.3</v>
      </c>
      <c r="CG33" s="316">
        <v>2007</v>
      </c>
      <c r="CH33" s="48">
        <f t="shared" si="57"/>
        <v>0.95364813476090449</v>
      </c>
      <c r="CI33" s="48">
        <f t="shared" si="57"/>
        <v>0.94230445752733394</v>
      </c>
      <c r="CJ33" s="48">
        <f t="shared" si="57"/>
        <v>0.95644171339764672</v>
      </c>
      <c r="CK33" s="48">
        <f t="shared" si="57"/>
        <v>0.83892592592592585</v>
      </c>
      <c r="CL33" s="48">
        <f t="shared" si="57"/>
        <v>0.94697743824307001</v>
      </c>
      <c r="CM33" s="48">
        <f t="shared" si="57"/>
        <v>0.91830615123986947</v>
      </c>
      <c r="CO33" s="316">
        <v>2007</v>
      </c>
      <c r="CP33" s="62">
        <v>1.7315644383183892E-2</v>
      </c>
      <c r="CS33" s="316">
        <v>2007</v>
      </c>
      <c r="CT33" s="308">
        <f t="shared" si="45"/>
        <v>1.9340407062533815E-2</v>
      </c>
      <c r="CU33" s="308">
        <f t="shared" si="46"/>
        <v>1.8561203679825056E-2</v>
      </c>
      <c r="CV33" s="308">
        <f t="shared" si="47"/>
        <v>1.504051408547058E-2</v>
      </c>
      <c r="CW33" s="308">
        <f t="shared" si="48"/>
        <v>1.7370536029278627E-2</v>
      </c>
      <c r="CX33" s="308">
        <f t="shared" si="49"/>
        <v>1.7674870457939029E-2</v>
      </c>
      <c r="CY33" s="308">
        <f t="shared" si="50"/>
        <v>1.6280413041809716E-2</v>
      </c>
      <c r="DA33" s="316">
        <v>2007</v>
      </c>
      <c r="DB33" s="46">
        <f t="shared" si="23"/>
        <v>23444.2</v>
      </c>
      <c r="DC33" s="46">
        <f t="shared" si="24"/>
        <v>1059.7999999999993</v>
      </c>
      <c r="DD33" s="46">
        <f t="shared" si="25"/>
        <v>15270.600000000011</v>
      </c>
      <c r="DE33" s="46">
        <f t="shared" si="26"/>
        <v>3946</v>
      </c>
      <c r="DF33" s="46">
        <f t="shared" si="27"/>
        <v>6652.900000000006</v>
      </c>
      <c r="DG33" s="46">
        <f t="shared" si="28"/>
        <v>12684.599999999929</v>
      </c>
      <c r="DI33" s="316">
        <v>2007</v>
      </c>
      <c r="DJ33" s="88">
        <f t="shared" si="29"/>
        <v>5.5730236009973545E-2</v>
      </c>
      <c r="DK33" s="88">
        <f t="shared" si="30"/>
        <v>5.2663486384416577E-2</v>
      </c>
      <c r="DL33" s="88">
        <f t="shared" si="31"/>
        <v>7.833704226956123E-2</v>
      </c>
      <c r="DM33" s="88">
        <f t="shared" si="32"/>
        <v>8.2711148188361755E-2</v>
      </c>
      <c r="DN33" s="88">
        <f t="shared" si="33"/>
        <v>3.1607492984057316E-2</v>
      </c>
      <c r="DO33" s="88">
        <f t="shared" si="34"/>
        <v>1.9777872750595466E-2</v>
      </c>
      <c r="DQ33" s="316">
        <v>2007</v>
      </c>
      <c r="DR33" s="61">
        <v>539281.69999999995</v>
      </c>
      <c r="DS33" s="61">
        <v>538.48400000000004</v>
      </c>
      <c r="DT33" s="61">
        <v>526681.19999999995</v>
      </c>
      <c r="DU33" s="61">
        <v>527.27</v>
      </c>
      <c r="DV33" s="89">
        <v>1.6</v>
      </c>
      <c r="DW33" s="46">
        <f t="shared" si="6"/>
        <v>530789.07480314956</v>
      </c>
      <c r="DX33" s="61">
        <v>530.00393700787401</v>
      </c>
      <c r="DY33" s="46">
        <f t="shared" si="7"/>
        <v>518387.00787401572</v>
      </c>
      <c r="DZ33" s="61">
        <v>518.96653543307082</v>
      </c>
      <c r="EB33" s="316">
        <v>2007</v>
      </c>
      <c r="EC33" s="88">
        <f t="shared" si="8"/>
        <v>4.1340360705731348E-2</v>
      </c>
      <c r="ED33" s="88">
        <f t="shared" si="9"/>
        <v>1.0387891893976749E-3</v>
      </c>
      <c r="EE33" s="88">
        <f t="shared" si="10"/>
        <v>2.4763866454211227E-2</v>
      </c>
      <c r="EF33" s="88">
        <f t="shared" si="11"/>
        <v>4.2002166956527547E-3</v>
      </c>
      <c r="EG33" s="88">
        <f t="shared" si="12"/>
        <v>1.0826252772901435E-2</v>
      </c>
      <c r="EH33" s="88">
        <f t="shared" si="13"/>
        <v>2.8848188247440995E-2</v>
      </c>
      <c r="EI33" s="140"/>
      <c r="EJ33" s="316">
        <v>2007</v>
      </c>
      <c r="EK33" s="88">
        <f t="shared" si="14"/>
        <v>0.76059365040571569</v>
      </c>
      <c r="EL33" s="88">
        <f t="shared" si="15"/>
        <v>3.5353968065298717E-2</v>
      </c>
      <c r="EM33" s="88">
        <f t="shared" si="16"/>
        <v>0.35311389947035104</v>
      </c>
      <c r="EN33" s="88">
        <f t="shared" si="17"/>
        <v>8.3061619187152103E-2</v>
      </c>
      <c r="EO33" s="88">
        <f t="shared" si="18"/>
        <v>0.38138765398492108</v>
      </c>
      <c r="EP33" s="88">
        <f t="shared" si="19"/>
        <v>1.1429381816590476</v>
      </c>
      <c r="ER33" s="316">
        <v>2007</v>
      </c>
      <c r="ES33" s="317">
        <f t="shared" si="35"/>
        <v>127772</v>
      </c>
      <c r="ET33" s="318">
        <v>17293</v>
      </c>
      <c r="EU33" s="318">
        <v>83015</v>
      </c>
      <c r="EV33" s="318">
        <v>27464</v>
      </c>
      <c r="EW33" s="88">
        <f t="shared" si="36"/>
        <v>0.13534264158031495</v>
      </c>
      <c r="EX33" s="88">
        <f t="shared" si="36"/>
        <v>0.64971198697680244</v>
      </c>
      <c r="EY33" s="88">
        <f t="shared" si="36"/>
        <v>0.21494537144288264</v>
      </c>
      <c r="EZ33" s="88">
        <f t="shared" si="51"/>
        <v>-1.1134905320744903E-3</v>
      </c>
      <c r="FA33" s="88">
        <f t="shared" si="51"/>
        <v>-5.6139893869762147E-3</v>
      </c>
      <c r="FB33" s="88">
        <f t="shared" si="51"/>
        <v>6.7274799190507606E-3</v>
      </c>
      <c r="FC33" s="374"/>
      <c r="FD33" s="316">
        <v>2007</v>
      </c>
      <c r="FE33" s="159">
        <v>1.6812734693877545E-2</v>
      </c>
      <c r="FF33" s="159">
        <v>1.6E-2</v>
      </c>
      <c r="FG33" s="159">
        <v>2E-3</v>
      </c>
      <c r="FH33" s="159">
        <v>1E-3</v>
      </c>
      <c r="FI33" s="319">
        <f t="shared" si="55"/>
        <v>1.4812734693877545E-2</v>
      </c>
      <c r="FK33" s="345">
        <f t="shared" si="52"/>
        <v>1.524395379494814E-2</v>
      </c>
      <c r="FL33" s="345">
        <f t="shared" si="53"/>
        <v>-2.4820955744392359E-3</v>
      </c>
      <c r="FM33" s="345">
        <f t="shared" si="54"/>
        <v>-1.2559786968730832E-3</v>
      </c>
      <c r="FO33" s="316">
        <v>2007</v>
      </c>
      <c r="FP33" s="61">
        <v>182368.08658647974</v>
      </c>
      <c r="FQ33" s="61">
        <v>5931.8477660247218</v>
      </c>
      <c r="FR33" s="61">
        <v>100901.01828428419</v>
      </c>
      <c r="FS33" s="61">
        <v>14760.282435585716</v>
      </c>
      <c r="FT33" s="61">
        <v>53797.225260160587</v>
      </c>
      <c r="FU33" s="61">
        <v>165996.1534714429</v>
      </c>
      <c r="FV33" s="285">
        <f t="shared" si="38"/>
        <v>523754.61380397785</v>
      </c>
    </row>
    <row r="34" spans="1:178" hidden="1" outlineLevel="1">
      <c r="A34" s="316">
        <v>2008</v>
      </c>
      <c r="B34" s="61">
        <v>361115.8</v>
      </c>
      <c r="C34" s="61">
        <v>20982.2</v>
      </c>
      <c r="D34" s="61">
        <v>149603.6</v>
      </c>
      <c r="E34" s="61">
        <v>38737.599999999999</v>
      </c>
      <c r="F34" s="61">
        <v>206649.2</v>
      </c>
      <c r="G34" s="61">
        <v>590549.1</v>
      </c>
      <c r="I34" s="316">
        <v>2008</v>
      </c>
      <c r="J34" s="61">
        <v>351685.4</v>
      </c>
      <c r="K34" s="61">
        <v>20483</v>
      </c>
      <c r="L34" s="61">
        <v>146544.20000000001</v>
      </c>
      <c r="M34" s="61">
        <v>38254.5</v>
      </c>
      <c r="N34" s="61">
        <v>202134.7</v>
      </c>
      <c r="O34" s="61">
        <v>582700.1</v>
      </c>
      <c r="Q34" s="316">
        <v>2008</v>
      </c>
      <c r="R34" s="75">
        <v>408286.1</v>
      </c>
      <c r="S34" s="75">
        <v>18612.8</v>
      </c>
      <c r="T34" s="75">
        <v>188355.20000000001</v>
      </c>
      <c r="U34" s="75">
        <v>43608.3</v>
      </c>
      <c r="V34" s="75">
        <v>207094.8</v>
      </c>
      <c r="W34" s="75">
        <v>621474.5</v>
      </c>
      <c r="Y34" s="316">
        <v>2008</v>
      </c>
      <c r="Z34" s="75">
        <v>419186.9</v>
      </c>
      <c r="AA34" s="75">
        <v>19156.5</v>
      </c>
      <c r="AB34" s="75">
        <v>191547</v>
      </c>
      <c r="AC34" s="75">
        <v>45238.6</v>
      </c>
      <c r="AD34" s="75">
        <v>209264.3</v>
      </c>
      <c r="AE34" s="75">
        <v>648272.4</v>
      </c>
      <c r="AG34" s="316">
        <v>2008</v>
      </c>
      <c r="AH34" s="48">
        <f t="shared" si="56"/>
        <v>0.97399537056143681</v>
      </c>
      <c r="AI34" s="48">
        <f t="shared" si="56"/>
        <v>0.97161798867225224</v>
      </c>
      <c r="AJ34" s="48">
        <f t="shared" si="56"/>
        <v>0.98333672675635753</v>
      </c>
      <c r="AK34" s="48">
        <f t="shared" si="56"/>
        <v>0.96396219157975715</v>
      </c>
      <c r="AL34" s="48">
        <f t="shared" si="56"/>
        <v>0.98963272760810128</v>
      </c>
      <c r="AM34" s="48">
        <f t="shared" si="56"/>
        <v>0.95866259307044377</v>
      </c>
      <c r="AO34" s="316">
        <v>2008</v>
      </c>
      <c r="AP34" s="62">
        <v>4.5727834702342651E-2</v>
      </c>
      <c r="AS34" s="316">
        <v>2008</v>
      </c>
      <c r="AT34" s="308">
        <f t="shared" si="39"/>
        <v>1.4747753682827325E-2</v>
      </c>
      <c r="AU34" s="308">
        <f t="shared" si="40"/>
        <v>1.7865047769108466E-2</v>
      </c>
      <c r="AV34" s="308">
        <f t="shared" si="41"/>
        <v>1.5853694241449112E-2</v>
      </c>
      <c r="AW34" s="308">
        <f t="shared" si="42"/>
        <v>1.5868285337505172E-2</v>
      </c>
      <c r="AX34" s="308">
        <f t="shared" si="43"/>
        <v>2.6595023371966287E-2</v>
      </c>
      <c r="AY34" s="308">
        <f t="shared" si="44"/>
        <v>2.0213765819536267E-2</v>
      </c>
      <c r="BA34" s="316">
        <v>2008</v>
      </c>
      <c r="BB34" s="61">
        <v>17492.3</v>
      </c>
      <c r="BC34" s="61">
        <v>510.5</v>
      </c>
      <c r="BD34" s="61">
        <v>9142.2000000000007</v>
      </c>
      <c r="BE34" s="61">
        <v>1946.2</v>
      </c>
      <c r="BF34" s="61">
        <v>5911.5</v>
      </c>
      <c r="BG34" s="61">
        <v>14744.2</v>
      </c>
      <c r="BI34" s="316">
        <v>2008</v>
      </c>
      <c r="BJ34" s="61">
        <v>16986.8</v>
      </c>
      <c r="BK34" s="61">
        <v>497.5</v>
      </c>
      <c r="BL34" s="61">
        <v>8906.9</v>
      </c>
      <c r="BM34" s="61">
        <v>2176.9</v>
      </c>
      <c r="BN34" s="61">
        <v>5736.1</v>
      </c>
      <c r="BO34" s="61">
        <v>14443.6</v>
      </c>
      <c r="BQ34" s="316">
        <v>2008</v>
      </c>
      <c r="BR34" s="75">
        <v>21446.6</v>
      </c>
      <c r="BS34" s="75">
        <v>518</v>
      </c>
      <c r="BT34" s="75">
        <v>12953.1</v>
      </c>
      <c r="BU34" s="75">
        <v>2272.1999999999998</v>
      </c>
      <c r="BV34" s="75">
        <v>5877.8</v>
      </c>
      <c r="BW34" s="75">
        <v>14751.2</v>
      </c>
      <c r="BY34" s="316">
        <v>2008</v>
      </c>
      <c r="BZ34" s="75">
        <v>21929</v>
      </c>
      <c r="CA34" s="75">
        <v>533</v>
      </c>
      <c r="CB34" s="75">
        <v>13113.3</v>
      </c>
      <c r="CC34" s="75">
        <v>2621.8</v>
      </c>
      <c r="CD34" s="75">
        <v>5900.3</v>
      </c>
      <c r="CE34" s="75">
        <v>15384.2</v>
      </c>
      <c r="CG34" s="316">
        <v>2008</v>
      </c>
      <c r="CH34" s="48">
        <f t="shared" si="57"/>
        <v>0.97800173286515568</v>
      </c>
      <c r="CI34" s="48">
        <f t="shared" si="57"/>
        <v>0.97185741088180111</v>
      </c>
      <c r="CJ34" s="48">
        <f t="shared" si="57"/>
        <v>0.98778339548397431</v>
      </c>
      <c r="CK34" s="48">
        <f t="shared" si="57"/>
        <v>0.86665649553741686</v>
      </c>
      <c r="CL34" s="48">
        <f t="shared" si="57"/>
        <v>0.9961866345779028</v>
      </c>
      <c r="CM34" s="48">
        <f t="shared" si="57"/>
        <v>0.95885388905500446</v>
      </c>
      <c r="CO34" s="316">
        <v>2008</v>
      </c>
      <c r="CP34" s="62">
        <v>4.5727834702342651E-2</v>
      </c>
      <c r="CS34" s="316">
        <v>2008</v>
      </c>
      <c r="CT34" s="308">
        <f t="shared" si="45"/>
        <v>2.5537299572611305E-2</v>
      </c>
      <c r="CU34" s="308">
        <f t="shared" si="46"/>
        <v>3.136242550737367E-2</v>
      </c>
      <c r="CV34" s="308">
        <f t="shared" si="47"/>
        <v>3.2769045564721377E-2</v>
      </c>
      <c r="CW34" s="308">
        <f t="shared" si="48"/>
        <v>3.305484877092657E-2</v>
      </c>
      <c r="CX34" s="308">
        <f t="shared" si="49"/>
        <v>5.1964486531094867E-2</v>
      </c>
      <c r="CY34" s="308">
        <f t="shared" si="50"/>
        <v>4.4154923453783468E-2</v>
      </c>
      <c r="DA34" s="316">
        <v>2008</v>
      </c>
      <c r="DB34" s="46">
        <f t="shared" si="23"/>
        <v>23348.5</v>
      </c>
      <c r="DC34" s="46">
        <f t="shared" si="24"/>
        <v>1035.2000000000007</v>
      </c>
      <c r="DD34" s="46">
        <f t="shared" si="25"/>
        <v>15193.199999999993</v>
      </c>
      <c r="DE34" s="46">
        <f t="shared" si="26"/>
        <v>3845.3999999999987</v>
      </c>
      <c r="DF34" s="46">
        <f t="shared" si="27"/>
        <v>6633.3</v>
      </c>
      <c r="DG34" s="46">
        <f t="shared" si="28"/>
        <v>12721.600000000024</v>
      </c>
      <c r="DI34" s="316">
        <v>2008</v>
      </c>
      <c r="DJ34" s="88">
        <f t="shared" si="29"/>
        <v>5.5511518607420138E-2</v>
      </c>
      <c r="DK34" s="88">
        <f t="shared" si="30"/>
        <v>5.265861933902042E-2</v>
      </c>
      <c r="DL34" s="88">
        <f t="shared" si="31"/>
        <v>7.8466370116962017E-2</v>
      </c>
      <c r="DM34" s="88">
        <f t="shared" si="32"/>
        <v>8.2764053359505124E-2</v>
      </c>
      <c r="DN34" s="88">
        <f t="shared" si="33"/>
        <v>3.1587548982772641E-2</v>
      </c>
      <c r="DO34" s="88">
        <f t="shared" si="34"/>
        <v>1.970478143299563E-2</v>
      </c>
      <c r="DQ34" s="316">
        <v>2008</v>
      </c>
      <c r="DR34" s="61">
        <v>527823.80000000005</v>
      </c>
      <c r="DS34" s="61">
        <v>516.17399999999998</v>
      </c>
      <c r="DT34" s="61">
        <v>520233.1</v>
      </c>
      <c r="DU34" s="61">
        <v>508.26190000000003</v>
      </c>
      <c r="DV34" s="89">
        <v>0.4</v>
      </c>
      <c r="DW34" s="46">
        <f t="shared" si="6"/>
        <v>525720.91633466142</v>
      </c>
      <c r="DX34" s="61">
        <v>525.63543788187371</v>
      </c>
      <c r="DY34" s="46">
        <f t="shared" si="7"/>
        <v>518160.45816733065</v>
      </c>
      <c r="DZ34" s="61">
        <v>517.57830957230146</v>
      </c>
      <c r="EB34" s="316">
        <v>2008</v>
      </c>
      <c r="EC34" s="88">
        <f t="shared" si="8"/>
        <v>4.06321200370275E-2</v>
      </c>
      <c r="ED34" s="88">
        <f t="shared" si="9"/>
        <v>9.8138810716758115E-4</v>
      </c>
      <c r="EE34" s="88">
        <f t="shared" si="10"/>
        <v>2.4540575851259454E-2</v>
      </c>
      <c r="EF34" s="88">
        <f t="shared" si="11"/>
        <v>4.3048456700891463E-3</v>
      </c>
      <c r="EG34" s="88">
        <f t="shared" si="12"/>
        <v>1.1135913158898858E-2</v>
      </c>
      <c r="EH34" s="88">
        <f t="shared" si="13"/>
        <v>2.7947205108977653E-2</v>
      </c>
      <c r="EI34" s="140"/>
      <c r="EJ34" s="316">
        <v>2008</v>
      </c>
      <c r="EK34" s="88">
        <f t="shared" si="14"/>
        <v>0.77662137326888236</v>
      </c>
      <c r="EL34" s="88">
        <f t="shared" si="15"/>
        <v>3.5404336068210633E-2</v>
      </c>
      <c r="EM34" s="88">
        <f t="shared" si="16"/>
        <v>0.3582798289883859</v>
      </c>
      <c r="EN34" s="88">
        <f t="shared" si="17"/>
        <v>8.2949524443573772E-2</v>
      </c>
      <c r="EO34" s="88">
        <f t="shared" si="18"/>
        <v>0.39392535766670611</v>
      </c>
      <c r="EP34" s="88">
        <f t="shared" si="19"/>
        <v>1.1821376717002907</v>
      </c>
      <c r="ER34" s="316">
        <v>2008</v>
      </c>
      <c r="ES34" s="317">
        <f t="shared" si="35"/>
        <v>127692</v>
      </c>
      <c r="ET34" s="318">
        <v>17176</v>
      </c>
      <c r="EU34" s="318">
        <v>82300</v>
      </c>
      <c r="EV34" s="318">
        <v>28216</v>
      </c>
      <c r="EW34" s="88">
        <f t="shared" si="36"/>
        <v>0.13451116749678915</v>
      </c>
      <c r="EX34" s="88">
        <f t="shared" si="36"/>
        <v>0.64451962534849483</v>
      </c>
      <c r="EY34" s="88">
        <f t="shared" si="36"/>
        <v>0.22096920715471605</v>
      </c>
      <c r="EZ34" s="88">
        <f t="shared" si="51"/>
        <v>-8.314740835257961E-4</v>
      </c>
      <c r="FA34" s="88">
        <f t="shared" si="51"/>
        <v>-5.1923616283076068E-3</v>
      </c>
      <c r="FB34" s="88">
        <f t="shared" si="51"/>
        <v>6.0238357118334029E-3</v>
      </c>
      <c r="FC34" s="374"/>
      <c r="FD34" s="316">
        <v>2008</v>
      </c>
      <c r="FE34" s="159">
        <v>1.4929469387755117E-2</v>
      </c>
      <c r="FF34" s="159">
        <v>1.3999999999999999E-2</v>
      </c>
      <c r="FG34" s="159">
        <v>-1E-3</v>
      </c>
      <c r="FH34" s="159">
        <v>-1E-3</v>
      </c>
      <c r="FI34" s="319">
        <f t="shared" si="55"/>
        <v>1.5929469387755118E-2</v>
      </c>
      <c r="FK34" s="345">
        <f t="shared" si="52"/>
        <v>2.6102939298977557E-2</v>
      </c>
      <c r="FL34" s="345">
        <f t="shared" si="53"/>
        <v>4.2497862021163568E-3</v>
      </c>
      <c r="FM34" s="345">
        <f t="shared" si="54"/>
        <v>-1.9596884120162347E-4</v>
      </c>
      <c r="FO34" s="316">
        <v>2008</v>
      </c>
      <c r="FP34" s="61">
        <v>170607.51258486437</v>
      </c>
      <c r="FQ34" s="61">
        <v>5355.6623268122285</v>
      </c>
      <c r="FR34" s="61">
        <v>100729.71987110993</v>
      </c>
      <c r="FS34" s="61">
        <v>15590.329151572929</v>
      </c>
      <c r="FT34" s="61">
        <v>52495.54100616405</v>
      </c>
      <c r="FU34" s="61">
        <v>154155.20868274386</v>
      </c>
      <c r="FV34" s="285">
        <f t="shared" si="38"/>
        <v>498933.97362326737</v>
      </c>
    </row>
    <row r="35" spans="1:178" hidden="1" outlineLevel="1">
      <c r="A35" s="316">
        <v>2009</v>
      </c>
      <c r="B35" s="61">
        <v>345605.5</v>
      </c>
      <c r="C35" s="61">
        <v>19889.7</v>
      </c>
      <c r="D35" s="61">
        <v>141311.6</v>
      </c>
      <c r="E35" s="61">
        <v>37002.5</v>
      </c>
      <c r="F35" s="61">
        <v>199035.4</v>
      </c>
      <c r="G35" s="61">
        <v>575743.80000000005</v>
      </c>
      <c r="I35" s="316">
        <v>2009</v>
      </c>
      <c r="J35" s="61">
        <v>347672.9</v>
      </c>
      <c r="K35" s="61">
        <v>20141.5</v>
      </c>
      <c r="L35" s="61">
        <v>143296.20000000001</v>
      </c>
      <c r="M35" s="61">
        <v>37835.4</v>
      </c>
      <c r="N35" s="61">
        <v>201225.7</v>
      </c>
      <c r="O35" s="61">
        <v>584939.80000000005</v>
      </c>
      <c r="Q35" s="316">
        <v>2009</v>
      </c>
      <c r="R35" s="75">
        <v>390828</v>
      </c>
      <c r="S35" s="75">
        <v>17545.5</v>
      </c>
      <c r="T35" s="75">
        <v>179002.9</v>
      </c>
      <c r="U35" s="75">
        <v>41787.699999999997</v>
      </c>
      <c r="V35" s="75">
        <v>199450.4</v>
      </c>
      <c r="W35" s="75">
        <v>606961.6</v>
      </c>
      <c r="Y35" s="316">
        <v>2009</v>
      </c>
      <c r="Z35" s="75">
        <v>414018.4</v>
      </c>
      <c r="AA35" s="75">
        <v>18714.099999999999</v>
      </c>
      <c r="AB35" s="75">
        <v>188267.7</v>
      </c>
      <c r="AC35" s="75">
        <v>44850.6</v>
      </c>
      <c r="AD35" s="75">
        <v>208329.3</v>
      </c>
      <c r="AE35" s="75">
        <v>651658</v>
      </c>
      <c r="AG35" s="316">
        <v>2009</v>
      </c>
      <c r="AH35" s="48">
        <f t="shared" si="56"/>
        <v>0.94398703052811173</v>
      </c>
      <c r="AI35" s="48">
        <f t="shared" si="56"/>
        <v>0.93755510550868071</v>
      </c>
      <c r="AJ35" s="48">
        <f t="shared" si="56"/>
        <v>0.95078922194300974</v>
      </c>
      <c r="AK35" s="48">
        <f t="shared" si="56"/>
        <v>0.93170882886739526</v>
      </c>
      <c r="AL35" s="48">
        <f t="shared" si="56"/>
        <v>0.95738045488560664</v>
      </c>
      <c r="AM35" s="48">
        <f t="shared" si="56"/>
        <v>0.93141126173545019</v>
      </c>
      <c r="AO35" s="316">
        <v>2009</v>
      </c>
      <c r="AP35" s="62">
        <v>-5.2473884525060077E-2</v>
      </c>
      <c r="AS35" s="316">
        <v>2009</v>
      </c>
      <c r="AT35" s="308">
        <f t="shared" si="39"/>
        <v>-3.0809530456009759E-2</v>
      </c>
      <c r="AU35" s="308">
        <f t="shared" si="40"/>
        <v>-3.505789678731619E-2</v>
      </c>
      <c r="AV35" s="308">
        <f t="shared" si="41"/>
        <v>-3.3099043214534718E-2</v>
      </c>
      <c r="AW35" s="308">
        <f t="shared" si="42"/>
        <v>-3.3459157417268126E-2</v>
      </c>
      <c r="AX35" s="308">
        <f t="shared" si="43"/>
        <v>-3.2590143618680623E-2</v>
      </c>
      <c r="AY35" s="308">
        <f t="shared" si="44"/>
        <v>-2.842640521490658E-2</v>
      </c>
      <c r="BA35" s="316">
        <v>2009</v>
      </c>
      <c r="BB35" s="61">
        <v>14273.9</v>
      </c>
      <c r="BC35" s="61">
        <v>552.6</v>
      </c>
      <c r="BD35" s="61">
        <v>7940.8</v>
      </c>
      <c r="BE35" s="61">
        <v>2478.1</v>
      </c>
      <c r="BF35" s="61">
        <v>5446.1</v>
      </c>
      <c r="BG35" s="61">
        <v>15126.8</v>
      </c>
      <c r="BI35" s="316">
        <v>2009</v>
      </c>
      <c r="BJ35" s="61">
        <v>14196.2</v>
      </c>
      <c r="BK35" s="61">
        <v>553.70000000000005</v>
      </c>
      <c r="BL35" s="61">
        <v>7953.7</v>
      </c>
      <c r="BM35" s="61">
        <v>2851.5</v>
      </c>
      <c r="BN35" s="61">
        <v>5444.9</v>
      </c>
      <c r="BO35" s="61">
        <v>15220.8</v>
      </c>
      <c r="BQ35" s="316">
        <v>2009</v>
      </c>
      <c r="BR35" s="75">
        <v>17262.400000000001</v>
      </c>
      <c r="BS35" s="75">
        <v>535.1</v>
      </c>
      <c r="BT35" s="75">
        <v>11338.5</v>
      </c>
      <c r="BU35" s="75">
        <v>2913.6</v>
      </c>
      <c r="BV35" s="75">
        <v>5473.4</v>
      </c>
      <c r="BW35" s="75">
        <v>15060.6</v>
      </c>
      <c r="BY35" s="316">
        <v>2009</v>
      </c>
      <c r="BZ35" s="75">
        <v>18034.7</v>
      </c>
      <c r="CA35" s="75">
        <v>565.20000000000005</v>
      </c>
      <c r="CB35" s="75">
        <v>11777.4</v>
      </c>
      <c r="CC35" s="75">
        <v>3451.1</v>
      </c>
      <c r="CD35" s="75">
        <v>5655.2</v>
      </c>
      <c r="CE35" s="75">
        <v>16105.8</v>
      </c>
      <c r="CG35" s="316">
        <v>2009</v>
      </c>
      <c r="CH35" s="48">
        <f t="shared" si="57"/>
        <v>0.95717699767670106</v>
      </c>
      <c r="CI35" s="48">
        <f t="shared" si="57"/>
        <v>0.94674451521585279</v>
      </c>
      <c r="CJ35" s="48">
        <f t="shared" si="57"/>
        <v>0.96273371032655763</v>
      </c>
      <c r="CK35" s="48">
        <f t="shared" si="57"/>
        <v>0.84425255715568948</v>
      </c>
      <c r="CL35" s="48">
        <f t="shared" si="57"/>
        <v>0.96785259584099581</v>
      </c>
      <c r="CM35" s="48">
        <f t="shared" si="57"/>
        <v>0.93510412398018117</v>
      </c>
      <c r="CO35" s="316">
        <v>2009</v>
      </c>
      <c r="CP35" s="62">
        <v>-5.2473884525060077E-2</v>
      </c>
      <c r="CS35" s="316">
        <v>2009</v>
      </c>
      <c r="CT35" s="308">
        <f t="shared" si="45"/>
        <v>-2.1293147536095347E-2</v>
      </c>
      <c r="CU35" s="308">
        <f t="shared" si="46"/>
        <v>-2.5840103069402431E-2</v>
      </c>
      <c r="CV35" s="308">
        <f t="shared" si="47"/>
        <v>-2.5359492042426268E-2</v>
      </c>
      <c r="CW35" s="308">
        <f t="shared" si="48"/>
        <v>-2.5851001518005789E-2</v>
      </c>
      <c r="CX35" s="308">
        <f t="shared" si="49"/>
        <v>-2.8442500384390779E-2</v>
      </c>
      <c r="CY35" s="308">
        <f t="shared" si="50"/>
        <v>-2.4768909367651193E-2</v>
      </c>
      <c r="DA35" s="316">
        <v>2009</v>
      </c>
      <c r="DB35" s="46">
        <f t="shared" si="23"/>
        <v>23203.200000000001</v>
      </c>
      <c r="DC35" s="46">
        <f t="shared" si="24"/>
        <v>1007.6000000000015</v>
      </c>
      <c r="DD35" s="46">
        <f t="shared" si="25"/>
        <v>15056.699999999988</v>
      </c>
      <c r="DE35" s="46">
        <f t="shared" si="26"/>
        <v>3839.1</v>
      </c>
      <c r="DF35" s="46">
        <f t="shared" si="27"/>
        <v>6590.2</v>
      </c>
      <c r="DG35" s="46">
        <f t="shared" si="28"/>
        <v>12720.200000000023</v>
      </c>
      <c r="DI35" s="316">
        <v>2009</v>
      </c>
      <c r="DJ35" s="88">
        <f t="shared" si="29"/>
        <v>5.5352874815505923E-2</v>
      </c>
      <c r="DK35" s="88">
        <f t="shared" si="30"/>
        <v>5.2598334768877486E-2</v>
      </c>
      <c r="DL35" s="88">
        <f t="shared" si="31"/>
        <v>7.8605772995661571E-2</v>
      </c>
      <c r="DM35" s="88">
        <f t="shared" si="32"/>
        <v>8.4863368892936566E-2</v>
      </c>
      <c r="DN35" s="88">
        <f t="shared" si="33"/>
        <v>3.1492232549938048E-2</v>
      </c>
      <c r="DO35" s="88">
        <f t="shared" si="34"/>
        <v>1.9621689894556704E-2</v>
      </c>
      <c r="DQ35" s="316">
        <v>2009</v>
      </c>
      <c r="DR35" s="61">
        <v>494938.4</v>
      </c>
      <c r="DS35" s="61">
        <v>497.36680000000001</v>
      </c>
      <c r="DT35" s="61">
        <v>490615</v>
      </c>
      <c r="DU35" s="61">
        <v>495.8775</v>
      </c>
      <c r="DV35" s="89">
        <v>-5.2</v>
      </c>
      <c r="DW35" s="46">
        <f t="shared" si="6"/>
        <v>522086.91983122367</v>
      </c>
      <c r="DX35" s="61">
        <v>519.17202505219211</v>
      </c>
      <c r="DY35" s="46">
        <f t="shared" si="7"/>
        <v>517526.37130801688</v>
      </c>
      <c r="DZ35" s="61">
        <v>517.61743215031322</v>
      </c>
      <c r="EB35" s="316">
        <v>2009</v>
      </c>
      <c r="EC35" s="88">
        <f t="shared" si="8"/>
        <v>3.4877875711401662E-2</v>
      </c>
      <c r="ED35" s="88">
        <f t="shared" si="9"/>
        <v>1.0811446434546199E-3</v>
      </c>
      <c r="EE35" s="88">
        <f t="shared" si="10"/>
        <v>2.2908911492824157E-2</v>
      </c>
      <c r="EF35" s="88">
        <f t="shared" si="11"/>
        <v>5.8867931847680433E-3</v>
      </c>
      <c r="EG35" s="88">
        <f t="shared" si="12"/>
        <v>1.1058749937365941E-2</v>
      </c>
      <c r="EH35" s="88">
        <f t="shared" si="13"/>
        <v>3.0429241295482426E-2</v>
      </c>
      <c r="EI35" s="140"/>
      <c r="EJ35" s="316">
        <v>2009</v>
      </c>
      <c r="EK35" s="88">
        <f t="shared" si="14"/>
        <v>0.748587993980665</v>
      </c>
      <c r="EL35" s="88">
        <f t="shared" si="15"/>
        <v>3.36064730479591E-2</v>
      </c>
      <c r="EM35" s="88">
        <f t="shared" si="16"/>
        <v>0.34286034221632428</v>
      </c>
      <c r="EN35" s="88">
        <f t="shared" si="17"/>
        <v>8.0039737470359931E-2</v>
      </c>
      <c r="EO35" s="88">
        <f t="shared" si="18"/>
        <v>0.38202527668089603</v>
      </c>
      <c r="EP35" s="88">
        <f t="shared" si="19"/>
        <v>1.1625681030204971</v>
      </c>
      <c r="ER35" s="316">
        <v>2009</v>
      </c>
      <c r="ES35" s="317">
        <f t="shared" si="35"/>
        <v>127509</v>
      </c>
      <c r="ET35" s="318">
        <v>17011</v>
      </c>
      <c r="EU35" s="318">
        <v>81493</v>
      </c>
      <c r="EV35" s="318">
        <v>29005</v>
      </c>
      <c r="EW35" s="88">
        <f t="shared" si="36"/>
        <v>0.1334101906532088</v>
      </c>
      <c r="EX35" s="88">
        <f t="shared" si="36"/>
        <v>0.63911567026641258</v>
      </c>
      <c r="EY35" s="88">
        <f t="shared" si="36"/>
        <v>0.22747413908037864</v>
      </c>
      <c r="EZ35" s="88">
        <f t="shared" si="51"/>
        <v>-1.100976843580348E-3</v>
      </c>
      <c r="FA35" s="88">
        <f t="shared" si="51"/>
        <v>-5.4039550820822457E-3</v>
      </c>
      <c r="FB35" s="88">
        <f t="shared" si="51"/>
        <v>6.5049319256625937E-3</v>
      </c>
      <c r="FC35" s="374"/>
      <c r="FD35" s="316">
        <v>2009</v>
      </c>
      <c r="FE35" s="159">
        <v>1.3538395061728397E-2</v>
      </c>
      <c r="FF35" s="159">
        <v>1.3000000000000001E-2</v>
      </c>
      <c r="FG35" s="159">
        <v>-1E-3</v>
      </c>
      <c r="FH35" s="159">
        <v>-1E-3</v>
      </c>
      <c r="FI35" s="319">
        <f t="shared" si="55"/>
        <v>1.4538395061728396E-2</v>
      </c>
      <c r="FK35" s="345">
        <f t="shared" si="52"/>
        <v>3.9299912996018094E-3</v>
      </c>
      <c r="FL35" s="345">
        <f t="shared" si="53"/>
        <v>-7.7231885883581874E-3</v>
      </c>
      <c r="FM35" s="345">
        <f t="shared" si="54"/>
        <v>-6.1539204759590745E-4</v>
      </c>
      <c r="FO35" s="316">
        <v>2009</v>
      </c>
      <c r="FP35" s="61">
        <v>141081.20068738353</v>
      </c>
      <c r="FQ35" s="61">
        <v>5921.2084719150071</v>
      </c>
      <c r="FR35" s="61">
        <v>87946.994892914488</v>
      </c>
      <c r="FS35" s="61">
        <v>17290.817538634466</v>
      </c>
      <c r="FT35" s="61">
        <v>49375.167110910472</v>
      </c>
      <c r="FU35" s="61">
        <v>161129.789063484</v>
      </c>
      <c r="FV35" s="285">
        <f t="shared" si="38"/>
        <v>462745.177765242</v>
      </c>
    </row>
    <row r="36" spans="1:178" hidden="1" outlineLevel="1">
      <c r="A36" s="316">
        <v>2010</v>
      </c>
      <c r="B36" s="61">
        <v>343403.1</v>
      </c>
      <c r="C36" s="61">
        <v>19682.5</v>
      </c>
      <c r="D36" s="61">
        <v>138546.79999999999</v>
      </c>
      <c r="E36" s="61">
        <v>36871.199999999997</v>
      </c>
      <c r="F36" s="61">
        <v>199121.3</v>
      </c>
      <c r="G36" s="61">
        <v>581758.4</v>
      </c>
      <c r="I36" s="316">
        <v>2010</v>
      </c>
      <c r="J36" s="61">
        <v>343407.2</v>
      </c>
      <c r="K36" s="61">
        <v>19769.400000000001</v>
      </c>
      <c r="L36" s="61">
        <v>139530.70000000001</v>
      </c>
      <c r="M36" s="61">
        <v>37456.699999999997</v>
      </c>
      <c r="N36" s="61">
        <v>200569.4</v>
      </c>
      <c r="O36" s="61">
        <v>586387.80000000005</v>
      </c>
      <c r="Q36" s="316">
        <v>2010</v>
      </c>
      <c r="R36" s="75">
        <v>387549.7</v>
      </c>
      <c r="S36" s="75">
        <v>17260</v>
      </c>
      <c r="T36" s="75">
        <v>176439.6</v>
      </c>
      <c r="U36" s="75">
        <v>41754</v>
      </c>
      <c r="V36" s="75">
        <v>199453</v>
      </c>
      <c r="W36" s="75">
        <v>614506.5</v>
      </c>
      <c r="Y36" s="316">
        <v>2010</v>
      </c>
      <c r="Z36" s="75">
        <v>408955.9</v>
      </c>
      <c r="AA36" s="75">
        <v>18265.7</v>
      </c>
      <c r="AB36" s="75">
        <v>184359.4</v>
      </c>
      <c r="AC36" s="75">
        <v>44531.9</v>
      </c>
      <c r="AD36" s="75">
        <v>207534</v>
      </c>
      <c r="AE36" s="75">
        <v>654273.6</v>
      </c>
      <c r="AG36" s="316">
        <v>2010</v>
      </c>
      <c r="AH36" s="48">
        <f t="shared" si="56"/>
        <v>0.94765645880154803</v>
      </c>
      <c r="AI36" s="48">
        <f t="shared" si="56"/>
        <v>0.94494051692516567</v>
      </c>
      <c r="AJ36" s="48">
        <f t="shared" si="56"/>
        <v>0.95704151781791447</v>
      </c>
      <c r="AK36" s="48">
        <f t="shared" si="56"/>
        <v>0.93761999824844655</v>
      </c>
      <c r="AL36" s="48">
        <f t="shared" si="56"/>
        <v>0.96106180192161283</v>
      </c>
      <c r="AM36" s="48">
        <f t="shared" si="56"/>
        <v>0.93921946415077728</v>
      </c>
      <c r="AO36" s="316">
        <v>2010</v>
      </c>
      <c r="AP36" s="62">
        <v>-1.0255533715066711E-3</v>
      </c>
      <c r="AS36" s="316">
        <v>2010</v>
      </c>
      <c r="AT36" s="308">
        <f t="shared" si="39"/>
        <v>3.887159626953185E-3</v>
      </c>
      <c r="AU36" s="308">
        <f t="shared" si="40"/>
        <v>7.877309155580603E-3</v>
      </c>
      <c r="AV36" s="308">
        <f t="shared" si="41"/>
        <v>6.5759010836572429E-3</v>
      </c>
      <c r="AW36" s="308">
        <f t="shared" si="42"/>
        <v>6.3444385175968065E-3</v>
      </c>
      <c r="AX36" s="308">
        <f t="shared" si="43"/>
        <v>3.8452289444805832E-3</v>
      </c>
      <c r="AY36" s="308">
        <f t="shared" si="44"/>
        <v>8.3831951964790097E-3</v>
      </c>
      <c r="BA36" s="316">
        <v>2010</v>
      </c>
      <c r="BB36" s="61">
        <v>13636.8</v>
      </c>
      <c r="BC36" s="61">
        <v>501.8</v>
      </c>
      <c r="BD36" s="61">
        <v>7133.7</v>
      </c>
      <c r="BE36" s="61">
        <v>2470.4</v>
      </c>
      <c r="BF36" s="61">
        <v>5680</v>
      </c>
      <c r="BG36" s="61">
        <v>14280.3</v>
      </c>
      <c r="BI36" s="316">
        <v>2010</v>
      </c>
      <c r="BJ36" s="61">
        <v>13673.6</v>
      </c>
      <c r="BK36" s="61">
        <v>505.4</v>
      </c>
      <c r="BL36" s="61">
        <v>7184.2</v>
      </c>
      <c r="BM36" s="61">
        <v>2859.9</v>
      </c>
      <c r="BN36" s="61">
        <v>5719.4</v>
      </c>
      <c r="BO36" s="61">
        <v>14391.9</v>
      </c>
      <c r="BQ36" s="316">
        <v>2010</v>
      </c>
      <c r="BR36" s="75">
        <v>16867.8</v>
      </c>
      <c r="BS36" s="75">
        <v>500.8</v>
      </c>
      <c r="BT36" s="75">
        <v>10433.200000000001</v>
      </c>
      <c r="BU36" s="75">
        <v>2936.5</v>
      </c>
      <c r="BV36" s="75">
        <v>5582</v>
      </c>
      <c r="BW36" s="75">
        <v>14334.6</v>
      </c>
      <c r="BY36" s="316">
        <v>2010</v>
      </c>
      <c r="BZ36" s="75">
        <v>17794.8</v>
      </c>
      <c r="CA36" s="75">
        <v>532</v>
      </c>
      <c r="CB36" s="75">
        <v>10905.9</v>
      </c>
      <c r="CC36" s="75">
        <v>3501.4</v>
      </c>
      <c r="CD36" s="75">
        <v>5812.6</v>
      </c>
      <c r="CE36" s="75">
        <v>15350.9</v>
      </c>
      <c r="CG36" s="316">
        <v>2010</v>
      </c>
      <c r="CH36" s="48">
        <f t="shared" si="57"/>
        <v>0.94790612988063927</v>
      </c>
      <c r="CI36" s="48">
        <f t="shared" si="57"/>
        <v>0.94135338345864661</v>
      </c>
      <c r="CJ36" s="48">
        <f t="shared" si="57"/>
        <v>0.95665648868960851</v>
      </c>
      <c r="CK36" s="48">
        <f t="shared" si="57"/>
        <v>0.83866453418632547</v>
      </c>
      <c r="CL36" s="48">
        <f t="shared" si="57"/>
        <v>0.96032756425695898</v>
      </c>
      <c r="CM36" s="48">
        <f t="shared" si="57"/>
        <v>0.93379541264681554</v>
      </c>
      <c r="CO36" s="316">
        <v>2010</v>
      </c>
      <c r="CP36" s="62">
        <v>-1.0255533715066711E-3</v>
      </c>
      <c r="CS36" s="316">
        <v>2010</v>
      </c>
      <c r="CT36" s="308">
        <f t="shared" si="45"/>
        <v>-9.6856358004469012E-3</v>
      </c>
      <c r="CU36" s="308">
        <f t="shared" si="46"/>
        <v>-5.6943892154232012E-3</v>
      </c>
      <c r="CV36" s="308">
        <f t="shared" si="47"/>
        <v>-6.3124637392075744E-3</v>
      </c>
      <c r="CW36" s="308">
        <f t="shared" si="48"/>
        <v>-6.6188996669316325E-3</v>
      </c>
      <c r="CX36" s="308">
        <f t="shared" si="49"/>
        <v>-7.7749769090592613E-3</v>
      </c>
      <c r="CY36" s="308">
        <f t="shared" si="50"/>
        <v>-1.3995354098057522E-3</v>
      </c>
      <c r="DA36" s="316">
        <v>2010</v>
      </c>
      <c r="DB36" s="46">
        <f t="shared" si="23"/>
        <v>22857.3</v>
      </c>
      <c r="DC36" s="46">
        <f t="shared" si="24"/>
        <v>980.39999999999782</v>
      </c>
      <c r="DD36" s="46">
        <f t="shared" si="25"/>
        <v>14814.200000000017</v>
      </c>
      <c r="DE36" s="46">
        <f t="shared" si="26"/>
        <v>3820.0999999999972</v>
      </c>
      <c r="DF36" s="46">
        <f t="shared" si="27"/>
        <v>6607.8999999999887</v>
      </c>
      <c r="DG36" s="46">
        <f t="shared" si="28"/>
        <v>12735.300000000023</v>
      </c>
      <c r="DI36" s="316">
        <v>2010</v>
      </c>
      <c r="DJ36" s="88">
        <f t="shared" si="29"/>
        <v>5.520841585784593E-2</v>
      </c>
      <c r="DK36" s="88">
        <f t="shared" si="30"/>
        <v>5.2388306143495968E-2</v>
      </c>
      <c r="DL36" s="88">
        <f t="shared" si="31"/>
        <v>7.8686891059911057E-2</v>
      </c>
      <c r="DM36" s="88">
        <f t="shared" si="32"/>
        <v>8.5173888420667671E-2</v>
      </c>
      <c r="DN36" s="88">
        <f t="shared" si="33"/>
        <v>3.1718534070819558E-2</v>
      </c>
      <c r="DO36" s="88">
        <f t="shared" si="34"/>
        <v>1.954291975238549E-2</v>
      </c>
      <c r="DQ36" s="316">
        <v>2010</v>
      </c>
      <c r="DR36" s="61">
        <v>505530.6</v>
      </c>
      <c r="DS36" s="61">
        <v>504.87209999999999</v>
      </c>
      <c r="DT36" s="61">
        <v>510720</v>
      </c>
      <c r="DU36" s="61">
        <v>512.06370000000004</v>
      </c>
      <c r="DV36" s="89">
        <v>-1.5</v>
      </c>
      <c r="DW36" s="46">
        <f t="shared" si="6"/>
        <v>513229.03553299489</v>
      </c>
      <c r="DX36" s="61">
        <v>511.52188449848023</v>
      </c>
      <c r="DY36" s="46">
        <f t="shared" si="7"/>
        <v>518497.46192893403</v>
      </c>
      <c r="DZ36" s="61">
        <v>518.80820668693013</v>
      </c>
      <c r="EB36" s="316">
        <v>2010</v>
      </c>
      <c r="EC36" s="88">
        <f t="shared" si="8"/>
        <v>3.3366526180611027E-2</v>
      </c>
      <c r="ED36" s="88">
        <f t="shared" si="9"/>
        <v>9.9064230731037844E-4</v>
      </c>
      <c r="EE36" s="88">
        <f t="shared" si="10"/>
        <v>2.0638117653016458E-2</v>
      </c>
      <c r="EF36" s="88">
        <f t="shared" si="11"/>
        <v>5.8087482735960988E-3</v>
      </c>
      <c r="EG36" s="88">
        <f t="shared" si="12"/>
        <v>1.1041863736834131E-2</v>
      </c>
      <c r="EH36" s="88">
        <f t="shared" si="13"/>
        <v>2.8355553551061004E-2</v>
      </c>
      <c r="EI36" s="140"/>
      <c r="EJ36" s="316">
        <v>2010</v>
      </c>
      <c r="EK36" s="88">
        <f t="shared" si="14"/>
        <v>0.75512037154625267</v>
      </c>
      <c r="EL36" s="88">
        <f t="shared" si="15"/>
        <v>3.3630209526386734E-2</v>
      </c>
      <c r="EM36" s="88">
        <f t="shared" si="16"/>
        <v>0.34378335554761674</v>
      </c>
      <c r="EN36" s="88">
        <f t="shared" si="17"/>
        <v>8.1355490646856987E-2</v>
      </c>
      <c r="EO36" s="88">
        <f t="shared" si="18"/>
        <v>0.38862376481265432</v>
      </c>
      <c r="EP36" s="88">
        <f t="shared" si="19"/>
        <v>1.197333855754726</v>
      </c>
      <c r="ER36" s="316">
        <v>2010</v>
      </c>
      <c r="ES36" s="317">
        <f t="shared" si="35"/>
        <v>128058</v>
      </c>
      <c r="ET36" s="318">
        <v>16839</v>
      </c>
      <c r="EU36" s="318">
        <v>81735</v>
      </c>
      <c r="EV36" s="318">
        <v>29484</v>
      </c>
      <c r="EW36" s="88">
        <f t="shared" si="36"/>
        <v>0.13149510378109919</v>
      </c>
      <c r="EX36" s="88">
        <f t="shared" si="36"/>
        <v>0.63826547345733964</v>
      </c>
      <c r="EY36" s="88">
        <f t="shared" si="36"/>
        <v>0.23023942276156117</v>
      </c>
      <c r="EZ36" s="88">
        <f t="shared" si="51"/>
        <v>-1.915086872109617E-3</v>
      </c>
      <c r="FA36" s="88">
        <f t="shared" si="51"/>
        <v>-8.5019680907294504E-4</v>
      </c>
      <c r="FB36" s="88">
        <f t="shared" si="51"/>
        <v>2.7652836811825343E-3</v>
      </c>
      <c r="FC36" s="374"/>
      <c r="FD36" s="316">
        <v>2010</v>
      </c>
      <c r="FE36" s="159">
        <v>1.1816040816326539E-2</v>
      </c>
      <c r="FF36" s="159">
        <v>1.1000000000000001E-2</v>
      </c>
      <c r="FG36" s="159">
        <v>2E-3</v>
      </c>
      <c r="FH36" s="159">
        <v>2E-3</v>
      </c>
      <c r="FI36" s="319">
        <f t="shared" si="55"/>
        <v>9.8160408163265392E-3</v>
      </c>
      <c r="FK36" s="345">
        <f t="shared" si="52"/>
        <v>3.1544518827030132E-2</v>
      </c>
      <c r="FL36" s="345">
        <f t="shared" si="53"/>
        <v>-2.3055006091282637E-4</v>
      </c>
      <c r="FM36" s="345">
        <f t="shared" si="54"/>
        <v>-2.0583697420842456E-3</v>
      </c>
      <c r="FO36" s="316">
        <v>2010</v>
      </c>
      <c r="FP36" s="61">
        <v>136204.04053941541</v>
      </c>
      <c r="FQ36" s="61">
        <v>5480.6566541579678</v>
      </c>
      <c r="FR36" s="61">
        <v>73649.344303493388</v>
      </c>
      <c r="FS36" s="61">
        <v>18339.251129248478</v>
      </c>
      <c r="FT36" s="61">
        <v>42897.044274349406</v>
      </c>
      <c r="FU36" s="61">
        <v>170407.43092706206</v>
      </c>
      <c r="FV36" s="285">
        <f t="shared" si="38"/>
        <v>446977.76782772667</v>
      </c>
    </row>
    <row r="37" spans="1:178" hidden="1" outlineLevel="1">
      <c r="A37" s="316">
        <v>2011</v>
      </c>
      <c r="B37" s="61">
        <v>337595</v>
      </c>
      <c r="C37" s="61">
        <v>19271</v>
      </c>
      <c r="D37" s="61">
        <v>135232.20000000001</v>
      </c>
      <c r="E37" s="61">
        <v>36440</v>
      </c>
      <c r="F37" s="61">
        <v>199756.2</v>
      </c>
      <c r="G37" s="61">
        <v>584157.4</v>
      </c>
      <c r="I37" s="316">
        <v>2011</v>
      </c>
      <c r="J37" s="61">
        <v>337595</v>
      </c>
      <c r="K37" s="61">
        <v>19271</v>
      </c>
      <c r="L37" s="61">
        <v>135232.20000000001</v>
      </c>
      <c r="M37" s="61">
        <v>36440</v>
      </c>
      <c r="N37" s="61">
        <v>199756.2</v>
      </c>
      <c r="O37" s="61">
        <v>584157.4</v>
      </c>
      <c r="Q37" s="316">
        <v>2011</v>
      </c>
      <c r="R37" s="75">
        <v>381362.3</v>
      </c>
      <c r="S37" s="75">
        <v>16810.099999999999</v>
      </c>
      <c r="T37" s="75">
        <v>173821.6</v>
      </c>
      <c r="U37" s="75">
        <v>41475.9</v>
      </c>
      <c r="V37" s="75">
        <v>200335.3</v>
      </c>
      <c r="W37" s="75">
        <v>619486.6</v>
      </c>
      <c r="Y37" s="316">
        <v>2011</v>
      </c>
      <c r="Z37" s="75">
        <v>402622.6</v>
      </c>
      <c r="AA37" s="75">
        <v>17698.2</v>
      </c>
      <c r="AB37" s="75">
        <v>180336.6</v>
      </c>
      <c r="AC37" s="75">
        <v>43794.1</v>
      </c>
      <c r="AD37" s="75">
        <v>206634.7</v>
      </c>
      <c r="AE37" s="75">
        <v>652863.5</v>
      </c>
      <c r="AG37" s="316">
        <v>2011</v>
      </c>
      <c r="AH37" s="48">
        <f t="shared" si="56"/>
        <v>0.94719546294718682</v>
      </c>
      <c r="AI37" s="48">
        <f t="shared" si="56"/>
        <v>0.94981975568136856</v>
      </c>
      <c r="AJ37" s="48">
        <f t="shared" si="56"/>
        <v>0.9638731128345549</v>
      </c>
      <c r="AK37" s="48">
        <f t="shared" si="56"/>
        <v>0.94706592897216757</v>
      </c>
      <c r="AL37" s="48">
        <f t="shared" si="56"/>
        <v>0.96951431681126155</v>
      </c>
      <c r="AM37" s="48">
        <f t="shared" si="56"/>
        <v>0.94887614332858239</v>
      </c>
      <c r="AO37" s="316">
        <v>2011</v>
      </c>
      <c r="AP37" s="62">
        <v>1.428693643596568E-2</v>
      </c>
      <c r="AS37" s="316">
        <v>2011</v>
      </c>
      <c r="AT37" s="308">
        <f t="shared" si="39"/>
        <v>-4.8645883229059272E-4</v>
      </c>
      <c r="AU37" s="308">
        <f t="shared" si="40"/>
        <v>5.1635406343670809E-3</v>
      </c>
      <c r="AV37" s="308">
        <f t="shared" si="41"/>
        <v>7.1382431059174856E-3</v>
      </c>
      <c r="AW37" s="308">
        <f t="shared" si="42"/>
        <v>1.0074369938105843E-2</v>
      </c>
      <c r="AX37" s="308">
        <f t="shared" si="43"/>
        <v>8.7949753832148314E-3</v>
      </c>
      <c r="AY37" s="308">
        <f t="shared" si="44"/>
        <v>1.0281600356883969E-2</v>
      </c>
      <c r="BA37" s="316">
        <v>2011</v>
      </c>
      <c r="BB37" s="61">
        <v>14337.9</v>
      </c>
      <c r="BC37" s="61">
        <v>462.2</v>
      </c>
      <c r="BD37" s="61">
        <v>7119.2</v>
      </c>
      <c r="BE37" s="61">
        <v>2326.6</v>
      </c>
      <c r="BF37" s="61">
        <v>6753.8</v>
      </c>
      <c r="BG37" s="61">
        <v>13567.5</v>
      </c>
      <c r="BI37" s="316">
        <v>2011</v>
      </c>
      <c r="BJ37" s="61">
        <v>14337.9</v>
      </c>
      <c r="BK37" s="61">
        <v>462.2</v>
      </c>
      <c r="BL37" s="61">
        <v>7119.2</v>
      </c>
      <c r="BM37" s="61">
        <v>2326.6</v>
      </c>
      <c r="BN37" s="61">
        <v>6753.8</v>
      </c>
      <c r="BO37" s="61">
        <v>13567.5</v>
      </c>
      <c r="BQ37" s="316">
        <v>2011</v>
      </c>
      <c r="BR37" s="75">
        <v>18034.099999999999</v>
      </c>
      <c r="BS37" s="75">
        <v>469.1</v>
      </c>
      <c r="BT37" s="75">
        <v>11060.3</v>
      </c>
      <c r="BU37" s="75">
        <v>2869.2</v>
      </c>
      <c r="BV37" s="75">
        <v>6715.6</v>
      </c>
      <c r="BW37" s="75">
        <v>13606.7</v>
      </c>
      <c r="BY37" s="316">
        <v>2011</v>
      </c>
      <c r="BZ37" s="75">
        <v>19017.5</v>
      </c>
      <c r="CA37" s="75">
        <v>495.2</v>
      </c>
      <c r="CB37" s="75">
        <v>11488.7</v>
      </c>
      <c r="CC37" s="75">
        <v>3041.8</v>
      </c>
      <c r="CD37" s="75">
        <v>6944.3</v>
      </c>
      <c r="CE37" s="75">
        <v>14443.8</v>
      </c>
      <c r="CG37" s="316">
        <v>2011</v>
      </c>
      <c r="CH37" s="48">
        <f t="shared" si="57"/>
        <v>0.94828973314052833</v>
      </c>
      <c r="CI37" s="48">
        <f t="shared" si="57"/>
        <v>0.94729402261712448</v>
      </c>
      <c r="CJ37" s="48">
        <f t="shared" si="57"/>
        <v>0.96271118577384718</v>
      </c>
      <c r="CK37" s="48">
        <f t="shared" si="57"/>
        <v>0.94325728187257529</v>
      </c>
      <c r="CL37" s="48">
        <f t="shared" si="57"/>
        <v>0.9670665149835117</v>
      </c>
      <c r="CM37" s="48">
        <f t="shared" si="57"/>
        <v>0.94204433736274396</v>
      </c>
      <c r="CO37" s="316">
        <v>2011</v>
      </c>
      <c r="CP37" s="62">
        <v>1.428693643596568E-2</v>
      </c>
      <c r="CS37" s="316">
        <v>2011</v>
      </c>
      <c r="CT37" s="308">
        <f t="shared" si="45"/>
        <v>4.0468486044864527E-4</v>
      </c>
      <c r="CU37" s="308">
        <f t="shared" si="46"/>
        <v>6.3107428760187378E-3</v>
      </c>
      <c r="CV37" s="308">
        <f t="shared" si="47"/>
        <v>6.3290189904341432E-3</v>
      </c>
      <c r="CW37" s="308">
        <f t="shared" si="48"/>
        <v>0.12471345028048186</v>
      </c>
      <c r="CX37" s="308">
        <f t="shared" si="49"/>
        <v>7.0173459321318798E-3</v>
      </c>
      <c r="CY37" s="308">
        <f t="shared" si="50"/>
        <v>8.8337601622470174E-3</v>
      </c>
      <c r="DA37" s="316">
        <v>2011</v>
      </c>
      <c r="DB37" s="46">
        <f t="shared" si="23"/>
        <v>25350.800000000047</v>
      </c>
      <c r="DC37" s="46">
        <f t="shared" si="24"/>
        <v>1062.7</v>
      </c>
      <c r="DD37" s="46">
        <f t="shared" si="25"/>
        <v>15511.499999999989</v>
      </c>
      <c r="DE37" s="46">
        <f t="shared" si="26"/>
        <v>3779.6000000000031</v>
      </c>
      <c r="DF37" s="46">
        <f t="shared" si="27"/>
        <v>7843.5999999999885</v>
      </c>
      <c r="DG37" s="46">
        <f t="shared" si="28"/>
        <v>15853.899999999976</v>
      </c>
      <c r="DI37" s="316">
        <v>2011</v>
      </c>
      <c r="DJ37" s="88">
        <f t="shared" si="29"/>
        <v>6.1989079996156174E-2</v>
      </c>
      <c r="DK37" s="88">
        <f t="shared" si="30"/>
        <v>5.8180086172443433E-2</v>
      </c>
      <c r="DL37" s="88">
        <f t="shared" si="31"/>
        <v>8.4137288361754214E-2</v>
      </c>
      <c r="DM37" s="88">
        <f t="shared" si="32"/>
        <v>8.4873989207736547E-2</v>
      </c>
      <c r="DN37" s="88">
        <f t="shared" si="33"/>
        <v>3.779428912852828E-2</v>
      </c>
      <c r="DO37" s="88">
        <f t="shared" si="34"/>
        <v>2.4231300177784916E-2</v>
      </c>
      <c r="DQ37" s="316">
        <v>2011</v>
      </c>
      <c r="DR37" s="61">
        <v>497448.9</v>
      </c>
      <c r="DS37" s="61">
        <v>500.04050000000001</v>
      </c>
      <c r="DT37" s="61">
        <v>510841.59999999998</v>
      </c>
      <c r="DU37" s="61">
        <v>514.67989999999998</v>
      </c>
      <c r="DV37" s="89">
        <v>-1.9</v>
      </c>
      <c r="DW37" s="46">
        <f t="shared" si="6"/>
        <v>507083.48623853212</v>
      </c>
      <c r="DX37" s="61">
        <v>507.14046653144015</v>
      </c>
      <c r="DY37" s="46">
        <f t="shared" si="7"/>
        <v>520735.5759429154</v>
      </c>
      <c r="DZ37" s="61">
        <v>521.98772819472617</v>
      </c>
      <c r="EB37" s="316">
        <v>2011</v>
      </c>
      <c r="EC37" s="88">
        <f t="shared" si="8"/>
        <v>3.6253170928712469E-2</v>
      </c>
      <c r="ED37" s="88">
        <f t="shared" si="9"/>
        <v>9.4301143293311135E-4</v>
      </c>
      <c r="EE37" s="88">
        <f t="shared" si="10"/>
        <v>2.2234042531805775E-2</v>
      </c>
      <c r="EF37" s="88">
        <f t="shared" si="11"/>
        <v>5.76782861516027E-3</v>
      </c>
      <c r="EG37" s="88">
        <f t="shared" si="12"/>
        <v>1.3500080108730767E-2</v>
      </c>
      <c r="EH37" s="88">
        <f t="shared" si="13"/>
        <v>2.735296027390954E-2</v>
      </c>
      <c r="EI37" s="140"/>
      <c r="EJ37" s="316">
        <v>2011</v>
      </c>
      <c r="EK37" s="88">
        <f t="shared" si="14"/>
        <v>0.75207004438043779</v>
      </c>
      <c r="EL37" s="88">
        <f t="shared" si="15"/>
        <v>3.3150556971781417E-2</v>
      </c>
      <c r="EM37" s="88">
        <f t="shared" si="16"/>
        <v>0.34278694675975763</v>
      </c>
      <c r="EN37" s="88">
        <f t="shared" si="17"/>
        <v>8.1793040249963367E-2</v>
      </c>
      <c r="EO37" s="88">
        <f t="shared" si="18"/>
        <v>0.39507360313793033</v>
      </c>
      <c r="EP37" s="88">
        <f t="shared" si="19"/>
        <v>1.2216658929188504</v>
      </c>
      <c r="ER37" s="316">
        <v>2011</v>
      </c>
      <c r="ES37" s="317">
        <f t="shared" si="35"/>
        <v>127799</v>
      </c>
      <c r="ET37" s="318">
        <v>16705</v>
      </c>
      <c r="EU37" s="318">
        <v>81342</v>
      </c>
      <c r="EV37" s="318">
        <v>29752</v>
      </c>
      <c r="EW37" s="88">
        <f t="shared" si="36"/>
        <v>0.13071307287224471</v>
      </c>
      <c r="EX37" s="88">
        <f t="shared" si="36"/>
        <v>0.63648385355127979</v>
      </c>
      <c r="EY37" s="88">
        <f t="shared" si="36"/>
        <v>0.23280307357647556</v>
      </c>
      <c r="EZ37" s="88">
        <f t="shared" si="51"/>
        <v>-7.8203090885448079E-4</v>
      </c>
      <c r="FA37" s="88">
        <f t="shared" si="51"/>
        <v>-1.7816199060598503E-3</v>
      </c>
      <c r="FB37" s="88">
        <f t="shared" si="51"/>
        <v>2.5636508149143866E-3</v>
      </c>
      <c r="FC37" s="374"/>
      <c r="FD37" s="316">
        <v>2011</v>
      </c>
      <c r="FE37" s="159">
        <v>1.1244775510204095E-2</v>
      </c>
      <c r="FF37" s="159">
        <v>0.01</v>
      </c>
      <c r="FG37" s="159">
        <v>5.0000000000000001E-3</v>
      </c>
      <c r="FH37" s="159">
        <v>5.0000000000000001E-3</v>
      </c>
      <c r="FI37" s="319">
        <f t="shared" si="55"/>
        <v>6.2447755102040944E-3</v>
      </c>
      <c r="FK37" s="345">
        <f t="shared" si="52"/>
        <v>1.1906478152717836E-3</v>
      </c>
      <c r="FL37" s="345">
        <f t="shared" si="53"/>
        <v>-5.7719092773662051E-3</v>
      </c>
      <c r="FM37" s="345">
        <f t="shared" si="54"/>
        <v>1.4465943852045495E-3</v>
      </c>
      <c r="FO37" s="316">
        <v>2011</v>
      </c>
      <c r="FP37" s="61">
        <v>145492.26736758795</v>
      </c>
      <c r="FQ37" s="61">
        <v>4839.9591412334576</v>
      </c>
      <c r="FR37" s="61">
        <v>77777.500353590454</v>
      </c>
      <c r="FS37" s="61">
        <v>19275.757944687764</v>
      </c>
      <c r="FT37" s="61">
        <v>45876.393961105088</v>
      </c>
      <c r="FU37" s="61">
        <v>152808.06984018526</v>
      </c>
      <c r="FV37" s="285">
        <f t="shared" si="38"/>
        <v>446069.94860838994</v>
      </c>
    </row>
    <row r="38" spans="1:178" hidden="1" outlineLevel="1">
      <c r="A38" s="316">
        <v>2012</v>
      </c>
      <c r="B38" s="61">
        <v>332459.8</v>
      </c>
      <c r="C38" s="61">
        <v>18697.2</v>
      </c>
      <c r="D38" s="61">
        <v>131539.70000000001</v>
      </c>
      <c r="E38" s="61">
        <v>35591.1</v>
      </c>
      <c r="F38" s="61">
        <v>199055.7</v>
      </c>
      <c r="G38" s="61">
        <v>582221.5</v>
      </c>
      <c r="I38" s="316">
        <v>2012</v>
      </c>
      <c r="J38" s="61">
        <v>334970.59999999998</v>
      </c>
      <c r="K38" s="61">
        <v>18873.400000000001</v>
      </c>
      <c r="L38" s="61">
        <v>132376.5</v>
      </c>
      <c r="M38" s="61">
        <v>35822.300000000003</v>
      </c>
      <c r="N38" s="61">
        <v>200289</v>
      </c>
      <c r="O38" s="61">
        <v>585535.30000000005</v>
      </c>
      <c r="Q38" s="316">
        <v>2012</v>
      </c>
      <c r="R38" s="75">
        <v>376279.6</v>
      </c>
      <c r="S38" s="75">
        <v>16258</v>
      </c>
      <c r="T38" s="75">
        <v>171280.5</v>
      </c>
      <c r="U38" s="75">
        <v>40765</v>
      </c>
      <c r="V38" s="75">
        <v>197991.2</v>
      </c>
      <c r="W38" s="75">
        <v>619843.9</v>
      </c>
      <c r="Y38" s="316">
        <v>2012</v>
      </c>
      <c r="Z38" s="75">
        <v>399953.6</v>
      </c>
      <c r="AA38" s="75">
        <v>17247.3</v>
      </c>
      <c r="AB38" s="75">
        <v>178609.8</v>
      </c>
      <c r="AC38" s="75">
        <v>43262.400000000001</v>
      </c>
      <c r="AD38" s="75">
        <v>205059.9</v>
      </c>
      <c r="AE38" s="75">
        <v>655443.5</v>
      </c>
      <c r="AG38" s="316">
        <v>2012</v>
      </c>
      <c r="AH38" s="48">
        <f t="shared" si="56"/>
        <v>0.94080813374351424</v>
      </c>
      <c r="AI38" s="48">
        <f t="shared" si="56"/>
        <v>0.94264029732189969</v>
      </c>
      <c r="AJ38" s="48">
        <f t="shared" si="56"/>
        <v>0.95896473765717227</v>
      </c>
      <c r="AK38" s="48">
        <f t="shared" si="56"/>
        <v>0.94227319797329778</v>
      </c>
      <c r="AL38" s="48">
        <f t="shared" si="56"/>
        <v>0.96552860895767534</v>
      </c>
      <c r="AM38" s="48">
        <f t="shared" si="56"/>
        <v>0.94568624145330604</v>
      </c>
      <c r="AO38" s="316">
        <v>2012</v>
      </c>
      <c r="AP38" s="62">
        <v>-8.6032388663966897E-3</v>
      </c>
      <c r="AS38" s="316">
        <v>2012</v>
      </c>
      <c r="AT38" s="308">
        <f t="shared" si="39"/>
        <v>-6.7434119498402945E-3</v>
      </c>
      <c r="AU38" s="308">
        <f t="shared" si="40"/>
        <v>-7.5587587187198046E-3</v>
      </c>
      <c r="AV38" s="308">
        <f t="shared" si="41"/>
        <v>-5.0923457787385162E-3</v>
      </c>
      <c r="AW38" s="308">
        <f t="shared" si="42"/>
        <v>-5.0606096706183878E-3</v>
      </c>
      <c r="AX38" s="308">
        <f t="shared" si="43"/>
        <v>-4.1110355819140576E-3</v>
      </c>
      <c r="AY38" s="308">
        <f t="shared" si="44"/>
        <v>-3.3617684433359107E-3</v>
      </c>
      <c r="BA38" s="316">
        <v>2012</v>
      </c>
      <c r="BB38" s="61">
        <v>14573.7</v>
      </c>
      <c r="BC38" s="61">
        <v>435.6</v>
      </c>
      <c r="BD38" s="61">
        <v>7445.4</v>
      </c>
      <c r="BE38" s="61">
        <v>2169.8000000000002</v>
      </c>
      <c r="BF38" s="61">
        <v>6835</v>
      </c>
      <c r="BG38" s="61">
        <v>14186.1</v>
      </c>
      <c r="BI38" s="316">
        <v>2012</v>
      </c>
      <c r="BJ38" s="61">
        <v>14698</v>
      </c>
      <c r="BK38" s="61">
        <v>438.8</v>
      </c>
      <c r="BL38" s="61">
        <v>7471.4</v>
      </c>
      <c r="BM38" s="61">
        <v>2180.8000000000002</v>
      </c>
      <c r="BN38" s="61">
        <v>6853.9</v>
      </c>
      <c r="BO38" s="61">
        <v>14222.2</v>
      </c>
      <c r="BQ38" s="316">
        <v>2012</v>
      </c>
      <c r="BR38" s="75">
        <v>18316.900000000001</v>
      </c>
      <c r="BS38" s="75">
        <v>449.6</v>
      </c>
      <c r="BT38" s="75">
        <v>12007.3</v>
      </c>
      <c r="BU38" s="75">
        <v>2710.4</v>
      </c>
      <c r="BV38" s="75">
        <v>4813.3999999999996</v>
      </c>
      <c r="BW38" s="75">
        <v>14384.2</v>
      </c>
      <c r="BY38" s="316">
        <v>2012</v>
      </c>
      <c r="BZ38" s="75">
        <v>19457.2</v>
      </c>
      <c r="CA38" s="75">
        <v>476.6</v>
      </c>
      <c r="CB38" s="75">
        <v>12497.2</v>
      </c>
      <c r="CC38" s="75">
        <v>2882.3</v>
      </c>
      <c r="CD38" s="75">
        <v>4981.1000000000004</v>
      </c>
      <c r="CE38" s="75">
        <v>15250.2</v>
      </c>
      <c r="CG38" s="316">
        <v>2012</v>
      </c>
      <c r="CH38" s="48">
        <f t="shared" si="57"/>
        <v>0.94139444524392002</v>
      </c>
      <c r="CI38" s="48">
        <f t="shared" si="57"/>
        <v>0.94334872010071336</v>
      </c>
      <c r="CJ38" s="48">
        <f t="shared" si="57"/>
        <v>0.96079921902506149</v>
      </c>
      <c r="CK38" s="48">
        <f t="shared" si="57"/>
        <v>0.94036012906359501</v>
      </c>
      <c r="CL38" s="48">
        <f t="shared" si="57"/>
        <v>0.96633273774868989</v>
      </c>
      <c r="CM38" s="48">
        <f t="shared" si="57"/>
        <v>0.94321385949036729</v>
      </c>
      <c r="CO38" s="316">
        <v>2012</v>
      </c>
      <c r="CP38" s="62">
        <v>-8.6032388663966897E-3</v>
      </c>
      <c r="CS38" s="316">
        <v>2012</v>
      </c>
      <c r="CT38" s="308">
        <f t="shared" si="45"/>
        <v>-7.2712881471073132E-3</v>
      </c>
      <c r="CU38" s="308">
        <f t="shared" si="46"/>
        <v>-4.1648130593194832E-3</v>
      </c>
      <c r="CV38" s="308">
        <f t="shared" si="47"/>
        <v>-1.9860231988981791E-3</v>
      </c>
      <c r="CW38" s="308">
        <f t="shared" si="48"/>
        <v>-3.0714343421009982E-3</v>
      </c>
      <c r="CX38" s="308">
        <f t="shared" si="49"/>
        <v>-7.5876604499569567E-4</v>
      </c>
      <c r="CY38" s="308">
        <f t="shared" si="50"/>
        <v>1.2414724883305084E-3</v>
      </c>
      <c r="DA38" s="316">
        <v>2012</v>
      </c>
      <c r="DB38" s="46">
        <f t="shared" si="23"/>
        <v>22126.2</v>
      </c>
      <c r="DC38" s="46">
        <f t="shared" si="24"/>
        <v>927.50000000000148</v>
      </c>
      <c r="DD38" s="46">
        <f t="shared" si="25"/>
        <v>14224.000000000018</v>
      </c>
      <c r="DE38" s="46">
        <f t="shared" si="26"/>
        <v>3413.9999999999973</v>
      </c>
      <c r="DF38" s="46">
        <f t="shared" si="27"/>
        <v>6555.9000000000178</v>
      </c>
      <c r="DG38" s="46">
        <f t="shared" si="28"/>
        <v>12670.2</v>
      </c>
      <c r="DI38" s="316">
        <v>2012</v>
      </c>
      <c r="DJ38" s="88">
        <f t="shared" si="29"/>
        <v>5.4955186320887112E-2</v>
      </c>
      <c r="DK38" s="88">
        <f t="shared" si="30"/>
        <v>5.2406459413951785E-2</v>
      </c>
      <c r="DL38" s="88">
        <f t="shared" si="31"/>
        <v>7.887472648369781E-2</v>
      </c>
      <c r="DM38" s="88">
        <f t="shared" si="32"/>
        <v>7.7955706362272489E-2</v>
      </c>
      <c r="DN38" s="88">
        <f t="shared" si="33"/>
        <v>3.1727004225331069E-2</v>
      </c>
      <c r="DO38" s="88">
        <f t="shared" si="34"/>
        <v>1.9407119558682635E-2</v>
      </c>
      <c r="DQ38" s="316">
        <v>2012</v>
      </c>
      <c r="DR38" s="61">
        <v>500474.7</v>
      </c>
      <c r="DS38" s="61">
        <v>499.4239</v>
      </c>
      <c r="DT38" s="61">
        <v>517864.4</v>
      </c>
      <c r="DU38" s="61">
        <v>517.92279999999994</v>
      </c>
      <c r="DV38" s="89">
        <v>-1.2</v>
      </c>
      <c r="DW38" s="46">
        <f t="shared" si="6"/>
        <v>506553.34008097165</v>
      </c>
      <c r="DX38" s="61">
        <v>506.51511156186615</v>
      </c>
      <c r="DY38" s="46">
        <f t="shared" si="7"/>
        <v>524154.25101214577</v>
      </c>
      <c r="DZ38" s="61">
        <v>525.2766734279918</v>
      </c>
      <c r="EB38" s="316">
        <v>2012</v>
      </c>
      <c r="EC38" s="88">
        <f t="shared" si="8"/>
        <v>3.6599052859215463E-2</v>
      </c>
      <c r="ED38" s="88">
        <f t="shared" si="9"/>
        <v>8.9834710925447382E-4</v>
      </c>
      <c r="EE38" s="88">
        <f t="shared" si="10"/>
        <v>2.399182216403746E-2</v>
      </c>
      <c r="EF38" s="88">
        <f t="shared" si="11"/>
        <v>5.4156583739397813E-3</v>
      </c>
      <c r="EG38" s="88">
        <f t="shared" si="12"/>
        <v>9.6176689850655771E-3</v>
      </c>
      <c r="EH38" s="88">
        <f t="shared" si="13"/>
        <v>2.8741113187140128E-2</v>
      </c>
      <c r="EI38" s="140"/>
      <c r="EJ38" s="316">
        <v>2012</v>
      </c>
      <c r="EK38" s="88">
        <f t="shared" si="14"/>
        <v>0.7428232532034087</v>
      </c>
      <c r="EL38" s="88">
        <f t="shared" si="15"/>
        <v>3.2095336687349034E-2</v>
      </c>
      <c r="EM38" s="88">
        <f t="shared" si="16"/>
        <v>0.33812924809186157</v>
      </c>
      <c r="EN38" s="88">
        <f t="shared" si="17"/>
        <v>8.0475236810172421E-2</v>
      </c>
      <c r="EO38" s="88">
        <f t="shared" si="18"/>
        <v>0.39085952916301264</v>
      </c>
      <c r="EP38" s="88">
        <f t="shared" si="19"/>
        <v>1.2236498132672842</v>
      </c>
      <c r="ER38" s="316">
        <v>2012</v>
      </c>
      <c r="ES38" s="317">
        <f t="shared" si="35"/>
        <v>127515</v>
      </c>
      <c r="ET38" s="318">
        <v>16547</v>
      </c>
      <c r="EU38" s="318">
        <v>80175</v>
      </c>
      <c r="EV38" s="318">
        <v>30793</v>
      </c>
      <c r="EW38" s="88">
        <f t="shared" si="36"/>
        <v>0.12976512567148962</v>
      </c>
      <c r="EX38" s="88">
        <f t="shared" si="36"/>
        <v>0.62874955887542638</v>
      </c>
      <c r="EY38" s="88">
        <f t="shared" si="36"/>
        <v>0.24148531545308394</v>
      </c>
      <c r="EZ38" s="88">
        <f t="shared" si="51"/>
        <v>-9.4794720075508376E-4</v>
      </c>
      <c r="FA38" s="88">
        <f t="shared" si="51"/>
        <v>-7.7342946758534037E-3</v>
      </c>
      <c r="FB38" s="88">
        <f t="shared" si="51"/>
        <v>8.6822418766083764E-3</v>
      </c>
      <c r="FC38" s="374"/>
      <c r="FD38" s="316">
        <v>2012</v>
      </c>
      <c r="FE38" s="159">
        <v>8.5788709677419289E-3</v>
      </c>
      <c r="FF38" s="159">
        <v>8.0000000000000002E-3</v>
      </c>
      <c r="FG38" s="159">
        <v>6.9999999999999993E-3</v>
      </c>
      <c r="FH38" s="159">
        <v>6.9999999999999993E-3</v>
      </c>
      <c r="FI38" s="319">
        <f t="shared" si="55"/>
        <v>1.5788709677419296E-3</v>
      </c>
      <c r="FK38" s="345">
        <f t="shared" si="52"/>
        <v>-2.882013229986935E-3</v>
      </c>
      <c r="FL38" s="345">
        <f t="shared" si="53"/>
        <v>-5.5046122034568823E-3</v>
      </c>
      <c r="FM38" s="345">
        <f t="shared" si="54"/>
        <v>-2.9079901810487221E-3</v>
      </c>
      <c r="FO38" s="316">
        <v>2012</v>
      </c>
      <c r="FP38" s="61">
        <v>153098.23786510248</v>
      </c>
      <c r="FQ38" s="61">
        <v>4617.7711114312888</v>
      </c>
      <c r="FR38" s="61">
        <v>78691.499109982498</v>
      </c>
      <c r="FS38" s="61">
        <v>23079.182682844104</v>
      </c>
      <c r="FT38" s="61">
        <v>44841.031680183332</v>
      </c>
      <c r="FU38" s="61">
        <v>145353.89553726726</v>
      </c>
      <c r="FV38" s="285">
        <f t="shared" si="38"/>
        <v>449681.61798681098</v>
      </c>
    </row>
    <row r="39" spans="1:178" hidden="1" outlineLevel="1">
      <c r="A39" s="316">
        <v>2013</v>
      </c>
      <c r="B39" s="61">
        <v>343061.9</v>
      </c>
      <c r="C39" s="61">
        <v>19063.8</v>
      </c>
      <c r="D39" s="61">
        <v>132805.29999999999</v>
      </c>
      <c r="E39" s="61">
        <v>36256.400000000001</v>
      </c>
      <c r="F39" s="61">
        <v>205214.1</v>
      </c>
      <c r="G39" s="61">
        <v>597632.19999999995</v>
      </c>
      <c r="I39" s="316">
        <v>2013</v>
      </c>
      <c r="J39" s="61">
        <v>333719.2</v>
      </c>
      <c r="K39" s="61">
        <v>18652</v>
      </c>
      <c r="L39" s="61">
        <v>130168.8</v>
      </c>
      <c r="M39" s="61">
        <v>35554.699999999997</v>
      </c>
      <c r="N39" s="61">
        <v>202400.8</v>
      </c>
      <c r="O39" s="61">
        <v>588149.5</v>
      </c>
      <c r="Q39" s="316">
        <v>2013</v>
      </c>
      <c r="R39" s="75">
        <v>387618.7</v>
      </c>
      <c r="S39" s="75">
        <v>16462.5</v>
      </c>
      <c r="T39" s="75">
        <v>174727.8</v>
      </c>
      <c r="U39" s="75">
        <v>42010.9</v>
      </c>
      <c r="V39" s="75">
        <v>201142.6</v>
      </c>
      <c r="W39" s="75">
        <v>637446</v>
      </c>
      <c r="Y39" s="316">
        <v>2013</v>
      </c>
      <c r="Z39" s="75">
        <v>399062.1</v>
      </c>
      <c r="AA39" s="75">
        <v>16956.599999999999</v>
      </c>
      <c r="AB39" s="75">
        <v>177701.1</v>
      </c>
      <c r="AC39" s="75">
        <v>43476.2</v>
      </c>
      <c r="AD39" s="75">
        <v>204182.6</v>
      </c>
      <c r="AE39" s="75">
        <v>658469.30000000005</v>
      </c>
      <c r="AG39" s="316">
        <v>2013</v>
      </c>
      <c r="AH39" s="48">
        <f t="shared" si="56"/>
        <v>0.97132426256464854</v>
      </c>
      <c r="AI39" s="48">
        <f t="shared" si="56"/>
        <v>0.97086090371890599</v>
      </c>
      <c r="AJ39" s="48">
        <f t="shared" si="56"/>
        <v>0.98326797076664119</v>
      </c>
      <c r="AK39" s="48">
        <f t="shared" si="56"/>
        <v>0.96629650245421639</v>
      </c>
      <c r="AL39" s="48">
        <f t="shared" si="56"/>
        <v>0.98511136600278382</v>
      </c>
      <c r="AM39" s="48">
        <f t="shared" si="56"/>
        <v>0.96807246746355513</v>
      </c>
      <c r="AO39" s="316">
        <v>2013</v>
      </c>
      <c r="AP39" s="62">
        <v>1.2421303386081606E-2</v>
      </c>
      <c r="AS39" s="316">
        <v>2013</v>
      </c>
      <c r="AT39" s="308">
        <f t="shared" si="39"/>
        <v>3.2436080988914595E-2</v>
      </c>
      <c r="AU39" s="308">
        <f t="shared" si="40"/>
        <v>2.9937831511322788E-2</v>
      </c>
      <c r="AV39" s="308">
        <f t="shared" si="41"/>
        <v>2.534319788321282E-2</v>
      </c>
      <c r="AW39" s="308">
        <f t="shared" si="42"/>
        <v>2.5495052318785572E-2</v>
      </c>
      <c r="AX39" s="308">
        <f t="shared" si="43"/>
        <v>2.0281902435028698E-2</v>
      </c>
      <c r="AY39" s="308">
        <f t="shared" si="44"/>
        <v>2.3671937931386777E-2</v>
      </c>
      <c r="BA39" s="316">
        <v>2013</v>
      </c>
      <c r="BB39" s="61">
        <v>16101.7</v>
      </c>
      <c r="BC39" s="61">
        <v>602.1</v>
      </c>
      <c r="BD39" s="61">
        <v>7985.6</v>
      </c>
      <c r="BE39" s="61">
        <v>2503.1</v>
      </c>
      <c r="BF39" s="61">
        <v>8494.9</v>
      </c>
      <c r="BG39" s="61">
        <v>15585.2</v>
      </c>
      <c r="BI39" s="316">
        <v>2013</v>
      </c>
      <c r="BJ39" s="61">
        <v>15877.2</v>
      </c>
      <c r="BK39" s="61">
        <v>595.20000000000005</v>
      </c>
      <c r="BL39" s="61">
        <v>7896.2</v>
      </c>
      <c r="BM39" s="61">
        <v>2481.1999999999998</v>
      </c>
      <c r="BN39" s="61">
        <v>8443.5</v>
      </c>
      <c r="BO39" s="61">
        <v>15456.5</v>
      </c>
      <c r="BQ39" s="316">
        <v>2013</v>
      </c>
      <c r="BR39" s="75">
        <v>20171.5</v>
      </c>
      <c r="BS39" s="75">
        <v>588.6</v>
      </c>
      <c r="BT39" s="75">
        <v>12848.8</v>
      </c>
      <c r="BU39" s="75">
        <v>3424.4</v>
      </c>
      <c r="BV39" s="75">
        <v>5485.5</v>
      </c>
      <c r="BW39" s="75">
        <v>15008.2</v>
      </c>
      <c r="BY39" s="316">
        <v>2013</v>
      </c>
      <c r="BZ39" s="75">
        <v>21046.5</v>
      </c>
      <c r="CA39" s="75">
        <v>614.70000000000005</v>
      </c>
      <c r="CB39" s="75">
        <v>13202.3</v>
      </c>
      <c r="CC39" s="75">
        <v>3591</v>
      </c>
      <c r="CD39" s="75">
        <v>5630.4</v>
      </c>
      <c r="CE39" s="75">
        <v>15717.6</v>
      </c>
      <c r="CG39" s="316">
        <v>2013</v>
      </c>
      <c r="CH39" s="48">
        <f t="shared" si="57"/>
        <v>0.95842539139524385</v>
      </c>
      <c r="CI39" s="48">
        <f t="shared" si="57"/>
        <v>0.95754026354319177</v>
      </c>
      <c r="CJ39" s="48">
        <f t="shared" si="57"/>
        <v>0.9732243624216993</v>
      </c>
      <c r="CK39" s="48">
        <f t="shared" si="57"/>
        <v>0.95360623781676412</v>
      </c>
      <c r="CL39" s="48">
        <f t="shared" si="57"/>
        <v>0.97426470588235303</v>
      </c>
      <c r="CM39" s="48">
        <f t="shared" si="57"/>
        <v>0.95486588283198459</v>
      </c>
      <c r="CO39" s="316">
        <v>2013</v>
      </c>
      <c r="CP39" s="62">
        <v>1.2421303386081606E-2</v>
      </c>
      <c r="CS39" s="316">
        <v>2013</v>
      </c>
      <c r="CT39" s="308">
        <f t="shared" si="45"/>
        <v>1.8091190400970625E-2</v>
      </c>
      <c r="CU39" s="308">
        <f t="shared" si="46"/>
        <v>1.5043793604726963E-2</v>
      </c>
      <c r="CV39" s="308">
        <f t="shared" si="47"/>
        <v>1.2932091482386721E-2</v>
      </c>
      <c r="CW39" s="308">
        <f t="shared" si="48"/>
        <v>1.4086208404390232E-2</v>
      </c>
      <c r="CX39" s="308">
        <f t="shared" si="49"/>
        <v>8.20831978862957E-3</v>
      </c>
      <c r="CY39" s="308">
        <f t="shared" si="50"/>
        <v>1.235353279044582E-2</v>
      </c>
      <c r="DA39" s="316">
        <v>2013</v>
      </c>
      <c r="DB39" s="46">
        <f t="shared" si="23"/>
        <v>21938</v>
      </c>
      <c r="DC39" s="46">
        <f t="shared" si="24"/>
        <v>905.40000000000077</v>
      </c>
      <c r="DD39" s="46">
        <f t="shared" si="25"/>
        <v>14110.999999999982</v>
      </c>
      <c r="DE39" s="46">
        <f t="shared" si="26"/>
        <v>3377.2000000000044</v>
      </c>
      <c r="DF39" s="46">
        <f t="shared" si="27"/>
        <v>6507.699999999988</v>
      </c>
      <c r="DG39" s="46">
        <f t="shared" si="28"/>
        <v>12691.799999999954</v>
      </c>
      <c r="DI39" s="316">
        <v>2013</v>
      </c>
      <c r="DJ39" s="88">
        <f t="shared" si="29"/>
        <v>5.485136275807994E-2</v>
      </c>
      <c r="DK39" s="88">
        <f t="shared" si="30"/>
        <v>5.2495173157537746E-2</v>
      </c>
      <c r="DL39" s="88">
        <f t="shared" si="31"/>
        <v>7.9004623486505124E-2</v>
      </c>
      <c r="DM39" s="88">
        <f t="shared" si="32"/>
        <v>7.8063168016568762E-2</v>
      </c>
      <c r="DN39" s="88">
        <f t="shared" si="33"/>
        <v>3.1735605059789791E-2</v>
      </c>
      <c r="DO39" s="88">
        <f t="shared" si="34"/>
        <v>1.9363682758315483E-2</v>
      </c>
      <c r="DQ39" s="316">
        <v>2013</v>
      </c>
      <c r="DR39" s="61">
        <v>508700.6</v>
      </c>
      <c r="DS39" s="61">
        <v>512.68560000000002</v>
      </c>
      <c r="DT39" s="61">
        <v>528248.1</v>
      </c>
      <c r="DU39" s="61">
        <v>532.08040000000005</v>
      </c>
      <c r="DV39" s="89">
        <v>-0.1</v>
      </c>
      <c r="DW39" s="46">
        <f t="shared" si="6"/>
        <v>509209.80980980978</v>
      </c>
      <c r="DX39" s="61">
        <v>510.64302788844623</v>
      </c>
      <c r="DY39" s="46">
        <f t="shared" si="7"/>
        <v>528776.87687687681</v>
      </c>
      <c r="DZ39" s="61">
        <v>529.96055776892433</v>
      </c>
      <c r="EB39" s="316">
        <v>2013</v>
      </c>
      <c r="EC39" s="88">
        <f t="shared" si="8"/>
        <v>3.9652990383734557E-2</v>
      </c>
      <c r="ED39" s="88">
        <f t="shared" si="9"/>
        <v>1.1570656688826395E-3</v>
      </c>
      <c r="EE39" s="88">
        <f t="shared" si="10"/>
        <v>2.5258079113726226E-2</v>
      </c>
      <c r="EF39" s="88">
        <f t="shared" si="11"/>
        <v>6.7316610202543502E-3</v>
      </c>
      <c r="EG39" s="88">
        <f t="shared" si="12"/>
        <v>1.0783356654189124E-2</v>
      </c>
      <c r="EH39" s="88">
        <f t="shared" si="13"/>
        <v>2.9503012184377217E-2</v>
      </c>
      <c r="EI39" s="140"/>
      <c r="EJ39" s="316">
        <v>2013</v>
      </c>
      <c r="EK39" s="88">
        <f t="shared" si="14"/>
        <v>0.76121608918880779</v>
      </c>
      <c r="EL39" s="88">
        <f t="shared" si="15"/>
        <v>3.232950285492095E-2</v>
      </c>
      <c r="EM39" s="88">
        <f t="shared" si="16"/>
        <v>0.34313518049713326</v>
      </c>
      <c r="EN39" s="88">
        <f t="shared" si="17"/>
        <v>8.2502141927884506E-2</v>
      </c>
      <c r="EO39" s="88">
        <f t="shared" si="18"/>
        <v>0.39500927932854812</v>
      </c>
      <c r="EP39" s="88">
        <f t="shared" si="19"/>
        <v>1.2518336994294876</v>
      </c>
      <c r="ER39" s="316">
        <v>2013</v>
      </c>
      <c r="ES39" s="317">
        <f t="shared" si="35"/>
        <v>127298</v>
      </c>
      <c r="ET39" s="318">
        <v>16390</v>
      </c>
      <c r="EU39" s="318">
        <v>79010</v>
      </c>
      <c r="EV39" s="318">
        <v>31898</v>
      </c>
      <c r="EW39" s="88">
        <f t="shared" si="36"/>
        <v>0.12875300476048326</v>
      </c>
      <c r="EX39" s="88">
        <f t="shared" si="36"/>
        <v>0.62066960989175002</v>
      </c>
      <c r="EY39" s="88">
        <f t="shared" si="36"/>
        <v>0.25057738534776663</v>
      </c>
      <c r="EZ39" s="88">
        <f t="shared" si="51"/>
        <v>-1.0121209110063589E-3</v>
      </c>
      <c r="FA39" s="88">
        <f t="shared" si="51"/>
        <v>-8.079948983676366E-3</v>
      </c>
      <c r="FB39" s="88">
        <f t="shared" si="51"/>
        <v>9.0920698946826972E-3</v>
      </c>
      <c r="FC39" s="374"/>
      <c r="FD39" s="316">
        <v>2013</v>
      </c>
      <c r="FE39" s="159">
        <v>7.1467755102040823E-3</v>
      </c>
      <c r="FF39" s="159">
        <v>6.9999999999999993E-3</v>
      </c>
      <c r="FG39" s="159">
        <v>8.0000000000000002E-3</v>
      </c>
      <c r="FH39" s="159">
        <v>9.0000000000000011E-3</v>
      </c>
      <c r="FI39" s="319">
        <f t="shared" si="55"/>
        <v>-8.5322448979591788E-4</v>
      </c>
      <c r="FK39" s="345">
        <f t="shared" si="52"/>
        <v>1.849002110285114E-2</v>
      </c>
      <c r="FL39" s="345">
        <f t="shared" si="53"/>
        <v>2.0273851169549939E-3</v>
      </c>
      <c r="FM39" s="345">
        <f t="shared" si="54"/>
        <v>-1.954533593756835E-3</v>
      </c>
      <c r="FO39" s="316">
        <v>2013</v>
      </c>
      <c r="FP39" s="61">
        <v>166942.5286374909</v>
      </c>
      <c r="FQ39" s="61">
        <v>6117.756593055351</v>
      </c>
      <c r="FR39" s="61">
        <v>88786.384070218832</v>
      </c>
      <c r="FS39" s="61">
        <v>26871.151702076073</v>
      </c>
      <c r="FT39" s="61">
        <v>46865.217622593802</v>
      </c>
      <c r="FU39" s="61">
        <v>152615.44266419049</v>
      </c>
      <c r="FV39" s="285">
        <f t="shared" si="38"/>
        <v>488198.48128962546</v>
      </c>
    </row>
    <row r="40" spans="1:178" hidden="1" outlineLevel="1">
      <c r="A40" s="316">
        <v>2014</v>
      </c>
      <c r="B40" s="61">
        <v>350860.1</v>
      </c>
      <c r="C40" s="61">
        <v>19527.7</v>
      </c>
      <c r="D40" s="61">
        <v>132975.4</v>
      </c>
      <c r="E40" s="61">
        <v>36709.199999999997</v>
      </c>
      <c r="F40" s="61">
        <v>208916.2</v>
      </c>
      <c r="G40" s="61">
        <v>615366.5</v>
      </c>
      <c r="I40" s="316">
        <v>2014</v>
      </c>
      <c r="J40" s="61">
        <v>331888.3</v>
      </c>
      <c r="K40" s="61">
        <v>18560.8</v>
      </c>
      <c r="L40" s="61">
        <v>128935.8</v>
      </c>
      <c r="M40" s="61">
        <v>35053.9</v>
      </c>
      <c r="N40" s="61">
        <v>204492.5</v>
      </c>
      <c r="O40" s="61">
        <v>591121.5</v>
      </c>
      <c r="Q40" s="316">
        <v>2014</v>
      </c>
      <c r="R40" s="75">
        <v>397074.1</v>
      </c>
      <c r="S40" s="75">
        <v>16811.900000000001</v>
      </c>
      <c r="T40" s="75">
        <v>175450.4</v>
      </c>
      <c r="U40" s="75">
        <v>43468.6</v>
      </c>
      <c r="V40" s="75">
        <v>201805</v>
      </c>
      <c r="W40" s="75">
        <v>656684.1</v>
      </c>
      <c r="Y40" s="316">
        <v>2014</v>
      </c>
      <c r="Z40" s="75">
        <v>397563.9</v>
      </c>
      <c r="AA40" s="75">
        <v>16824.7</v>
      </c>
      <c r="AB40" s="75">
        <v>176737.1</v>
      </c>
      <c r="AC40" s="75">
        <v>43806.1</v>
      </c>
      <c r="AD40" s="75">
        <v>203210.7</v>
      </c>
      <c r="AE40" s="75">
        <v>661075.9</v>
      </c>
      <c r="AG40" s="316">
        <v>2014</v>
      </c>
      <c r="AH40" s="48">
        <f t="shared" si="56"/>
        <v>0.9987679967924652</v>
      </c>
      <c r="AI40" s="48">
        <f t="shared" si="56"/>
        <v>0.99923921377498559</v>
      </c>
      <c r="AJ40" s="48">
        <f t="shared" si="56"/>
        <v>0.9927196949593492</v>
      </c>
      <c r="AK40" s="48">
        <f t="shared" si="56"/>
        <v>0.99229559353606001</v>
      </c>
      <c r="AL40" s="48">
        <f t="shared" si="56"/>
        <v>0.99308254929489437</v>
      </c>
      <c r="AM40" s="48">
        <f t="shared" si="56"/>
        <v>0.9933565873449629</v>
      </c>
      <c r="AO40" s="316">
        <v>2014</v>
      </c>
      <c r="AP40" s="62">
        <v>3.2100840336134029E-2</v>
      </c>
      <c r="AS40" s="316">
        <v>2014</v>
      </c>
      <c r="AT40" s="308">
        <f t="shared" si="39"/>
        <v>2.8253936698086068E-2</v>
      </c>
      <c r="AU40" s="308">
        <f t="shared" si="40"/>
        <v>2.9230047216213695E-2</v>
      </c>
      <c r="AV40" s="308">
        <f t="shared" si="41"/>
        <v>9.6125618587359352E-3</v>
      </c>
      <c r="AW40" s="308">
        <f t="shared" si="42"/>
        <v>2.6905914505341411E-2</v>
      </c>
      <c r="AX40" s="308">
        <f t="shared" si="43"/>
        <v>8.0916570117901543E-3</v>
      </c>
      <c r="AY40" s="308">
        <f t="shared" si="44"/>
        <v>2.6118003280947155E-2</v>
      </c>
      <c r="BA40" s="316">
        <v>2014</v>
      </c>
      <c r="BB40" s="61">
        <v>15959</v>
      </c>
      <c r="BC40" s="61">
        <v>749.2</v>
      </c>
      <c r="BD40" s="61">
        <v>8989.5</v>
      </c>
      <c r="BE40" s="61">
        <v>2323.6</v>
      </c>
      <c r="BF40" s="61">
        <v>8694.5</v>
      </c>
      <c r="BG40" s="61">
        <v>16533.8</v>
      </c>
      <c r="BI40" s="316">
        <v>2014</v>
      </c>
      <c r="BJ40" s="61">
        <v>15200.9</v>
      </c>
      <c r="BK40" s="61">
        <v>717.4</v>
      </c>
      <c r="BL40" s="61">
        <v>8696</v>
      </c>
      <c r="BM40" s="61">
        <v>2225.1999999999998</v>
      </c>
      <c r="BN40" s="61">
        <v>8477.2000000000007</v>
      </c>
      <c r="BO40" s="61">
        <v>15858.4</v>
      </c>
      <c r="BQ40" s="316">
        <v>2014</v>
      </c>
      <c r="BR40" s="75">
        <v>20204.5</v>
      </c>
      <c r="BS40" s="75">
        <v>753.9</v>
      </c>
      <c r="BT40" s="75">
        <v>13007.2</v>
      </c>
      <c r="BU40" s="75">
        <v>3685.9</v>
      </c>
      <c r="BV40" s="75">
        <v>5466.7</v>
      </c>
      <c r="BW40" s="75">
        <v>15181.2</v>
      </c>
      <c r="BY40" s="316">
        <v>2014</v>
      </c>
      <c r="BZ40" s="75">
        <v>20396.3</v>
      </c>
      <c r="CA40" s="75">
        <v>760.5</v>
      </c>
      <c r="CB40" s="75">
        <v>13097.3</v>
      </c>
      <c r="CC40" s="75">
        <v>3729.7</v>
      </c>
      <c r="CD40" s="75">
        <v>5519</v>
      </c>
      <c r="CE40" s="75">
        <v>15350.3</v>
      </c>
      <c r="CG40" s="316">
        <v>2014</v>
      </c>
      <c r="CH40" s="48">
        <f t="shared" si="57"/>
        <v>0.9905963336487501</v>
      </c>
      <c r="CI40" s="48">
        <f t="shared" si="57"/>
        <v>0.99132149901380673</v>
      </c>
      <c r="CJ40" s="48">
        <f t="shared" si="57"/>
        <v>0.99312071953761472</v>
      </c>
      <c r="CK40" s="48">
        <f t="shared" si="57"/>
        <v>0.98825642813094894</v>
      </c>
      <c r="CL40" s="48">
        <f t="shared" si="57"/>
        <v>0.99052364558796879</v>
      </c>
      <c r="CM40" s="48">
        <f t="shared" si="57"/>
        <v>0.98898392865286033</v>
      </c>
      <c r="CO40" s="316">
        <v>2014</v>
      </c>
      <c r="CP40" s="62">
        <v>3.2100840336134029E-2</v>
      </c>
      <c r="CS40" s="316">
        <v>2014</v>
      </c>
      <c r="CT40" s="308">
        <f t="shared" si="45"/>
        <v>3.3566454459927009E-2</v>
      </c>
      <c r="CU40" s="308">
        <f t="shared" si="46"/>
        <v>3.5279180162737012E-2</v>
      </c>
      <c r="CV40" s="308">
        <f t="shared" si="47"/>
        <v>2.0443751599483972E-2</v>
      </c>
      <c r="CW40" s="308">
        <f t="shared" si="48"/>
        <v>3.633595182170235E-2</v>
      </c>
      <c r="CX40" s="308">
        <f t="shared" si="49"/>
        <v>1.6688421131801912E-2</v>
      </c>
      <c r="CY40" s="308">
        <f t="shared" si="50"/>
        <v>3.5730720339161026E-2</v>
      </c>
      <c r="DA40" s="316">
        <v>2014</v>
      </c>
      <c r="DB40" s="46">
        <f t="shared" si="23"/>
        <v>21894.499999999953</v>
      </c>
      <c r="DC40" s="46">
        <f t="shared" si="24"/>
        <v>892.39999999999782</v>
      </c>
      <c r="DD40" s="46">
        <f t="shared" si="25"/>
        <v>14061.3</v>
      </c>
      <c r="DE40" s="46">
        <f t="shared" si="26"/>
        <v>3399.7999999999984</v>
      </c>
      <c r="DF40" s="46">
        <f t="shared" si="27"/>
        <v>6490.8999999999942</v>
      </c>
      <c r="DG40" s="46">
        <f t="shared" si="28"/>
        <v>12743.700000000023</v>
      </c>
      <c r="DI40" s="316">
        <v>2014</v>
      </c>
      <c r="DJ40" s="88">
        <f t="shared" si="29"/>
        <v>5.4864894461287991E-2</v>
      </c>
      <c r="DK40" s="88">
        <f t="shared" si="30"/>
        <v>5.2628475048063755E-2</v>
      </c>
      <c r="DL40" s="88">
        <f t="shared" si="31"/>
        <v>7.9128941801710845E-2</v>
      </c>
      <c r="DM40" s="88">
        <f t="shared" si="32"/>
        <v>7.8199106637654586E-2</v>
      </c>
      <c r="DN40" s="88">
        <f t="shared" si="33"/>
        <v>3.1789682372542975E-2</v>
      </c>
      <c r="DO40" s="88">
        <f t="shared" si="34"/>
        <v>1.9353521872621886E-2</v>
      </c>
      <c r="DQ40" s="316">
        <v>2014</v>
      </c>
      <c r="DR40" s="61">
        <v>518811</v>
      </c>
      <c r="DS40" s="61">
        <v>523.41830000000004</v>
      </c>
      <c r="DT40" s="61">
        <v>529812.80000000005</v>
      </c>
      <c r="DU40" s="61">
        <v>530.19159999999999</v>
      </c>
      <c r="DV40" s="89">
        <v>-0.7</v>
      </c>
      <c r="DW40" s="46">
        <f t="shared" si="6"/>
        <v>522468.27794561937</v>
      </c>
      <c r="DX40" s="61">
        <v>528.17184661957629</v>
      </c>
      <c r="DY40" s="46">
        <f t="shared" si="7"/>
        <v>533547.63343403826</v>
      </c>
      <c r="DZ40" s="61">
        <v>535.00665993945506</v>
      </c>
      <c r="EB40" s="316">
        <v>2014</v>
      </c>
      <c r="EC40" s="88">
        <f t="shared" si="8"/>
        <v>3.8943854313035001E-2</v>
      </c>
      <c r="ED40" s="88">
        <f t="shared" si="9"/>
        <v>1.4531303306984625E-3</v>
      </c>
      <c r="EE40" s="88">
        <f t="shared" si="10"/>
        <v>2.507117235370877E-2</v>
      </c>
      <c r="EF40" s="88">
        <f t="shared" si="11"/>
        <v>7.1045139752241183E-3</v>
      </c>
      <c r="EG40" s="88">
        <f t="shared" si="12"/>
        <v>1.0536977820439428E-2</v>
      </c>
      <c r="EH40" s="88">
        <f t="shared" si="13"/>
        <v>2.9261522982357738E-2</v>
      </c>
      <c r="EI40" s="140"/>
      <c r="EJ40" s="316">
        <v>2014</v>
      </c>
      <c r="EK40" s="88">
        <f t="shared" si="14"/>
        <v>0.75999657158387146</v>
      </c>
      <c r="EL40" s="88">
        <f t="shared" si="15"/>
        <v>3.2177838750527647E-2</v>
      </c>
      <c r="EM40" s="88">
        <f t="shared" si="16"/>
        <v>0.33581062699133207</v>
      </c>
      <c r="EN40" s="88">
        <f t="shared" si="17"/>
        <v>8.3198543978443007E-2</v>
      </c>
      <c r="EO40" s="88">
        <f t="shared" si="18"/>
        <v>0.38625311529632178</v>
      </c>
      <c r="EP40" s="88">
        <f t="shared" si="19"/>
        <v>1.25688798290707</v>
      </c>
      <c r="ER40" s="316">
        <v>2014</v>
      </c>
      <c r="ES40" s="317">
        <f t="shared" si="35"/>
        <v>127083</v>
      </c>
      <c r="ET40" s="318">
        <v>16233</v>
      </c>
      <c r="EU40" s="318">
        <v>77850</v>
      </c>
      <c r="EV40" s="318">
        <v>33000</v>
      </c>
      <c r="EW40" s="88">
        <f t="shared" si="36"/>
        <v>0.12773541701092986</v>
      </c>
      <c r="EX40" s="88">
        <f t="shared" si="36"/>
        <v>0.61259177073251336</v>
      </c>
      <c r="EY40" s="88">
        <f t="shared" si="36"/>
        <v>0.25967281225655675</v>
      </c>
      <c r="EZ40" s="88">
        <f t="shared" si="51"/>
        <v>-1.0175877495534058E-3</v>
      </c>
      <c r="FA40" s="88">
        <f t="shared" si="51"/>
        <v>-8.077839159236655E-3</v>
      </c>
      <c r="FB40" s="88">
        <f t="shared" si="51"/>
        <v>9.0954269087901163E-3</v>
      </c>
      <c r="FC40" s="374"/>
      <c r="FD40" s="316">
        <v>2014</v>
      </c>
      <c r="FE40" s="159">
        <v>5.5259426229508192E-3</v>
      </c>
      <c r="FF40" s="159">
        <v>4.0000000000000001E-3</v>
      </c>
      <c r="FG40" s="159">
        <v>9.0000000000000011E-3</v>
      </c>
      <c r="FH40" s="159">
        <v>9.0000000000000011E-3</v>
      </c>
      <c r="FI40" s="319">
        <f t="shared" si="55"/>
        <v>-3.4740573770491818E-3</v>
      </c>
      <c r="FK40" s="345">
        <f t="shared" si="52"/>
        <v>1.8607252625205462E-2</v>
      </c>
      <c r="FL40" s="345">
        <f t="shared" si="53"/>
        <v>-2.7600613719967471E-3</v>
      </c>
      <c r="FM40" s="345">
        <f t="shared" si="54"/>
        <v>-2.3385876383085966E-3</v>
      </c>
      <c r="FO40" s="316">
        <v>2014</v>
      </c>
      <c r="FP40" s="61">
        <v>155428.16920263518</v>
      </c>
      <c r="FQ40" s="61">
        <v>7380.2958422805068</v>
      </c>
      <c r="FR40" s="61">
        <v>92341.114644232031</v>
      </c>
      <c r="FS40" s="61">
        <v>32867.215961007081</v>
      </c>
      <c r="FT40" s="61">
        <v>47380.301256210405</v>
      </c>
      <c r="FU40" s="61">
        <v>150196.69366653039</v>
      </c>
      <c r="FV40" s="285">
        <f t="shared" si="38"/>
        <v>485593.79057289567</v>
      </c>
    </row>
    <row r="41" spans="1:178" hidden="1" outlineLevel="1">
      <c r="A41" s="316">
        <v>2015</v>
      </c>
      <c r="B41" s="61">
        <v>349077.8</v>
      </c>
      <c r="C41" s="61">
        <v>19489.3</v>
      </c>
      <c r="D41" s="61">
        <v>133365.1</v>
      </c>
      <c r="E41" s="61">
        <v>36489.300000000003</v>
      </c>
      <c r="F41" s="61">
        <v>213062.9</v>
      </c>
      <c r="G41" s="61">
        <v>621213</v>
      </c>
      <c r="I41" s="316">
        <v>2015</v>
      </c>
      <c r="J41" s="61">
        <v>330041.59999999998</v>
      </c>
      <c r="K41" s="61">
        <v>18524.2</v>
      </c>
      <c r="L41" s="61">
        <v>128390.3</v>
      </c>
      <c r="M41" s="61">
        <v>34591</v>
      </c>
      <c r="N41" s="61">
        <v>206533.7</v>
      </c>
      <c r="O41" s="61">
        <v>593676.4</v>
      </c>
      <c r="Q41" s="316">
        <v>2015</v>
      </c>
      <c r="R41" s="75">
        <v>396088.2</v>
      </c>
      <c r="S41" s="75">
        <v>16738.099999999999</v>
      </c>
      <c r="T41" s="75">
        <v>176466.6</v>
      </c>
      <c r="U41" s="75">
        <v>44223.1</v>
      </c>
      <c r="V41" s="75">
        <v>203187.6</v>
      </c>
      <c r="W41" s="75">
        <v>662351.19999999995</v>
      </c>
      <c r="Y41" s="316">
        <v>2015</v>
      </c>
      <c r="Z41" s="75">
        <v>396088.2</v>
      </c>
      <c r="AA41" s="75">
        <v>16738.099999999999</v>
      </c>
      <c r="AB41" s="75">
        <v>176466.6</v>
      </c>
      <c r="AC41" s="75">
        <v>44223.1</v>
      </c>
      <c r="AD41" s="75">
        <v>203187.6</v>
      </c>
      <c r="AE41" s="75">
        <v>662351.19999999995</v>
      </c>
      <c r="AG41" s="316">
        <v>2015</v>
      </c>
      <c r="AH41" s="48">
        <f t="shared" si="56"/>
        <v>1</v>
      </c>
      <c r="AI41" s="48">
        <f t="shared" si="56"/>
        <v>1</v>
      </c>
      <c r="AJ41" s="48">
        <f t="shared" si="56"/>
        <v>1</v>
      </c>
      <c r="AK41" s="48">
        <f t="shared" si="56"/>
        <v>1</v>
      </c>
      <c r="AL41" s="48">
        <f t="shared" si="56"/>
        <v>1</v>
      </c>
      <c r="AM41" s="48">
        <f t="shared" si="56"/>
        <v>1</v>
      </c>
      <c r="AO41" s="316">
        <v>2015</v>
      </c>
      <c r="AP41" s="62">
        <v>-2.2879009933238881E-2</v>
      </c>
      <c r="AS41" s="316">
        <v>2015</v>
      </c>
      <c r="AT41" s="308">
        <f t="shared" si="39"/>
        <v>1.2335229117186319E-3</v>
      </c>
      <c r="AU41" s="308">
        <f t="shared" si="40"/>
        <v>7.6136546136962302E-4</v>
      </c>
      <c r="AV41" s="308">
        <f t="shared" si="41"/>
        <v>7.3336965888934902E-3</v>
      </c>
      <c r="AW41" s="308">
        <f t="shared" si="42"/>
        <v>7.7642252108418575E-3</v>
      </c>
      <c r="AX41" s="308">
        <f t="shared" si="43"/>
        <v>6.9656351428359908E-3</v>
      </c>
      <c r="AY41" s="308">
        <f t="shared" si="44"/>
        <v>6.6878427542254038E-3</v>
      </c>
      <c r="BA41" s="316">
        <v>2015</v>
      </c>
      <c r="BB41" s="61">
        <v>15926.1</v>
      </c>
      <c r="BC41" s="61">
        <v>806.6</v>
      </c>
      <c r="BD41" s="61">
        <v>9665.1</v>
      </c>
      <c r="BE41" s="61">
        <v>2345.1</v>
      </c>
      <c r="BF41" s="61">
        <v>8771.7000000000007</v>
      </c>
      <c r="BG41" s="61">
        <v>16332.2</v>
      </c>
      <c r="BI41" s="316">
        <v>2015</v>
      </c>
      <c r="BJ41" s="61">
        <v>15041.1</v>
      </c>
      <c r="BK41" s="61">
        <v>763.5</v>
      </c>
      <c r="BL41" s="61">
        <v>9285</v>
      </c>
      <c r="BM41" s="61">
        <v>2222.9</v>
      </c>
      <c r="BN41" s="61">
        <v>8480.4</v>
      </c>
      <c r="BO41" s="61">
        <v>15511</v>
      </c>
      <c r="BQ41" s="316">
        <v>2015</v>
      </c>
      <c r="BR41" s="75">
        <v>20306.099999999999</v>
      </c>
      <c r="BS41" s="75">
        <v>799.2</v>
      </c>
      <c r="BT41" s="75">
        <v>13733.5</v>
      </c>
      <c r="BU41" s="75">
        <v>3845.7</v>
      </c>
      <c r="BV41" s="75">
        <v>6435.7</v>
      </c>
      <c r="BW41" s="75">
        <v>14036.3</v>
      </c>
      <c r="BY41" s="316">
        <v>2015</v>
      </c>
      <c r="BZ41" s="75">
        <v>20306.099999999999</v>
      </c>
      <c r="CA41" s="75">
        <v>799.2</v>
      </c>
      <c r="CB41" s="75">
        <v>13733.5</v>
      </c>
      <c r="CC41" s="75">
        <v>3845.7</v>
      </c>
      <c r="CD41" s="75">
        <v>6435.7</v>
      </c>
      <c r="CE41" s="75">
        <v>14036.3</v>
      </c>
      <c r="CG41" s="316">
        <v>2015</v>
      </c>
      <c r="CH41" s="48">
        <f t="shared" si="57"/>
        <v>1</v>
      </c>
      <c r="CI41" s="48">
        <f t="shared" si="57"/>
        <v>1</v>
      </c>
      <c r="CJ41" s="48">
        <f t="shared" si="57"/>
        <v>1</v>
      </c>
      <c r="CK41" s="48">
        <f t="shared" si="57"/>
        <v>1</v>
      </c>
      <c r="CL41" s="48">
        <f t="shared" si="57"/>
        <v>1</v>
      </c>
      <c r="CM41" s="48">
        <f t="shared" si="57"/>
        <v>1</v>
      </c>
      <c r="CO41" s="316">
        <v>2015</v>
      </c>
      <c r="CP41" s="62">
        <v>-2.2879009933238881E-2</v>
      </c>
      <c r="CS41" s="316">
        <v>2015</v>
      </c>
      <c r="CT41" s="308">
        <f t="shared" si="45"/>
        <v>9.4929347422603172E-3</v>
      </c>
      <c r="CU41" s="308">
        <f t="shared" si="46"/>
        <v>8.7544767210505636E-3</v>
      </c>
      <c r="CV41" s="308">
        <f t="shared" si="47"/>
        <v>6.9269327756933397E-3</v>
      </c>
      <c r="CW41" s="308">
        <f t="shared" si="48"/>
        <v>1.1883122168262705E-2</v>
      </c>
      <c r="CX41" s="308">
        <f t="shared" si="49"/>
        <v>9.5670148352753337E-3</v>
      </c>
      <c r="CY41" s="308">
        <f t="shared" si="50"/>
        <v>1.1138776908281134E-2</v>
      </c>
      <c r="DA41" s="316">
        <v>2015</v>
      </c>
      <c r="DB41" s="46">
        <f t="shared" si="23"/>
        <v>21781.80000000001</v>
      </c>
      <c r="DC41" s="46">
        <f t="shared" si="24"/>
        <v>885.80000000000223</v>
      </c>
      <c r="DD41" s="46">
        <f t="shared" si="25"/>
        <v>14004</v>
      </c>
      <c r="DE41" s="46">
        <f t="shared" si="26"/>
        <v>3428.7</v>
      </c>
      <c r="DF41" s="46">
        <f t="shared" si="27"/>
        <v>6458.8000000000056</v>
      </c>
      <c r="DG41" s="46">
        <f t="shared" si="28"/>
        <v>12761.000000000069</v>
      </c>
      <c r="DI41" s="316">
        <v>2015</v>
      </c>
      <c r="DJ41" s="88">
        <f t="shared" si="29"/>
        <v>5.4788173674722503E-2</v>
      </c>
      <c r="DK41" s="88">
        <f t="shared" si="30"/>
        <v>5.2648784227950704E-2</v>
      </c>
      <c r="DL41" s="88">
        <f t="shared" si="31"/>
        <v>7.9236334646206136E-2</v>
      </c>
      <c r="DM41" s="88">
        <f t="shared" si="32"/>
        <v>7.8269921312328641E-2</v>
      </c>
      <c r="DN41" s="88">
        <f t="shared" si="33"/>
        <v>3.178375941818027E-2</v>
      </c>
      <c r="DO41" s="88">
        <f t="shared" si="34"/>
        <v>1.930338104898404E-2</v>
      </c>
      <c r="DQ41" s="316">
        <v>2015</v>
      </c>
      <c r="DR41" s="61">
        <v>538032.30000000005</v>
      </c>
      <c r="DS41" s="61">
        <v>540.73940000000005</v>
      </c>
      <c r="DT41" s="61">
        <v>538081.19999999995</v>
      </c>
      <c r="DU41" s="61">
        <v>539.40930000000003</v>
      </c>
      <c r="DV41" s="89">
        <v>0</v>
      </c>
      <c r="DW41" s="46">
        <f t="shared" si="6"/>
        <v>538032.30000000005</v>
      </c>
      <c r="DX41" s="61">
        <v>541.28068068068069</v>
      </c>
      <c r="DY41" s="46">
        <f t="shared" si="7"/>
        <v>538081.19999999995</v>
      </c>
      <c r="DZ41" s="61">
        <v>539.94924924924931</v>
      </c>
      <c r="EB41" s="316">
        <v>2015</v>
      </c>
      <c r="EC41" s="88">
        <f t="shared" si="8"/>
        <v>3.7741414409506638E-2</v>
      </c>
      <c r="ED41" s="88">
        <f t="shared" si="9"/>
        <v>1.485412678755532E-3</v>
      </c>
      <c r="EE41" s="88">
        <f t="shared" si="10"/>
        <v>2.5525419198810181E-2</v>
      </c>
      <c r="EF41" s="88">
        <f t="shared" si="11"/>
        <v>7.1477121354981835E-3</v>
      </c>
      <c r="EG41" s="88">
        <f t="shared" si="12"/>
        <v>1.1961549520354074E-2</v>
      </c>
      <c r="EH41" s="88">
        <f t="shared" si="13"/>
        <v>2.6088210689209548E-2</v>
      </c>
      <c r="EI41" s="140"/>
      <c r="EJ41" s="316">
        <v>2015</v>
      </c>
      <c r="EK41" s="88">
        <f t="shared" si="14"/>
        <v>0.73617922195377483</v>
      </c>
      <c r="EL41" s="88">
        <f t="shared" si="15"/>
        <v>3.1109842290137593E-2</v>
      </c>
      <c r="EM41" s="88">
        <f t="shared" si="16"/>
        <v>0.32798514141251367</v>
      </c>
      <c r="EN41" s="88">
        <f t="shared" si="17"/>
        <v>8.2194135928270462E-2</v>
      </c>
      <c r="EO41" s="88">
        <f t="shared" si="18"/>
        <v>0.37764944595333771</v>
      </c>
      <c r="EP41" s="88">
        <f t="shared" si="19"/>
        <v>1.2310621499861623</v>
      </c>
      <c r="ER41" s="316">
        <v>2015</v>
      </c>
      <c r="ES41" s="317">
        <f t="shared" si="35"/>
        <v>127095</v>
      </c>
      <c r="ET41" s="318">
        <v>15945</v>
      </c>
      <c r="EU41" s="318">
        <v>77282</v>
      </c>
      <c r="EV41" s="318">
        <v>33868</v>
      </c>
      <c r="EW41" s="88">
        <f t="shared" si="36"/>
        <v>0.12545733506432197</v>
      </c>
      <c r="EX41" s="88">
        <f t="shared" si="36"/>
        <v>0.60806483339234429</v>
      </c>
      <c r="EY41" s="88">
        <f t="shared" si="36"/>
        <v>0.26647783154333371</v>
      </c>
      <c r="EZ41" s="88">
        <f t="shared" si="51"/>
        <v>-2.2780819466078905E-3</v>
      </c>
      <c r="FA41" s="88">
        <f t="shared" si="51"/>
        <v>-4.5269373401690682E-3</v>
      </c>
      <c r="FB41" s="88">
        <f t="shared" si="51"/>
        <v>6.8050192867769588E-3</v>
      </c>
      <c r="FC41" s="374"/>
      <c r="FD41" s="316">
        <v>2015</v>
      </c>
      <c r="FE41" s="159">
        <v>3.637786885245897E-3</v>
      </c>
      <c r="FF41" s="159">
        <v>3.0000000000000001E-3</v>
      </c>
      <c r="FG41" s="159">
        <v>9.0000000000000011E-3</v>
      </c>
      <c r="FH41" s="159">
        <v>9.0000000000000011E-3</v>
      </c>
      <c r="FI41" s="319">
        <f t="shared" si="55"/>
        <v>-5.362213114754104E-3</v>
      </c>
      <c r="FK41" s="345">
        <f t="shared" si="52"/>
        <v>2.5675150238741451E-2</v>
      </c>
      <c r="FL41" s="345">
        <f t="shared" si="53"/>
        <v>-1.6198717975116628E-3</v>
      </c>
      <c r="FM41" s="345">
        <f t="shared" si="54"/>
        <v>-2.5148037177635599E-3</v>
      </c>
      <c r="FO41" s="316">
        <v>2015</v>
      </c>
      <c r="FP41" s="61">
        <v>172758.35708535835</v>
      </c>
      <c r="FQ41" s="61">
        <v>9479.4237761110289</v>
      </c>
      <c r="FR41" s="61">
        <v>123036.59479117366</v>
      </c>
      <c r="FS41" s="61">
        <v>42911.002668863453</v>
      </c>
      <c r="FT41" s="61">
        <v>49537.703405259403</v>
      </c>
      <c r="FU41" s="61">
        <v>141850.29847867921</v>
      </c>
      <c r="FV41" s="285">
        <f t="shared" si="38"/>
        <v>539573.38020544511</v>
      </c>
    </row>
    <row r="42" spans="1:178" hidden="1" outlineLevel="1">
      <c r="A42" s="316">
        <v>2016</v>
      </c>
      <c r="B42" s="61">
        <v>348254.1</v>
      </c>
      <c r="C42" s="61">
        <v>19489.2</v>
      </c>
      <c r="D42" s="61">
        <v>133526.39999999999</v>
      </c>
      <c r="E42" s="61">
        <v>35981.5</v>
      </c>
      <c r="F42" s="61">
        <v>214934.3</v>
      </c>
      <c r="G42" s="61">
        <v>626883.30000000005</v>
      </c>
      <c r="I42" s="316">
        <v>2016</v>
      </c>
      <c r="J42" s="61">
        <v>328929.3</v>
      </c>
      <c r="K42" s="61">
        <v>18486.599999999999</v>
      </c>
      <c r="L42" s="61">
        <v>128300.7</v>
      </c>
      <c r="M42" s="61">
        <v>34012.6</v>
      </c>
      <c r="N42" s="61">
        <v>208858.5</v>
      </c>
      <c r="O42" s="61">
        <v>595391.1</v>
      </c>
      <c r="Q42" s="316">
        <v>2016</v>
      </c>
      <c r="R42" s="75">
        <v>395649.9</v>
      </c>
      <c r="S42" s="75">
        <v>16677.599999999999</v>
      </c>
      <c r="T42" s="75">
        <v>176968.4</v>
      </c>
      <c r="U42" s="75">
        <v>44790.6</v>
      </c>
      <c r="V42" s="75">
        <v>203913.5</v>
      </c>
      <c r="W42" s="75">
        <v>667259.69999999995</v>
      </c>
      <c r="Y42" s="316">
        <v>2016</v>
      </c>
      <c r="Z42" s="75">
        <v>395142.6</v>
      </c>
      <c r="AA42" s="75">
        <v>16656.8</v>
      </c>
      <c r="AB42" s="75">
        <v>177048.3</v>
      </c>
      <c r="AC42" s="75">
        <v>44746.400000000001</v>
      </c>
      <c r="AD42" s="75">
        <v>204271.2</v>
      </c>
      <c r="AE42" s="75">
        <v>663206.30000000005</v>
      </c>
      <c r="AG42" s="316">
        <v>2016</v>
      </c>
      <c r="AH42" s="48">
        <f t="shared" si="56"/>
        <v>1.0012838403148636</v>
      </c>
      <c r="AI42" s="48">
        <f t="shared" si="56"/>
        <v>1.0012487392536382</v>
      </c>
      <c r="AJ42" s="48">
        <f t="shared" si="56"/>
        <v>0.99954871071905238</v>
      </c>
      <c r="AK42" s="48">
        <f t="shared" si="56"/>
        <v>1.0009877889617935</v>
      </c>
      <c r="AL42" s="48">
        <f t="shared" si="56"/>
        <v>0.99824889656495863</v>
      </c>
      <c r="AM42" s="48">
        <f t="shared" si="56"/>
        <v>1.0061118237266442</v>
      </c>
      <c r="AO42" s="316">
        <v>2016</v>
      </c>
      <c r="AP42" s="62">
        <v>-3.5080409965832948E-2</v>
      </c>
      <c r="AS42" s="316">
        <v>2016</v>
      </c>
      <c r="AT42" s="308">
        <f t="shared" si="39"/>
        <v>1.2838403148636157E-3</v>
      </c>
      <c r="AU42" s="308">
        <f t="shared" si="40"/>
        <v>1.2487392536382202E-3</v>
      </c>
      <c r="AV42" s="308">
        <f t="shared" si="41"/>
        <v>-4.5128928094761989E-4</v>
      </c>
      <c r="AW42" s="308">
        <f t="shared" si="42"/>
        <v>9.8778896179352316E-4</v>
      </c>
      <c r="AX42" s="308">
        <f t="shared" si="43"/>
        <v>-1.7511034350413679E-3</v>
      </c>
      <c r="AY42" s="308">
        <f t="shared" si="44"/>
        <v>6.1118237266442055E-3</v>
      </c>
      <c r="BA42" s="316">
        <v>2016</v>
      </c>
      <c r="BB42" s="61">
        <v>16753.400000000001</v>
      </c>
      <c r="BC42" s="61">
        <v>805.8</v>
      </c>
      <c r="BD42" s="61">
        <v>9970</v>
      </c>
      <c r="BE42" s="61">
        <v>2259.5</v>
      </c>
      <c r="BF42" s="61">
        <v>8156.9</v>
      </c>
      <c r="BG42" s="61">
        <v>16498.2</v>
      </c>
      <c r="BI42" s="316">
        <v>2016</v>
      </c>
      <c r="BJ42" s="61">
        <v>15932.3</v>
      </c>
      <c r="BK42" s="61">
        <v>769</v>
      </c>
      <c r="BL42" s="61">
        <v>9631.9</v>
      </c>
      <c r="BM42" s="61">
        <v>2128.8000000000002</v>
      </c>
      <c r="BN42" s="61">
        <v>7951.1</v>
      </c>
      <c r="BO42" s="61">
        <v>15765.9</v>
      </c>
      <c r="BQ42" s="316">
        <v>2016</v>
      </c>
      <c r="BR42" s="75">
        <v>20990.2</v>
      </c>
      <c r="BS42" s="75">
        <v>803.9</v>
      </c>
      <c r="BT42" s="75">
        <v>14394.1</v>
      </c>
      <c r="BU42" s="75">
        <v>4070.2</v>
      </c>
      <c r="BV42" s="75">
        <v>6604.7</v>
      </c>
      <c r="BW42" s="75">
        <v>14600.8</v>
      </c>
      <c r="BY42" s="316">
        <v>2016</v>
      </c>
      <c r="BZ42" s="75">
        <v>21092.400000000001</v>
      </c>
      <c r="CA42" s="75">
        <v>810.5</v>
      </c>
      <c r="CB42" s="75">
        <v>14496.8</v>
      </c>
      <c r="CC42" s="75">
        <v>4065</v>
      </c>
      <c r="CD42" s="75">
        <v>6674.8</v>
      </c>
      <c r="CE42" s="75">
        <v>14672.5</v>
      </c>
      <c r="CG42" s="316">
        <v>2016</v>
      </c>
      <c r="CH42" s="48">
        <f t="shared" si="57"/>
        <v>0.995154652860746</v>
      </c>
      <c r="CI42" s="48">
        <f t="shared" si="57"/>
        <v>0.99185687847008019</v>
      </c>
      <c r="CJ42" s="48">
        <f t="shared" si="57"/>
        <v>0.99291567794271851</v>
      </c>
      <c r="CK42" s="48">
        <f t="shared" si="57"/>
        <v>1.0012792127921279</v>
      </c>
      <c r="CL42" s="48">
        <f t="shared" si="57"/>
        <v>0.98949781266854431</v>
      </c>
      <c r="CM42" s="48">
        <f t="shared" si="57"/>
        <v>0.99511330720736069</v>
      </c>
      <c r="CO42" s="316">
        <v>2016</v>
      </c>
      <c r="CP42" s="62">
        <v>-3.5080409965832948E-2</v>
      </c>
      <c r="CR42" s="45"/>
      <c r="CS42" s="316">
        <v>2016</v>
      </c>
      <c r="CT42" s="308">
        <f t="shared" si="45"/>
        <v>-4.8453471392539971E-3</v>
      </c>
      <c r="CU42" s="308">
        <f t="shared" si="46"/>
        <v>-8.1431215299198056E-3</v>
      </c>
      <c r="CV42" s="308">
        <f t="shared" si="47"/>
        <v>-7.0843220572814891E-3</v>
      </c>
      <c r="CW42" s="308">
        <f t="shared" si="48"/>
        <v>1.2792127921279484E-3</v>
      </c>
      <c r="CX42" s="308">
        <f t="shared" si="49"/>
        <v>-1.0502187331455692E-2</v>
      </c>
      <c r="CY42" s="308">
        <f t="shared" si="50"/>
        <v>-4.8866927926393133E-3</v>
      </c>
      <c r="DA42" s="316">
        <v>2016</v>
      </c>
      <c r="DB42" s="46">
        <f t="shared" si="23"/>
        <v>22038.000000000036</v>
      </c>
      <c r="DC42" s="46">
        <f t="shared" si="24"/>
        <v>891.79999999999927</v>
      </c>
      <c r="DD42" s="46">
        <f t="shared" si="25"/>
        <v>13915.100000000017</v>
      </c>
      <c r="DE42" s="46">
        <f t="shared" si="26"/>
        <v>3541.6999999999971</v>
      </c>
      <c r="DF42" s="46">
        <f t="shared" si="27"/>
        <v>5591.1999999999944</v>
      </c>
      <c r="DG42" s="46">
        <f t="shared" si="28"/>
        <v>13817.399999999907</v>
      </c>
      <c r="DI42" s="316">
        <v>2016</v>
      </c>
      <c r="DJ42" s="88">
        <f t="shared" si="29"/>
        <v>5.5639122801436743E-2</v>
      </c>
      <c r="DK42" s="88">
        <f t="shared" si="30"/>
        <v>5.3279643448181056E-2</v>
      </c>
      <c r="DL42" s="88">
        <f t="shared" si="31"/>
        <v>7.8854015434082242E-2</v>
      </c>
      <c r="DM42" s="88">
        <f t="shared" si="32"/>
        <v>8.0087103798693382E-2</v>
      </c>
      <c r="DN42" s="88">
        <f t="shared" si="33"/>
        <v>2.7517427244575919E-2</v>
      </c>
      <c r="DO42" s="88">
        <f t="shared" si="34"/>
        <v>2.0861138320576619E-2</v>
      </c>
      <c r="DQ42" s="316">
        <v>2016</v>
      </c>
      <c r="DR42" s="61">
        <v>544364.6</v>
      </c>
      <c r="DS42" s="61">
        <v>544.82719999999995</v>
      </c>
      <c r="DT42" s="61">
        <v>542137.4</v>
      </c>
      <c r="DU42" s="61">
        <v>543.46249999999998</v>
      </c>
      <c r="DV42" s="89">
        <v>-0.2</v>
      </c>
      <c r="DW42" s="46">
        <f t="shared" si="6"/>
        <v>545455.51102204411</v>
      </c>
      <c r="DX42" s="61">
        <v>545.91903807615222</v>
      </c>
      <c r="DY42" s="46">
        <f t="shared" si="7"/>
        <v>543223.84769539081</v>
      </c>
      <c r="DZ42" s="61">
        <v>544.55160320641278</v>
      </c>
      <c r="EB42" s="316">
        <v>2016</v>
      </c>
      <c r="EC42" s="88">
        <f t="shared" si="8"/>
        <v>3.8559083379044123E-2</v>
      </c>
      <c r="ED42" s="88">
        <f t="shared" si="9"/>
        <v>1.4767675928963786E-3</v>
      </c>
      <c r="EE42" s="88">
        <f t="shared" si="10"/>
        <v>2.6442020660417672E-2</v>
      </c>
      <c r="EF42" s="88">
        <f t="shared" si="11"/>
        <v>7.4769740721567857E-3</v>
      </c>
      <c r="EG42" s="88">
        <f t="shared" si="12"/>
        <v>1.2132860953853354E-2</v>
      </c>
      <c r="EH42" s="88">
        <f t="shared" si="13"/>
        <v>2.682172940709223E-2</v>
      </c>
      <c r="EI42" s="140"/>
      <c r="EJ42" s="316">
        <v>2016</v>
      </c>
      <c r="EK42" s="88">
        <f t="shared" si="14"/>
        <v>0.72535686596813975</v>
      </c>
      <c r="EL42" s="88">
        <f t="shared" si="15"/>
        <v>3.0575545874952186E-2</v>
      </c>
      <c r="EM42" s="88">
        <f t="shared" si="16"/>
        <v>0.32444149233803959</v>
      </c>
      <c r="EN42" s="88">
        <f t="shared" si="17"/>
        <v>8.2115954637755645E-2</v>
      </c>
      <c r="EO42" s="88">
        <f t="shared" si="18"/>
        <v>0.37384075489111523</v>
      </c>
      <c r="EP42" s="88">
        <f t="shared" si="19"/>
        <v>1.2233072844927828</v>
      </c>
      <c r="ER42" s="316">
        <v>2016</v>
      </c>
      <c r="ES42" s="317">
        <f t="shared" si="35"/>
        <v>126933</v>
      </c>
      <c r="ET42" s="318">
        <v>15780</v>
      </c>
      <c r="EU42" s="318">
        <v>76562</v>
      </c>
      <c r="EV42" s="318">
        <v>34591</v>
      </c>
      <c r="EW42" s="88">
        <f t="shared" si="36"/>
        <v>0.12431755335491952</v>
      </c>
      <c r="EX42" s="88">
        <f t="shared" si="36"/>
        <v>0.60316860075788015</v>
      </c>
      <c r="EY42" s="88">
        <f t="shared" si="36"/>
        <v>0.27251384588720035</v>
      </c>
      <c r="EZ42" s="88">
        <f t="shared" si="51"/>
        <v>-1.1397817094024459E-3</v>
      </c>
      <c r="FA42" s="88">
        <f t="shared" si="51"/>
        <v>-4.8962326344641482E-3</v>
      </c>
      <c r="FB42" s="88">
        <f t="shared" si="51"/>
        <v>6.0360143438666358E-3</v>
      </c>
      <c r="FC42" s="374"/>
      <c r="FD42" s="316">
        <v>2016</v>
      </c>
      <c r="FE42" s="159">
        <v>-4.9832653061224468E-4</v>
      </c>
      <c r="FF42" s="159">
        <v>-1E-3</v>
      </c>
      <c r="FG42" s="159">
        <v>9.0000000000000011E-3</v>
      </c>
      <c r="FH42" s="159">
        <v>9.0000000000000011E-3</v>
      </c>
      <c r="FI42" s="319">
        <f t="shared" si="55"/>
        <v>-9.4983265306122465E-3</v>
      </c>
      <c r="FK42" s="345">
        <f t="shared" si="52"/>
        <v>-9.6478769742992521E-3</v>
      </c>
      <c r="FL42" s="345">
        <f t="shared" si="53"/>
        <v>-4.2111296393911868E-3</v>
      </c>
      <c r="FM42" s="345">
        <f t="shared" si="54"/>
        <v>-8.9788697070547312E-4</v>
      </c>
      <c r="FO42" s="316">
        <v>2016</v>
      </c>
      <c r="FP42" s="61">
        <v>184859.32104184831</v>
      </c>
      <c r="FQ42" s="61">
        <v>10376.665837614433</v>
      </c>
      <c r="FR42" s="61">
        <v>138150.67098517879</v>
      </c>
      <c r="FS42" s="61">
        <v>46329.036287384544</v>
      </c>
      <c r="FT42" s="61">
        <v>50138.464741578318</v>
      </c>
      <c r="FU42" s="61">
        <v>151234.07808652165</v>
      </c>
      <c r="FV42" s="285">
        <f t="shared" si="38"/>
        <v>581088.23698012601</v>
      </c>
    </row>
    <row r="43" spans="1:178" hidden="1" outlineLevel="1">
      <c r="A43" s="316">
        <v>2017</v>
      </c>
      <c r="B43" s="61">
        <v>353533.6</v>
      </c>
      <c r="C43" s="61">
        <v>19652.900000000001</v>
      </c>
      <c r="D43" s="61">
        <v>136327.9</v>
      </c>
      <c r="E43" s="61">
        <v>36002.6</v>
      </c>
      <c r="F43" s="61">
        <v>219924.7</v>
      </c>
      <c r="G43" s="61">
        <v>640013.1</v>
      </c>
      <c r="I43" s="316">
        <v>2017</v>
      </c>
      <c r="J43" s="61">
        <v>328469.59999999998</v>
      </c>
      <c r="K43" s="61">
        <v>18311.400000000001</v>
      </c>
      <c r="L43" s="61">
        <v>128980.7</v>
      </c>
      <c r="M43" s="61">
        <v>33500.699999999997</v>
      </c>
      <c r="N43" s="61">
        <v>210770.8</v>
      </c>
      <c r="O43" s="61">
        <v>598352</v>
      </c>
      <c r="Q43" s="316">
        <v>2017</v>
      </c>
      <c r="R43" s="75">
        <v>402402.8</v>
      </c>
      <c r="S43" s="75">
        <v>16761.7</v>
      </c>
      <c r="T43" s="75">
        <v>181151.3</v>
      </c>
      <c r="U43" s="75">
        <v>45781.3</v>
      </c>
      <c r="V43" s="75">
        <v>206241.2</v>
      </c>
      <c r="W43" s="75">
        <v>680584.1</v>
      </c>
      <c r="Y43" s="316">
        <v>2017</v>
      </c>
      <c r="Z43" s="75">
        <v>394739.20000000001</v>
      </c>
      <c r="AA43" s="75">
        <v>16447.599999999999</v>
      </c>
      <c r="AB43" s="75">
        <v>178437.9</v>
      </c>
      <c r="AC43" s="75">
        <v>45007.4</v>
      </c>
      <c r="AD43" s="75">
        <v>204073.8</v>
      </c>
      <c r="AE43" s="75">
        <v>665578.1</v>
      </c>
      <c r="AG43" s="316">
        <v>2017</v>
      </c>
      <c r="AH43" s="48">
        <f t="shared" si="56"/>
        <v>1.0194143373650248</v>
      </c>
      <c r="AI43" s="48">
        <f t="shared" si="56"/>
        <v>1.0190970111140836</v>
      </c>
      <c r="AJ43" s="48">
        <f t="shared" si="56"/>
        <v>1.0152064107456991</v>
      </c>
      <c r="AK43" s="48">
        <f t="shared" si="56"/>
        <v>1.0171949501637509</v>
      </c>
      <c r="AL43" s="48">
        <f t="shared" si="56"/>
        <v>1.0106206676212235</v>
      </c>
      <c r="AM43" s="48">
        <f t="shared" si="56"/>
        <v>1.0225458139322794</v>
      </c>
      <c r="AO43" s="316">
        <v>2017</v>
      </c>
      <c r="AP43" s="62">
        <v>2.3056994818652754E-2</v>
      </c>
      <c r="AS43" s="316">
        <v>2017</v>
      </c>
      <c r="AT43" s="308">
        <f t="shared" si="39"/>
        <v>1.8107250232321626E-2</v>
      </c>
      <c r="AU43" s="308">
        <f t="shared" si="40"/>
        <v>1.7826011819750187E-2</v>
      </c>
      <c r="AV43" s="308">
        <f t="shared" si="41"/>
        <v>1.5664769369151399E-2</v>
      </c>
      <c r="AW43" s="308">
        <f t="shared" si="42"/>
        <v>1.6191167745180257E-2</v>
      </c>
      <c r="AX43" s="308">
        <f t="shared" si="43"/>
        <v>1.2393473309949998E-2</v>
      </c>
      <c r="AY43" s="308">
        <f t="shared" si="44"/>
        <v>1.6334158706895696E-2</v>
      </c>
      <c r="BA43" s="316">
        <v>2017</v>
      </c>
      <c r="BB43" s="61">
        <v>17310.900000000001</v>
      </c>
      <c r="BC43" s="61">
        <v>658.8</v>
      </c>
      <c r="BD43" s="61">
        <v>11006.4</v>
      </c>
      <c r="BE43" s="61">
        <v>2232.3000000000002</v>
      </c>
      <c r="BF43" s="61">
        <v>8835.2999999999993</v>
      </c>
      <c r="BG43" s="61">
        <v>17015.3</v>
      </c>
      <c r="BI43" s="316">
        <v>2017</v>
      </c>
      <c r="BJ43" s="61">
        <v>16196.3</v>
      </c>
      <c r="BK43" s="61">
        <v>617.29999999999995</v>
      </c>
      <c r="BL43" s="61">
        <v>10454.799999999999</v>
      </c>
      <c r="BM43" s="61">
        <v>2067</v>
      </c>
      <c r="BN43" s="61">
        <v>8490.5</v>
      </c>
      <c r="BO43" s="61">
        <v>15967.8</v>
      </c>
      <c r="BQ43" s="316">
        <v>2017</v>
      </c>
      <c r="BR43" s="75">
        <v>21455.7</v>
      </c>
      <c r="BS43" s="75">
        <v>673</v>
      </c>
      <c r="BT43" s="75">
        <v>15586.2</v>
      </c>
      <c r="BU43" s="75">
        <v>3803.7</v>
      </c>
      <c r="BV43" s="75">
        <v>6326.3</v>
      </c>
      <c r="BW43" s="75">
        <v>15256.2</v>
      </c>
      <c r="BY43" s="316">
        <v>2017</v>
      </c>
      <c r="BZ43" s="75">
        <v>21194.400000000001</v>
      </c>
      <c r="CA43" s="75">
        <v>667.8</v>
      </c>
      <c r="CB43" s="75">
        <v>15455.5</v>
      </c>
      <c r="CC43" s="75">
        <v>3741.6</v>
      </c>
      <c r="CD43" s="75">
        <v>6309.6</v>
      </c>
      <c r="CE43" s="75">
        <v>15064.4</v>
      </c>
      <c r="CG43" s="316">
        <v>2017</v>
      </c>
      <c r="CH43" s="48">
        <f t="shared" si="57"/>
        <v>1.012328728343336</v>
      </c>
      <c r="CI43" s="48">
        <f t="shared" si="57"/>
        <v>1.0077867625037438</v>
      </c>
      <c r="CJ43" s="48">
        <f t="shared" si="57"/>
        <v>1.0084565365080393</v>
      </c>
      <c r="CK43" s="48">
        <f t="shared" si="57"/>
        <v>1.0165971776779987</v>
      </c>
      <c r="CL43" s="48">
        <f t="shared" si="57"/>
        <v>1.0026467604919487</v>
      </c>
      <c r="CM43" s="48">
        <f t="shared" si="57"/>
        <v>1.0127320039297949</v>
      </c>
      <c r="CO43" s="316">
        <v>2017</v>
      </c>
      <c r="CP43" s="62">
        <v>2.3056994818652754E-2</v>
      </c>
      <c r="CR43" s="45"/>
      <c r="CS43" s="316">
        <v>2017</v>
      </c>
      <c r="CT43" s="308">
        <f t="shared" si="45"/>
        <v>1.7257695005715945E-2</v>
      </c>
      <c r="CU43" s="308">
        <f t="shared" si="46"/>
        <v>1.6060668005080547E-2</v>
      </c>
      <c r="CV43" s="308">
        <f t="shared" si="47"/>
        <v>1.5651740536035019E-2</v>
      </c>
      <c r="CW43" s="308">
        <f t="shared" si="48"/>
        <v>1.5298394983309205E-2</v>
      </c>
      <c r="CX43" s="308">
        <f t="shared" si="49"/>
        <v>1.3288506204923722E-2</v>
      </c>
      <c r="CY43" s="308">
        <f t="shared" si="50"/>
        <v>1.7705216677162516E-2</v>
      </c>
      <c r="DA43" s="316">
        <v>2017</v>
      </c>
      <c r="DB43" s="46">
        <f t="shared" si="23"/>
        <v>21597.799999999967</v>
      </c>
      <c r="DC43" s="46">
        <f t="shared" si="24"/>
        <v>877.00000000000068</v>
      </c>
      <c r="DD43" s="46">
        <f t="shared" si="25"/>
        <v>14065.899999999994</v>
      </c>
      <c r="DE43" s="46">
        <f t="shared" si="26"/>
        <v>3480.6</v>
      </c>
      <c r="DF43" s="46">
        <f t="shared" si="27"/>
        <v>6507.0000000000236</v>
      </c>
      <c r="DG43" s="46">
        <f t="shared" si="28"/>
        <v>12692.600000000069</v>
      </c>
      <c r="DI43" s="316">
        <v>2017</v>
      </c>
      <c r="DJ43" s="88">
        <f t="shared" si="29"/>
        <v>5.4658242366173546E-2</v>
      </c>
      <c r="DK43" s="88">
        <f t="shared" si="30"/>
        <v>5.2651169492339507E-2</v>
      </c>
      <c r="DL43" s="88">
        <f t="shared" si="31"/>
        <v>7.944668206359505E-2</v>
      </c>
      <c r="DM43" s="88">
        <f t="shared" si="32"/>
        <v>7.7785028516260526E-2</v>
      </c>
      <c r="DN43" s="88">
        <f t="shared" si="33"/>
        <v>3.1854710796235704E-2</v>
      </c>
      <c r="DO43" s="88">
        <f t="shared" si="34"/>
        <v>1.9138237981153178E-2</v>
      </c>
      <c r="DQ43" s="316">
        <v>2017</v>
      </c>
      <c r="DR43" s="61">
        <v>553073</v>
      </c>
      <c r="DS43" s="61">
        <v>555.72190000000001</v>
      </c>
      <c r="DT43" s="61">
        <v>551220</v>
      </c>
      <c r="DU43" s="61">
        <v>553.21480000000008</v>
      </c>
      <c r="DV43" s="89">
        <v>0.7</v>
      </c>
      <c r="DW43" s="46">
        <f t="shared" si="6"/>
        <v>549228.40119165846</v>
      </c>
      <c r="DX43" s="61">
        <v>551.31140873015875</v>
      </c>
      <c r="DY43" s="46">
        <f t="shared" si="7"/>
        <v>547388.2820258193</v>
      </c>
      <c r="DZ43" s="61">
        <v>548.82420634920641</v>
      </c>
      <c r="EB43" s="316">
        <v>2017</v>
      </c>
      <c r="EC43" s="88">
        <f t="shared" si="8"/>
        <v>3.8793613139675956E-2</v>
      </c>
      <c r="ED43" s="88">
        <f t="shared" si="9"/>
        <v>1.2168375603220552E-3</v>
      </c>
      <c r="EE43" s="88">
        <f t="shared" si="10"/>
        <v>2.8181090018858272E-2</v>
      </c>
      <c r="EF43" s="88">
        <f t="shared" si="11"/>
        <v>6.8773923153001501E-3</v>
      </c>
      <c r="EG43" s="88">
        <f t="shared" si="12"/>
        <v>1.1438453874985762E-2</v>
      </c>
      <c r="EH43" s="88">
        <f t="shared" si="13"/>
        <v>2.7584423755996044E-2</v>
      </c>
      <c r="EI43" s="140"/>
      <c r="EJ43" s="316">
        <v>2017</v>
      </c>
      <c r="EK43" s="88">
        <f t="shared" si="14"/>
        <v>0.73266932140965102</v>
      </c>
      <c r="EL43" s="88">
        <f t="shared" si="15"/>
        <v>3.0518632983349392E-2</v>
      </c>
      <c r="EM43" s="88">
        <f t="shared" si="16"/>
        <v>0.32982871899369515</v>
      </c>
      <c r="EN43" s="88">
        <f t="shared" si="17"/>
        <v>8.3355667515861376E-2</v>
      </c>
      <c r="EO43" s="88">
        <f t="shared" si="18"/>
        <v>0.37551080671086817</v>
      </c>
      <c r="EP43" s="88">
        <f t="shared" si="19"/>
        <v>1.2391640682152263</v>
      </c>
      <c r="ER43" s="316">
        <v>2017</v>
      </c>
      <c r="ES43" s="317">
        <f t="shared" si="35"/>
        <v>126706</v>
      </c>
      <c r="ET43" s="318">
        <v>15592</v>
      </c>
      <c r="EU43" s="318">
        <v>75962</v>
      </c>
      <c r="EV43" s="318">
        <v>35152</v>
      </c>
      <c r="EW43" s="88">
        <f t="shared" si="36"/>
        <v>0.12305652455290199</v>
      </c>
      <c r="EX43" s="88">
        <f t="shared" si="36"/>
        <v>0.59951383517749757</v>
      </c>
      <c r="EY43" s="88">
        <f t="shared" si="36"/>
        <v>0.27742964026960049</v>
      </c>
      <c r="EZ43" s="88">
        <f t="shared" si="51"/>
        <v>-1.2610288020175331E-3</v>
      </c>
      <c r="FA43" s="88">
        <f t="shared" si="51"/>
        <v>-3.6547655803825796E-3</v>
      </c>
      <c r="FB43" s="88">
        <f t="shared" si="51"/>
        <v>4.9157943824001404E-3</v>
      </c>
      <c r="FC43" s="374"/>
      <c r="FD43" s="316">
        <v>2017</v>
      </c>
      <c r="FE43" s="159">
        <v>5.3663967611336061E-4</v>
      </c>
      <c r="FF43" s="159">
        <v>0</v>
      </c>
      <c r="FG43" s="159">
        <v>8.0000000000000002E-3</v>
      </c>
      <c r="FH43" s="159">
        <v>8.0000000000000002E-3</v>
      </c>
      <c r="FI43" s="319">
        <f t="shared" si="55"/>
        <v>-7.4633603238866393E-3</v>
      </c>
      <c r="FK43" s="345">
        <f t="shared" si="52"/>
        <v>-3.3706785237996861E-4</v>
      </c>
      <c r="FL43" s="345">
        <f t="shared" si="53"/>
        <v>1.5383256664930345E-4</v>
      </c>
      <c r="FM43" s="345">
        <f t="shared" si="54"/>
        <v>-1.6155415252492311E-3</v>
      </c>
      <c r="FO43" s="316">
        <v>2017</v>
      </c>
      <c r="FP43" s="61">
        <v>187208.12066984747</v>
      </c>
      <c r="FQ43" s="61">
        <v>9383.8519358478716</v>
      </c>
      <c r="FR43" s="61">
        <v>150587.12336080143</v>
      </c>
      <c r="FS43" s="61">
        <v>49594.870071955353</v>
      </c>
      <c r="FT43" s="61">
        <v>48275.565276246984</v>
      </c>
      <c r="FU43" s="61">
        <v>154123.39811104312</v>
      </c>
      <c r="FV43" s="285">
        <f t="shared" si="38"/>
        <v>599172.92942574224</v>
      </c>
    </row>
    <row r="44" spans="1:178" hidden="1" outlineLevel="1">
      <c r="A44" s="316">
        <v>2018</v>
      </c>
      <c r="B44" s="61">
        <v>356235</v>
      </c>
      <c r="C44" s="61">
        <v>19711.5</v>
      </c>
      <c r="D44" s="61">
        <v>139813.5</v>
      </c>
      <c r="E44" s="61">
        <v>36239.4</v>
      </c>
      <c r="F44" s="61">
        <v>226245.4</v>
      </c>
      <c r="G44" s="61">
        <v>653013.69999999995</v>
      </c>
      <c r="I44" s="316">
        <v>2018</v>
      </c>
      <c r="J44" s="61">
        <v>326995.90000000002</v>
      </c>
      <c r="K44" s="61">
        <v>18108.599999999999</v>
      </c>
      <c r="L44" s="61">
        <v>130508.6</v>
      </c>
      <c r="M44" s="61">
        <v>33190.400000000001</v>
      </c>
      <c r="N44" s="61">
        <v>213297.6</v>
      </c>
      <c r="O44" s="61">
        <v>599993.30000000005</v>
      </c>
      <c r="Q44" s="316">
        <v>2018</v>
      </c>
      <c r="R44" s="75">
        <v>405214.7</v>
      </c>
      <c r="S44" s="75">
        <v>16738.099999999999</v>
      </c>
      <c r="T44" s="75">
        <v>185494.39999999999</v>
      </c>
      <c r="U44" s="75">
        <v>46707.4</v>
      </c>
      <c r="V44" s="75">
        <v>209695.9</v>
      </c>
      <c r="W44" s="75">
        <v>693402.8</v>
      </c>
      <c r="Y44" s="316">
        <v>2018</v>
      </c>
      <c r="Z44" s="75">
        <v>393033.3</v>
      </c>
      <c r="AA44" s="75">
        <v>16202.6</v>
      </c>
      <c r="AB44" s="75">
        <v>180182.5</v>
      </c>
      <c r="AC44" s="75">
        <v>45212</v>
      </c>
      <c r="AD44" s="75">
        <v>204681.7</v>
      </c>
      <c r="AE44" s="75">
        <v>666935</v>
      </c>
      <c r="AG44" s="316">
        <v>2018</v>
      </c>
      <c r="AH44" s="48">
        <f t="shared" si="56"/>
        <v>1.0309933026031128</v>
      </c>
      <c r="AI44" s="48">
        <f t="shared" si="56"/>
        <v>1.0330502511942528</v>
      </c>
      <c r="AJ44" s="48">
        <f t="shared" si="56"/>
        <v>1.0294806654364326</v>
      </c>
      <c r="AK44" s="48">
        <f t="shared" si="56"/>
        <v>1.0330752897460851</v>
      </c>
      <c r="AL44" s="48">
        <f t="shared" si="56"/>
        <v>1.0244975491213919</v>
      </c>
      <c r="AM44" s="48">
        <f t="shared" si="56"/>
        <v>1.0396857264950858</v>
      </c>
      <c r="AO44" s="316">
        <v>2018</v>
      </c>
      <c r="AP44" s="62">
        <v>2.5829323879463351E-2</v>
      </c>
      <c r="AS44" s="316">
        <v>2018</v>
      </c>
      <c r="AT44" s="308">
        <f t="shared" si="39"/>
        <v>1.1358448487214012E-2</v>
      </c>
      <c r="AU44" s="308">
        <f t="shared" si="40"/>
        <v>1.3691768230107426E-2</v>
      </c>
      <c r="AV44" s="308">
        <f t="shared" si="41"/>
        <v>1.4060445776981068E-2</v>
      </c>
      <c r="AW44" s="308">
        <f t="shared" si="42"/>
        <v>1.5611893845695723E-2</v>
      </c>
      <c r="AX44" s="308">
        <f t="shared" si="43"/>
        <v>1.3731048596929529E-2</v>
      </c>
      <c r="AY44" s="308">
        <f t="shared" si="44"/>
        <v>1.6761999637838754E-2</v>
      </c>
      <c r="BA44" s="316">
        <v>2018</v>
      </c>
      <c r="BB44" s="61">
        <v>16440.900000000001</v>
      </c>
      <c r="BC44" s="61">
        <v>631.29999999999995</v>
      </c>
      <c r="BD44" s="61">
        <v>12106.2</v>
      </c>
      <c r="BE44" s="61">
        <v>2483.4</v>
      </c>
      <c r="BF44" s="61">
        <v>8798.5</v>
      </c>
      <c r="BG44" s="61">
        <v>16959.8</v>
      </c>
      <c r="BI44" s="316">
        <v>2018</v>
      </c>
      <c r="BJ44" s="61">
        <v>15117.5</v>
      </c>
      <c r="BK44" s="61">
        <v>580.5</v>
      </c>
      <c r="BL44" s="61">
        <v>11325.1</v>
      </c>
      <c r="BM44" s="61">
        <v>2251.4</v>
      </c>
      <c r="BN44" s="61">
        <v>8309.7000000000007</v>
      </c>
      <c r="BO44" s="61">
        <v>15574.4</v>
      </c>
      <c r="BQ44" s="316">
        <v>2018</v>
      </c>
      <c r="BR44" s="75">
        <v>20411.8</v>
      </c>
      <c r="BS44" s="75">
        <v>638.4</v>
      </c>
      <c r="BT44" s="75">
        <v>16256.8</v>
      </c>
      <c r="BU44" s="75">
        <v>3896.1</v>
      </c>
      <c r="BV44" s="75">
        <v>6333.8</v>
      </c>
      <c r="BW44" s="75">
        <v>15458.7</v>
      </c>
      <c r="BY44" s="316">
        <v>2018</v>
      </c>
      <c r="BZ44" s="75">
        <v>19834.5</v>
      </c>
      <c r="CA44" s="75">
        <v>622.4</v>
      </c>
      <c r="CB44" s="75">
        <v>15876.4</v>
      </c>
      <c r="CC44" s="75">
        <v>3758</v>
      </c>
      <c r="CD44" s="75">
        <v>6229.4</v>
      </c>
      <c r="CE44" s="75">
        <v>14963</v>
      </c>
      <c r="CG44" s="316">
        <v>2018</v>
      </c>
      <c r="CH44" s="48">
        <f t="shared" si="57"/>
        <v>1.0291058509163327</v>
      </c>
      <c r="CI44" s="48">
        <f t="shared" si="57"/>
        <v>1.025706940874036</v>
      </c>
      <c r="CJ44" s="48">
        <f t="shared" si="57"/>
        <v>1.0239600917084477</v>
      </c>
      <c r="CK44" s="48">
        <f t="shared" si="57"/>
        <v>1.0367482703565727</v>
      </c>
      <c r="CL44" s="48">
        <f t="shared" si="57"/>
        <v>1.0167592384499311</v>
      </c>
      <c r="CM44" s="48">
        <f t="shared" si="57"/>
        <v>1.0331283833455858</v>
      </c>
      <c r="CO44" s="316">
        <v>2018</v>
      </c>
      <c r="CP44" s="62">
        <v>2.5829323879463351E-2</v>
      </c>
      <c r="CR44" s="45"/>
      <c r="CS44" s="316">
        <v>2018</v>
      </c>
      <c r="CT44" s="308">
        <f t="shared" si="45"/>
        <v>1.6572801011438543E-2</v>
      </c>
      <c r="CU44" s="308">
        <f t="shared" si="46"/>
        <v>1.7781716368025613E-2</v>
      </c>
      <c r="CV44" s="308">
        <f t="shared" si="47"/>
        <v>1.5373548228555522E-2</v>
      </c>
      <c r="CW44" s="308">
        <f t="shared" si="48"/>
        <v>1.9822101734141118E-2</v>
      </c>
      <c r="CX44" s="308">
        <f t="shared" si="49"/>
        <v>1.4075224210626347E-2</v>
      </c>
      <c r="CY44" s="308">
        <f t="shared" si="50"/>
        <v>2.0139957399040398E-2</v>
      </c>
      <c r="DA44" s="316">
        <v>2018</v>
      </c>
      <c r="DB44" s="46">
        <f t="shared" si="23"/>
        <v>21540.400000000023</v>
      </c>
      <c r="DC44" s="46">
        <f t="shared" si="24"/>
        <v>867.39999999999816</v>
      </c>
      <c r="DD44" s="46">
        <f t="shared" si="25"/>
        <v>14131.799999999994</v>
      </c>
      <c r="DE44" s="46">
        <f t="shared" si="26"/>
        <v>3553.4000000000015</v>
      </c>
      <c r="DF44" s="46">
        <f t="shared" si="27"/>
        <v>5621.4999999999764</v>
      </c>
      <c r="DG44" s="46">
        <f t="shared" si="28"/>
        <v>13606.099999999977</v>
      </c>
      <c r="DI44" s="316">
        <v>2018</v>
      </c>
      <c r="DJ44" s="88">
        <f t="shared" si="29"/>
        <v>5.4568687376374131E-2</v>
      </c>
      <c r="DK44" s="88">
        <f t="shared" si="30"/>
        <v>5.2737177460541247E-2</v>
      </c>
      <c r="DL44" s="88">
        <f t="shared" si="31"/>
        <v>7.9197300573476792E-2</v>
      </c>
      <c r="DM44" s="88">
        <f t="shared" si="32"/>
        <v>7.895146131525041E-2</v>
      </c>
      <c r="DN44" s="88">
        <f t="shared" si="33"/>
        <v>2.7546407231109415E-2</v>
      </c>
      <c r="DO44" s="88">
        <f t="shared" si="34"/>
        <v>2.0442529584431907E-2</v>
      </c>
      <c r="DQ44" s="316">
        <v>2018</v>
      </c>
      <c r="DR44" s="61">
        <v>556293.80000000005</v>
      </c>
      <c r="DS44" s="61">
        <v>556.30369999999994</v>
      </c>
      <c r="DT44" s="61">
        <v>554439.5</v>
      </c>
      <c r="DU44" s="61">
        <v>554.25930000000005</v>
      </c>
      <c r="DV44" s="89">
        <v>0.5</v>
      </c>
      <c r="DW44" s="46">
        <f t="shared" si="6"/>
        <v>553526.16915422899</v>
      </c>
      <c r="DX44" s="61">
        <v>554.63978065802587</v>
      </c>
      <c r="DY44" s="46">
        <f t="shared" si="7"/>
        <v>551681.0945273632</v>
      </c>
      <c r="DZ44" s="61">
        <v>552.60149551345978</v>
      </c>
      <c r="EB44" s="316">
        <v>2018</v>
      </c>
      <c r="EC44" s="88">
        <f t="shared" si="8"/>
        <v>3.6692481562800083E-2</v>
      </c>
      <c r="ED44" s="88">
        <f t="shared" si="9"/>
        <v>1.147595029820573E-3</v>
      </c>
      <c r="EE44" s="88">
        <f t="shared" si="10"/>
        <v>2.9223406768150207E-2</v>
      </c>
      <c r="EF44" s="88">
        <f t="shared" si="11"/>
        <v>7.0036732388532811E-3</v>
      </c>
      <c r="EG44" s="88">
        <f t="shared" si="12"/>
        <v>1.1385710212840768E-2</v>
      </c>
      <c r="EH44" s="88">
        <f t="shared" si="13"/>
        <v>2.7788733219748268E-2</v>
      </c>
      <c r="EI44" s="140"/>
      <c r="EJ44" s="316">
        <v>2018</v>
      </c>
      <c r="EK44" s="88">
        <f t="shared" si="14"/>
        <v>0.73206060089111169</v>
      </c>
      <c r="EL44" s="88">
        <f t="shared" si="15"/>
        <v>3.0239040054014614E-2</v>
      </c>
      <c r="EM44" s="88">
        <f t="shared" si="16"/>
        <v>0.33511405663697841</v>
      </c>
      <c r="EN44" s="88">
        <f t="shared" si="17"/>
        <v>8.4381557011780448E-2</v>
      </c>
      <c r="EO44" s="88">
        <f t="shared" si="18"/>
        <v>0.37883647004514509</v>
      </c>
      <c r="EP44" s="88">
        <f t="shared" si="19"/>
        <v>1.2527010259686515</v>
      </c>
      <c r="ER44" s="316">
        <v>2018</v>
      </c>
      <c r="ES44" s="317">
        <f t="shared" si="35"/>
        <v>126444</v>
      </c>
      <c r="ET44" s="318">
        <v>15415</v>
      </c>
      <c r="EU44" s="318">
        <v>75451</v>
      </c>
      <c r="EV44" s="318">
        <v>35578</v>
      </c>
      <c r="EW44" s="88">
        <f t="shared" si="36"/>
        <v>0.12191167631520673</v>
      </c>
      <c r="EX44" s="88">
        <f t="shared" si="36"/>
        <v>0.59671475119420458</v>
      </c>
      <c r="EY44" s="88">
        <f t="shared" si="36"/>
        <v>0.2813735724905887</v>
      </c>
      <c r="EZ44" s="88">
        <f t="shared" si="51"/>
        <v>-1.1448482376952562E-3</v>
      </c>
      <c r="FA44" s="88">
        <f t="shared" si="51"/>
        <v>-2.7990839832929826E-3</v>
      </c>
      <c r="FB44" s="88">
        <f t="shared" si="51"/>
        <v>3.9439322209882111E-3</v>
      </c>
      <c r="FC44" s="374"/>
      <c r="FD44" s="316">
        <v>2018</v>
      </c>
      <c r="FE44" s="159">
        <v>7.6175510204081647E-4</v>
      </c>
      <c r="FF44" s="159">
        <v>0</v>
      </c>
      <c r="FG44" s="159">
        <v>6.9999999999999993E-3</v>
      </c>
      <c r="FH44" s="159">
        <v>6.9999999999999993E-3</v>
      </c>
      <c r="FI44" s="319">
        <f t="shared" si="55"/>
        <v>-6.2382448979591831E-3</v>
      </c>
      <c r="FK44" s="345">
        <f t="shared" si="52"/>
        <v>-4.2132902877758394E-3</v>
      </c>
      <c r="FL44" s="345">
        <f t="shared" si="53"/>
        <v>4.5336632317937164E-3</v>
      </c>
      <c r="FM44" s="345">
        <f t="shared" si="54"/>
        <v>-1.3900070451041656E-3</v>
      </c>
      <c r="FO44" s="316">
        <v>2018</v>
      </c>
      <c r="FP44" s="61">
        <v>182967.56891843522</v>
      </c>
      <c r="FQ44" s="61">
        <v>7673.9030530869059</v>
      </c>
      <c r="FR44" s="61">
        <v>149683.82619579177</v>
      </c>
      <c r="FS44" s="61">
        <v>47997.470870965437</v>
      </c>
      <c r="FT44" s="61">
        <v>50306.421033825078</v>
      </c>
      <c r="FU44" s="61">
        <v>149699.28775416251</v>
      </c>
      <c r="FV44" s="285">
        <f t="shared" si="38"/>
        <v>588328.47782626702</v>
      </c>
    </row>
    <row r="45" spans="1:178" hidden="1" outlineLevel="1">
      <c r="A45" s="316">
        <v>2019</v>
      </c>
      <c r="I45" s="316">
        <v>2019</v>
      </c>
      <c r="Q45" s="316">
        <v>2019</v>
      </c>
      <c r="R45" s="75">
        <v>414491.5</v>
      </c>
      <c r="S45" s="75">
        <v>16878.099999999999</v>
      </c>
      <c r="T45" s="75">
        <v>189073.6</v>
      </c>
      <c r="U45" s="75">
        <v>48166.7</v>
      </c>
      <c r="V45" s="75">
        <v>212358.5</v>
      </c>
      <c r="W45" s="75">
        <v>717992.6</v>
      </c>
      <c r="Y45" s="316">
        <v>2019</v>
      </c>
      <c r="Z45" s="75">
        <v>392264</v>
      </c>
      <c r="AA45" s="75">
        <v>15902.7</v>
      </c>
      <c r="AB45" s="75">
        <v>180999.5</v>
      </c>
      <c r="AC45" s="75">
        <v>45387.9</v>
      </c>
      <c r="AD45" s="75">
        <v>205143</v>
      </c>
      <c r="AE45" s="75">
        <v>669795.30000000005</v>
      </c>
      <c r="AG45" s="316">
        <v>2019</v>
      </c>
      <c r="AH45" s="48">
        <f t="shared" si="56"/>
        <v>1.0566646442191994</v>
      </c>
      <c r="AI45" s="48">
        <f t="shared" si="56"/>
        <v>1.0613354964880177</v>
      </c>
      <c r="AJ45" s="48">
        <f t="shared" si="56"/>
        <v>1.0446084105204712</v>
      </c>
      <c r="AK45" s="48">
        <f t="shared" si="56"/>
        <v>1.0612233656987875</v>
      </c>
      <c r="AL45" s="48">
        <f t="shared" si="56"/>
        <v>1.0351730256455254</v>
      </c>
      <c r="AM45" s="48">
        <f t="shared" si="56"/>
        <v>1.0719582535141705</v>
      </c>
      <c r="AO45" s="316">
        <v>2019</v>
      </c>
      <c r="AP45" s="62">
        <v>1.8925368221869299E-3</v>
      </c>
      <c r="AS45" s="316">
        <v>2019</v>
      </c>
      <c r="AT45" s="308">
        <f t="shared" si="39"/>
        <v>2.4899620153952418E-2</v>
      </c>
      <c r="AU45" s="308">
        <f t="shared" si="40"/>
        <v>2.7380318877098242E-2</v>
      </c>
      <c r="AV45" s="308">
        <f t="shared" si="41"/>
        <v>1.4694540258923139E-2</v>
      </c>
      <c r="AW45" s="308">
        <f t="shared" si="42"/>
        <v>2.7246877582001616E-2</v>
      </c>
      <c r="AX45" s="308">
        <f t="shared" si="43"/>
        <v>1.0420206991504033E-2</v>
      </c>
      <c r="AY45" s="308">
        <f t="shared" si="44"/>
        <v>3.1040656033510805E-2</v>
      </c>
      <c r="BA45" s="316">
        <v>2019</v>
      </c>
      <c r="BI45" s="316">
        <v>2019</v>
      </c>
      <c r="BQ45" s="316">
        <v>2019</v>
      </c>
      <c r="BR45" s="75">
        <v>21511.4</v>
      </c>
      <c r="BS45" s="75">
        <v>579.79999999999995</v>
      </c>
      <c r="BT45" s="75">
        <v>15757.3</v>
      </c>
      <c r="BU45" s="75">
        <v>3901.6</v>
      </c>
      <c r="BV45" s="75">
        <v>7234.1</v>
      </c>
      <c r="BW45" s="75">
        <v>16389.400000000001</v>
      </c>
      <c r="BY45" s="316">
        <v>2019</v>
      </c>
      <c r="BZ45" s="75">
        <v>20645.7</v>
      </c>
      <c r="CA45" s="75">
        <v>555.70000000000005</v>
      </c>
      <c r="CB45" s="75">
        <v>15149.7</v>
      </c>
      <c r="CC45" s="75">
        <v>3685.5</v>
      </c>
      <c r="CD45" s="75">
        <v>7024</v>
      </c>
      <c r="CE45" s="75">
        <v>15534.1</v>
      </c>
      <c r="CG45" s="316">
        <v>2019</v>
      </c>
      <c r="CH45" s="48">
        <f t="shared" si="57"/>
        <v>1.0419312496064557</v>
      </c>
      <c r="CI45" s="48">
        <f t="shared" si="57"/>
        <v>1.0433687241317255</v>
      </c>
      <c r="CJ45" s="48">
        <f t="shared" si="57"/>
        <v>1.0401064047472885</v>
      </c>
      <c r="CK45" s="48">
        <f t="shared" si="57"/>
        <v>1.0586351919685253</v>
      </c>
      <c r="CL45" s="48">
        <f t="shared" si="57"/>
        <v>1.0299117312072894</v>
      </c>
      <c r="CM45" s="48">
        <f t="shared" si="57"/>
        <v>1.0550595142299843</v>
      </c>
      <c r="CO45" s="316">
        <v>2019</v>
      </c>
      <c r="CP45" s="62">
        <v>1.8925368221869299E-3</v>
      </c>
      <c r="CR45" s="45"/>
      <c r="CS45" s="316">
        <v>2019</v>
      </c>
      <c r="CT45" s="308">
        <f t="shared" si="45"/>
        <v>1.2462662299221217E-2</v>
      </c>
      <c r="CU45" s="308">
        <f t="shared" si="46"/>
        <v>1.7219132048223562E-2</v>
      </c>
      <c r="CV45" s="308">
        <f t="shared" si="47"/>
        <v>1.5768498371749207E-2</v>
      </c>
      <c r="CW45" s="308">
        <f t="shared" si="48"/>
        <v>2.1111124308338614E-2</v>
      </c>
      <c r="CX45" s="308">
        <f t="shared" si="49"/>
        <v>1.2935700271983208E-2</v>
      </c>
      <c r="CY45" s="308">
        <f t="shared" si="50"/>
        <v>2.1227885360557863E-2</v>
      </c>
      <c r="DA45" s="316">
        <v>2019</v>
      </c>
      <c r="DB45" s="46">
        <f t="shared" si="23"/>
        <v>21414.999999999989</v>
      </c>
      <c r="DC45" s="46">
        <f t="shared" si="24"/>
        <v>855.59999999999968</v>
      </c>
      <c r="DD45" s="46">
        <f t="shared" si="25"/>
        <v>14332.7</v>
      </c>
      <c r="DE45" s="46">
        <f t="shared" si="26"/>
        <v>3509.5999999999985</v>
      </c>
      <c r="DF45" s="46">
        <f t="shared" si="27"/>
        <v>6562.7000000000116</v>
      </c>
      <c r="DG45" s="46">
        <f t="shared" si="28"/>
        <v>12673.799999999954</v>
      </c>
      <c r="DI45" s="316">
        <v>2019</v>
      </c>
      <c r="DJ45" s="88">
        <f t="shared" si="29"/>
        <v>5.4486477354463325E-2</v>
      </c>
      <c r="DK45" s="88">
        <f t="shared" si="30"/>
        <v>5.280633972325427E-2</v>
      </c>
      <c r="DL45" s="88">
        <f t="shared" si="31"/>
        <v>7.9545460852191538E-2</v>
      </c>
      <c r="DM45" s="88">
        <f t="shared" si="32"/>
        <v>7.7625409183402605E-2</v>
      </c>
      <c r="DN45" s="88">
        <f t="shared" si="33"/>
        <v>3.2062954333484682E-2</v>
      </c>
      <c r="DO45" s="88">
        <f t="shared" si="34"/>
        <v>1.9003051271863004E-2</v>
      </c>
      <c r="DQ45" s="316">
        <v>2019</v>
      </c>
      <c r="DR45" s="61">
        <v>558491.19999999995</v>
      </c>
      <c r="DS45" s="61">
        <v>557.30650000000003</v>
      </c>
      <c r="DT45" s="61">
        <v>553106.9</v>
      </c>
      <c r="DU45" s="61">
        <v>550.62819999999999</v>
      </c>
      <c r="DV45" s="89">
        <v>-0.2</v>
      </c>
      <c r="DW45" s="46">
        <f t="shared" si="6"/>
        <v>559610.42084168328</v>
      </c>
      <c r="DX45" s="61">
        <v>562.36781029263375</v>
      </c>
      <c r="DY45" s="46">
        <f t="shared" si="7"/>
        <v>554215.33066132269</v>
      </c>
      <c r="DZ45" s="61">
        <v>555.62885973763878</v>
      </c>
      <c r="EB45" s="316">
        <v>2019</v>
      </c>
      <c r="EC45" s="88">
        <f t="shared" si="8"/>
        <v>3.851699006179507E-2</v>
      </c>
      <c r="ED45" s="88">
        <f t="shared" si="9"/>
        <v>1.0381542269600667E-3</v>
      </c>
      <c r="EE45" s="88">
        <f t="shared" si="10"/>
        <v>2.8214052432697239E-2</v>
      </c>
      <c r="EF45" s="88">
        <f t="shared" si="11"/>
        <v>6.9859650429586004E-3</v>
      </c>
      <c r="EG45" s="88">
        <f t="shared" si="12"/>
        <v>1.2952934620993135E-2</v>
      </c>
      <c r="EH45" s="88">
        <f t="shared" si="13"/>
        <v>2.9345851823627665E-2</v>
      </c>
      <c r="EI45" s="140"/>
      <c r="EJ45" s="316">
        <v>2019</v>
      </c>
      <c r="EK45" s="88">
        <f t="shared" si="14"/>
        <v>0.74067866602016297</v>
      </c>
      <c r="EL45" s="88">
        <f t="shared" si="15"/>
        <v>3.0160446216520514E-2</v>
      </c>
      <c r="EM45" s="88">
        <f t="shared" si="16"/>
        <v>0.33786647452994789</v>
      </c>
      <c r="EN45" s="88">
        <f t="shared" si="17"/>
        <v>8.6071842492773387E-2</v>
      </c>
      <c r="EO45" s="88">
        <f t="shared" si="18"/>
        <v>0.37947559961553562</v>
      </c>
      <c r="EP45" s="88">
        <f t="shared" si="19"/>
        <v>1.2830222119883001</v>
      </c>
      <c r="ER45" s="316">
        <v>2019</v>
      </c>
      <c r="ES45" s="317">
        <f t="shared" si="35"/>
        <v>126167</v>
      </c>
      <c r="ET45" s="318">
        <v>15210</v>
      </c>
      <c r="EU45" s="318">
        <v>75072</v>
      </c>
      <c r="EV45" s="318">
        <v>35885</v>
      </c>
      <c r="EW45" s="88">
        <f t="shared" si="36"/>
        <v>0.12055450315851213</v>
      </c>
      <c r="EX45" s="88">
        <f t="shared" si="36"/>
        <v>0.59502088501747685</v>
      </c>
      <c r="EY45" s="88">
        <f t="shared" si="36"/>
        <v>0.28442461182401102</v>
      </c>
      <c r="EZ45" s="88">
        <f t="shared" si="51"/>
        <v>-1.3571731566946049E-3</v>
      </c>
      <c r="FA45" s="88">
        <f t="shared" si="51"/>
        <v>-1.6938661767277319E-3</v>
      </c>
      <c r="FB45" s="88">
        <f t="shared" si="51"/>
        <v>3.0510393334223229E-3</v>
      </c>
      <c r="FC45" s="374"/>
      <c r="FD45" s="316">
        <v>2019</v>
      </c>
      <c r="FE45" s="159">
        <v>-9.4958506224066344E-4</v>
      </c>
      <c r="FF45" s="159">
        <v>-1E-3</v>
      </c>
      <c r="FG45" s="159">
        <v>6.9999999999999993E-3</v>
      </c>
      <c r="FH45" s="159">
        <v>6.9999999999999993E-3</v>
      </c>
      <c r="FI45" s="319">
        <f t="shared" si="55"/>
        <v>-7.9495850622406626E-3</v>
      </c>
      <c r="FK45" s="345">
        <f t="shared" si="52"/>
        <v>1.0874792935490873E-2</v>
      </c>
      <c r="FL45" s="345">
        <f t="shared" si="53"/>
        <v>1.0954719592634832E-2</v>
      </c>
      <c r="FM45" s="345">
        <f t="shared" si="54"/>
        <v>-9.2428571367084156E-5</v>
      </c>
      <c r="FO45" s="316">
        <v>2019</v>
      </c>
      <c r="FP45" s="61">
        <v>174440.6345081343</v>
      </c>
      <c r="FQ45" s="61">
        <v>6510.6686873951267</v>
      </c>
      <c r="FR45" s="61">
        <v>150126.10182525002</v>
      </c>
      <c r="FS45" s="61">
        <v>47761.132496565646</v>
      </c>
      <c r="FT45" s="61">
        <v>50764.635452699134</v>
      </c>
      <c r="FU45" s="61">
        <v>153667.14719482133</v>
      </c>
      <c r="FV45" s="285">
        <f t="shared" si="38"/>
        <v>583270.32016486558</v>
      </c>
    </row>
    <row r="46" spans="1:178" collapsed="1">
      <c r="A46" s="316">
        <v>2020</v>
      </c>
      <c r="I46" s="316">
        <v>2020</v>
      </c>
      <c r="Q46" s="316">
        <v>2020</v>
      </c>
      <c r="R46" s="75">
        <v>409718.4</v>
      </c>
      <c r="S46" s="75">
        <v>16441.900000000001</v>
      </c>
      <c r="T46" s="75">
        <v>187890.6</v>
      </c>
      <c r="U46" s="75">
        <v>48187</v>
      </c>
      <c r="V46" s="75">
        <v>212032.9</v>
      </c>
      <c r="W46" s="75">
        <v>718087</v>
      </c>
      <c r="Y46" s="316">
        <v>2020</v>
      </c>
      <c r="Z46" s="75">
        <v>389929.7</v>
      </c>
      <c r="AA46" s="75">
        <v>15595.4</v>
      </c>
      <c r="AB46" s="75">
        <v>181090.8</v>
      </c>
      <c r="AC46" s="75">
        <v>45691.8</v>
      </c>
      <c r="AD46" s="75">
        <v>205698.1</v>
      </c>
      <c r="AE46" s="75">
        <v>673581.3</v>
      </c>
      <c r="AG46" s="316">
        <v>2020</v>
      </c>
      <c r="AH46" s="48">
        <f t="shared" si="56"/>
        <v>1.0507494043157011</v>
      </c>
      <c r="AI46" s="48">
        <f t="shared" si="56"/>
        <v>1.0542788258076101</v>
      </c>
      <c r="AJ46" s="48">
        <f t="shared" si="56"/>
        <v>1.0375491190054935</v>
      </c>
      <c r="AK46" s="48">
        <f t="shared" si="56"/>
        <v>1.0546093609794316</v>
      </c>
      <c r="AL46" s="48">
        <f t="shared" si="56"/>
        <v>1.0307965897594582</v>
      </c>
      <c r="AM46" s="48">
        <f t="shared" si="56"/>
        <v>1.0660732416413579</v>
      </c>
      <c r="AO46" s="316">
        <v>2020</v>
      </c>
      <c r="AP46" s="62">
        <v>-1.1415900131412582E-2</v>
      </c>
      <c r="AS46" s="316">
        <v>2020</v>
      </c>
      <c r="AT46" s="308">
        <f t="shared" si="39"/>
        <v>-5.5980295506804501E-3</v>
      </c>
      <c r="AU46" s="308">
        <f t="shared" si="40"/>
        <v>-6.6488595771632131E-3</v>
      </c>
      <c r="AV46" s="308">
        <f t="shared" si="41"/>
        <v>-6.7578352269443975E-3</v>
      </c>
      <c r="AW46" s="308">
        <f t="shared" si="42"/>
        <v>-6.2324341256854154E-3</v>
      </c>
      <c r="AX46" s="308">
        <f t="shared" si="43"/>
        <v>-4.2277337002073478E-3</v>
      </c>
      <c r="AY46" s="308">
        <f t="shared" si="44"/>
        <v>-5.4899636749099479E-3</v>
      </c>
      <c r="BA46" s="316">
        <v>2020</v>
      </c>
      <c r="BI46" s="316">
        <v>2020</v>
      </c>
      <c r="BQ46" s="316">
        <v>2020</v>
      </c>
      <c r="BR46" s="75">
        <v>20021.3</v>
      </c>
      <c r="BS46" s="75">
        <v>564.20000000000005</v>
      </c>
      <c r="BT46" s="75">
        <v>15025.3</v>
      </c>
      <c r="BU46" s="75">
        <v>4089.3</v>
      </c>
      <c r="BV46" s="75">
        <v>7292.9</v>
      </c>
      <c r="BW46" s="75">
        <v>17562.5</v>
      </c>
      <c r="BY46" s="316">
        <v>2020</v>
      </c>
      <c r="BZ46" s="75">
        <v>19015.900000000001</v>
      </c>
      <c r="CA46" s="75">
        <v>534.9</v>
      </c>
      <c r="CB46" s="75">
        <v>14502.2</v>
      </c>
      <c r="CC46" s="75">
        <v>3823.2</v>
      </c>
      <c r="CD46" s="75">
        <v>7136.7</v>
      </c>
      <c r="CE46" s="75">
        <v>16496.5</v>
      </c>
      <c r="CG46" s="316">
        <v>2020</v>
      </c>
      <c r="CH46" s="48">
        <f t="shared" si="57"/>
        <v>1.0528715443392107</v>
      </c>
      <c r="CI46" s="48">
        <f t="shared" si="57"/>
        <v>1.0547765937558424</v>
      </c>
      <c r="CJ46" s="48">
        <f t="shared" si="57"/>
        <v>1.036070389320241</v>
      </c>
      <c r="CK46" s="48">
        <f t="shared" si="57"/>
        <v>1.069601381042059</v>
      </c>
      <c r="CL46" s="48">
        <f t="shared" si="57"/>
        <v>1.0218868664789047</v>
      </c>
      <c r="CM46" s="48">
        <f t="shared" si="57"/>
        <v>1.0646197678295397</v>
      </c>
      <c r="CO46" s="316">
        <v>2020</v>
      </c>
      <c r="CP46" s="62">
        <v>-1.1415900131412582E-2</v>
      </c>
      <c r="CR46" s="45"/>
      <c r="CS46" s="316">
        <v>2020</v>
      </c>
      <c r="CT46" s="308">
        <f>CH46/CH45-1</f>
        <v>1.050001594336214E-2</v>
      </c>
      <c r="CU46" s="308">
        <f t="shared" si="46"/>
        <v>1.0933689462093499E-2</v>
      </c>
      <c r="CV46" s="308">
        <f t="shared" si="47"/>
        <v>-3.880387053311285E-3</v>
      </c>
      <c r="CW46" s="308">
        <f t="shared" si="48"/>
        <v>1.0358798910833578E-2</v>
      </c>
      <c r="CX46" s="308">
        <f t="shared" si="49"/>
        <v>-7.7917985446944726E-3</v>
      </c>
      <c r="CY46" s="308">
        <f t="shared" si="50"/>
        <v>9.0613405884811815E-3</v>
      </c>
      <c r="DA46" s="316">
        <v>2020</v>
      </c>
      <c r="DB46" s="46">
        <f t="shared" si="23"/>
        <v>21350.19999999999</v>
      </c>
      <c r="DC46" s="46">
        <f t="shared" si="24"/>
        <v>842.20000000000107</v>
      </c>
      <c r="DD46" s="46">
        <f t="shared" si="25"/>
        <v>14410.900000000012</v>
      </c>
      <c r="DE46" s="46">
        <f t="shared" si="26"/>
        <v>3519.2999999999984</v>
      </c>
      <c r="DF46" s="46">
        <f t="shared" si="27"/>
        <v>6581.599999999994</v>
      </c>
      <c r="DG46" s="46">
        <f t="shared" si="28"/>
        <v>12710.5</v>
      </c>
      <c r="DI46" s="316">
        <v>2020</v>
      </c>
      <c r="DJ46" s="88">
        <f t="shared" si="29"/>
        <v>5.442814023208857E-2</v>
      </c>
      <c r="DK46" s="88">
        <f t="shared" si="30"/>
        <v>5.2959560326233973E-2</v>
      </c>
      <c r="DL46" s="88">
        <f t="shared" si="31"/>
        <v>7.9618451984674057E-2</v>
      </c>
      <c r="DM46" s="88">
        <f t="shared" si="32"/>
        <v>7.7538286635865469E-2</v>
      </c>
      <c r="DN46" s="88">
        <f t="shared" si="33"/>
        <v>3.2082986014633663E-2</v>
      </c>
      <c r="DO46" s="88">
        <f t="shared" si="34"/>
        <v>1.8976693327050816E-2</v>
      </c>
      <c r="DQ46" s="316">
        <v>2020</v>
      </c>
      <c r="DR46" s="61">
        <v>538155.4</v>
      </c>
      <c r="DS46" s="61">
        <v>535.50990000000002</v>
      </c>
      <c r="DT46" s="61">
        <v>528178.9</v>
      </c>
      <c r="DU46" s="61">
        <v>525.65830000000005</v>
      </c>
      <c r="DV46" s="89">
        <v>-5.4</v>
      </c>
      <c r="DW46" s="46">
        <f t="shared" si="6"/>
        <v>568874.63002114173</v>
      </c>
      <c r="DX46" s="61">
        <v>568.48184713375804</v>
      </c>
      <c r="DY46" s="46">
        <f t="shared" si="7"/>
        <v>558328.64693446096</v>
      </c>
      <c r="DZ46" s="61">
        <v>558.02367303609356</v>
      </c>
      <c r="EB46" s="316">
        <v>2020</v>
      </c>
      <c r="EC46" s="88">
        <f t="shared" si="8"/>
        <v>3.7203566107484938E-2</v>
      </c>
      <c r="ED46" s="88">
        <f t="shared" si="9"/>
        <v>1.0483960580902839E-3</v>
      </c>
      <c r="EE46" s="88">
        <f t="shared" si="10"/>
        <v>2.7920002289301565E-2</v>
      </c>
      <c r="EF46" s="88">
        <f t="shared" si="11"/>
        <v>7.5987344919329989E-3</v>
      </c>
      <c r="EG46" s="88">
        <f t="shared" si="12"/>
        <v>1.3551661843400623E-2</v>
      </c>
      <c r="EH46" s="88">
        <f t="shared" si="13"/>
        <v>3.2634625611858578E-2</v>
      </c>
      <c r="EJ46" s="316">
        <v>2020</v>
      </c>
      <c r="EK46" s="88">
        <f t="shared" si="14"/>
        <v>0.72022617704848813</v>
      </c>
      <c r="EL46" s="88">
        <f t="shared" si="15"/>
        <v>2.8902501768076655E-2</v>
      </c>
      <c r="EM46" s="88">
        <f t="shared" si="16"/>
        <v>0.33028472370620082</v>
      </c>
      <c r="EN46" s="88">
        <f t="shared" si="17"/>
        <v>8.4705834039758759E-2</v>
      </c>
      <c r="EO46" s="88">
        <f t="shared" si="18"/>
        <v>0.37272342412619097</v>
      </c>
      <c r="EP46" s="88">
        <f t="shared" si="19"/>
        <v>1.2622939433479621</v>
      </c>
      <c r="ER46" s="316">
        <v>2020</v>
      </c>
      <c r="ES46" s="317">
        <f>SUM(ET46:EV46)</f>
        <v>126146</v>
      </c>
      <c r="ET46" s="318">
        <v>15032</v>
      </c>
      <c r="EU46" s="318">
        <v>75087</v>
      </c>
      <c r="EV46" s="318">
        <v>36027</v>
      </c>
      <c r="EW46" s="88">
        <f t="shared" ref="EW46:EY46" si="58">ET46/$ES46</f>
        <v>0.11916350894994689</v>
      </c>
      <c r="EX46" s="88">
        <f t="shared" si="58"/>
        <v>0.59523885022117229</v>
      </c>
      <c r="EY46" s="88">
        <f t="shared" si="58"/>
        <v>0.28559764082888084</v>
      </c>
      <c r="EZ46" s="88">
        <f t="shared" ref="EZ46:FB46" si="59">EW46-EW45</f>
        <v>-1.390994208565241E-3</v>
      </c>
      <c r="FA46" s="88">
        <f t="shared" si="59"/>
        <v>2.1796520369543604E-4</v>
      </c>
      <c r="FB46" s="88">
        <f t="shared" si="59"/>
        <v>1.1730290048698189E-3</v>
      </c>
      <c r="FC46" s="374"/>
      <c r="FD46" s="316">
        <v>2020</v>
      </c>
      <c r="FE46" s="159">
        <v>1.0518518518518499E-4</v>
      </c>
      <c r="FF46" s="159">
        <v>0</v>
      </c>
      <c r="FG46" s="159">
        <v>6.0000000000000001E-3</v>
      </c>
      <c r="FH46" s="159">
        <v>5.0000000000000001E-3</v>
      </c>
      <c r="FI46" s="319">
        <f t="shared" si="55"/>
        <v>-5.8948148148148154E-3</v>
      </c>
      <c r="FK46" s="345">
        <f>SUM(EK46:EL46)-(24.0959475629*(EW46-EW45)+0.793461523015+0.837029275127*FE46)</f>
        <v>-1.090356376785917E-2</v>
      </c>
      <c r="FL46" s="345">
        <f t="shared" si="53"/>
        <v>1.9010546571585629E-3</v>
      </c>
      <c r="FM46" s="345">
        <f>EG46-(-1.26996838471*(EW46-EW45) + 0.0104066687 + 0.130732498683*(FE46-FG46))</f>
        <v>2.1491183452223665E-3</v>
      </c>
      <c r="FO46" s="316">
        <v>2020</v>
      </c>
      <c r="FP46" s="61">
        <v>159976.95678144213</v>
      </c>
      <c r="FQ46" s="61">
        <v>6440.6826029201129</v>
      </c>
      <c r="FR46" s="61">
        <v>136901.25910171188</v>
      </c>
      <c r="FS46" s="61">
        <v>49539.440422019507</v>
      </c>
      <c r="FT46" s="61">
        <v>50646.256352396464</v>
      </c>
      <c r="FU46" s="61">
        <v>162156.55899855541</v>
      </c>
      <c r="FV46" s="285">
        <f t="shared" si="38"/>
        <v>565661.15425904549</v>
      </c>
    </row>
    <row r="47" spans="1:178">
      <c r="Q47" s="316">
        <v>2021</v>
      </c>
      <c r="R47" s="46">
        <f>DW47*EK47</f>
        <v>420274.77206736058</v>
      </c>
      <c r="S47" s="46">
        <f>AA47*AI47</f>
        <v>17045.492448061614</v>
      </c>
      <c r="T47" s="46">
        <f>DW47*EM47</f>
        <v>190123.95209392346</v>
      </c>
      <c r="U47" s="46">
        <f>AC47*AK47</f>
        <v>50735.435906822182</v>
      </c>
      <c r="V47" s="46">
        <f>AD47*AL47</f>
        <v>222028.83923973065</v>
      </c>
      <c r="W47" s="46">
        <f>AE47*AM47</f>
        <v>754237.73181485478</v>
      </c>
      <c r="Y47" s="316">
        <v>2021</v>
      </c>
      <c r="Z47" s="46">
        <f>R47/AH47</f>
        <v>381861.81215322844</v>
      </c>
      <c r="AA47" s="46">
        <f>AA46*(1-DK47)+CA47</f>
        <v>15435.692874306833</v>
      </c>
      <c r="AB47" s="46">
        <f>T47/AJ47</f>
        <v>174944.47354656694</v>
      </c>
      <c r="AC47" s="46">
        <f>AC46*(1-DM47)+CC47</f>
        <v>45929.512366919858</v>
      </c>
      <c r="AD47" s="46">
        <f>AD46*(1-DN47)+CD47</f>
        <v>205640.41694953901</v>
      </c>
      <c r="AE47" s="46">
        <f>AE46*(1-DO47)+CE47</f>
        <v>675450.10334362357</v>
      </c>
      <c r="AG47" s="316">
        <v>2021</v>
      </c>
      <c r="AH47" s="48">
        <f>(AT47+1)*AH46</f>
        <v>1.1005938763489613</v>
      </c>
      <c r="AI47" s="48">
        <f t="shared" ref="AI47:AI66" si="60">(AU47+1)*AI46</f>
        <v>1.1042907232518431</v>
      </c>
      <c r="AJ47" s="48">
        <f t="shared" ref="AJ47:AJ66" si="61">(AV47+1)*AJ46</f>
        <v>1.0867674081931833</v>
      </c>
      <c r="AK47" s="48">
        <f t="shared" ref="AK47:AK66" si="62">(AW47+1)*AK46</f>
        <v>1.1046369380434296</v>
      </c>
      <c r="AL47" s="48">
        <f t="shared" ref="AL47:AL66" si="63">(AX47+1)*AL46</f>
        <v>1.0796945587511286</v>
      </c>
      <c r="AM47" s="48">
        <f t="shared" ref="AM47:AM66" si="64">(AY47+1)*AM46</f>
        <v>1.116644631603749</v>
      </c>
      <c r="AO47" s="316">
        <v>2021</v>
      </c>
      <c r="AP47" s="62">
        <v>4.7437069037142399E-2</v>
      </c>
      <c r="AQ47" s="62">
        <v>6.5000000000000002E-2</v>
      </c>
      <c r="AR47" s="44"/>
      <c r="AS47" s="316">
        <v>2021</v>
      </c>
      <c r="AT47" s="345">
        <f t="shared" ref="AT47:AT57" si="65">AP47</f>
        <v>4.7437069037142399E-2</v>
      </c>
      <c r="AU47" s="345">
        <f>AT47</f>
        <v>4.7437069037142399E-2</v>
      </c>
      <c r="AV47" s="345">
        <f t="shared" ref="AV47:AY47" si="66">AU47</f>
        <v>4.7437069037142399E-2</v>
      </c>
      <c r="AW47" s="345">
        <f t="shared" si="66"/>
        <v>4.7437069037142399E-2</v>
      </c>
      <c r="AX47" s="345">
        <f t="shared" si="66"/>
        <v>4.7437069037142399E-2</v>
      </c>
      <c r="AY47" s="345">
        <f t="shared" si="66"/>
        <v>4.7437069037142399E-2</v>
      </c>
      <c r="BQ47" s="316">
        <v>2021</v>
      </c>
      <c r="BR47" s="346">
        <f>BZ47*CH47</f>
        <v>14648.885030567406</v>
      </c>
      <c r="BS47" s="346">
        <f>CA47*CI47</f>
        <v>734.79211673730026</v>
      </c>
      <c r="BT47" s="346">
        <f>CB47*CJ47</f>
        <v>8920.5376809790105</v>
      </c>
      <c r="BU47" s="346">
        <f>CC47*CK47</f>
        <v>4279.5125946237449</v>
      </c>
      <c r="BV47" s="346">
        <f>DR47*EG47</f>
        <v>6590.2761451028655</v>
      </c>
      <c r="BW47" s="346">
        <f>CE47*CM47</f>
        <v>16869.345757158349</v>
      </c>
      <c r="BY47" s="316">
        <v>2021</v>
      </c>
      <c r="BZ47" s="46">
        <f>Z47-Z46*(1-DJ47)</f>
        <v>13283.1550671882</v>
      </c>
      <c r="CA47" s="300">
        <f>AVERAGE(CA41:CA46)</f>
        <v>665.08333333333337</v>
      </c>
      <c r="CB47" s="46">
        <f>AB47-AB46*(1-DL47)</f>
        <v>8220.0381017393374</v>
      </c>
      <c r="CC47" s="300">
        <f>AVERAGE(CC41:CC46)</f>
        <v>3819.8333333333335</v>
      </c>
      <c r="CD47" s="46">
        <f>BV47/CL47</f>
        <v>6157.0524834428852</v>
      </c>
      <c r="CE47" s="300">
        <f>AVERAGE(CE41:CE46)</f>
        <v>15127.800000000001</v>
      </c>
      <c r="CG47" s="316">
        <v>2021</v>
      </c>
      <c r="CH47" s="48">
        <f>(CT47+1)*CH46</f>
        <v>1.1028166844752725</v>
      </c>
      <c r="CI47" s="48">
        <f t="shared" ref="CI47:CM47" si="67">(CU47+1)*CI46</f>
        <v>1.1048121038526002</v>
      </c>
      <c r="CJ47" s="48">
        <f t="shared" si="67"/>
        <v>1.0852185319057643</v>
      </c>
      <c r="CK47" s="48">
        <f t="shared" si="67"/>
        <v>1.1203401355967741</v>
      </c>
      <c r="CL47" s="48">
        <f t="shared" si="67"/>
        <v>1.0703621843122135</v>
      </c>
      <c r="CM47" s="48">
        <f t="shared" si="67"/>
        <v>1.115122209254376</v>
      </c>
      <c r="CO47" s="316">
        <v>2021</v>
      </c>
      <c r="CP47" s="62">
        <v>4.7437069037142399E-2</v>
      </c>
      <c r="CQ47" s="62">
        <v>6.5000000000000002E-2</v>
      </c>
      <c r="CR47" s="45"/>
      <c r="CS47" s="316">
        <v>2021</v>
      </c>
      <c r="CT47" s="345">
        <f>CP47</f>
        <v>4.7437069037142399E-2</v>
      </c>
      <c r="CU47" s="345">
        <f>CT47</f>
        <v>4.7437069037142399E-2</v>
      </c>
      <c r="CV47" s="345">
        <f t="shared" ref="CV47:CY47" si="68">CU47</f>
        <v>4.7437069037142399E-2</v>
      </c>
      <c r="CW47" s="345">
        <f t="shared" si="68"/>
        <v>4.7437069037142399E-2</v>
      </c>
      <c r="CX47" s="345">
        <f t="shared" si="68"/>
        <v>4.7437069037142399E-2</v>
      </c>
      <c r="CY47" s="345">
        <f t="shared" si="68"/>
        <v>4.7437069037142399E-2</v>
      </c>
      <c r="DA47" s="316">
        <v>2021</v>
      </c>
      <c r="DI47" s="316">
        <v>2021</v>
      </c>
      <c r="DJ47" s="342">
        <f>AVERAGE(DJ42:DJ46)</f>
        <v>5.475613402610726E-2</v>
      </c>
      <c r="DK47" s="342">
        <f t="shared" ref="DK47:DN47" si="69">AVERAGE(DK42:DK46)</f>
        <v>5.2886778090110012E-2</v>
      </c>
      <c r="DL47" s="342">
        <f t="shared" si="69"/>
        <v>7.9332382181603933E-2</v>
      </c>
      <c r="DM47" s="342">
        <f t="shared" si="69"/>
        <v>7.8397457889894467E-2</v>
      </c>
      <c r="DN47" s="342">
        <f t="shared" si="69"/>
        <v>3.0212897124007876E-2</v>
      </c>
      <c r="DO47" s="342">
        <f>AVERAGE(DO42:DO46)</f>
        <v>1.9684330097015108E-2</v>
      </c>
      <c r="DQ47" s="316">
        <v>2021</v>
      </c>
      <c r="DR47" s="46">
        <f>(DS46/4+DS47*3/4)*1000</f>
        <v>542552.47499999998</v>
      </c>
      <c r="DS47" s="61">
        <v>544.9</v>
      </c>
      <c r="DT47" s="46">
        <f>(DU46/4+DU47*3/4)*1000</f>
        <v>535908.63685000013</v>
      </c>
      <c r="DU47" s="61">
        <v>539.32541580000009</v>
      </c>
      <c r="DW47" s="46">
        <f>(DX46/4+DX47*3/4)*1000</f>
        <v>567501.16850424011</v>
      </c>
      <c r="DX47" s="61">
        <v>567.17427562773412</v>
      </c>
      <c r="DY47" s="46">
        <f>(DZ46/4+DZ47*3/4)*1000</f>
        <v>560534.77956475597</v>
      </c>
      <c r="DZ47" s="61">
        <v>561.37181507431012</v>
      </c>
      <c r="EB47" s="316">
        <v>2021</v>
      </c>
      <c r="EC47" s="88">
        <f t="shared" ref="EC47:EC66" si="70">BR47/$DR47</f>
        <v>2.6999941398419401E-2</v>
      </c>
      <c r="ED47" s="88">
        <f t="shared" ref="ED47:ED66" si="71">BS47/$DR47</f>
        <v>1.3543245134718081E-3</v>
      </c>
      <c r="EE47" s="88">
        <f t="shared" ref="EE47:EE66" si="72">BT47/$DR47</f>
        <v>1.6441797046412902E-2</v>
      </c>
      <c r="EF47" s="88">
        <f t="shared" ref="EF47:EF66" si="73">BU47/$DR47</f>
        <v>7.8877395124291802E-3</v>
      </c>
      <c r="EG47" s="302">
        <f>-0.000337487976634 - 0.336351055557*FM46 -0.575414155043*(EG46-EG45)+EG46</f>
        <v>1.2146799524051319E-2</v>
      </c>
      <c r="EH47" s="88">
        <f t="shared" ref="EH47:EH66" si="74">BW47/$DR47</f>
        <v>3.1092560691310736E-2</v>
      </c>
      <c r="EJ47" s="316">
        <v>2021</v>
      </c>
      <c r="EK47" s="302">
        <f>0.00310101035706 + 8.00320485051*((EW47-EW46)-(EW46-EW45)) - 0.508660861996*FK46+ 1.12119985655*(FE47-FE46)+EK46+EL46-EL47</f>
        <v>0.74057076071768557</v>
      </c>
      <c r="EL47" s="88">
        <f t="shared" ref="EL47:EL66" si="75">S47/$DW47</f>
        <v>3.0036048195263332E-2</v>
      </c>
      <c r="EM47" s="302">
        <f>-0.00084172706378 + 4.18246738319*((EW47-EW46)-(EW46-EW45))  - 0.587575259043*FL46 + 0.69918699035*(FE47-FE46)+EM46</f>
        <v>0.33501949008322252</v>
      </c>
      <c r="EN47" s="88">
        <f t="shared" ref="EN47:EN66" si="76">U47/$DW47</f>
        <v>8.9401465093975591E-2</v>
      </c>
      <c r="EO47" s="88">
        <f t="shared" ref="EO47:EO66" si="77">V47/$DW47</f>
        <v>0.39123943977935921</v>
      </c>
      <c r="EP47" s="88">
        <f t="shared" ref="EP47:EP65" si="78">W47/$DW47</f>
        <v>1.3290505353544826</v>
      </c>
      <c r="ER47" s="316">
        <v>2021</v>
      </c>
      <c r="ES47" s="317">
        <f t="shared" ref="ES47:ES66" si="79">SUM(ET47:EV47)</f>
        <v>122849</v>
      </c>
      <c r="ET47" s="61">
        <v>14667</v>
      </c>
      <c r="EU47" s="61">
        <v>72033</v>
      </c>
      <c r="EV47" s="61">
        <v>36149</v>
      </c>
      <c r="EW47" s="88">
        <f t="shared" ref="EW47:EW66" si="80">ET47/$ES47</f>
        <v>0.11939047122890703</v>
      </c>
      <c r="EX47" s="88">
        <f t="shared" ref="EX47:EX66" si="81">EU47/$ES47</f>
        <v>0.58635397927537058</v>
      </c>
      <c r="EY47" s="88">
        <f t="shared" ref="EY47:EY66" si="82">EV47/$ES47</f>
        <v>0.29425554949572241</v>
      </c>
      <c r="EZ47" s="88">
        <f t="shared" ref="EZ47:EZ66" si="83">EW47-EW46</f>
        <v>2.2696227896014387E-4</v>
      </c>
      <c r="FA47" s="88">
        <f t="shared" ref="FA47:FA66" si="84">EX47-EX46</f>
        <v>-8.8848709458017039E-3</v>
      </c>
      <c r="FB47" s="88">
        <f t="shared" ref="FB47:FB66" si="85">EY47-EY46</f>
        <v>8.6579086668415739E-3</v>
      </c>
      <c r="FC47" s="374"/>
      <c r="FD47" s="316">
        <v>2021</v>
      </c>
      <c r="FE47" s="308">
        <f>(FF46/4+FF47*3/4)</f>
        <v>0</v>
      </c>
      <c r="FF47" s="159">
        <v>0</v>
      </c>
      <c r="FG47" s="308">
        <f>(FH46/4+FH47*3/4)</f>
        <v>5.7500000000000008E-3</v>
      </c>
      <c r="FH47" s="159">
        <v>6.0000000000000001E-3</v>
      </c>
      <c r="FI47" s="319">
        <f>FE47-FG47</f>
        <v>-5.7500000000000008E-3</v>
      </c>
      <c r="FK47" s="345">
        <f t="shared" ref="FK47:FK65" si="86">SUM(EK47:EL47)-(24.0959475629*(EW47-EW46)+0.793461523015+0.837029275127*FE47)</f>
        <v>-2.8323585274630969E-2</v>
      </c>
      <c r="FL47" s="345">
        <f t="shared" ref="FL47:FL66" si="87">EM47-(4.79228258068*(EW47-EW46) + 0.334886759052 + 1.54914698576*FE47)</f>
        <v>-9.5493634470961153E-4</v>
      </c>
      <c r="FM47" s="345">
        <f>EG47-(-1.26996838471*(EW47-EW46) + 0.0104066687 + 0.130732498683*(FE47-FG47))</f>
        <v>2.780077610279685E-3</v>
      </c>
      <c r="FO47" s="316">
        <v>2021</v>
      </c>
      <c r="FP47" s="46">
        <f>BZ47/BZ$44*FP$44</f>
        <v>122533.29250598799</v>
      </c>
      <c r="FQ47" s="46">
        <f t="shared" ref="FQ47:FQ66" si="88">CA47/CA$44*FQ$44</f>
        <v>8200.1687375062393</v>
      </c>
      <c r="FR47" s="46">
        <f t="shared" ref="FR47:FR66" si="89">CB47/CB$44*FR$44</f>
        <v>77499.102727541322</v>
      </c>
      <c r="FS47" s="46">
        <f t="shared" ref="FS47:FS66" si="90">CC47/CC$44*FS$44</f>
        <v>48787.211056042972</v>
      </c>
      <c r="FT47" s="46">
        <f t="shared" ref="FT47:FT66" si="91">CD47/CD$44*FT$44</f>
        <v>49722.168195883409</v>
      </c>
      <c r="FU47" s="46">
        <f t="shared" ref="FU47:FU66" si="92">CE47/CE$44*FU$44</f>
        <v>151348.05087799369</v>
      </c>
      <c r="FV47" s="285">
        <f t="shared" si="38"/>
        <v>458089.99410095561</v>
      </c>
    </row>
    <row r="48" spans="1:178">
      <c r="Q48" s="316">
        <v>2022</v>
      </c>
      <c r="R48" s="46">
        <f>DW48*EK48</f>
        <v>428142.70828442153</v>
      </c>
      <c r="S48" s="46">
        <f t="shared" ref="S48:S66" si="93">AA48*AI48</f>
        <v>17380.453057249051</v>
      </c>
      <c r="T48" s="46">
        <f t="shared" ref="T48:T66" si="94">DW48*EM48</f>
        <v>188622.79674387569</v>
      </c>
      <c r="U48" s="46">
        <f t="shared" ref="U48:U66" si="95">AC48*AK48</f>
        <v>52565.569537989606</v>
      </c>
      <c r="V48" s="46">
        <f t="shared" ref="V48:V66" si="96">AD48*AL48</f>
        <v>228644.9481219897</v>
      </c>
      <c r="W48" s="46">
        <f t="shared" ref="W48:W66" si="97">AE48*AM48</f>
        <v>780126.78589043859</v>
      </c>
      <c r="Y48" s="316">
        <v>2022</v>
      </c>
      <c r="Z48" s="46">
        <f t="shared" ref="Z48:AB66" si="98">R48/AH48</f>
        <v>377222.4212245401</v>
      </c>
      <c r="AA48" s="46">
        <f t="shared" ref="AA48:AA66" si="99">AA47*(1-DK48)+CA48</f>
        <v>15262.079366151831</v>
      </c>
      <c r="AB48" s="46">
        <f t="shared" si="98"/>
        <v>168303.68029015299</v>
      </c>
      <c r="AC48" s="46">
        <f t="shared" ref="AC48:AC66" si="100">AC47*(1-DM48)+CC48</f>
        <v>46144.277577453089</v>
      </c>
      <c r="AD48" s="46">
        <f t="shared" ref="AD48:AD66" si="101">AD47*(1-DN48)+CD48</f>
        <v>205350.95924431738</v>
      </c>
      <c r="AE48" s="46">
        <f t="shared" ref="AE48:AE66" si="102">AE47*(1-DO48)+CE48</f>
        <v>677464.0372120114</v>
      </c>
      <c r="AG48" s="316">
        <v>2022</v>
      </c>
      <c r="AH48" s="48">
        <f t="shared" ref="AH48:AH65" si="103">(AT48+1)*AH47</f>
        <v>1.1349874349848663</v>
      </c>
      <c r="AI48" s="48">
        <f t="shared" si="60"/>
        <v>1.1387998083534632</v>
      </c>
      <c r="AJ48" s="48">
        <f t="shared" si="61"/>
        <v>1.1207288896992202</v>
      </c>
      <c r="AK48" s="48">
        <f t="shared" si="62"/>
        <v>1.1391568423572866</v>
      </c>
      <c r="AL48" s="48">
        <f t="shared" si="63"/>
        <v>1.1134350137121014</v>
      </c>
      <c r="AM48" s="48">
        <f t="shared" si="64"/>
        <v>1.1515397763413662</v>
      </c>
      <c r="AO48" s="316">
        <v>2022</v>
      </c>
      <c r="AP48" s="88">
        <f>(AQ47/4+AQ48*3/4)</f>
        <v>3.125E-2</v>
      </c>
      <c r="AQ48" s="62">
        <v>0.02</v>
      </c>
      <c r="AR48" s="44"/>
      <c r="AS48" s="316">
        <v>2022</v>
      </c>
      <c r="AT48" s="345">
        <f t="shared" si="65"/>
        <v>3.125E-2</v>
      </c>
      <c r="AU48" s="345">
        <f t="shared" ref="AU48:AY48" si="104">AT48</f>
        <v>3.125E-2</v>
      </c>
      <c r="AV48" s="345">
        <f t="shared" si="104"/>
        <v>3.125E-2</v>
      </c>
      <c r="AW48" s="345">
        <f t="shared" si="104"/>
        <v>3.125E-2</v>
      </c>
      <c r="AX48" s="345">
        <f t="shared" si="104"/>
        <v>3.125E-2</v>
      </c>
      <c r="AY48" s="345">
        <f t="shared" si="104"/>
        <v>3.125E-2</v>
      </c>
      <c r="BQ48" s="316">
        <v>2022</v>
      </c>
      <c r="BR48" s="346">
        <f t="shared" ref="BR48:BT66" si="105">BZ48*CH48</f>
        <v>18503.410751736199</v>
      </c>
      <c r="BS48" s="346">
        <f t="shared" ref="BS48:BW66" si="106">CA48*CI48</f>
        <v>732.28701283411147</v>
      </c>
      <c r="BT48" s="346">
        <f t="shared" si="105"/>
        <v>8100.2394369913254</v>
      </c>
      <c r="BU48" s="346">
        <f t="shared" si="106"/>
        <v>4408.2665176862292</v>
      </c>
      <c r="BV48" s="346">
        <f t="shared" ref="BV48:BV66" si="107">DR48*EG48</f>
        <v>6538.4631696100578</v>
      </c>
      <c r="BW48" s="346">
        <f t="shared" si="106"/>
        <v>17605.71148090412</v>
      </c>
      <c r="BY48" s="316">
        <v>2022</v>
      </c>
      <c r="BZ48" s="46">
        <f t="shared" ref="BZ48:CB66" si="108">Z48-Z47*(1-DJ48)</f>
        <v>16269.885637026047</v>
      </c>
      <c r="CA48" s="300">
        <f t="shared" ref="CA48:CE66" si="109">AVERAGE(CA42:CA47)</f>
        <v>642.7305555555555</v>
      </c>
      <c r="CB48" s="46">
        <f t="shared" si="108"/>
        <v>7237.9685795417754</v>
      </c>
      <c r="CC48" s="300">
        <f t="shared" si="109"/>
        <v>3815.5222222222219</v>
      </c>
      <c r="CD48" s="46">
        <f t="shared" ref="CD48:CD66" si="110">BV48/CL48</f>
        <v>5923.5350566128636</v>
      </c>
      <c r="CE48" s="300">
        <f t="shared" si="109"/>
        <v>15309.716666666667</v>
      </c>
      <c r="CG48" s="316">
        <v>2022</v>
      </c>
      <c r="CH48" s="48">
        <f t="shared" ref="CH48:CH65" si="111">(CT48+1)*CH47</f>
        <v>1.1372797058651247</v>
      </c>
      <c r="CI48" s="48">
        <f t="shared" ref="CI48:CI66" si="112">(CU48+1)*CI47</f>
        <v>1.139337482097994</v>
      </c>
      <c r="CJ48" s="48">
        <f t="shared" ref="CJ48:CJ66" si="113">(CV48+1)*CJ47</f>
        <v>1.1191316110278196</v>
      </c>
      <c r="CK48" s="48">
        <f t="shared" ref="CK48:CK66" si="114">(CW48+1)*CK47</f>
        <v>1.1553507648341734</v>
      </c>
      <c r="CL48" s="48">
        <f t="shared" ref="CL48:CL66" si="115">(CX48+1)*CL47</f>
        <v>1.1038110025719703</v>
      </c>
      <c r="CM48" s="48">
        <f t="shared" ref="CM48:CM66" si="116">(CY48+1)*CM47</f>
        <v>1.1499697782935752</v>
      </c>
      <c r="CO48" s="316">
        <v>2022</v>
      </c>
      <c r="CP48" s="88">
        <f>(CQ47/4+CQ48*3/4)</f>
        <v>3.125E-2</v>
      </c>
      <c r="CQ48" s="62">
        <v>0.02</v>
      </c>
      <c r="CR48" s="45"/>
      <c r="CS48" s="316">
        <v>2022</v>
      </c>
      <c r="CT48" s="345">
        <f t="shared" ref="CT48:CT66" si="117">CP48</f>
        <v>3.125E-2</v>
      </c>
      <c r="CU48" s="345">
        <f t="shared" ref="CU48:CY66" si="118">CT48</f>
        <v>3.125E-2</v>
      </c>
      <c r="CV48" s="345">
        <f t="shared" si="118"/>
        <v>3.125E-2</v>
      </c>
      <c r="CW48" s="345">
        <f t="shared" si="118"/>
        <v>3.125E-2</v>
      </c>
      <c r="CX48" s="345">
        <f t="shared" si="118"/>
        <v>3.125E-2</v>
      </c>
      <c r="CY48" s="345">
        <f t="shared" si="118"/>
        <v>3.125E-2</v>
      </c>
      <c r="DA48" s="316">
        <v>2022</v>
      </c>
      <c r="DI48" s="316">
        <v>2022</v>
      </c>
      <c r="DJ48" s="342">
        <f>DJ47</f>
        <v>5.475613402610726E-2</v>
      </c>
      <c r="DK48" s="342">
        <f t="shared" ref="DK48:DO48" si="119">DK47</f>
        <v>5.2886778090110012E-2</v>
      </c>
      <c r="DL48" s="342">
        <f t="shared" si="119"/>
        <v>7.9332382181603933E-2</v>
      </c>
      <c r="DM48" s="342">
        <f t="shared" si="119"/>
        <v>7.8397457889894467E-2</v>
      </c>
      <c r="DN48" s="342">
        <f t="shared" si="119"/>
        <v>3.0212897124007876E-2</v>
      </c>
      <c r="DO48" s="342">
        <f t="shared" si="119"/>
        <v>1.9684330097015108E-2</v>
      </c>
      <c r="DQ48" s="316">
        <v>2022</v>
      </c>
      <c r="DR48" s="46">
        <f t="shared" ref="DR48:DT66" si="120">(DS47/4+DS48*3/4)*1000</f>
        <v>559675.00000000012</v>
      </c>
      <c r="DS48" s="61">
        <v>564.6</v>
      </c>
      <c r="DT48" s="46">
        <f t="shared" si="120"/>
        <v>552269.22577920009</v>
      </c>
      <c r="DU48" s="61">
        <v>556.5838291056001</v>
      </c>
      <c r="DW48" s="46">
        <f t="shared" ref="DW48" si="121">(DX47/4+DX48*3/4)*1000</f>
        <v>573157.20451589546</v>
      </c>
      <c r="DX48" s="61">
        <v>575.15151414528259</v>
      </c>
      <c r="DY48" s="46">
        <f t="shared" ref="DY48" si="122">(DZ47/4+DZ48*3/4)*1000</f>
        <v>565582.10368736752</v>
      </c>
      <c r="DZ48" s="61">
        <v>566.98553322505325</v>
      </c>
      <c r="EB48" s="316">
        <v>2022</v>
      </c>
      <c r="EC48" s="88">
        <f t="shared" si="70"/>
        <v>3.3060992096727915E-2</v>
      </c>
      <c r="ED48" s="88">
        <f t="shared" si="71"/>
        <v>1.3084147278940659E-3</v>
      </c>
      <c r="EE48" s="88">
        <f t="shared" si="72"/>
        <v>1.4473112854766291E-2</v>
      </c>
      <c r="EF48" s="88">
        <f t="shared" si="73"/>
        <v>7.8764756647808614E-3</v>
      </c>
      <c r="EG48" s="302">
        <f t="shared" ref="EG48:EG66" si="123">-0.000337487976634 - 0.336351055557*FM47 -0.575414155043*(EG47-EG46)+EG47</f>
        <v>1.1682607173109495E-2</v>
      </c>
      <c r="EH48" s="88">
        <f t="shared" si="74"/>
        <v>3.1457026811817779E-2</v>
      </c>
      <c r="EJ48" s="316">
        <v>2022</v>
      </c>
      <c r="EK48" s="302">
        <f t="shared" ref="EK48:EK66" si="124">0.00310101035706 + 8.00320485051*((EW48-EW47)-(EW47-EW46)) - 0.508660861996*FK47+ 1.12119985655*(FE48-FE47)+EK47+EL47-EL48</f>
        <v>0.74699001410275001</v>
      </c>
      <c r="EL48" s="88">
        <f t="shared" si="75"/>
        <v>3.032405929875568E-2</v>
      </c>
      <c r="EM48" s="302">
        <f t="shared" ref="EM48:EM66" si="125">-0.00084172706378 + 4.18246738319*((EW48-EW47)-(EW47-EW46))  - 0.587575259043*FL47 + 0.69918699035*(FE48-FE47)+EM47</f>
        <v>0.32909434838770241</v>
      </c>
      <c r="EN48" s="88">
        <f t="shared" si="76"/>
        <v>9.1712307066589088E-2</v>
      </c>
      <c r="EO48" s="88">
        <f t="shared" si="77"/>
        <v>0.39892187748928254</v>
      </c>
      <c r="EP48" s="88">
        <f t="shared" si="78"/>
        <v>1.3611043876685724</v>
      </c>
      <c r="ER48" s="316">
        <v>2022</v>
      </c>
      <c r="ES48" s="317">
        <f t="shared" si="79"/>
        <v>124310.239</v>
      </c>
      <c r="ET48" s="61">
        <v>14701.906999999999</v>
      </c>
      <c r="EU48" s="61">
        <v>73129.793999999994</v>
      </c>
      <c r="EV48" s="61">
        <v>36478.538</v>
      </c>
      <c r="EW48" s="88">
        <f t="shared" si="80"/>
        <v>0.11826786850598847</v>
      </c>
      <c r="EX48" s="88">
        <f t="shared" si="81"/>
        <v>0.58828455795986356</v>
      </c>
      <c r="EY48" s="88">
        <f t="shared" si="82"/>
        <v>0.29344757353414791</v>
      </c>
      <c r="EZ48" s="88">
        <f t="shared" si="83"/>
        <v>-1.1226027229185587E-3</v>
      </c>
      <c r="FA48" s="88">
        <f t="shared" si="84"/>
        <v>1.9305786844929784E-3</v>
      </c>
      <c r="FB48" s="88">
        <f t="shared" si="85"/>
        <v>-8.0797596157450302E-4</v>
      </c>
      <c r="FC48" s="374"/>
      <c r="FD48" s="316">
        <v>2022</v>
      </c>
      <c r="FE48" s="308">
        <f t="shared" ref="FE48:FG66" si="126">(FF47/4+FF48*3/4)</f>
        <v>0</v>
      </c>
      <c r="FF48" s="159">
        <v>0</v>
      </c>
      <c r="FG48" s="308">
        <f t="shared" si="126"/>
        <v>8.9999999999999993E-3</v>
      </c>
      <c r="FH48" s="159">
        <v>0.01</v>
      </c>
      <c r="FI48" s="319">
        <f t="shared" si="55"/>
        <v>-8.9999999999999993E-3</v>
      </c>
      <c r="FK48" s="345">
        <f>SUM(EK48:EL48)-(24.0959475629*(EW48-EW47)+0.793461523015+0.837029275127*FE48)</f>
        <v>1.0902726731920165E-2</v>
      </c>
      <c r="FL48" s="345">
        <f t="shared" si="87"/>
        <v>-4.1258119023102058E-4</v>
      </c>
      <c r="FM48" s="345">
        <f t="shared" ref="FM48:FM66" si="127">EG48-(-1.26996838471*(EW48-EW47) + 0.0104066687 + 0.130732498683*(FE48-FG48))</f>
        <v>1.0268609945605651E-3</v>
      </c>
      <c r="FO48" s="316">
        <v>2022</v>
      </c>
      <c r="FP48" s="46">
        <f>BZ48/BZ$44*FP$44</f>
        <v>150085.02465842964</v>
      </c>
      <c r="FQ48" s="46">
        <f t="shared" si="88"/>
        <v>7924.5693647011894</v>
      </c>
      <c r="FR48" s="46">
        <f t="shared" si="89"/>
        <v>68240.081559467697</v>
      </c>
      <c r="FS48" s="46">
        <f t="shared" si="90"/>
        <v>48732.149206661095</v>
      </c>
      <c r="FT48" s="46">
        <f t="shared" si="91"/>
        <v>47836.364427808388</v>
      </c>
      <c r="FU48" s="46">
        <f t="shared" si="92"/>
        <v>153168.05992902702</v>
      </c>
      <c r="FV48" s="285">
        <f t="shared" si="38"/>
        <v>475986.24914609501</v>
      </c>
    </row>
    <row r="49" spans="17:178">
      <c r="Q49" s="316">
        <v>2023</v>
      </c>
      <c r="R49" s="46">
        <f>DW49*EK49</f>
        <v>434331.6506232156</v>
      </c>
      <c r="S49" s="46">
        <f t="shared" si="93"/>
        <v>17285.775520361592</v>
      </c>
      <c r="T49" s="46">
        <f t="shared" si="94"/>
        <v>191408.36028054421</v>
      </c>
      <c r="U49" s="46">
        <f t="shared" si="95"/>
        <v>53126.066684737205</v>
      </c>
      <c r="V49" s="46">
        <f t="shared" si="96"/>
        <v>229897.61422785843</v>
      </c>
      <c r="W49" s="46">
        <f t="shared" si="97"/>
        <v>788195.8456879271</v>
      </c>
      <c r="Y49" s="316">
        <v>2023</v>
      </c>
      <c r="Z49" s="46">
        <f t="shared" si="98"/>
        <v>379920.86793135566</v>
      </c>
      <c r="AA49" s="46">
        <f t="shared" si="99"/>
        <v>15069.686143001994</v>
      </c>
      <c r="AB49" s="46">
        <f t="shared" si="98"/>
        <v>169559.86403181631</v>
      </c>
      <c r="AC49" s="46">
        <f t="shared" si="100"/>
        <v>46300.626111807695</v>
      </c>
      <c r="AD49" s="46">
        <f t="shared" si="101"/>
        <v>204989.8294277208</v>
      </c>
      <c r="AE49" s="46">
        <f t="shared" si="102"/>
        <v>679544.53091911809</v>
      </c>
      <c r="AG49" s="316">
        <v>2023</v>
      </c>
      <c r="AH49" s="48">
        <f t="shared" si="103"/>
        <v>1.1432160938885065</v>
      </c>
      <c r="AI49" s="48">
        <f t="shared" si="60"/>
        <v>1.1470561069640257</v>
      </c>
      <c r="AJ49" s="48">
        <f t="shared" si="61"/>
        <v>1.1288541741495395</v>
      </c>
      <c r="AK49" s="48">
        <f t="shared" si="62"/>
        <v>1.147415729464377</v>
      </c>
      <c r="AL49" s="48">
        <f t="shared" si="63"/>
        <v>1.1215074175615141</v>
      </c>
      <c r="AM49" s="48">
        <f t="shared" si="64"/>
        <v>1.159888439719841</v>
      </c>
      <c r="AO49" s="316">
        <v>2023</v>
      </c>
      <c r="AP49" s="88">
        <f t="shared" ref="AP49:AP66" si="128">(AQ48/4+AQ49*3/4)</f>
        <v>7.2500000000000004E-3</v>
      </c>
      <c r="AQ49" s="62">
        <v>3.0000000000000001E-3</v>
      </c>
      <c r="AR49" s="44"/>
      <c r="AS49" s="316">
        <v>2023</v>
      </c>
      <c r="AT49" s="345">
        <f t="shared" si="65"/>
        <v>7.2500000000000004E-3</v>
      </c>
      <c r="AU49" s="345">
        <f t="shared" ref="AU49:AY49" si="129">AT49</f>
        <v>7.2500000000000004E-3</v>
      </c>
      <c r="AV49" s="345">
        <f t="shared" si="129"/>
        <v>7.2500000000000004E-3</v>
      </c>
      <c r="AW49" s="345">
        <f t="shared" si="129"/>
        <v>7.2500000000000004E-3</v>
      </c>
      <c r="AX49" s="345">
        <f t="shared" si="129"/>
        <v>7.2500000000000004E-3</v>
      </c>
      <c r="AY49" s="345">
        <f t="shared" si="129"/>
        <v>7.2500000000000004E-3</v>
      </c>
      <c r="BQ49" s="316">
        <v>2023</v>
      </c>
      <c r="BR49" s="346">
        <f t="shared" si="105"/>
        <v>26752.233250771671</v>
      </c>
      <c r="BS49" s="346">
        <f t="shared" si="106"/>
        <v>705.50745617294911</v>
      </c>
      <c r="BT49" s="346">
        <f t="shared" si="105"/>
        <v>16466.92990681743</v>
      </c>
      <c r="BU49" s="346">
        <f t="shared" si="106"/>
        <v>4391.839109882857</v>
      </c>
      <c r="BV49" s="346">
        <f t="shared" si="107"/>
        <v>6496.4577912289305</v>
      </c>
      <c r="BW49" s="346">
        <f t="shared" si="106"/>
        <v>17856.368316345855</v>
      </c>
      <c r="BY49" s="316">
        <v>2023</v>
      </c>
      <c r="BZ49" s="46">
        <f t="shared" si="108"/>
        <v>23353.688161039143</v>
      </c>
      <c r="CA49" s="300">
        <f t="shared" si="109"/>
        <v>614.76898148148143</v>
      </c>
      <c r="CB49" s="46">
        <f t="shared" si="108"/>
        <v>14608.115629012202</v>
      </c>
      <c r="CC49" s="300">
        <f t="shared" si="109"/>
        <v>3773.9425925925921</v>
      </c>
      <c r="CD49" s="46">
        <f t="shared" si="110"/>
        <v>5843.1175893683094</v>
      </c>
      <c r="CE49" s="300">
        <f t="shared" si="109"/>
        <v>15415.919444444444</v>
      </c>
      <c r="CG49" s="316">
        <v>2023</v>
      </c>
      <c r="CH49" s="48">
        <f t="shared" si="111"/>
        <v>1.1455249837326469</v>
      </c>
      <c r="CI49" s="48">
        <f t="shared" si="112"/>
        <v>1.1475976788432045</v>
      </c>
      <c r="CJ49" s="48">
        <f t="shared" si="113"/>
        <v>1.1272453152077713</v>
      </c>
      <c r="CK49" s="48">
        <f t="shared" si="114"/>
        <v>1.1637270578792211</v>
      </c>
      <c r="CL49" s="48">
        <f t="shared" si="115"/>
        <v>1.1118136323406171</v>
      </c>
      <c r="CM49" s="48">
        <f t="shared" si="116"/>
        <v>1.1583070591862035</v>
      </c>
      <c r="CO49" s="316">
        <v>2023</v>
      </c>
      <c r="CP49" s="88">
        <f t="shared" ref="CP49:CP66" si="130">(CQ48/4+CQ49*3/4)</f>
        <v>7.2500000000000004E-3</v>
      </c>
      <c r="CQ49" s="62">
        <v>3.0000000000000001E-3</v>
      </c>
      <c r="CR49" s="45"/>
      <c r="CS49" s="316">
        <v>2023</v>
      </c>
      <c r="CT49" s="345">
        <f t="shared" si="117"/>
        <v>7.2500000000000004E-3</v>
      </c>
      <c r="CU49" s="345">
        <f t="shared" si="118"/>
        <v>7.2500000000000004E-3</v>
      </c>
      <c r="CV49" s="345">
        <f t="shared" si="118"/>
        <v>7.2500000000000004E-3</v>
      </c>
      <c r="CW49" s="345">
        <f t="shared" si="118"/>
        <v>7.2500000000000004E-3</v>
      </c>
      <c r="CX49" s="345">
        <f t="shared" si="118"/>
        <v>7.2500000000000004E-3</v>
      </c>
      <c r="CY49" s="345">
        <f t="shared" si="118"/>
        <v>7.2500000000000004E-3</v>
      </c>
      <c r="DA49" s="316">
        <v>2023</v>
      </c>
      <c r="DI49" s="316">
        <v>2023</v>
      </c>
      <c r="DJ49" s="342">
        <f t="shared" ref="DJ49:DJ66" si="131">DJ48</f>
        <v>5.475613402610726E-2</v>
      </c>
      <c r="DK49" s="342">
        <f t="shared" ref="DK49:DK66" si="132">DK48</f>
        <v>5.2886778090110012E-2</v>
      </c>
      <c r="DL49" s="342">
        <f t="shared" ref="DL49:DL66" si="133">DL48</f>
        <v>7.9332382181603933E-2</v>
      </c>
      <c r="DM49" s="342">
        <f t="shared" ref="DM49:DM66" si="134">DM48</f>
        <v>7.8397457889894467E-2</v>
      </c>
      <c r="DN49" s="342">
        <f t="shared" ref="DN49:DN66" si="135">DN48</f>
        <v>3.0212897124007876E-2</v>
      </c>
      <c r="DO49" s="342">
        <f t="shared" ref="DO49:DO66" si="136">DO48</f>
        <v>1.9684330097015108E-2</v>
      </c>
      <c r="DQ49" s="316">
        <v>2023</v>
      </c>
      <c r="DR49" s="46">
        <f t="shared" si="120"/>
        <v>576600</v>
      </c>
      <c r="DS49" s="61">
        <v>580.6</v>
      </c>
      <c r="DT49" s="46">
        <f t="shared" si="120"/>
        <v>565350.02441401337</v>
      </c>
      <c r="DU49" s="61">
        <v>568.27208951681769</v>
      </c>
      <c r="DW49" s="46">
        <f t="shared" ref="DW49" si="137">(DX48/4+DX49*3/4)*1000</f>
        <v>583465.59851832455</v>
      </c>
      <c r="DX49" s="61">
        <v>586.23695997600521</v>
      </c>
      <c r="DY49" s="46">
        <f t="shared" ref="DY49" si="138">(DZ48/4+DZ49*3/4)*1000</f>
        <v>572088.4030240787</v>
      </c>
      <c r="DZ49" s="61">
        <v>573.78935962375385</v>
      </c>
      <c r="EB49" s="316">
        <v>2023</v>
      </c>
      <c r="EC49" s="88">
        <f t="shared" si="70"/>
        <v>4.6396519685694887E-2</v>
      </c>
      <c r="ED49" s="88">
        <f t="shared" si="71"/>
        <v>1.2235647869804876E-3</v>
      </c>
      <c r="EE49" s="88">
        <f t="shared" si="72"/>
        <v>2.8558671361112436E-2</v>
      </c>
      <c r="EF49" s="88">
        <f t="shared" si="73"/>
        <v>7.6167865242505323E-3</v>
      </c>
      <c r="EG49" s="302">
        <f t="shared" si="123"/>
        <v>1.1266836266439352E-2</v>
      </c>
      <c r="EH49" s="88">
        <f t="shared" si="74"/>
        <v>3.0968380708196071E-2</v>
      </c>
      <c r="EJ49" s="316">
        <v>2023</v>
      </c>
      <c r="EK49" s="302">
        <f t="shared" si="124"/>
        <v>0.74439975848820295</v>
      </c>
      <c r="EL49" s="88">
        <f t="shared" si="75"/>
        <v>2.9626040617060832E-2</v>
      </c>
      <c r="EM49" s="302">
        <f t="shared" si="125"/>
        <v>0.32805423450262383</v>
      </c>
      <c r="EN49" s="88">
        <f t="shared" si="76"/>
        <v>9.1052611875743192E-2</v>
      </c>
      <c r="EO49" s="88">
        <f t="shared" si="77"/>
        <v>0.39402085540547627</v>
      </c>
      <c r="EP49" s="88">
        <f t="shared" si="78"/>
        <v>1.3508865778710906</v>
      </c>
      <c r="ER49" s="316">
        <v>2023</v>
      </c>
      <c r="ES49" s="317">
        <f t="shared" si="79"/>
        <v>123750.58900000001</v>
      </c>
      <c r="ET49" s="61">
        <v>14483.753000000001</v>
      </c>
      <c r="EU49" s="61">
        <v>72682.839000000007</v>
      </c>
      <c r="EV49" s="61">
        <v>36583.997000000003</v>
      </c>
      <c r="EW49" s="88">
        <f t="shared" si="80"/>
        <v>0.11703987122033011</v>
      </c>
      <c r="EX49" s="88">
        <f t="shared" si="81"/>
        <v>0.58733327725817941</v>
      </c>
      <c r="EY49" s="88">
        <f t="shared" si="82"/>
        <v>0.29562685152149054</v>
      </c>
      <c r="EZ49" s="88">
        <f t="shared" si="83"/>
        <v>-1.2279972856583665E-3</v>
      </c>
      <c r="FA49" s="88">
        <f t="shared" si="84"/>
        <v>-9.5128070168415402E-4</v>
      </c>
      <c r="FB49" s="88">
        <f t="shared" si="85"/>
        <v>2.1792779873426316E-3</v>
      </c>
      <c r="FC49" s="374"/>
      <c r="FD49" s="316">
        <v>2023</v>
      </c>
      <c r="FE49" s="308">
        <f t="shared" si="126"/>
        <v>0</v>
      </c>
      <c r="FF49" s="159">
        <v>0</v>
      </c>
      <c r="FG49" s="308">
        <f t="shared" si="126"/>
        <v>1.1500000000000002E-2</v>
      </c>
      <c r="FH49" s="159">
        <v>1.2E-2</v>
      </c>
      <c r="FI49" s="319">
        <f t="shared" si="55"/>
        <v>-1.1500000000000002E-2</v>
      </c>
      <c r="FK49" s="345">
        <f t="shared" si="86"/>
        <v>1.0154034292871428E-2</v>
      </c>
      <c r="FL49" s="345">
        <f t="shared" si="87"/>
        <v>-9.4761454819325408E-4</v>
      </c>
      <c r="FM49" s="345">
        <f t="shared" si="127"/>
        <v>8.0407357199803291E-4</v>
      </c>
      <c r="FO49" s="316">
        <v>2023</v>
      </c>
      <c r="FP49" s="46">
        <f>BZ49/BZ$44*FP$44</f>
        <v>215431.06950538579</v>
      </c>
      <c r="FQ49" s="46">
        <f t="shared" si="88"/>
        <v>7579.8161374258807</v>
      </c>
      <c r="FR49" s="46">
        <f t="shared" si="89"/>
        <v>137726.35111619081</v>
      </c>
      <c r="FS49" s="46">
        <f t="shared" si="90"/>
        <v>48201.090914491411</v>
      </c>
      <c r="FT49" s="46">
        <f t="shared" si="91"/>
        <v>47186.941535446625</v>
      </c>
      <c r="FU49" s="46">
        <f t="shared" si="92"/>
        <v>154230.57949000053</v>
      </c>
      <c r="FV49" s="285">
        <f t="shared" si="38"/>
        <v>610355.84869894106</v>
      </c>
    </row>
    <row r="50" spans="17:178">
      <c r="Q50" s="316">
        <v>2024</v>
      </c>
      <c r="R50" s="46">
        <f>DW50*EK50</f>
        <v>444535.17952552275</v>
      </c>
      <c r="S50" s="46">
        <f t="shared" si="93"/>
        <v>17143.422604548188</v>
      </c>
      <c r="T50" s="46">
        <f t="shared" si="94"/>
        <v>196074.76945249672</v>
      </c>
      <c r="U50" s="46">
        <f t="shared" si="95"/>
        <v>53537.423397587547</v>
      </c>
      <c r="V50" s="46">
        <f t="shared" si="96"/>
        <v>230512.44252554385</v>
      </c>
      <c r="W50" s="46">
        <f t="shared" si="97"/>
        <v>794187.2715976116</v>
      </c>
      <c r="Y50" s="316">
        <v>2024</v>
      </c>
      <c r="Z50" s="46">
        <f t="shared" si="98"/>
        <v>387104.18362200318</v>
      </c>
      <c r="AA50" s="46">
        <f t="shared" si="99"/>
        <v>14878.629474464504</v>
      </c>
      <c r="AB50" s="46">
        <f t="shared" si="98"/>
        <v>172915.50156496439</v>
      </c>
      <c r="AC50" s="46">
        <f t="shared" si="100"/>
        <v>46450.107750622861</v>
      </c>
      <c r="AD50" s="46">
        <f t="shared" si="101"/>
        <v>204617.26771165821</v>
      </c>
      <c r="AE50" s="46">
        <f t="shared" si="102"/>
        <v>681642.65807540331</v>
      </c>
      <c r="AG50" s="316">
        <v>2024</v>
      </c>
      <c r="AH50" s="48">
        <f t="shared" si="103"/>
        <v>1.1483605663110048</v>
      </c>
      <c r="AI50" s="48">
        <f t="shared" si="60"/>
        <v>1.1522178594453638</v>
      </c>
      <c r="AJ50" s="48">
        <f t="shared" si="61"/>
        <v>1.1339340179332122</v>
      </c>
      <c r="AK50" s="48">
        <f t="shared" si="62"/>
        <v>1.1525791002469665</v>
      </c>
      <c r="AL50" s="48">
        <f t="shared" si="63"/>
        <v>1.1265542009405409</v>
      </c>
      <c r="AM50" s="48">
        <f t="shared" si="64"/>
        <v>1.1651079376985802</v>
      </c>
      <c r="AO50" s="316">
        <v>2024</v>
      </c>
      <c r="AP50" s="88">
        <f t="shared" si="128"/>
        <v>4.4999999999999997E-3</v>
      </c>
      <c r="AQ50" s="62">
        <v>5.0000000000000001E-3</v>
      </c>
      <c r="AR50" s="44"/>
      <c r="AS50" s="316">
        <v>2024</v>
      </c>
      <c r="AT50" s="345">
        <f t="shared" si="65"/>
        <v>4.4999999999999997E-3</v>
      </c>
      <c r="AU50" s="345">
        <f t="shared" ref="AU50:AY50" si="139">AT50</f>
        <v>4.4999999999999997E-3</v>
      </c>
      <c r="AV50" s="345">
        <f t="shared" si="139"/>
        <v>4.4999999999999997E-3</v>
      </c>
      <c r="AW50" s="345">
        <f t="shared" si="139"/>
        <v>4.4999999999999997E-3</v>
      </c>
      <c r="AX50" s="345">
        <f t="shared" si="139"/>
        <v>4.4999999999999997E-3</v>
      </c>
      <c r="AY50" s="345">
        <f t="shared" si="139"/>
        <v>4.4999999999999997E-3</v>
      </c>
      <c r="BQ50" s="316">
        <v>2024</v>
      </c>
      <c r="BR50" s="346">
        <f t="shared" si="105"/>
        <v>32203.287090428526</v>
      </c>
      <c r="BS50" s="346">
        <f t="shared" si="106"/>
        <v>698.49355039398449</v>
      </c>
      <c r="BT50" s="346">
        <f t="shared" si="105"/>
        <v>19031.122569547933</v>
      </c>
      <c r="BU50" s="346">
        <f t="shared" si="106"/>
        <v>4417.9036060269163</v>
      </c>
      <c r="BV50" s="346">
        <f t="shared" si="107"/>
        <v>6500.7391738825827</v>
      </c>
      <c r="BW50" s="346">
        <f t="shared" si="106"/>
        <v>18004.888591683404</v>
      </c>
      <c r="BY50" s="316">
        <v>2024</v>
      </c>
      <c r="BZ50" s="46">
        <f t="shared" si="108"/>
        <v>27986.313654411817</v>
      </c>
      <c r="CA50" s="300">
        <f t="shared" si="109"/>
        <v>605.93047839506164</v>
      </c>
      <c r="CB50" s="46">
        <f t="shared" si="108"/>
        <v>16807.225469180936</v>
      </c>
      <c r="CC50" s="300">
        <f t="shared" si="109"/>
        <v>3779.3330246913579</v>
      </c>
      <c r="CD50" s="46">
        <f t="shared" si="110"/>
        <v>5820.7749119050522</v>
      </c>
      <c r="CE50" s="300">
        <f t="shared" si="109"/>
        <v>15474.506018518519</v>
      </c>
      <c r="CG50" s="316">
        <v>2024</v>
      </c>
      <c r="CH50" s="48">
        <f t="shared" si="111"/>
        <v>1.1506798461594436</v>
      </c>
      <c r="CI50" s="48">
        <f t="shared" si="112"/>
        <v>1.1527618683979988</v>
      </c>
      <c r="CJ50" s="48">
        <f t="shared" si="113"/>
        <v>1.1323179191262063</v>
      </c>
      <c r="CK50" s="48">
        <f t="shared" si="114"/>
        <v>1.1689638296396776</v>
      </c>
      <c r="CL50" s="48">
        <f t="shared" si="115"/>
        <v>1.1168167936861499</v>
      </c>
      <c r="CM50" s="48">
        <f t="shared" si="116"/>
        <v>1.1635194409525413</v>
      </c>
      <c r="CO50" s="316">
        <v>2024</v>
      </c>
      <c r="CP50" s="88">
        <f t="shared" si="130"/>
        <v>4.4999999999999997E-3</v>
      </c>
      <c r="CQ50" s="62">
        <v>5.0000000000000001E-3</v>
      </c>
      <c r="CR50" s="45"/>
      <c r="CS50" s="316">
        <v>2024</v>
      </c>
      <c r="CT50" s="345">
        <f t="shared" si="117"/>
        <v>4.4999999999999997E-3</v>
      </c>
      <c r="CU50" s="345">
        <f t="shared" si="118"/>
        <v>4.4999999999999997E-3</v>
      </c>
      <c r="CV50" s="345">
        <f t="shared" si="118"/>
        <v>4.4999999999999997E-3</v>
      </c>
      <c r="CW50" s="345">
        <f t="shared" si="118"/>
        <v>4.4999999999999997E-3</v>
      </c>
      <c r="CX50" s="345">
        <f t="shared" si="118"/>
        <v>4.4999999999999997E-3</v>
      </c>
      <c r="CY50" s="345">
        <f t="shared" si="118"/>
        <v>4.4999999999999997E-3</v>
      </c>
      <c r="DA50" s="316">
        <v>2024</v>
      </c>
      <c r="DI50" s="316">
        <v>2024</v>
      </c>
      <c r="DJ50" s="342">
        <f t="shared" si="131"/>
        <v>5.475613402610726E-2</v>
      </c>
      <c r="DK50" s="342">
        <f t="shared" si="132"/>
        <v>5.2886778090110012E-2</v>
      </c>
      <c r="DL50" s="342">
        <f t="shared" si="133"/>
        <v>7.9332382181603933E-2</v>
      </c>
      <c r="DM50" s="342">
        <f t="shared" si="134"/>
        <v>7.8397457889894467E-2</v>
      </c>
      <c r="DN50" s="342">
        <f t="shared" si="135"/>
        <v>3.0212897124007876E-2</v>
      </c>
      <c r="DO50" s="342">
        <f t="shared" si="136"/>
        <v>1.9684330097015108E-2</v>
      </c>
      <c r="DQ50" s="316">
        <v>2024</v>
      </c>
      <c r="DR50" s="46">
        <f t="shared" si="120"/>
        <v>596500</v>
      </c>
      <c r="DS50" s="61">
        <v>601.79999999999995</v>
      </c>
      <c r="DT50" s="46">
        <f t="shared" si="120"/>
        <v>579353.39526239573</v>
      </c>
      <c r="DU50" s="61">
        <v>583.04716384425501</v>
      </c>
      <c r="DW50" s="46">
        <f t="shared" ref="DW50" si="140">(DX49/4+DX50*3/4)*1000</f>
        <v>597405.31416921341</v>
      </c>
      <c r="DX50" s="61">
        <v>601.12809890028268</v>
      </c>
      <c r="DY50" s="46">
        <f t="shared" ref="DY50" si="141">(DZ49/4+DZ50*3/4)*1000</f>
        <v>580244.48991952115</v>
      </c>
      <c r="DZ50" s="61">
        <v>582.39620001811011</v>
      </c>
      <c r="EB50" s="316">
        <v>2024</v>
      </c>
      <c r="EC50" s="88">
        <f t="shared" si="70"/>
        <v>5.3987069724104823E-2</v>
      </c>
      <c r="ED50" s="88">
        <f t="shared" si="71"/>
        <v>1.1709866729153135E-3</v>
      </c>
      <c r="EE50" s="88">
        <f t="shared" si="72"/>
        <v>3.1904648062947079E-2</v>
      </c>
      <c r="EF50" s="88">
        <f t="shared" si="73"/>
        <v>7.4063765398607144E-3</v>
      </c>
      <c r="EG50" s="302">
        <f t="shared" si="123"/>
        <v>1.0898137760071388E-2</v>
      </c>
      <c r="EH50" s="88">
        <f t="shared" si="74"/>
        <v>3.0184222282788609E-2</v>
      </c>
      <c r="EJ50" s="316">
        <v>2024</v>
      </c>
      <c r="EK50" s="302">
        <f t="shared" si="124"/>
        <v>0.7441098513556399</v>
      </c>
      <c r="EL50" s="88">
        <f t="shared" si="75"/>
        <v>2.8696468206662724E-2</v>
      </c>
      <c r="EM50" s="302">
        <f t="shared" si="125"/>
        <v>0.32821062150270575</v>
      </c>
      <c r="EN50" s="88">
        <f t="shared" si="76"/>
        <v>8.9616583796278751E-2</v>
      </c>
      <c r="EO50" s="88">
        <f t="shared" si="77"/>
        <v>0.38585602949667075</v>
      </c>
      <c r="EP50" s="88">
        <f t="shared" si="78"/>
        <v>1.329394387296428</v>
      </c>
      <c r="ER50" s="316">
        <v>2024</v>
      </c>
      <c r="ES50" s="317">
        <f t="shared" si="79"/>
        <v>123160.804</v>
      </c>
      <c r="ET50" s="61">
        <v>14276.478999999999</v>
      </c>
      <c r="EU50" s="61">
        <v>72180.804000000004</v>
      </c>
      <c r="EV50" s="61">
        <v>36703.521000000001</v>
      </c>
      <c r="EW50" s="88">
        <f t="shared" si="80"/>
        <v>0.11591739040612303</v>
      </c>
      <c r="EX50" s="88">
        <f t="shared" si="81"/>
        <v>0.58606960701555666</v>
      </c>
      <c r="EY50" s="88">
        <f t="shared" si="82"/>
        <v>0.29801300257832031</v>
      </c>
      <c r="EZ50" s="88">
        <f t="shared" si="83"/>
        <v>-1.1224808142070719E-3</v>
      </c>
      <c r="FA50" s="88">
        <f t="shared" si="84"/>
        <v>-1.2636702426227497E-3</v>
      </c>
      <c r="FB50" s="88">
        <f t="shared" si="85"/>
        <v>2.3861510568297661E-3</v>
      </c>
      <c r="FC50" s="374"/>
      <c r="FD50" s="316">
        <v>2024</v>
      </c>
      <c r="FE50" s="308">
        <f t="shared" si="126"/>
        <v>0</v>
      </c>
      <c r="FF50" s="159">
        <v>0</v>
      </c>
      <c r="FG50" s="308">
        <f t="shared" si="126"/>
        <v>1.4249999999999999E-2</v>
      </c>
      <c r="FH50" s="159">
        <v>1.4999999999999999E-2</v>
      </c>
      <c r="FI50" s="319">
        <f t="shared" si="55"/>
        <v>-1.4249999999999999E-2</v>
      </c>
      <c r="FK50" s="345">
        <f t="shared" si="86"/>
        <v>6.3920353867975566E-3</v>
      </c>
      <c r="FL50" s="345">
        <f t="shared" si="87"/>
        <v>-1.2968922962222074E-3</v>
      </c>
      <c r="FM50" s="345">
        <f t="shared" si="127"/>
        <v>9.288920198176169E-4</v>
      </c>
      <c r="FO50" s="316">
        <v>2024</v>
      </c>
      <c r="FP50" s="46">
        <f t="shared" ref="FP50:FP66" si="142">BZ50/BZ$44*FP$44</f>
        <v>258165.70986596783</v>
      </c>
      <c r="FQ50" s="46">
        <f t="shared" si="88"/>
        <v>7470.8414976129061</v>
      </c>
      <c r="FR50" s="46">
        <f t="shared" si="89"/>
        <v>158459.71479443478</v>
      </c>
      <c r="FS50" s="46">
        <f t="shared" si="90"/>
        <v>48269.937936216375</v>
      </c>
      <c r="FT50" s="46">
        <f t="shared" si="91"/>
        <v>47006.510010823142</v>
      </c>
      <c r="FU50" s="46">
        <f t="shared" si="92"/>
        <v>154816.71652206933</v>
      </c>
      <c r="FV50" s="285">
        <f t="shared" si="38"/>
        <v>674189.43062712438</v>
      </c>
    </row>
    <row r="51" spans="17:178">
      <c r="Q51" s="316">
        <v>2025</v>
      </c>
      <c r="R51" s="46">
        <f t="shared" ref="R51:R66" si="143">DW51*EK51</f>
        <v>459396.52813733183</v>
      </c>
      <c r="S51" s="46">
        <f t="shared" si="93"/>
        <v>17029.121029684175</v>
      </c>
      <c r="T51" s="46">
        <f t="shared" si="94"/>
        <v>202451.92390212425</v>
      </c>
      <c r="U51" s="46">
        <f t="shared" si="95"/>
        <v>54009.080504717305</v>
      </c>
      <c r="V51" s="46">
        <f t="shared" si="96"/>
        <v>231336.85690248993</v>
      </c>
      <c r="W51" s="46">
        <f t="shared" si="97"/>
        <v>801263.95098486473</v>
      </c>
      <c r="Y51" s="316">
        <v>2025</v>
      </c>
      <c r="Z51" s="46">
        <f t="shared" si="98"/>
        <v>397758.43359834654</v>
      </c>
      <c r="AA51" s="46">
        <f t="shared" si="99"/>
        <v>14694.932257291102</v>
      </c>
      <c r="AB51" s="46">
        <f t="shared" si="98"/>
        <v>177518.68931963664</v>
      </c>
      <c r="AC51" s="46">
        <f t="shared" si="100"/>
        <v>46591.425913068932</v>
      </c>
      <c r="AD51" s="46">
        <f t="shared" si="101"/>
        <v>204175.06288665647</v>
      </c>
      <c r="AE51" s="46">
        <f t="shared" si="102"/>
        <v>683784.73600724514</v>
      </c>
      <c r="AG51" s="316">
        <v>2025</v>
      </c>
      <c r="AH51" s="48">
        <f>(AT51+1)*AH50</f>
        <v>1.1549636395672931</v>
      </c>
      <c r="AI51" s="48">
        <f t="shared" si="60"/>
        <v>1.1588431121371745</v>
      </c>
      <c r="AJ51" s="48">
        <f t="shared" si="61"/>
        <v>1.140454138536328</v>
      </c>
      <c r="AK51" s="48">
        <f t="shared" si="62"/>
        <v>1.1592064300733864</v>
      </c>
      <c r="AL51" s="48">
        <f t="shared" si="63"/>
        <v>1.1330318875959489</v>
      </c>
      <c r="AM51" s="48">
        <f t="shared" si="64"/>
        <v>1.1718073083403471</v>
      </c>
      <c r="AO51" s="316">
        <v>2025</v>
      </c>
      <c r="AP51" s="88">
        <f t="shared" si="128"/>
        <v>5.7500000000000008E-3</v>
      </c>
      <c r="AQ51" s="62">
        <v>6.0000000000000001E-3</v>
      </c>
      <c r="AR51" s="44"/>
      <c r="AS51" s="316">
        <v>2025</v>
      </c>
      <c r="AT51" s="345">
        <f t="shared" si="65"/>
        <v>5.7500000000000008E-3</v>
      </c>
      <c r="AU51" s="345">
        <f t="shared" ref="AU51:AY51" si="144">AT51</f>
        <v>5.7500000000000008E-3</v>
      </c>
      <c r="AV51" s="345">
        <f t="shared" si="144"/>
        <v>5.7500000000000008E-3</v>
      </c>
      <c r="AW51" s="345">
        <f t="shared" si="144"/>
        <v>5.7500000000000008E-3</v>
      </c>
      <c r="AX51" s="345">
        <f t="shared" si="144"/>
        <v>5.7500000000000008E-3</v>
      </c>
      <c r="AY51" s="345">
        <f t="shared" si="144"/>
        <v>5.7500000000000008E-3</v>
      </c>
      <c r="BQ51" s="316">
        <v>2025</v>
      </c>
      <c r="BR51" s="346">
        <f t="shared" si="105"/>
        <v>36860.555268995668</v>
      </c>
      <c r="BS51" s="346">
        <f t="shared" si="106"/>
        <v>699.32745451595201</v>
      </c>
      <c r="BT51" s="346">
        <f t="shared" si="105"/>
        <v>20864.465999997825</v>
      </c>
      <c r="BU51" s="346">
        <f t="shared" si="106"/>
        <v>4447.4867059387198</v>
      </c>
      <c r="BV51" s="346">
        <f t="shared" si="107"/>
        <v>6447.2492415427005</v>
      </c>
      <c r="BW51" s="346">
        <f t="shared" si="106"/>
        <v>18208.178249934183</v>
      </c>
      <c r="BY51" s="316">
        <v>2025</v>
      </c>
      <c r="BZ51" s="46">
        <f t="shared" si="108"/>
        <v>31850.578536816582</v>
      </c>
      <c r="CA51" s="300">
        <f t="shared" si="109"/>
        <v>603.18555812757199</v>
      </c>
      <c r="CB51" s="46">
        <f t="shared" si="108"/>
        <v>18320.986409947742</v>
      </c>
      <c r="CC51" s="300">
        <f t="shared" si="109"/>
        <v>3782.8885288065844</v>
      </c>
      <c r="CD51" s="46">
        <f t="shared" si="110"/>
        <v>5739.8756341661874</v>
      </c>
      <c r="CE51" s="300">
        <f t="shared" si="109"/>
        <v>15559.757021604937</v>
      </c>
      <c r="CG51" s="316">
        <v>2025</v>
      </c>
      <c r="CH51" s="48">
        <f t="shared" si="111"/>
        <v>1.1572962552748602</v>
      </c>
      <c r="CI51" s="48">
        <f t="shared" si="112"/>
        <v>1.1593902491412871</v>
      </c>
      <c r="CJ51" s="48">
        <f t="shared" si="113"/>
        <v>1.1388287471611818</v>
      </c>
      <c r="CK51" s="48">
        <f t="shared" si="114"/>
        <v>1.1756853716601057</v>
      </c>
      <c r="CL51" s="48">
        <f t="shared" si="115"/>
        <v>1.1232384902498451</v>
      </c>
      <c r="CM51" s="48">
        <f t="shared" si="116"/>
        <v>1.1702096777380184</v>
      </c>
      <c r="CO51" s="316">
        <v>2025</v>
      </c>
      <c r="CP51" s="88">
        <f t="shared" si="130"/>
        <v>5.7500000000000008E-3</v>
      </c>
      <c r="CQ51" s="62">
        <v>6.0000000000000001E-3</v>
      </c>
      <c r="CR51" s="45"/>
      <c r="CS51" s="316">
        <v>2025</v>
      </c>
      <c r="CT51" s="345">
        <f t="shared" si="117"/>
        <v>5.7500000000000008E-3</v>
      </c>
      <c r="CU51" s="345">
        <f t="shared" si="118"/>
        <v>5.7500000000000008E-3</v>
      </c>
      <c r="CV51" s="345">
        <f t="shared" si="118"/>
        <v>5.7500000000000008E-3</v>
      </c>
      <c r="CW51" s="345">
        <f t="shared" si="118"/>
        <v>5.7500000000000008E-3</v>
      </c>
      <c r="CX51" s="345">
        <f t="shared" si="118"/>
        <v>5.7500000000000008E-3</v>
      </c>
      <c r="CY51" s="345">
        <f t="shared" si="118"/>
        <v>5.7500000000000008E-3</v>
      </c>
      <c r="DA51" s="316">
        <v>2025</v>
      </c>
      <c r="DI51" s="316">
        <v>2025</v>
      </c>
      <c r="DJ51" s="342">
        <f t="shared" si="131"/>
        <v>5.475613402610726E-2</v>
      </c>
      <c r="DK51" s="342">
        <f t="shared" si="132"/>
        <v>5.2886778090110012E-2</v>
      </c>
      <c r="DL51" s="342">
        <f t="shared" si="133"/>
        <v>7.9332382181603933E-2</v>
      </c>
      <c r="DM51" s="342">
        <f t="shared" si="134"/>
        <v>7.8397457889894467E-2</v>
      </c>
      <c r="DN51" s="342">
        <f t="shared" si="135"/>
        <v>3.0212897124007876E-2</v>
      </c>
      <c r="DO51" s="342">
        <f t="shared" si="136"/>
        <v>1.9684330097015108E-2</v>
      </c>
      <c r="DQ51" s="316">
        <v>2025</v>
      </c>
      <c r="DR51" s="46">
        <f t="shared" si="120"/>
        <v>616350</v>
      </c>
      <c r="DS51" s="61">
        <v>621.20000000000005</v>
      </c>
      <c r="DT51" s="46">
        <f t="shared" si="120"/>
        <v>591355.58592903556</v>
      </c>
      <c r="DU51" s="61">
        <v>594.12505995729578</v>
      </c>
      <c r="DW51" s="46">
        <f t="shared" ref="DW51" si="145">(DX50/4+DX51*3/4)*1000</f>
        <v>615661.85403321579</v>
      </c>
      <c r="DX51" s="61">
        <v>620.50643907752692</v>
      </c>
      <c r="DY51" s="46">
        <f t="shared" ref="DY51" si="146">(DZ50/4+DZ51*3/4)*1000</f>
        <v>590695.34586836817</v>
      </c>
      <c r="DZ51" s="61">
        <v>593.46172781845416</v>
      </c>
      <c r="EB51" s="316">
        <v>2025</v>
      </c>
      <c r="EC51" s="88">
        <f t="shared" si="70"/>
        <v>5.9804583871170061E-2</v>
      </c>
      <c r="ED51" s="88">
        <f t="shared" si="71"/>
        <v>1.1346271672198459E-3</v>
      </c>
      <c r="EE51" s="88">
        <f t="shared" si="72"/>
        <v>3.3851652470183867E-2</v>
      </c>
      <c r="EF51" s="88">
        <f t="shared" si="73"/>
        <v>7.2158460386772443E-3</v>
      </c>
      <c r="EG51" s="302">
        <f t="shared" si="123"/>
        <v>1.0460370311580596E-2</v>
      </c>
      <c r="EH51" s="88">
        <f t="shared" si="74"/>
        <v>2.9541945728781022E-2</v>
      </c>
      <c r="EJ51" s="316">
        <v>2025</v>
      </c>
      <c r="EK51" s="302">
        <f t="shared" si="124"/>
        <v>0.74618319314054293</v>
      </c>
      <c r="EL51" s="88">
        <f t="shared" si="75"/>
        <v>2.765986055190197E-2</v>
      </c>
      <c r="EM51" s="302">
        <f t="shared" si="125"/>
        <v>0.32883623140829138</v>
      </c>
      <c r="EN51" s="88">
        <f t="shared" si="76"/>
        <v>8.7725234478801151E-2</v>
      </c>
      <c r="EO51" s="88">
        <f t="shared" si="77"/>
        <v>0.37575311087896146</v>
      </c>
      <c r="EP51" s="88">
        <f t="shared" si="78"/>
        <v>1.3014675925360084</v>
      </c>
      <c r="ER51" s="316">
        <v>2025</v>
      </c>
      <c r="ES51" s="317">
        <f t="shared" si="79"/>
        <v>122544.10100000001</v>
      </c>
      <c r="ET51" s="61">
        <v>14072.74</v>
      </c>
      <c r="EU51" s="61">
        <v>71700.512000000002</v>
      </c>
      <c r="EV51" s="61">
        <v>36770.849000000002</v>
      </c>
      <c r="EW51" s="88">
        <f t="shared" si="80"/>
        <v>0.11483816752631772</v>
      </c>
      <c r="EX51" s="88">
        <f t="shared" si="81"/>
        <v>0.58509966138639347</v>
      </c>
      <c r="EY51" s="88">
        <f t="shared" si="82"/>
        <v>0.30006217108728883</v>
      </c>
      <c r="EZ51" s="88">
        <f t="shared" si="83"/>
        <v>-1.0792228798053166E-3</v>
      </c>
      <c r="FA51" s="88">
        <f t="shared" si="84"/>
        <v>-9.699456291631936E-4</v>
      </c>
      <c r="FB51" s="88">
        <f t="shared" si="85"/>
        <v>2.0491685089685241E-3</v>
      </c>
      <c r="FC51" s="374"/>
      <c r="FD51" s="316">
        <v>2025</v>
      </c>
      <c r="FE51" s="308">
        <f t="shared" si="126"/>
        <v>7.5000000000000002E-4</v>
      </c>
      <c r="FF51" s="159">
        <v>1E-3</v>
      </c>
      <c r="FG51" s="308">
        <f t="shared" si="126"/>
        <v>1.7999999999999999E-2</v>
      </c>
      <c r="FH51" s="159">
        <v>1.9E-2</v>
      </c>
      <c r="FI51" s="319">
        <f t="shared" si="55"/>
        <v>-1.7249999999999998E-2</v>
      </c>
      <c r="FK51" s="345">
        <f t="shared" si="86"/>
        <v>5.7586566415706031E-3</v>
      </c>
      <c r="FL51" s="345">
        <f t="shared" si="87"/>
        <v>-2.0404468754663396E-3</v>
      </c>
      <c r="FM51" s="345">
        <f t="shared" si="127"/>
        <v>9.3825827645391442E-4</v>
      </c>
      <c r="FO51" s="316">
        <v>2025</v>
      </c>
      <c r="FP51" s="46">
        <f t="shared" si="142"/>
        <v>293812.44415170647</v>
      </c>
      <c r="FQ51" s="46">
        <f t="shared" si="88"/>
        <v>7436.997905033908</v>
      </c>
      <c r="FR51" s="46">
        <f t="shared" si="89"/>
        <v>172731.56039921398</v>
      </c>
      <c r="FS51" s="46">
        <f t="shared" si="90"/>
        <v>48315.34911375821</v>
      </c>
      <c r="FT51" s="46">
        <f t="shared" si="91"/>
        <v>46353.196188101254</v>
      </c>
      <c r="FU51" s="46">
        <f t="shared" si="92"/>
        <v>155669.62131672044</v>
      </c>
      <c r="FV51" s="285">
        <f t="shared" si="38"/>
        <v>724319.16907453421</v>
      </c>
    </row>
    <row r="52" spans="17:178">
      <c r="Q52" s="316">
        <v>2026</v>
      </c>
      <c r="R52" s="46">
        <f>DW52*EK52</f>
        <v>477449.03842544055</v>
      </c>
      <c r="S52" s="46">
        <f t="shared" si="93"/>
        <v>16925.067040543381</v>
      </c>
      <c r="T52" s="46">
        <f t="shared" si="94"/>
        <v>210610.10026111786</v>
      </c>
      <c r="U52" s="46">
        <f t="shared" si="95"/>
        <v>54463.309233521977</v>
      </c>
      <c r="V52" s="46">
        <f t="shared" si="96"/>
        <v>231990.67615107563</v>
      </c>
      <c r="W52" s="46">
        <f t="shared" si="97"/>
        <v>807949.23540760961</v>
      </c>
      <c r="Y52" s="316">
        <v>2026</v>
      </c>
      <c r="Z52" s="46">
        <f t="shared" si="98"/>
        <v>411229.84799177083</v>
      </c>
      <c r="AA52" s="46">
        <f t="shared" si="99"/>
        <v>14528.864453766049</v>
      </c>
      <c r="AB52" s="46">
        <f t="shared" si="98"/>
        <v>183707.66940943949</v>
      </c>
      <c r="AC52" s="46">
        <f t="shared" si="100"/>
        <v>46737.896512293315</v>
      </c>
      <c r="AD52" s="46">
        <f t="shared" si="101"/>
        <v>203682.78110821999</v>
      </c>
      <c r="AE52" s="46">
        <f t="shared" si="102"/>
        <v>685888.92474025057</v>
      </c>
      <c r="AG52" s="316">
        <v>2026</v>
      </c>
      <c r="AH52" s="48">
        <f t="shared" si="103"/>
        <v>1.1610271986750214</v>
      </c>
      <c r="AI52" s="48">
        <f t="shared" si="60"/>
        <v>1.1649270384758947</v>
      </c>
      <c r="AJ52" s="48">
        <f t="shared" si="61"/>
        <v>1.1464415227636437</v>
      </c>
      <c r="AK52" s="48">
        <f t="shared" si="62"/>
        <v>1.1652922638312717</v>
      </c>
      <c r="AL52" s="48">
        <f t="shared" si="63"/>
        <v>1.1389803050058276</v>
      </c>
      <c r="AM52" s="48">
        <f t="shared" si="64"/>
        <v>1.1779592967091339</v>
      </c>
      <c r="AO52" s="316">
        <v>2026</v>
      </c>
      <c r="AP52" s="88">
        <f t="shared" si="128"/>
        <v>5.2499999999999995E-3</v>
      </c>
      <c r="AQ52" s="62">
        <v>5.0000000000000001E-3</v>
      </c>
      <c r="AR52" s="44"/>
      <c r="AS52" s="316">
        <v>2026</v>
      </c>
      <c r="AT52" s="345">
        <f t="shared" si="65"/>
        <v>5.2499999999999995E-3</v>
      </c>
      <c r="AU52" s="345">
        <f t="shared" ref="AU52:AY52" si="147">AT52</f>
        <v>5.2499999999999995E-3</v>
      </c>
      <c r="AV52" s="345">
        <f t="shared" si="147"/>
        <v>5.2499999999999995E-3</v>
      </c>
      <c r="AW52" s="345">
        <f t="shared" si="147"/>
        <v>5.2499999999999995E-3</v>
      </c>
      <c r="AX52" s="345">
        <f t="shared" si="147"/>
        <v>5.2499999999999995E-3</v>
      </c>
      <c r="AY52" s="345">
        <f t="shared" si="147"/>
        <v>5.2499999999999995E-3</v>
      </c>
      <c r="BQ52" s="316">
        <v>2026</v>
      </c>
      <c r="BR52" s="346">
        <f t="shared" si="105"/>
        <v>41010.177994547077</v>
      </c>
      <c r="BS52" s="346">
        <f t="shared" si="106"/>
        <v>712.22281166995174</v>
      </c>
      <c r="BT52" s="346">
        <f t="shared" si="105"/>
        <v>23207.494517537976</v>
      </c>
      <c r="BU52" s="346">
        <f t="shared" si="106"/>
        <v>4490.0192419108971</v>
      </c>
      <c r="BV52" s="346">
        <f t="shared" si="107"/>
        <v>6409.4680582218216</v>
      </c>
      <c r="BW52" s="346">
        <f t="shared" si="106"/>
        <v>18308.801472660121</v>
      </c>
      <c r="BY52" s="316">
        <v>2026</v>
      </c>
      <c r="BZ52" s="46">
        <f t="shared" si="108"/>
        <v>35251.128493549826</v>
      </c>
      <c r="CA52" s="300">
        <f t="shared" si="109"/>
        <v>611.09981781550061</v>
      </c>
      <c r="CB52" s="46">
        <f t="shared" si="108"/>
        <v>20271.960595285665</v>
      </c>
      <c r="CC52" s="300">
        <f t="shared" si="109"/>
        <v>3799.119950274348</v>
      </c>
      <c r="CD52" s="46">
        <f t="shared" si="110"/>
        <v>5676.4383918458952</v>
      </c>
      <c r="CE52" s="300">
        <f t="shared" si="109"/>
        <v>15564.033191872428</v>
      </c>
      <c r="CG52" s="316">
        <v>2026</v>
      </c>
      <c r="CH52" s="48">
        <f t="shared" si="111"/>
        <v>1.1633720606150533</v>
      </c>
      <c r="CI52" s="48">
        <f t="shared" si="112"/>
        <v>1.1654770479492789</v>
      </c>
      <c r="CJ52" s="48">
        <f t="shared" si="113"/>
        <v>1.144807598083778</v>
      </c>
      <c r="CK52" s="48">
        <f t="shared" si="114"/>
        <v>1.1818577198613212</v>
      </c>
      <c r="CL52" s="48">
        <f t="shared" si="115"/>
        <v>1.1291354923236567</v>
      </c>
      <c r="CM52" s="48">
        <f t="shared" si="116"/>
        <v>1.176353278546143</v>
      </c>
      <c r="CO52" s="316">
        <v>2026</v>
      </c>
      <c r="CP52" s="88">
        <f t="shared" si="130"/>
        <v>5.2499999999999995E-3</v>
      </c>
      <c r="CQ52" s="62">
        <v>5.0000000000000001E-3</v>
      </c>
      <c r="CR52" s="45"/>
      <c r="CS52" s="316">
        <v>2026</v>
      </c>
      <c r="CT52" s="345">
        <f t="shared" si="117"/>
        <v>5.2499999999999995E-3</v>
      </c>
      <c r="CU52" s="345">
        <f t="shared" si="118"/>
        <v>5.2499999999999995E-3</v>
      </c>
      <c r="CV52" s="345">
        <f t="shared" si="118"/>
        <v>5.2499999999999995E-3</v>
      </c>
      <c r="CW52" s="345">
        <f t="shared" si="118"/>
        <v>5.2499999999999995E-3</v>
      </c>
      <c r="CX52" s="345">
        <f t="shared" si="118"/>
        <v>5.2499999999999995E-3</v>
      </c>
      <c r="CY52" s="345">
        <f t="shared" si="118"/>
        <v>5.2499999999999995E-3</v>
      </c>
      <c r="DA52" s="316">
        <v>2026</v>
      </c>
      <c r="DI52" s="316">
        <v>2026</v>
      </c>
      <c r="DJ52" s="342">
        <f t="shared" si="131"/>
        <v>5.475613402610726E-2</v>
      </c>
      <c r="DK52" s="342">
        <f t="shared" si="132"/>
        <v>5.2886778090110012E-2</v>
      </c>
      <c r="DL52" s="342">
        <f t="shared" si="133"/>
        <v>7.9332382181603933E-2</v>
      </c>
      <c r="DM52" s="342">
        <f t="shared" si="134"/>
        <v>7.8397457889894467E-2</v>
      </c>
      <c r="DN52" s="342">
        <f t="shared" si="135"/>
        <v>3.0212897124007876E-2</v>
      </c>
      <c r="DO52" s="342">
        <f t="shared" si="136"/>
        <v>1.9684330097015108E-2</v>
      </c>
      <c r="DQ52" s="316">
        <v>2026</v>
      </c>
      <c r="DR52" s="46">
        <f t="shared" si="120"/>
        <v>637175</v>
      </c>
      <c r="DS52" s="61">
        <v>642.5</v>
      </c>
      <c r="DT52" s="46">
        <f t="shared" si="120"/>
        <v>603036.93585665536</v>
      </c>
      <c r="DU52" s="61">
        <v>606.00756115644174</v>
      </c>
      <c r="DW52" s="46">
        <f t="shared" ref="DW52" si="148">(DX51/4+DX52*3/4)*1000</f>
        <v>636463.6032183246</v>
      </c>
      <c r="DX52" s="61">
        <v>641.78265793192372</v>
      </c>
      <c r="DY52" s="46">
        <f t="shared" ref="DY52" si="149">(DZ51/4+DZ52*3/4)*1000</f>
        <v>602363.65373573091</v>
      </c>
      <c r="DZ52" s="61">
        <v>605.33096237482323</v>
      </c>
      <c r="EB52" s="316">
        <v>2026</v>
      </c>
      <c r="EC52" s="88">
        <f t="shared" si="70"/>
        <v>6.4362503228386353E-2</v>
      </c>
      <c r="ED52" s="88">
        <f t="shared" si="71"/>
        <v>1.1177821032996456E-3</v>
      </c>
      <c r="EE52" s="88">
        <f t="shared" si="72"/>
        <v>3.642248129248319E-2</v>
      </c>
      <c r="EF52" s="88">
        <f t="shared" si="73"/>
        <v>7.0467599041250792E-3</v>
      </c>
      <c r="EG52" s="302">
        <f t="shared" si="123"/>
        <v>1.0059195759754889E-2</v>
      </c>
      <c r="EH52" s="88">
        <f t="shared" si="74"/>
        <v>2.8734337462486947E-2</v>
      </c>
      <c r="EJ52" s="316">
        <v>2026</v>
      </c>
      <c r="EK52" s="302">
        <f t="shared" si="124"/>
        <v>0.7501592172925281</v>
      </c>
      <c r="EL52" s="88">
        <f t="shared" si="75"/>
        <v>2.6592356507050122E-2</v>
      </c>
      <c r="EM52" s="302">
        <f t="shared" si="125"/>
        <v>0.33090674658559033</v>
      </c>
      <c r="EN52" s="88">
        <f t="shared" si="76"/>
        <v>8.557175769065864E-2</v>
      </c>
      <c r="EO52" s="88">
        <f t="shared" si="77"/>
        <v>0.36449951729839358</v>
      </c>
      <c r="EP52" s="88">
        <f t="shared" si="78"/>
        <v>1.2694350962445542</v>
      </c>
      <c r="ER52" s="316">
        <v>2026</v>
      </c>
      <c r="ES52" s="317">
        <f t="shared" si="79"/>
        <v>121903.09700000001</v>
      </c>
      <c r="ET52" s="61">
        <v>13866.558000000001</v>
      </c>
      <c r="EU52" s="61">
        <v>71231.392000000007</v>
      </c>
      <c r="EV52" s="61">
        <v>36805.146999999997</v>
      </c>
      <c r="EW52" s="88">
        <f t="shared" si="80"/>
        <v>0.11375066213453133</v>
      </c>
      <c r="EX52" s="88">
        <f t="shared" si="81"/>
        <v>0.58432799291391258</v>
      </c>
      <c r="EY52" s="88">
        <f t="shared" si="82"/>
        <v>0.30192134495155604</v>
      </c>
      <c r="EZ52" s="88">
        <f t="shared" si="83"/>
        <v>-1.0875053917863836E-3</v>
      </c>
      <c r="FA52" s="88">
        <f t="shared" si="84"/>
        <v>-7.7166847248089088E-4</v>
      </c>
      <c r="FB52" s="88">
        <f t="shared" si="85"/>
        <v>1.8591738642672051E-3</v>
      </c>
      <c r="FC52" s="374"/>
      <c r="FD52" s="316">
        <v>2026</v>
      </c>
      <c r="FE52" s="308">
        <f t="shared" si="126"/>
        <v>3.2500000000000003E-3</v>
      </c>
      <c r="FF52" s="159">
        <v>4.0000000000000001E-3</v>
      </c>
      <c r="FG52" s="308">
        <f t="shared" si="126"/>
        <v>1.975E-2</v>
      </c>
      <c r="FH52" s="159">
        <v>0.02</v>
      </c>
      <c r="FI52" s="319">
        <f t="shared" si="55"/>
        <v>-1.6500000000000001E-2</v>
      </c>
      <c r="FK52" s="345">
        <f t="shared" si="86"/>
        <v>6.7741785352712913E-3</v>
      </c>
      <c r="FL52" s="345">
        <f t="shared" si="87"/>
        <v>-3.8031070246761778E-3</v>
      </c>
      <c r="FM52" s="345">
        <f t="shared" si="127"/>
        <v>4.2851582225401919E-4</v>
      </c>
      <c r="FO52" s="316">
        <v>2026</v>
      </c>
      <c r="FP52" s="46">
        <f t="shared" si="142"/>
        <v>325181.54135956004</v>
      </c>
      <c r="FQ52" s="46">
        <f t="shared" si="88"/>
        <v>7534.5770528200865</v>
      </c>
      <c r="FR52" s="46">
        <f t="shared" si="89"/>
        <v>191125.4835096545</v>
      </c>
      <c r="FS52" s="46">
        <f t="shared" si="90"/>
        <v>48522.658102340785</v>
      </c>
      <c r="FT52" s="46">
        <f t="shared" si="91"/>
        <v>45840.899558989397</v>
      </c>
      <c r="FU52" s="46">
        <f t="shared" si="92"/>
        <v>155712.40282065407</v>
      </c>
      <c r="FV52" s="285">
        <f t="shared" si="38"/>
        <v>773917.56240401894</v>
      </c>
    </row>
    <row r="53" spans="17:178">
      <c r="Q53" s="316">
        <v>2027</v>
      </c>
      <c r="R53" s="46">
        <f t="shared" si="143"/>
        <v>499118.31909962918</v>
      </c>
      <c r="S53" s="46">
        <f t="shared" si="93"/>
        <v>16840.419194881637</v>
      </c>
      <c r="T53" s="46">
        <f t="shared" si="94"/>
        <v>221686.97894381257</v>
      </c>
      <c r="U53" s="46">
        <f t="shared" si="95"/>
        <v>54889.012275885485</v>
      </c>
      <c r="V53" s="46">
        <f t="shared" si="96"/>
        <v>232625.83539391437</v>
      </c>
      <c r="W53" s="46">
        <f t="shared" si="97"/>
        <v>814247.00568574294</v>
      </c>
      <c r="Y53" s="316">
        <v>2027</v>
      </c>
      <c r="Z53" s="46">
        <f t="shared" si="98"/>
        <v>427754.96039152384</v>
      </c>
      <c r="AA53" s="46">
        <f t="shared" si="99"/>
        <v>14384.279410949854</v>
      </c>
      <c r="AB53" s="46">
        <f t="shared" si="98"/>
        <v>192407.59713484012</v>
      </c>
      <c r="AC53" s="46">
        <f t="shared" si="100"/>
        <v>46868.870847261955</v>
      </c>
      <c r="AD53" s="46">
        <f t="shared" si="101"/>
        <v>203224.31556714562</v>
      </c>
      <c r="AE53" s="46">
        <f t="shared" si="102"/>
        <v>687796.28279296122</v>
      </c>
      <c r="AG53" s="316">
        <v>2027</v>
      </c>
      <c r="AH53" s="48">
        <f t="shared" si="103"/>
        <v>1.1668323346683964</v>
      </c>
      <c r="AI53" s="48">
        <f t="shared" si="60"/>
        <v>1.1707516736682742</v>
      </c>
      <c r="AJ53" s="48">
        <f t="shared" si="61"/>
        <v>1.1521737303774617</v>
      </c>
      <c r="AK53" s="48">
        <f t="shared" si="62"/>
        <v>1.171118725150428</v>
      </c>
      <c r="AL53" s="48">
        <f t="shared" si="63"/>
        <v>1.1446752065308565</v>
      </c>
      <c r="AM53" s="48">
        <f t="shared" si="64"/>
        <v>1.1838490931926795</v>
      </c>
      <c r="AO53" s="316">
        <v>2027</v>
      </c>
      <c r="AP53" s="88">
        <f t="shared" si="128"/>
        <v>5.0000000000000001E-3</v>
      </c>
      <c r="AQ53" s="62">
        <v>5.0000000000000001E-3</v>
      </c>
      <c r="AR53" s="44"/>
      <c r="AS53" s="316">
        <v>2027</v>
      </c>
      <c r="AT53" s="345">
        <f t="shared" si="65"/>
        <v>5.0000000000000001E-3</v>
      </c>
      <c r="AU53" s="345">
        <f t="shared" ref="AU53:AY53" si="150">AT53</f>
        <v>5.0000000000000001E-3</v>
      </c>
      <c r="AV53" s="345">
        <f t="shared" si="150"/>
        <v>5.0000000000000001E-3</v>
      </c>
      <c r="AW53" s="345">
        <f t="shared" si="150"/>
        <v>5.0000000000000001E-3</v>
      </c>
      <c r="AX53" s="345">
        <f t="shared" si="150"/>
        <v>5.0000000000000001E-3</v>
      </c>
      <c r="AY53" s="345">
        <f t="shared" si="150"/>
        <v>5.0000000000000001E-3</v>
      </c>
      <c r="BQ53" s="316">
        <v>2027</v>
      </c>
      <c r="BR53" s="346">
        <f t="shared" si="105"/>
        <v>45648.022284184721</v>
      </c>
      <c r="BS53" s="346">
        <f t="shared" si="106"/>
        <v>730.65945646421699</v>
      </c>
      <c r="BT53" s="346">
        <f t="shared" si="105"/>
        <v>26777.352221428286</v>
      </c>
      <c r="BU53" s="346">
        <f t="shared" si="106"/>
        <v>4507.7024233494139</v>
      </c>
      <c r="BV53" s="346">
        <f t="shared" si="107"/>
        <v>6463.011533966659</v>
      </c>
      <c r="BW53" s="346">
        <f t="shared" si="106"/>
        <v>18216.612990221634</v>
      </c>
      <c r="BY53" s="316">
        <v>2027</v>
      </c>
      <c r="BZ53" s="46">
        <f t="shared" si="108"/>
        <v>39042.469071926142</v>
      </c>
      <c r="CA53" s="300">
        <f t="shared" si="109"/>
        <v>623.7997874514175</v>
      </c>
      <c r="CB53" s="46">
        <f t="shared" si="108"/>
        <v>23273.894764682016</v>
      </c>
      <c r="CC53" s="300">
        <f t="shared" si="109"/>
        <v>3795.1066086534061</v>
      </c>
      <c r="CD53" s="46">
        <f t="shared" si="110"/>
        <v>5695.3813704800896</v>
      </c>
      <c r="CE53" s="300">
        <f t="shared" si="109"/>
        <v>15408.622057184499</v>
      </c>
      <c r="CG53" s="316">
        <v>2027</v>
      </c>
      <c r="CH53" s="48">
        <f t="shared" si="111"/>
        <v>1.1691889209181283</v>
      </c>
      <c r="CI53" s="48">
        <f t="shared" si="112"/>
        <v>1.1713044331890252</v>
      </c>
      <c r="CJ53" s="48">
        <f t="shared" si="113"/>
        <v>1.1505316360741968</v>
      </c>
      <c r="CK53" s="48">
        <f t="shared" si="114"/>
        <v>1.1877670084606275</v>
      </c>
      <c r="CL53" s="48">
        <f t="shared" si="115"/>
        <v>1.134781169785275</v>
      </c>
      <c r="CM53" s="48">
        <f t="shared" si="116"/>
        <v>1.1822350449388737</v>
      </c>
      <c r="CO53" s="316">
        <v>2027</v>
      </c>
      <c r="CP53" s="88">
        <f t="shared" si="130"/>
        <v>5.0000000000000001E-3</v>
      </c>
      <c r="CQ53" s="62">
        <v>5.0000000000000001E-3</v>
      </c>
      <c r="CR53" s="45"/>
      <c r="CS53" s="316">
        <v>2027</v>
      </c>
      <c r="CT53" s="345">
        <f t="shared" si="117"/>
        <v>5.0000000000000001E-3</v>
      </c>
      <c r="CU53" s="345">
        <f t="shared" si="118"/>
        <v>5.0000000000000001E-3</v>
      </c>
      <c r="CV53" s="345">
        <f t="shared" si="118"/>
        <v>5.0000000000000001E-3</v>
      </c>
      <c r="CW53" s="345">
        <f t="shared" si="118"/>
        <v>5.0000000000000001E-3</v>
      </c>
      <c r="CX53" s="345">
        <f t="shared" si="118"/>
        <v>5.0000000000000001E-3</v>
      </c>
      <c r="CY53" s="345">
        <f t="shared" si="118"/>
        <v>5.0000000000000001E-3</v>
      </c>
      <c r="DA53" s="316">
        <v>2027</v>
      </c>
      <c r="DI53" s="316">
        <v>2027</v>
      </c>
      <c r="DJ53" s="342">
        <f t="shared" si="131"/>
        <v>5.475613402610726E-2</v>
      </c>
      <c r="DK53" s="342">
        <f t="shared" si="132"/>
        <v>5.2886778090110012E-2</v>
      </c>
      <c r="DL53" s="342">
        <f t="shared" si="133"/>
        <v>7.9332382181603933E-2</v>
      </c>
      <c r="DM53" s="342">
        <f t="shared" si="134"/>
        <v>7.8397457889894467E-2</v>
      </c>
      <c r="DN53" s="342">
        <f t="shared" si="135"/>
        <v>3.0212897124007876E-2</v>
      </c>
      <c r="DO53" s="342">
        <f t="shared" si="136"/>
        <v>1.9684330097015108E-2</v>
      </c>
      <c r="DQ53" s="316">
        <v>2027</v>
      </c>
      <c r="DR53" s="46">
        <f t="shared" si="120"/>
        <v>658925</v>
      </c>
      <c r="DS53" s="61">
        <v>664.4</v>
      </c>
      <c r="DT53" s="46">
        <f t="shared" si="120"/>
        <v>614643.16890292091</v>
      </c>
      <c r="DU53" s="61">
        <v>617.52170481841404</v>
      </c>
      <c r="DW53" s="46">
        <f t="shared" ref="DW53" si="151">(DX52/4+DX53*3/4)*1000</f>
        <v>658189.31965415226</v>
      </c>
      <c r="DX53" s="61">
        <v>663.6582068948951</v>
      </c>
      <c r="DY53" s="46">
        <f t="shared" ref="DY53" si="152">(DZ52/4+DZ53*3/4)*1000</f>
        <v>613956.92858866451</v>
      </c>
      <c r="DZ53" s="61">
        <v>616.83225065994486</v>
      </c>
      <c r="EB53" s="316">
        <v>2027</v>
      </c>
      <c r="EC53" s="88">
        <f t="shared" si="70"/>
        <v>6.9276506862214551E-2</v>
      </c>
      <c r="ED53" s="88">
        <f t="shared" si="71"/>
        <v>1.108865889842117E-3</v>
      </c>
      <c r="EE53" s="88">
        <f t="shared" si="72"/>
        <v>4.0637936368218365E-2</v>
      </c>
      <c r="EF53" s="88">
        <f t="shared" si="73"/>
        <v>6.8409946858131255E-3</v>
      </c>
      <c r="EG53" s="302">
        <f t="shared" si="123"/>
        <v>9.8084175497464184E-3</v>
      </c>
      <c r="EH53" s="88">
        <f t="shared" si="74"/>
        <v>2.7645958174635405E-2</v>
      </c>
      <c r="EJ53" s="316">
        <v>2027</v>
      </c>
      <c r="EK53" s="302">
        <f t="shared" si="124"/>
        <v>0.75832029508150112</v>
      </c>
      <c r="EL53" s="88">
        <f t="shared" si="75"/>
        <v>2.5585980647225469E-2</v>
      </c>
      <c r="EM53" s="302">
        <f t="shared" si="125"/>
        <v>0.33681339445054914</v>
      </c>
      <c r="EN53" s="88">
        <f t="shared" si="76"/>
        <v>8.3393957690968148E-2</v>
      </c>
      <c r="EO53" s="88">
        <f t="shared" si="77"/>
        <v>0.35343301455597664</v>
      </c>
      <c r="EP53" s="88">
        <f t="shared" si="78"/>
        <v>1.2371015168000472</v>
      </c>
      <c r="ER53" s="316">
        <v>2027</v>
      </c>
      <c r="ES53" s="317">
        <f t="shared" si="79"/>
        <v>121239.693</v>
      </c>
      <c r="ET53" s="61">
        <v>13683.683999999999</v>
      </c>
      <c r="EU53" s="61">
        <v>70715.53</v>
      </c>
      <c r="EV53" s="61">
        <v>36840.478999999999</v>
      </c>
      <c r="EW53" s="88">
        <f t="shared" si="80"/>
        <v>0.11286471997252583</v>
      </c>
      <c r="EX53" s="88">
        <f t="shared" si="81"/>
        <v>0.58327044757528379</v>
      </c>
      <c r="EY53" s="88">
        <f t="shared" si="82"/>
        <v>0.30386483245219037</v>
      </c>
      <c r="EZ53" s="88">
        <f t="shared" si="83"/>
        <v>-8.8594216200550691E-4</v>
      </c>
      <c r="FA53" s="88">
        <f t="shared" si="84"/>
        <v>-1.0575453386287847E-3</v>
      </c>
      <c r="FB53" s="88">
        <f t="shared" si="85"/>
        <v>1.9434875006343333E-3</v>
      </c>
      <c r="FC53" s="374"/>
      <c r="FD53" s="316">
        <v>2027</v>
      </c>
      <c r="FE53" s="308">
        <f t="shared" si="126"/>
        <v>8.5000000000000006E-3</v>
      </c>
      <c r="FF53" s="159">
        <v>0.01</v>
      </c>
      <c r="FG53" s="308">
        <f t="shared" si="126"/>
        <v>1.925E-2</v>
      </c>
      <c r="FH53" s="159">
        <v>1.9E-2</v>
      </c>
      <c r="FI53" s="319">
        <f t="shared" si="55"/>
        <v>-1.0749999999999999E-2</v>
      </c>
      <c r="FK53" s="345">
        <f t="shared" si="86"/>
        <v>4.6776197545941312E-3</v>
      </c>
      <c r="FL53" s="345">
        <f t="shared" si="87"/>
        <v>-6.9954287899418599E-3</v>
      </c>
      <c r="FM53" s="345">
        <f t="shared" si="127"/>
        <v>-3.1799532583995024E-4</v>
      </c>
      <c r="FO53" s="316">
        <v>2027</v>
      </c>
      <c r="FP53" s="46">
        <f t="shared" si="142"/>
        <v>360155.56987388246</v>
      </c>
      <c r="FQ53" s="46">
        <f t="shared" si="88"/>
        <v>7691.1617825167032</v>
      </c>
      <c r="FR53" s="46">
        <f t="shared" si="89"/>
        <v>219427.93195282377</v>
      </c>
      <c r="FS53" s="46">
        <f t="shared" si="90"/>
        <v>48471.399388251804</v>
      </c>
      <c r="FT53" s="46">
        <f t="shared" si="91"/>
        <v>45993.876323815311</v>
      </c>
      <c r="FU53" s="46">
        <f t="shared" si="92"/>
        <v>154157.5718260775</v>
      </c>
      <c r="FV53" s="285">
        <f t="shared" si="38"/>
        <v>835897.51114736765</v>
      </c>
    </row>
    <row r="54" spans="17:178">
      <c r="Q54" s="316">
        <v>2028</v>
      </c>
      <c r="R54" s="46">
        <f>DW54*EK54</f>
        <v>522235.05595061707</v>
      </c>
      <c r="S54" s="46">
        <f t="shared" si="93"/>
        <v>16755.403078082949</v>
      </c>
      <c r="T54" s="46">
        <f t="shared" si="94"/>
        <v>234605.45980583661</v>
      </c>
      <c r="U54" s="46">
        <f t="shared" si="95"/>
        <v>55300.675075685889</v>
      </c>
      <c r="V54" s="46">
        <f t="shared" si="96"/>
        <v>233403.81429584231</v>
      </c>
      <c r="W54" s="46">
        <f t="shared" si="97"/>
        <v>820598.57053761301</v>
      </c>
      <c r="Y54" s="316">
        <v>2028</v>
      </c>
      <c r="Z54" s="46">
        <f t="shared" si="98"/>
        <v>445339.79403333052</v>
      </c>
      <c r="AA54" s="46">
        <f t="shared" si="99"/>
        <v>14240.460414227909</v>
      </c>
      <c r="AB54" s="46">
        <f t="shared" si="98"/>
        <v>202606.83116516005</v>
      </c>
      <c r="AC54" s="46">
        <f t="shared" si="100"/>
        <v>46985.456006540247</v>
      </c>
      <c r="AD54" s="46">
        <f t="shared" si="101"/>
        <v>202889.51832306056</v>
      </c>
      <c r="AE54" s="46">
        <f t="shared" si="102"/>
        <v>689712.89945634652</v>
      </c>
      <c r="AG54" s="316">
        <v>2028</v>
      </c>
      <c r="AH54" s="48">
        <f t="shared" si="103"/>
        <v>1.1726664963417384</v>
      </c>
      <c r="AI54" s="48">
        <f t="shared" si="60"/>
        <v>1.1766054320366155</v>
      </c>
      <c r="AJ54" s="48">
        <f t="shared" si="61"/>
        <v>1.157934599029349</v>
      </c>
      <c r="AK54" s="48">
        <f t="shared" si="62"/>
        <v>1.1769743187761801</v>
      </c>
      <c r="AL54" s="48">
        <f t="shared" si="63"/>
        <v>1.1503985825635108</v>
      </c>
      <c r="AM54" s="48">
        <f t="shared" si="64"/>
        <v>1.1897683386586428</v>
      </c>
      <c r="AO54" s="316">
        <v>2028</v>
      </c>
      <c r="AP54" s="88">
        <f t="shared" si="128"/>
        <v>5.0000000000000001E-3</v>
      </c>
      <c r="AQ54" s="62">
        <v>5.0000000000000001E-3</v>
      </c>
      <c r="AR54" s="44"/>
      <c r="AS54" s="316">
        <v>2028</v>
      </c>
      <c r="AT54" s="345">
        <f t="shared" si="65"/>
        <v>5.0000000000000001E-3</v>
      </c>
      <c r="AU54" s="345">
        <f t="shared" ref="AU54:AY54" si="153">AT54</f>
        <v>5.0000000000000001E-3</v>
      </c>
      <c r="AV54" s="345">
        <f t="shared" si="153"/>
        <v>5.0000000000000001E-3</v>
      </c>
      <c r="AW54" s="345">
        <f t="shared" si="153"/>
        <v>5.0000000000000001E-3</v>
      </c>
      <c r="AX54" s="345">
        <f t="shared" si="153"/>
        <v>5.0000000000000001E-3</v>
      </c>
      <c r="AY54" s="345">
        <f t="shared" si="153"/>
        <v>5.0000000000000001E-3</v>
      </c>
      <c r="BQ54" s="316">
        <v>2028</v>
      </c>
      <c r="BR54" s="346">
        <f t="shared" si="105"/>
        <v>48184.703592361075</v>
      </c>
      <c r="BS54" s="346">
        <f t="shared" si="106"/>
        <v>726.21319069473839</v>
      </c>
      <c r="BT54" s="346">
        <f t="shared" si="105"/>
        <v>29442.914537003348</v>
      </c>
      <c r="BU54" s="346">
        <f t="shared" si="106"/>
        <v>4525.3215295093078</v>
      </c>
      <c r="BV54" s="346">
        <f t="shared" si="107"/>
        <v>6620.5676327807723</v>
      </c>
      <c r="BW54" s="346">
        <f t="shared" si="106"/>
        <v>18363.305666136464</v>
      </c>
      <c r="BY54" s="316">
        <v>2028</v>
      </c>
      <c r="BZ54" s="46">
        <f t="shared" si="108"/>
        <v>41007.041583337123</v>
      </c>
      <c r="CA54" s="300">
        <f t="shared" si="109"/>
        <v>616.91919647109808</v>
      </c>
      <c r="CB54" s="46">
        <f t="shared" si="108"/>
        <v>25463.387060865149</v>
      </c>
      <c r="CC54" s="300">
        <f t="shared" si="109"/>
        <v>3790.9854878734182</v>
      </c>
      <c r="CD54" s="46">
        <f t="shared" si="110"/>
        <v>5805.1980952420308</v>
      </c>
      <c r="CE54" s="300">
        <f t="shared" si="109"/>
        <v>15455.425733381917</v>
      </c>
      <c r="CG54" s="316">
        <v>2028</v>
      </c>
      <c r="CH54" s="48">
        <f t="shared" si="111"/>
        <v>1.1750348655227187</v>
      </c>
      <c r="CI54" s="48">
        <f t="shared" si="112"/>
        <v>1.1771609553549702</v>
      </c>
      <c r="CJ54" s="48">
        <f t="shared" si="113"/>
        <v>1.1562842942545677</v>
      </c>
      <c r="CK54" s="48">
        <f t="shared" si="114"/>
        <v>1.1937058435029306</v>
      </c>
      <c r="CL54" s="48">
        <f t="shared" si="115"/>
        <v>1.1404550756342013</v>
      </c>
      <c r="CM54" s="48">
        <f t="shared" si="116"/>
        <v>1.188146220163568</v>
      </c>
      <c r="CO54" s="316">
        <v>2028</v>
      </c>
      <c r="CP54" s="88">
        <f t="shared" si="130"/>
        <v>5.0000000000000001E-3</v>
      </c>
      <c r="CQ54" s="62">
        <v>5.0000000000000001E-3</v>
      </c>
      <c r="CR54" s="45"/>
      <c r="CS54" s="316">
        <v>2028</v>
      </c>
      <c r="CT54" s="345">
        <f t="shared" si="117"/>
        <v>5.0000000000000001E-3</v>
      </c>
      <c r="CU54" s="345">
        <f t="shared" si="118"/>
        <v>5.0000000000000001E-3</v>
      </c>
      <c r="CV54" s="345">
        <f t="shared" si="118"/>
        <v>5.0000000000000001E-3</v>
      </c>
      <c r="CW54" s="345">
        <f t="shared" si="118"/>
        <v>5.0000000000000001E-3</v>
      </c>
      <c r="CX54" s="345">
        <f t="shared" si="118"/>
        <v>5.0000000000000001E-3</v>
      </c>
      <c r="CY54" s="345">
        <f t="shared" si="118"/>
        <v>5.0000000000000001E-3</v>
      </c>
      <c r="DA54" s="316">
        <v>2028</v>
      </c>
      <c r="DI54" s="316">
        <v>2028</v>
      </c>
      <c r="DJ54" s="342">
        <f t="shared" si="131"/>
        <v>5.475613402610726E-2</v>
      </c>
      <c r="DK54" s="342">
        <f t="shared" si="132"/>
        <v>5.2886778090110012E-2</v>
      </c>
      <c r="DL54" s="342">
        <f t="shared" si="133"/>
        <v>7.9332382181603933E-2</v>
      </c>
      <c r="DM54" s="342">
        <f t="shared" si="134"/>
        <v>7.8397457889894467E-2</v>
      </c>
      <c r="DN54" s="342">
        <f t="shared" si="135"/>
        <v>3.0212897124007876E-2</v>
      </c>
      <c r="DO54" s="342">
        <f t="shared" si="136"/>
        <v>1.9684330097015108E-2</v>
      </c>
      <c r="DQ54" s="316">
        <v>2028</v>
      </c>
      <c r="DR54" s="46">
        <f t="shared" si="120"/>
        <v>680975</v>
      </c>
      <c r="DS54" s="61">
        <v>686.5</v>
      </c>
      <c r="DT54" s="46">
        <f t="shared" si="120"/>
        <v>626321.38911207637</v>
      </c>
      <c r="DU54" s="61">
        <v>629.25461720996384</v>
      </c>
      <c r="DW54" s="46">
        <f t="shared" ref="DW54" si="154">(DX53/4+DX54*3/4)*1000</f>
        <v>680214.70114426746</v>
      </c>
      <c r="DX54" s="61">
        <v>685.73353256072483</v>
      </c>
      <c r="DY54" s="46">
        <f t="shared" ref="DY54" si="155">(DZ53/4+DZ54*3/4)*1000</f>
        <v>625622.11023184913</v>
      </c>
      <c r="DZ54" s="61">
        <v>628.5520634224838</v>
      </c>
      <c r="EB54" s="316">
        <v>2028</v>
      </c>
      <c r="EC54" s="88">
        <f t="shared" si="70"/>
        <v>7.0758403160704975E-2</v>
      </c>
      <c r="ED54" s="88">
        <f t="shared" si="71"/>
        <v>1.0664314999739174E-3</v>
      </c>
      <c r="EE54" s="88">
        <f t="shared" si="72"/>
        <v>4.3236410348402435E-2</v>
      </c>
      <c r="EF54" s="88">
        <f t="shared" si="73"/>
        <v>6.6453563339466323E-3</v>
      </c>
      <c r="EG54" s="302">
        <f t="shared" si="123"/>
        <v>9.7221889684360983E-3</v>
      </c>
      <c r="EH54" s="88">
        <f t="shared" si="74"/>
        <v>2.6966196506680074E-2</v>
      </c>
      <c r="EJ54" s="316">
        <v>2028</v>
      </c>
      <c r="EK54" s="302">
        <f t="shared" si="124"/>
        <v>0.76775032217343342</v>
      </c>
      <c r="EL54" s="88">
        <f t="shared" si="75"/>
        <v>2.4632521246448741E-2</v>
      </c>
      <c r="EM54" s="302">
        <f t="shared" si="125"/>
        <v>0.34489913171705899</v>
      </c>
      <c r="EN54" s="88">
        <f t="shared" si="76"/>
        <v>8.1298853116020947E-2</v>
      </c>
      <c r="EO54" s="88">
        <f t="shared" si="77"/>
        <v>0.34313256373790052</v>
      </c>
      <c r="EP54" s="88">
        <f t="shared" si="78"/>
        <v>1.2063817044194864</v>
      </c>
      <c r="ER54" s="316">
        <v>2028</v>
      </c>
      <c r="ES54" s="317">
        <f t="shared" si="79"/>
        <v>120555.14199999999</v>
      </c>
      <c r="ET54" s="61">
        <v>13502.431</v>
      </c>
      <c r="EU54" s="61">
        <v>70147.364000000001</v>
      </c>
      <c r="EV54" s="61">
        <v>36905.347000000002</v>
      </c>
      <c r="EW54" s="88">
        <f t="shared" si="80"/>
        <v>0.11200211601094544</v>
      </c>
      <c r="EX54" s="88">
        <f t="shared" si="81"/>
        <v>0.58186953153769261</v>
      </c>
      <c r="EY54" s="88">
        <f t="shared" si="82"/>
        <v>0.30612835245136211</v>
      </c>
      <c r="EZ54" s="88">
        <f t="shared" si="83"/>
        <v>-8.6260396158038821E-4</v>
      </c>
      <c r="FA54" s="88">
        <f t="shared" si="84"/>
        <v>-1.4009160375911822E-3</v>
      </c>
      <c r="FB54" s="88">
        <f t="shared" si="85"/>
        <v>2.263519999171737E-3</v>
      </c>
      <c r="FC54" s="374"/>
      <c r="FD54" s="316">
        <v>2028</v>
      </c>
      <c r="FE54" s="308">
        <f t="shared" si="126"/>
        <v>1.5250000000000001E-2</v>
      </c>
      <c r="FF54" s="159">
        <v>1.7000000000000001E-2</v>
      </c>
      <c r="FG54" s="308">
        <f t="shared" si="126"/>
        <v>1.9E-2</v>
      </c>
      <c r="FH54" s="159">
        <v>1.9E-2</v>
      </c>
      <c r="FI54" s="319">
        <f t="shared" si="55"/>
        <v>-3.7499999999999981E-3</v>
      </c>
      <c r="FK54" s="345">
        <f t="shared" si="86"/>
        <v>6.9418837849862802E-3</v>
      </c>
      <c r="FL54" s="345">
        <f t="shared" si="87"/>
        <v>-9.4782769286737567E-3</v>
      </c>
      <c r="FM54" s="345">
        <f t="shared" si="127"/>
        <v>-1.2897126212353446E-3</v>
      </c>
      <c r="FO54" s="316">
        <v>2028</v>
      </c>
      <c r="FP54" s="46">
        <f t="shared" si="142"/>
        <v>378278.18735235941</v>
      </c>
      <c r="FQ54" s="46">
        <f t="shared" si="88"/>
        <v>7606.3272900184456</v>
      </c>
      <c r="FR54" s="46">
        <f t="shared" si="89"/>
        <v>240070.62074366433</v>
      </c>
      <c r="FS54" s="46">
        <f t="shared" si="90"/>
        <v>48418.764110286611</v>
      </c>
      <c r="FT54" s="46">
        <f t="shared" si="91"/>
        <v>46880.717174046462</v>
      </c>
      <c r="FU54" s="46">
        <f t="shared" si="92"/>
        <v>154625.82531742484</v>
      </c>
      <c r="FV54" s="285">
        <f t="shared" si="38"/>
        <v>875880.44198780006</v>
      </c>
    </row>
    <row r="55" spans="17:178">
      <c r="Q55" s="316">
        <v>2029</v>
      </c>
      <c r="R55" s="46">
        <f t="shared" si="143"/>
        <v>545625.20373787486</v>
      </c>
      <c r="S55" s="46">
        <f t="shared" si="93"/>
        <v>16673.023003695547</v>
      </c>
      <c r="T55" s="46">
        <f t="shared" si="94"/>
        <v>249154.74177596363</v>
      </c>
      <c r="U55" s="46">
        <f t="shared" si="95"/>
        <v>55699.43371841075</v>
      </c>
      <c r="V55" s="46">
        <f t="shared" si="96"/>
        <v>234485.27154598455</v>
      </c>
      <c r="W55" s="46">
        <f t="shared" si="97"/>
        <v>826977.22146979405</v>
      </c>
      <c r="Y55" s="316">
        <v>2029</v>
      </c>
      <c r="Z55" s="46">
        <f t="shared" si="98"/>
        <v>462971.05969951127</v>
      </c>
      <c r="AA55" s="46">
        <f t="shared" si="99"/>
        <v>14099.945647689998</v>
      </c>
      <c r="AB55" s="46">
        <f t="shared" si="98"/>
        <v>214101.18166781616</v>
      </c>
      <c r="AC55" s="46">
        <f t="shared" si="100"/>
        <v>47088.811729978632</v>
      </c>
      <c r="AD55" s="46">
        <f t="shared" si="101"/>
        <v>202815.51254634614</v>
      </c>
      <c r="AE55" s="46">
        <f t="shared" si="102"/>
        <v>691616.07364911283</v>
      </c>
      <c r="AG55" s="316">
        <v>2029</v>
      </c>
      <c r="AH55" s="48">
        <f t="shared" si="103"/>
        <v>1.1785298288234469</v>
      </c>
      <c r="AI55" s="48">
        <f t="shared" si="60"/>
        <v>1.1824884591967983</v>
      </c>
      <c r="AJ55" s="48">
        <f t="shared" si="61"/>
        <v>1.1637242720244956</v>
      </c>
      <c r="AK55" s="48">
        <f t="shared" si="62"/>
        <v>1.1828591903700609</v>
      </c>
      <c r="AL55" s="48">
        <f t="shared" si="63"/>
        <v>1.1561505754763282</v>
      </c>
      <c r="AM55" s="48">
        <f t="shared" si="64"/>
        <v>1.195717180351936</v>
      </c>
      <c r="AO55" s="316">
        <v>2029</v>
      </c>
      <c r="AP55" s="88">
        <f t="shared" si="128"/>
        <v>5.0000000000000001E-3</v>
      </c>
      <c r="AQ55" s="62">
        <v>5.0000000000000001E-3</v>
      </c>
      <c r="AR55" s="44"/>
      <c r="AS55" s="316">
        <v>2029</v>
      </c>
      <c r="AT55" s="345">
        <f t="shared" si="65"/>
        <v>5.0000000000000001E-3</v>
      </c>
      <c r="AU55" s="345">
        <f t="shared" ref="AU55:AY55" si="156">AT55</f>
        <v>5.0000000000000001E-3</v>
      </c>
      <c r="AV55" s="345">
        <f t="shared" si="156"/>
        <v>5.0000000000000001E-3</v>
      </c>
      <c r="AW55" s="345">
        <f t="shared" si="156"/>
        <v>5.0000000000000001E-3</v>
      </c>
      <c r="AX55" s="345">
        <f t="shared" si="156"/>
        <v>5.0000000000000001E-3</v>
      </c>
      <c r="AY55" s="345">
        <f t="shared" si="156"/>
        <v>5.0000000000000001E-3</v>
      </c>
      <c r="BQ55" s="316">
        <v>2029</v>
      </c>
      <c r="BR55" s="346">
        <f t="shared" si="105"/>
        <v>49617.530870086557</v>
      </c>
      <c r="BS55" s="346">
        <f t="shared" si="106"/>
        <v>724.75491585830139</v>
      </c>
      <c r="BT55" s="346">
        <f t="shared" si="105"/>
        <v>32035.401248842063</v>
      </c>
      <c r="BU55" s="346">
        <f t="shared" si="106"/>
        <v>4543.0421219254349</v>
      </c>
      <c r="BV55" s="346">
        <f t="shared" si="107"/>
        <v>6940.9849235985848</v>
      </c>
      <c r="BW55" s="346">
        <f t="shared" si="106"/>
        <v>18484.120410341406</v>
      </c>
      <c r="BY55" s="316">
        <v>2029</v>
      </c>
      <c r="BZ55" s="46">
        <f t="shared" si="108"/>
        <v>42016.351115428784</v>
      </c>
      <c r="CA55" s="300">
        <f t="shared" si="109"/>
        <v>612.61730329035527</v>
      </c>
      <c r="CB55" s="46">
        <f t="shared" si="108"/>
        <v>27567.633065254282</v>
      </c>
      <c r="CC55" s="300">
        <f t="shared" si="109"/>
        <v>3786.8960321486175</v>
      </c>
      <c r="CD55" s="46">
        <f t="shared" si="110"/>
        <v>6055.874367919716</v>
      </c>
      <c r="CE55" s="300">
        <f t="shared" si="109"/>
        <v>15479.710577834456</v>
      </c>
      <c r="CG55" s="316">
        <v>2029</v>
      </c>
      <c r="CH55" s="48">
        <f t="shared" si="111"/>
        <v>1.1809100398503323</v>
      </c>
      <c r="CI55" s="48">
        <f t="shared" si="112"/>
        <v>1.1830467601317449</v>
      </c>
      <c r="CJ55" s="48">
        <f t="shared" si="113"/>
        <v>1.1620657157258405</v>
      </c>
      <c r="CK55" s="48">
        <f t="shared" si="114"/>
        <v>1.1996743727204451</v>
      </c>
      <c r="CL55" s="48">
        <f t="shared" si="115"/>
        <v>1.1461573510123721</v>
      </c>
      <c r="CM55" s="48">
        <f t="shared" si="116"/>
        <v>1.1940869512643857</v>
      </c>
      <c r="CO55" s="316">
        <v>2029</v>
      </c>
      <c r="CP55" s="88">
        <f t="shared" si="130"/>
        <v>5.0000000000000001E-3</v>
      </c>
      <c r="CQ55" s="62">
        <v>5.0000000000000001E-3</v>
      </c>
      <c r="CR55" s="45"/>
      <c r="CS55" s="316">
        <v>2029</v>
      </c>
      <c r="CT55" s="345">
        <f t="shared" si="117"/>
        <v>5.0000000000000001E-3</v>
      </c>
      <c r="CU55" s="345">
        <f t="shared" si="118"/>
        <v>5.0000000000000001E-3</v>
      </c>
      <c r="CV55" s="345">
        <f t="shared" si="118"/>
        <v>5.0000000000000001E-3</v>
      </c>
      <c r="CW55" s="345">
        <f t="shared" si="118"/>
        <v>5.0000000000000001E-3</v>
      </c>
      <c r="CX55" s="345">
        <f t="shared" si="118"/>
        <v>5.0000000000000001E-3</v>
      </c>
      <c r="CY55" s="345">
        <f t="shared" si="118"/>
        <v>5.0000000000000001E-3</v>
      </c>
      <c r="DA55" s="316">
        <v>2029</v>
      </c>
      <c r="DI55" s="316">
        <v>2029</v>
      </c>
      <c r="DJ55" s="342">
        <f t="shared" si="131"/>
        <v>5.475613402610726E-2</v>
      </c>
      <c r="DK55" s="342">
        <f t="shared" si="132"/>
        <v>5.2886778090110012E-2</v>
      </c>
      <c r="DL55" s="342">
        <f t="shared" si="133"/>
        <v>7.9332382181603933E-2</v>
      </c>
      <c r="DM55" s="342">
        <f t="shared" si="134"/>
        <v>7.8397457889894467E-2</v>
      </c>
      <c r="DN55" s="342">
        <f t="shared" si="135"/>
        <v>3.0212897124007876E-2</v>
      </c>
      <c r="DO55" s="342">
        <f t="shared" si="136"/>
        <v>1.9684330097015108E-2</v>
      </c>
      <c r="DQ55" s="316">
        <v>2029</v>
      </c>
      <c r="DR55" s="46">
        <f t="shared" si="120"/>
        <v>703375</v>
      </c>
      <c r="DS55" s="61">
        <v>709</v>
      </c>
      <c r="DT55" s="46">
        <f t="shared" si="120"/>
        <v>637749.55454229831</v>
      </c>
      <c r="DU55" s="61">
        <v>640.58120031974317</v>
      </c>
      <c r="DW55" s="46">
        <f t="shared" ref="DW55" si="157">(DX54/4+DX55*3/4)*1000</f>
        <v>702589.69186438434</v>
      </c>
      <c r="DX55" s="61">
        <v>708.20841163227078</v>
      </c>
      <c r="DY55" s="46">
        <f t="shared" ref="DY55" si="158">(DZ54/4+DZ55*3/4)*1000</f>
        <v>637037.51627868728</v>
      </c>
      <c r="DZ55" s="61">
        <v>639.86600056408849</v>
      </c>
      <c r="EB55" s="316">
        <v>2029</v>
      </c>
      <c r="EC55" s="88">
        <f t="shared" si="70"/>
        <v>7.05420733891403E-2</v>
      </c>
      <c r="ED55" s="88">
        <f t="shared" si="71"/>
        <v>1.0303961839108603E-3</v>
      </c>
      <c r="EE55" s="88">
        <f t="shared" si="72"/>
        <v>4.5545265681666343E-2</v>
      </c>
      <c r="EF55" s="88">
        <f t="shared" si="73"/>
        <v>6.4589189577756315E-3</v>
      </c>
      <c r="EG55" s="302">
        <f t="shared" si="123"/>
        <v>9.8681143395750268E-3</v>
      </c>
      <c r="EH55" s="88">
        <f t="shared" si="74"/>
        <v>2.6279183096273546E-2</v>
      </c>
      <c r="EJ55" s="316">
        <v>2029</v>
      </c>
      <c r="EK55" s="302">
        <f t="shared" si="124"/>
        <v>0.77659152995827452</v>
      </c>
      <c r="EL55" s="88">
        <f t="shared" si="75"/>
        <v>2.3730810737419439E-2</v>
      </c>
      <c r="EM55" s="302">
        <f t="shared" si="125"/>
        <v>0.35462339493596801</v>
      </c>
      <c r="EN55" s="88">
        <f t="shared" si="76"/>
        <v>7.9277328380106662E-2</v>
      </c>
      <c r="EO55" s="88">
        <f t="shared" si="77"/>
        <v>0.33374425252917816</v>
      </c>
      <c r="EP55" s="88">
        <f t="shared" si="78"/>
        <v>1.1770414952649479</v>
      </c>
      <c r="ER55" s="316">
        <v>2029</v>
      </c>
      <c r="ES55" s="317">
        <f t="shared" si="79"/>
        <v>119850.16800000001</v>
      </c>
      <c r="ET55" s="61">
        <v>13353.079</v>
      </c>
      <c r="EU55" s="61">
        <v>69507.292000000001</v>
      </c>
      <c r="EV55" s="61">
        <v>36989.796999999999</v>
      </c>
      <c r="EW55" s="88">
        <f t="shared" si="80"/>
        <v>0.1114147708161744</v>
      </c>
      <c r="EX55" s="88">
        <f t="shared" si="81"/>
        <v>0.57995156085221344</v>
      </c>
      <c r="EY55" s="88">
        <f t="shared" si="82"/>
        <v>0.30863366833161215</v>
      </c>
      <c r="EZ55" s="88">
        <f t="shared" si="83"/>
        <v>-5.8734519477103564E-4</v>
      </c>
      <c r="FA55" s="88">
        <f t="shared" si="84"/>
        <v>-1.9179706854791645E-3</v>
      </c>
      <c r="FB55" s="88">
        <f t="shared" si="85"/>
        <v>2.5053158802500475E-3</v>
      </c>
      <c r="FC55" s="374"/>
      <c r="FD55" s="316">
        <v>2029</v>
      </c>
      <c r="FE55" s="308">
        <f t="shared" si="126"/>
        <v>2.0750000000000001E-2</v>
      </c>
      <c r="FF55" s="159">
        <v>2.2000000000000002E-2</v>
      </c>
      <c r="FG55" s="308">
        <f t="shared" si="126"/>
        <v>1.8250000000000002E-2</v>
      </c>
      <c r="FH55" s="159">
        <v>1.8000000000000002E-2</v>
      </c>
      <c r="FI55" s="319">
        <f t="shared" si="55"/>
        <v>2.4999999999999988E-3</v>
      </c>
      <c r="FK55" s="345">
        <f t="shared" si="86"/>
        <v>3.6450992363329382E-3</v>
      </c>
      <c r="FL55" s="345">
        <f t="shared" si="87"/>
        <v>-9.5934399248046587E-3</v>
      </c>
      <c r="FM55" s="345">
        <f t="shared" si="127"/>
        <v>-1.6112954354030248E-3</v>
      </c>
      <c r="FO55" s="316">
        <v>2029</v>
      </c>
      <c r="FP55" s="46">
        <f t="shared" si="142"/>
        <v>387588.77805910853</v>
      </c>
      <c r="FQ55" s="46">
        <f t="shared" si="88"/>
        <v>7553.2869442379888</v>
      </c>
      <c r="FR55" s="46">
        <f t="shared" si="89"/>
        <v>259909.60144421179</v>
      </c>
      <c r="FS55" s="46">
        <f t="shared" si="90"/>
        <v>48366.533260890865</v>
      </c>
      <c r="FT55" s="46">
        <f t="shared" si="91"/>
        <v>48905.089684483028</v>
      </c>
      <c r="FU55" s="46">
        <f t="shared" si="92"/>
        <v>154868.7862154911</v>
      </c>
      <c r="FV55" s="285">
        <f t="shared" si="38"/>
        <v>907192.07560842333</v>
      </c>
    </row>
    <row r="56" spans="17:178">
      <c r="Q56" s="316">
        <v>2030</v>
      </c>
      <c r="R56" s="46">
        <f t="shared" si="143"/>
        <v>568694.71595612564</v>
      </c>
      <c r="S56" s="46">
        <f t="shared" si="93"/>
        <v>16597.805518137829</v>
      </c>
      <c r="T56" s="46">
        <f t="shared" si="94"/>
        <v>263081.62668964622</v>
      </c>
      <c r="U56" s="46">
        <f t="shared" si="95"/>
        <v>56093.731456918307</v>
      </c>
      <c r="V56" s="46">
        <f t="shared" si="96"/>
        <v>235853.76877122658</v>
      </c>
      <c r="W56" s="46">
        <f t="shared" si="97"/>
        <v>833366.90142400458</v>
      </c>
      <c r="Y56" s="316">
        <v>2030</v>
      </c>
      <c r="Z56" s="46">
        <f t="shared" si="98"/>
        <v>480145.15642424306</v>
      </c>
      <c r="AA56" s="46">
        <f t="shared" si="99"/>
        <v>13966.503641396504</v>
      </c>
      <c r="AB56" s="46">
        <f t="shared" si="98"/>
        <v>224943.97441747246</v>
      </c>
      <c r="AC56" s="46">
        <f t="shared" si="100"/>
        <v>47186.22353403375</v>
      </c>
      <c r="AD56" s="46">
        <f t="shared" si="101"/>
        <v>202984.25820517089</v>
      </c>
      <c r="AE56" s="46">
        <f t="shared" si="102"/>
        <v>693492.41698840156</v>
      </c>
      <c r="AG56" s="316">
        <v>2030</v>
      </c>
      <c r="AH56" s="48">
        <f t="shared" si="103"/>
        <v>1.1844224779675641</v>
      </c>
      <c r="AI56" s="48">
        <f t="shared" si="60"/>
        <v>1.1884009014927821</v>
      </c>
      <c r="AJ56" s="48">
        <f t="shared" si="61"/>
        <v>1.1695428933846179</v>
      </c>
      <c r="AK56" s="48">
        <f t="shared" si="62"/>
        <v>1.188773486321911</v>
      </c>
      <c r="AL56" s="48">
        <f t="shared" si="63"/>
        <v>1.1619313283537096</v>
      </c>
      <c r="AM56" s="48">
        <f t="shared" si="64"/>
        <v>1.2016957662536956</v>
      </c>
      <c r="AO56" s="316">
        <v>2030</v>
      </c>
      <c r="AP56" s="88">
        <f t="shared" si="128"/>
        <v>5.0000000000000001E-3</v>
      </c>
      <c r="AQ56" s="62">
        <v>5.0000000000000001E-3</v>
      </c>
      <c r="AR56" s="44"/>
      <c r="AS56" s="316">
        <v>2030</v>
      </c>
      <c r="AT56" s="345">
        <f t="shared" si="65"/>
        <v>5.0000000000000001E-3</v>
      </c>
      <c r="AU56" s="345">
        <f t="shared" ref="AU56:AY56" si="159">AT56</f>
        <v>5.0000000000000001E-3</v>
      </c>
      <c r="AV56" s="345">
        <f t="shared" si="159"/>
        <v>5.0000000000000001E-3</v>
      </c>
      <c r="AW56" s="345">
        <f t="shared" si="159"/>
        <v>5.0000000000000001E-3</v>
      </c>
      <c r="AX56" s="345">
        <f t="shared" si="159"/>
        <v>5.0000000000000001E-3</v>
      </c>
      <c r="AY56" s="345">
        <f t="shared" si="159"/>
        <v>5.0000000000000001E-3</v>
      </c>
      <c r="BQ56" s="316">
        <v>2030</v>
      </c>
      <c r="BR56" s="346">
        <f t="shared" si="105"/>
        <v>50468.81823188805</v>
      </c>
      <c r="BS56" s="346">
        <f t="shared" si="106"/>
        <v>727.95231317218906</v>
      </c>
      <c r="BT56" s="346">
        <f t="shared" si="105"/>
        <v>32499.595605658415</v>
      </c>
      <c r="BU56" s="346">
        <f t="shared" si="106"/>
        <v>4568.3602673719488</v>
      </c>
      <c r="BV56" s="346">
        <f t="shared" si="107"/>
        <v>7252.7368072420823</v>
      </c>
      <c r="BW56" s="346">
        <f t="shared" si="106"/>
        <v>18589.299849191</v>
      </c>
      <c r="BY56" s="316">
        <v>2030</v>
      </c>
      <c r="BZ56" s="46">
        <f>Z56-Z55*(1-DJ56)</f>
        <v>42524.602119847143</v>
      </c>
      <c r="CA56" s="300">
        <f t="shared" si="109"/>
        <v>612.25869025850091</v>
      </c>
      <c r="CB56" s="46">
        <f t="shared" si="108"/>
        <v>27827.949519260495</v>
      </c>
      <c r="CC56" s="300">
        <f t="shared" si="109"/>
        <v>3789.0549387412889</v>
      </c>
      <c r="CD56" s="46">
        <f t="shared" si="110"/>
        <v>6296.3898745404122</v>
      </c>
      <c r="CE56" s="300">
        <f t="shared" si="109"/>
        <v>15490.342433399457</v>
      </c>
      <c r="CG56" s="316">
        <v>2030</v>
      </c>
      <c r="CH56" s="48">
        <f t="shared" si="111"/>
        <v>1.1868145900495839</v>
      </c>
      <c r="CI56" s="48">
        <f t="shared" si="112"/>
        <v>1.1889619939324034</v>
      </c>
      <c r="CJ56" s="48">
        <f t="shared" si="113"/>
        <v>1.1678760443044696</v>
      </c>
      <c r="CK56" s="48">
        <f t="shared" si="114"/>
        <v>1.2056727445840472</v>
      </c>
      <c r="CL56" s="48">
        <f t="shared" si="115"/>
        <v>1.1518881377674339</v>
      </c>
      <c r="CM56" s="48">
        <f t="shared" si="116"/>
        <v>1.2000573860207076</v>
      </c>
      <c r="CO56" s="316">
        <v>2030</v>
      </c>
      <c r="CP56" s="88">
        <f t="shared" si="130"/>
        <v>5.0000000000000001E-3</v>
      </c>
      <c r="CQ56" s="62">
        <v>5.0000000000000001E-3</v>
      </c>
      <c r="CR56" s="45"/>
      <c r="CS56" s="316">
        <v>2030</v>
      </c>
      <c r="CT56" s="345">
        <f t="shared" si="117"/>
        <v>5.0000000000000001E-3</v>
      </c>
      <c r="CU56" s="345">
        <f t="shared" si="118"/>
        <v>5.0000000000000001E-3</v>
      </c>
      <c r="CV56" s="345">
        <f t="shared" si="118"/>
        <v>5.0000000000000001E-3</v>
      </c>
      <c r="CW56" s="345">
        <f t="shared" si="118"/>
        <v>5.0000000000000001E-3</v>
      </c>
      <c r="CX56" s="345">
        <f t="shared" si="118"/>
        <v>5.0000000000000001E-3</v>
      </c>
      <c r="CY56" s="345">
        <f t="shared" si="118"/>
        <v>5.0000000000000001E-3</v>
      </c>
      <c r="DA56" s="316">
        <v>2030</v>
      </c>
      <c r="DI56" s="316">
        <v>2030</v>
      </c>
      <c r="DJ56" s="342">
        <f t="shared" si="131"/>
        <v>5.475613402610726E-2</v>
      </c>
      <c r="DK56" s="342">
        <f t="shared" si="132"/>
        <v>5.2886778090110012E-2</v>
      </c>
      <c r="DL56" s="342">
        <f t="shared" si="133"/>
        <v>7.9332382181603933E-2</v>
      </c>
      <c r="DM56" s="342">
        <f t="shared" si="134"/>
        <v>7.8397457889894467E-2</v>
      </c>
      <c r="DN56" s="342">
        <f t="shared" si="135"/>
        <v>3.0212897124007876E-2</v>
      </c>
      <c r="DO56" s="342">
        <f t="shared" si="136"/>
        <v>1.9684330097015108E-2</v>
      </c>
      <c r="DQ56" s="316">
        <v>2030</v>
      </c>
      <c r="DR56" s="46">
        <f t="shared" si="120"/>
        <v>726099.99999999988</v>
      </c>
      <c r="DS56" s="61">
        <v>731.8</v>
      </c>
      <c r="DT56" s="46">
        <f t="shared" si="120"/>
        <v>649229.04652405961</v>
      </c>
      <c r="DU56" s="61">
        <v>652.11166192549854</v>
      </c>
      <c r="DW56" s="46">
        <f t="shared" ref="DW56" si="160">(DX55/4+DX56*3/4)*1000</f>
        <v>725289.31972664571</v>
      </c>
      <c r="DX56" s="61">
        <v>730.98295575810403</v>
      </c>
      <c r="DY56" s="46">
        <f t="shared" ref="DY56" si="161">(DZ55/4+DZ56*3/4)*1000</f>
        <v>648504.19157170365</v>
      </c>
      <c r="DZ56" s="61">
        <v>651.38358857424214</v>
      </c>
      <c r="EB56" s="316">
        <v>2030</v>
      </c>
      <c r="EC56" s="88">
        <f t="shared" si="70"/>
        <v>6.9506704630062061E-2</v>
      </c>
      <c r="ED56" s="88">
        <f t="shared" si="71"/>
        <v>1.0025510441704849E-3</v>
      </c>
      <c r="EE56" s="88">
        <f t="shared" si="72"/>
        <v>4.4759118035612749E-2</v>
      </c>
      <c r="EF56" s="88">
        <f t="shared" si="73"/>
        <v>6.2916406381654721E-3</v>
      </c>
      <c r="EG56" s="302">
        <f t="shared" si="123"/>
        <v>9.9886197593197674E-3</v>
      </c>
      <c r="EH56" s="88">
        <f t="shared" si="74"/>
        <v>2.5601569823978796E-2</v>
      </c>
      <c r="EJ56" s="316">
        <v>2030</v>
      </c>
      <c r="EK56" s="302">
        <f t="shared" si="124"/>
        <v>0.78409360304721021</v>
      </c>
      <c r="EL56" s="88">
        <f t="shared" si="75"/>
        <v>2.2884392568186963E-2</v>
      </c>
      <c r="EM56" s="302">
        <f t="shared" si="125"/>
        <v>0.36272645899266664</v>
      </c>
      <c r="EN56" s="88">
        <f t="shared" si="76"/>
        <v>7.7339800726776833E-2</v>
      </c>
      <c r="EO56" s="88">
        <f t="shared" si="77"/>
        <v>0.3251857739475848</v>
      </c>
      <c r="EP56" s="88">
        <f t="shared" si="78"/>
        <v>1.1490130610748441</v>
      </c>
      <c r="ER56" s="316">
        <v>2030</v>
      </c>
      <c r="ES56" s="317">
        <f t="shared" si="79"/>
        <v>119125.13699999999</v>
      </c>
      <c r="ET56" s="61">
        <v>13211.913</v>
      </c>
      <c r="EU56" s="61">
        <v>68753.638999999996</v>
      </c>
      <c r="EV56" s="61">
        <v>37159.584999999999</v>
      </c>
      <c r="EW56" s="88">
        <f t="shared" si="80"/>
        <v>0.11090785146379309</v>
      </c>
      <c r="EX56" s="88">
        <f t="shared" si="81"/>
        <v>0.57715475282097684</v>
      </c>
      <c r="EY56" s="88">
        <f t="shared" si="82"/>
        <v>0.31193739571523016</v>
      </c>
      <c r="EZ56" s="88">
        <f t="shared" si="83"/>
        <v>-5.0691935238131314E-4</v>
      </c>
      <c r="FA56" s="88">
        <f t="shared" si="84"/>
        <v>-2.7968080312366084E-3</v>
      </c>
      <c r="FB56" s="88">
        <f t="shared" si="85"/>
        <v>3.3037273836180048E-3</v>
      </c>
      <c r="FC56" s="374"/>
      <c r="FD56" s="316">
        <v>2030</v>
      </c>
      <c r="FE56" s="308">
        <f t="shared" si="126"/>
        <v>2.5000000000000005E-2</v>
      </c>
      <c r="FF56" s="159">
        <v>2.6000000000000002E-2</v>
      </c>
      <c r="FG56" s="308">
        <f t="shared" si="126"/>
        <v>1.8000000000000002E-2</v>
      </c>
      <c r="FH56" s="159">
        <v>1.8000000000000002E-2</v>
      </c>
      <c r="FI56" s="319">
        <f t="shared" si="55"/>
        <v>7.0000000000000027E-3</v>
      </c>
      <c r="FK56" s="345">
        <f t="shared" si="86"/>
        <v>4.8054428558215179E-3</v>
      </c>
      <c r="FL56" s="345">
        <f t="shared" si="87"/>
        <v>-8.4596739211068028E-3</v>
      </c>
      <c r="FM56" s="345">
        <f t="shared" si="127"/>
        <v>-1.9769479825831691E-3</v>
      </c>
      <c r="FO56" s="316">
        <v>2030</v>
      </c>
      <c r="FP56" s="46">
        <f t="shared" si="142"/>
        <v>392277.2476791534</v>
      </c>
      <c r="FQ56" s="46">
        <f t="shared" si="88"/>
        <v>7548.865412040007</v>
      </c>
      <c r="FR56" s="46">
        <f t="shared" si="89"/>
        <v>262363.88345130224</v>
      </c>
      <c r="FS56" s="46">
        <f t="shared" si="90"/>
        <v>48394.106985290782</v>
      </c>
      <c r="FT56" s="46">
        <f t="shared" si="91"/>
        <v>50847.407458461981</v>
      </c>
      <c r="FU56" s="46">
        <f t="shared" si="92"/>
        <v>154975.15400307285</v>
      </c>
      <c r="FV56" s="285">
        <f t="shared" si="38"/>
        <v>916406.66498932126</v>
      </c>
    </row>
    <row r="57" spans="17:178">
      <c r="Q57" s="316">
        <v>2031</v>
      </c>
      <c r="R57" s="46">
        <f t="shared" si="143"/>
        <v>589068.38807941298</v>
      </c>
      <c r="S57" s="46">
        <f t="shared" si="93"/>
        <v>16531.107565393562</v>
      </c>
      <c r="T57" s="46">
        <f t="shared" si="94"/>
        <v>275508.92350321286</v>
      </c>
      <c r="U57" s="46">
        <f t="shared" si="95"/>
        <v>56483.391647550743</v>
      </c>
      <c r="V57" s="46">
        <f t="shared" si="96"/>
        <v>237614.59879264454</v>
      </c>
      <c r="W57" s="46">
        <f t="shared" si="97"/>
        <v>839758.38533788605</v>
      </c>
      <c r="Y57" s="316">
        <v>2031</v>
      </c>
      <c r="Z57" s="46">
        <f t="shared" si="98"/>
        <v>494872.15118316689</v>
      </c>
      <c r="AA57" s="46">
        <f t="shared" si="99"/>
        <v>13841.173654854996</v>
      </c>
      <c r="AB57" s="46">
        <f t="shared" si="98"/>
        <v>234397.75821146544</v>
      </c>
      <c r="AC57" s="46">
        <f t="shared" si="100"/>
        <v>47277.618819290801</v>
      </c>
      <c r="AD57" s="46">
        <f t="shared" si="101"/>
        <v>203482.28061342274</v>
      </c>
      <c r="AE57" s="46">
        <f t="shared" si="102"/>
        <v>695334.46516850463</v>
      </c>
      <c r="AG57" s="316">
        <v>2031</v>
      </c>
      <c r="AH57" s="48">
        <f t="shared" si="103"/>
        <v>1.1903445903574017</v>
      </c>
      <c r="AI57" s="48">
        <f t="shared" si="60"/>
        <v>1.194342906000246</v>
      </c>
      <c r="AJ57" s="48">
        <f t="shared" si="61"/>
        <v>1.1753906078515408</v>
      </c>
      <c r="AK57" s="48">
        <f t="shared" si="62"/>
        <v>1.1947173537535205</v>
      </c>
      <c r="AL57" s="48">
        <f t="shared" si="63"/>
        <v>1.1677409849954781</v>
      </c>
      <c r="AM57" s="48">
        <f t="shared" si="64"/>
        <v>1.207704245084964</v>
      </c>
      <c r="AO57" s="316">
        <v>2031</v>
      </c>
      <c r="AP57" s="88">
        <f t="shared" si="128"/>
        <v>5.0000000000000001E-3</v>
      </c>
      <c r="AQ57" s="62">
        <v>5.0000000000000001E-3</v>
      </c>
      <c r="AR57" s="44"/>
      <c r="AS57" s="316">
        <v>2031</v>
      </c>
      <c r="AT57" s="345">
        <f t="shared" si="65"/>
        <v>5.0000000000000001E-3</v>
      </c>
      <c r="AU57" s="345">
        <f t="shared" ref="AU57:AY57" si="162">AT57</f>
        <v>5.0000000000000001E-3</v>
      </c>
      <c r="AV57" s="345">
        <f t="shared" si="162"/>
        <v>5.0000000000000001E-3</v>
      </c>
      <c r="AW57" s="345">
        <f t="shared" si="162"/>
        <v>5.0000000000000001E-3</v>
      </c>
      <c r="AX57" s="345">
        <f t="shared" si="162"/>
        <v>5.0000000000000001E-3</v>
      </c>
      <c r="AY57" s="345">
        <f t="shared" si="162"/>
        <v>5.0000000000000001E-3</v>
      </c>
      <c r="BQ57" s="316">
        <v>2031</v>
      </c>
      <c r="BR57" s="346">
        <f t="shared" si="105"/>
        <v>48924.030231472345</v>
      </c>
      <c r="BS57" s="346">
        <f t="shared" si="106"/>
        <v>732.85234530674268</v>
      </c>
      <c r="BT57" s="346">
        <f t="shared" si="105"/>
        <v>32041.404255147158</v>
      </c>
      <c r="BU57" s="346">
        <f t="shared" si="106"/>
        <v>4593.1654110470017</v>
      </c>
      <c r="BV57" s="346">
        <f t="shared" si="107"/>
        <v>7676.0889520220444</v>
      </c>
      <c r="BW57" s="346">
        <f t="shared" si="106"/>
        <v>18685.429620050156</v>
      </c>
      <c r="BY57" s="316">
        <v>2031</v>
      </c>
      <c r="BZ57" s="46">
        <f t="shared" si="108"/>
        <v>41017.887296075933</v>
      </c>
      <c r="CA57" s="300">
        <f t="shared" si="109"/>
        <v>613.31339223574071</v>
      </c>
      <c r="CB57" s="46">
        <f t="shared" si="108"/>
        <v>27299.125141928816</v>
      </c>
      <c r="CC57" s="300">
        <f t="shared" si="109"/>
        <v>3790.6752577496104</v>
      </c>
      <c r="CD57" s="46">
        <f t="shared" si="110"/>
        <v>6630.7649191977307</v>
      </c>
      <c r="CE57" s="300">
        <f t="shared" si="109"/>
        <v>15492.981835879618</v>
      </c>
      <c r="CG57" s="316">
        <v>2031</v>
      </c>
      <c r="CH57" s="48">
        <f t="shared" si="111"/>
        <v>1.1927486629998316</v>
      </c>
      <c r="CI57" s="48">
        <f t="shared" si="112"/>
        <v>1.1949068039020654</v>
      </c>
      <c r="CJ57" s="48">
        <f t="shared" si="113"/>
        <v>1.1737154245259918</v>
      </c>
      <c r="CK57" s="48">
        <f t="shared" si="114"/>
        <v>1.2117011083069673</v>
      </c>
      <c r="CL57" s="48">
        <f t="shared" si="115"/>
        <v>1.157647578456271</v>
      </c>
      <c r="CM57" s="48">
        <f t="shared" si="116"/>
        <v>1.206057672950811</v>
      </c>
      <c r="CO57" s="316">
        <v>2031</v>
      </c>
      <c r="CP57" s="88">
        <f t="shared" si="130"/>
        <v>5.0000000000000001E-3</v>
      </c>
      <c r="CQ57" s="62">
        <v>5.0000000000000001E-3</v>
      </c>
      <c r="CR57" s="45"/>
      <c r="CS57" s="316">
        <v>2031</v>
      </c>
      <c r="CT57" s="345">
        <f t="shared" si="117"/>
        <v>5.0000000000000001E-3</v>
      </c>
      <c r="CU57" s="345">
        <f t="shared" si="118"/>
        <v>5.0000000000000001E-3</v>
      </c>
      <c r="CV57" s="345">
        <f t="shared" si="118"/>
        <v>5.0000000000000001E-3</v>
      </c>
      <c r="CW57" s="345">
        <f t="shared" si="118"/>
        <v>5.0000000000000001E-3</v>
      </c>
      <c r="CX57" s="345">
        <f t="shared" si="118"/>
        <v>5.0000000000000001E-3</v>
      </c>
      <c r="CY57" s="345">
        <f t="shared" si="118"/>
        <v>5.0000000000000001E-3</v>
      </c>
      <c r="DA57" s="316">
        <v>2031</v>
      </c>
      <c r="DI57" s="316">
        <v>2031</v>
      </c>
      <c r="DJ57" s="342">
        <f t="shared" si="131"/>
        <v>5.475613402610726E-2</v>
      </c>
      <c r="DK57" s="342">
        <f t="shared" si="132"/>
        <v>5.2886778090110012E-2</v>
      </c>
      <c r="DL57" s="342">
        <f t="shared" si="133"/>
        <v>7.9332382181603933E-2</v>
      </c>
      <c r="DM57" s="342">
        <f t="shared" si="134"/>
        <v>7.8397457889894467E-2</v>
      </c>
      <c r="DN57" s="342">
        <f t="shared" si="135"/>
        <v>3.0212897124007876E-2</v>
      </c>
      <c r="DO57" s="342">
        <f t="shared" si="136"/>
        <v>1.9684330097015108E-2</v>
      </c>
      <c r="DQ57" s="316">
        <v>2031</v>
      </c>
      <c r="DR57" s="46">
        <f t="shared" si="120"/>
        <v>749125</v>
      </c>
      <c r="DS57" s="61">
        <v>754.9</v>
      </c>
      <c r="DT57" s="46">
        <f t="shared" si="120"/>
        <v>660426.08561504853</v>
      </c>
      <c r="DU57" s="61">
        <v>663.19756017823192</v>
      </c>
      <c r="DW57" s="46">
        <f t="shared" ref="DW57" si="163">(DX56/4+DX57*3/4)*1000</f>
        <v>748288.6126431945</v>
      </c>
      <c r="DX57" s="61">
        <v>754.05716493822456</v>
      </c>
      <c r="DY57" s="46">
        <f t="shared" ref="DY57" si="164">(DZ56/4+DZ57*3/4)*1000</f>
        <v>659688.72932856355</v>
      </c>
      <c r="DZ57" s="61">
        <v>662.45710958000416</v>
      </c>
      <c r="EB57" s="316">
        <v>2031</v>
      </c>
      <c r="EC57" s="88">
        <f t="shared" si="70"/>
        <v>6.5308233247418454E-2</v>
      </c>
      <c r="ED57" s="88">
        <f t="shared" si="71"/>
        <v>9.7827778449089634E-4</v>
      </c>
      <c r="EE57" s="88">
        <f t="shared" si="72"/>
        <v>4.2771772741728227E-2</v>
      </c>
      <c r="EF57" s="88">
        <f t="shared" si="73"/>
        <v>6.1313738175164381E-3</v>
      </c>
      <c r="EG57" s="302">
        <f t="shared" si="123"/>
        <v>1.0246739799128376E-2</v>
      </c>
      <c r="EH57" s="88">
        <f t="shared" si="74"/>
        <v>2.4943006334123351E-2</v>
      </c>
      <c r="EJ57" s="316">
        <v>2031</v>
      </c>
      <c r="EK57" s="302">
        <f t="shared" si="124"/>
        <v>0.78722083715618119</v>
      </c>
      <c r="EL57" s="88">
        <f t="shared" si="75"/>
        <v>2.2091887122270119E-2</v>
      </c>
      <c r="EM57" s="302">
        <f t="shared" si="125"/>
        <v>0.36818537506541399</v>
      </c>
      <c r="EN57" s="88">
        <f t="shared" si="76"/>
        <v>7.5483430715367103E-2</v>
      </c>
      <c r="EO57" s="88">
        <f t="shared" si="77"/>
        <v>0.3175440528933266</v>
      </c>
      <c r="EP57" s="88">
        <f t="shared" si="78"/>
        <v>1.1222386271141973</v>
      </c>
      <c r="ER57" s="316">
        <v>2031</v>
      </c>
      <c r="ES57" s="317">
        <f t="shared" si="79"/>
        <v>118380.325</v>
      </c>
      <c r="ET57" s="61">
        <v>13027.781999999999</v>
      </c>
      <c r="EU57" s="61">
        <v>68352.653000000006</v>
      </c>
      <c r="EV57" s="61">
        <v>36999.89</v>
      </c>
      <c r="EW57" s="88">
        <f t="shared" si="80"/>
        <v>0.11005023005300922</v>
      </c>
      <c r="EX57" s="88">
        <f t="shared" si="81"/>
        <v>0.5773987611539334</v>
      </c>
      <c r="EY57" s="88">
        <f t="shared" si="82"/>
        <v>0.31255100879305747</v>
      </c>
      <c r="EZ57" s="88">
        <f t="shared" si="83"/>
        <v>-8.5762141078386811E-4</v>
      </c>
      <c r="FA57" s="88">
        <f t="shared" si="84"/>
        <v>2.4400833295656899E-4</v>
      </c>
      <c r="FB57" s="88">
        <f t="shared" si="85"/>
        <v>6.13613077827313E-4</v>
      </c>
      <c r="FC57" s="374"/>
      <c r="FD57" s="316">
        <v>2031</v>
      </c>
      <c r="FE57" s="308">
        <f t="shared" si="126"/>
        <v>2.8999999999999998E-2</v>
      </c>
      <c r="FF57" s="159">
        <v>0.03</v>
      </c>
      <c r="FG57" s="308">
        <f t="shared" si="126"/>
        <v>1.7250000000000001E-2</v>
      </c>
      <c r="FH57" s="159">
        <v>1.7000000000000001E-2</v>
      </c>
      <c r="FI57" s="319">
        <f t="shared" si="55"/>
        <v>1.1749999999999997E-2</v>
      </c>
      <c r="FK57" s="345">
        <f t="shared" si="86"/>
        <v>1.2242552827836817E-2</v>
      </c>
      <c r="FL57" s="345">
        <f t="shared" si="87"/>
        <v>-7.5166824259082499E-3</v>
      </c>
      <c r="FM57" s="345">
        <f t="shared" si="127"/>
        <v>-2.7851878381427737E-3</v>
      </c>
      <c r="FO57" s="316">
        <v>2031</v>
      </c>
      <c r="FP57" s="46">
        <f t="shared" si="142"/>
        <v>378378.23593906488</v>
      </c>
      <c r="FQ57" s="46">
        <f t="shared" si="88"/>
        <v>7561.8693977778566</v>
      </c>
      <c r="FR57" s="46">
        <f t="shared" si="89"/>
        <v>257378.08968290308</v>
      </c>
      <c r="FS57" s="46">
        <f t="shared" si="90"/>
        <v>48414.801826803166</v>
      </c>
      <c r="FT57" s="46">
        <f t="shared" si="91"/>
        <v>53547.701512421445</v>
      </c>
      <c r="FU57" s="46">
        <f t="shared" si="92"/>
        <v>155001.56024990685</v>
      </c>
      <c r="FV57" s="285">
        <f t="shared" si="38"/>
        <v>900282.25860887719</v>
      </c>
    </row>
    <row r="58" spans="17:178">
      <c r="Q58" s="316">
        <v>2032</v>
      </c>
      <c r="R58" s="46">
        <f t="shared" si="143"/>
        <v>607891.04764451913</v>
      </c>
      <c r="S58" s="46">
        <f t="shared" si="93"/>
        <v>16473.3098302988</v>
      </c>
      <c r="T58" s="46">
        <f t="shared" si="94"/>
        <v>288117.86704369204</v>
      </c>
      <c r="U58" s="46">
        <f t="shared" si="95"/>
        <v>56868.501198955368</v>
      </c>
      <c r="V58" s="46">
        <f t="shared" si="96"/>
        <v>239929.227515437</v>
      </c>
      <c r="W58" s="46">
        <f t="shared" si="97"/>
        <v>846135.43224832427</v>
      </c>
      <c r="Y58" s="316">
        <v>2032</v>
      </c>
      <c r="Z58" s="46">
        <f t="shared" si="98"/>
        <v>508144.21216677839</v>
      </c>
      <c r="AA58" s="46">
        <f t="shared" si="99"/>
        <v>13724.159939851106</v>
      </c>
      <c r="AB58" s="46">
        <f t="shared" si="98"/>
        <v>243905.6794435473</v>
      </c>
      <c r="AC58" s="46">
        <f t="shared" si="100"/>
        <v>47363.14673467775</v>
      </c>
      <c r="AD58" s="46">
        <f t="shared" si="101"/>
        <v>204442.21178682742</v>
      </c>
      <c r="AE58" s="46">
        <f t="shared" si="102"/>
        <v>697129.12466655509</v>
      </c>
      <c r="AG58" s="316">
        <v>2032</v>
      </c>
      <c r="AH58" s="48">
        <f t="shared" si="103"/>
        <v>1.1962963133091886</v>
      </c>
      <c r="AI58" s="48">
        <f t="shared" si="60"/>
        <v>1.2003146205302471</v>
      </c>
      <c r="AJ58" s="48">
        <f t="shared" si="61"/>
        <v>1.1812675608907983</v>
      </c>
      <c r="AK58" s="48">
        <f t="shared" si="62"/>
        <v>1.2006909405222881</v>
      </c>
      <c r="AL58" s="48">
        <f t="shared" si="63"/>
        <v>1.1735796899204554</v>
      </c>
      <c r="AM58" s="48">
        <f t="shared" si="64"/>
        <v>1.2137427663103886</v>
      </c>
      <c r="AO58" s="316">
        <v>2032</v>
      </c>
      <c r="AP58" s="88">
        <f t="shared" si="128"/>
        <v>5.0000000000000001E-3</v>
      </c>
      <c r="AQ58" s="302">
        <f t="shared" ref="AQ58:AQ66" si="165">AQ57</f>
        <v>5.0000000000000001E-3</v>
      </c>
      <c r="AR58" s="44"/>
      <c r="AS58" s="316">
        <v>2032</v>
      </c>
      <c r="AT58" s="345">
        <f t="shared" ref="AT58:AT65" si="166">AP58</f>
        <v>5.0000000000000001E-3</v>
      </c>
      <c r="AU58" s="345">
        <f t="shared" ref="AU58:AY58" si="167">AT58</f>
        <v>5.0000000000000001E-3</v>
      </c>
      <c r="AV58" s="345">
        <f t="shared" si="167"/>
        <v>5.0000000000000001E-3</v>
      </c>
      <c r="AW58" s="345">
        <f t="shared" si="167"/>
        <v>5.0000000000000001E-3</v>
      </c>
      <c r="AX58" s="345">
        <f t="shared" si="167"/>
        <v>5.0000000000000001E-3</v>
      </c>
      <c r="AY58" s="345">
        <f t="shared" si="167"/>
        <v>5.0000000000000001E-3</v>
      </c>
      <c r="BQ58" s="316">
        <v>2032</v>
      </c>
      <c r="BR58" s="346">
        <f t="shared" si="105"/>
        <v>48391.236867462707</v>
      </c>
      <c r="BS58" s="346">
        <f t="shared" si="106"/>
        <v>738.54366152895375</v>
      </c>
      <c r="BT58" s="346">
        <f t="shared" si="105"/>
        <v>33150.148540213224</v>
      </c>
      <c r="BU58" s="346">
        <f t="shared" si="106"/>
        <v>4617.7116321073709</v>
      </c>
      <c r="BV58" s="346">
        <f t="shared" si="107"/>
        <v>8269.3764674951199</v>
      </c>
      <c r="BW58" s="346">
        <f t="shared" si="106"/>
        <v>18765.367201695022</v>
      </c>
      <c r="BY58" s="316">
        <v>2032</v>
      </c>
      <c r="BZ58" s="46">
        <f t="shared" si="108"/>
        <v>40369.346819585015</v>
      </c>
      <c r="CA58" s="300">
        <f t="shared" si="109"/>
        <v>615.0013645871021</v>
      </c>
      <c r="CB58" s="46">
        <f t="shared" si="108"/>
        <v>28103.253769025003</v>
      </c>
      <c r="CC58" s="300">
        <f t="shared" si="109"/>
        <v>3791.9730459067819</v>
      </c>
      <c r="CD58" s="46">
        <f t="shared" si="110"/>
        <v>7107.7203841365217</v>
      </c>
      <c r="CE58" s="300">
        <f t="shared" si="109"/>
        <v>15481.85263825873</v>
      </c>
      <c r="CG58" s="316">
        <v>2032</v>
      </c>
      <c r="CH58" s="48">
        <f t="shared" si="111"/>
        <v>1.1987124063148307</v>
      </c>
      <c r="CI58" s="48">
        <f t="shared" si="112"/>
        <v>1.2008813379215755</v>
      </c>
      <c r="CJ58" s="48">
        <f t="shared" si="113"/>
        <v>1.1795840016486216</v>
      </c>
      <c r="CK58" s="48">
        <f t="shared" si="114"/>
        <v>1.2177596138485021</v>
      </c>
      <c r="CL58" s="48">
        <f t="shared" si="115"/>
        <v>1.1634358163485523</v>
      </c>
      <c r="CM58" s="48">
        <f t="shared" si="116"/>
        <v>1.2120879613155648</v>
      </c>
      <c r="CO58" s="316">
        <v>2032</v>
      </c>
      <c r="CP58" s="88">
        <f t="shared" si="130"/>
        <v>5.0000000000000001E-3</v>
      </c>
      <c r="CQ58" s="302">
        <f t="shared" ref="CQ58:CQ66" si="168">CQ57</f>
        <v>5.0000000000000001E-3</v>
      </c>
      <c r="CR58" s="45"/>
      <c r="CS58" s="316">
        <v>2032</v>
      </c>
      <c r="CT58" s="345">
        <f t="shared" si="117"/>
        <v>5.0000000000000001E-3</v>
      </c>
      <c r="CU58" s="345">
        <f t="shared" si="118"/>
        <v>5.0000000000000001E-3</v>
      </c>
      <c r="CV58" s="345">
        <f t="shared" si="118"/>
        <v>5.0000000000000001E-3</v>
      </c>
      <c r="CW58" s="345">
        <f t="shared" si="118"/>
        <v>5.0000000000000001E-3</v>
      </c>
      <c r="CX58" s="345">
        <f t="shared" si="118"/>
        <v>5.0000000000000001E-3</v>
      </c>
      <c r="CY58" s="345">
        <f t="shared" si="118"/>
        <v>5.0000000000000001E-3</v>
      </c>
      <c r="DA58" s="316">
        <v>2032</v>
      </c>
      <c r="DI58" s="316">
        <v>2032</v>
      </c>
      <c r="DJ58" s="342">
        <f t="shared" si="131"/>
        <v>5.475613402610726E-2</v>
      </c>
      <c r="DK58" s="342">
        <f t="shared" si="132"/>
        <v>5.2886778090110012E-2</v>
      </c>
      <c r="DL58" s="342">
        <f t="shared" si="133"/>
        <v>7.9332382181603933E-2</v>
      </c>
      <c r="DM58" s="342">
        <f t="shared" si="134"/>
        <v>7.8397457889894467E-2</v>
      </c>
      <c r="DN58" s="342">
        <f t="shared" si="135"/>
        <v>3.0212897124007876E-2</v>
      </c>
      <c r="DO58" s="342">
        <f t="shared" si="136"/>
        <v>1.9684330097015108E-2</v>
      </c>
      <c r="DQ58" s="316">
        <v>2032</v>
      </c>
      <c r="DR58" s="46">
        <f t="shared" si="120"/>
        <v>773017.59999999998</v>
      </c>
      <c r="DS58" s="300">
        <v>779.05679999999995</v>
      </c>
      <c r="DT58" s="46">
        <f t="shared" si="120"/>
        <v>671653.32907050429</v>
      </c>
      <c r="DU58" s="300">
        <v>674.47191870126176</v>
      </c>
      <c r="DW58" s="46">
        <f t="shared" ref="DW58" si="169">(DX57/4+DX58*3/4)*1000</f>
        <v>772154.53689674195</v>
      </c>
      <c r="DX58" s="300">
        <v>778.18699421624774</v>
      </c>
      <c r="DY58" s="46">
        <f>(DZ57/4+DZ58*3/4)*1000</f>
        <v>670903.43772714911</v>
      </c>
      <c r="DZ58" s="300">
        <v>673.71888044286413</v>
      </c>
      <c r="EB58" s="316">
        <v>2032</v>
      </c>
      <c r="EC58" s="88">
        <f t="shared" si="70"/>
        <v>6.2600433505605443E-2</v>
      </c>
      <c r="ED58" s="88">
        <f t="shared" si="71"/>
        <v>9.5540342358175774E-4</v>
      </c>
      <c r="EE58" s="88">
        <f t="shared" si="72"/>
        <v>4.2884079922906312E-2</v>
      </c>
      <c r="EF58" s="88">
        <f t="shared" si="73"/>
        <v>5.9736177185453097E-3</v>
      </c>
      <c r="EG58" s="302">
        <f t="shared" si="123"/>
        <v>1.069752676717208E-2</v>
      </c>
      <c r="EH58" s="88">
        <f t="shared" si="74"/>
        <v>2.4275472125983966E-2</v>
      </c>
      <c r="EJ58" s="316">
        <v>2032</v>
      </c>
      <c r="EK58" s="302">
        <f t="shared" si="124"/>
        <v>0.78726604403259581</v>
      </c>
      <c r="EL58" s="88">
        <f t="shared" si="75"/>
        <v>2.1334213610275956E-2</v>
      </c>
      <c r="EM58" s="302">
        <f t="shared" si="125"/>
        <v>0.37313497917350347</v>
      </c>
      <c r="EN58" s="88">
        <f t="shared" si="76"/>
        <v>7.3649118772917646E-2</v>
      </c>
      <c r="EO58" s="88">
        <f t="shared" si="77"/>
        <v>0.3107269543214794</v>
      </c>
      <c r="EP58" s="88">
        <f t="shared" si="78"/>
        <v>1.095810996136743</v>
      </c>
      <c r="ER58" s="316">
        <v>2032</v>
      </c>
      <c r="ES58" s="317">
        <f t="shared" si="79"/>
        <v>117616.16</v>
      </c>
      <c r="ET58" s="61">
        <v>12861.812</v>
      </c>
      <c r="EU58" s="61">
        <v>67557.058999999994</v>
      </c>
      <c r="EV58" s="61">
        <v>37197.288999999997</v>
      </c>
      <c r="EW58" s="88">
        <f t="shared" si="80"/>
        <v>0.10935412276680347</v>
      </c>
      <c r="EX58" s="88">
        <f t="shared" si="81"/>
        <v>0.57438585820179811</v>
      </c>
      <c r="EY58" s="88">
        <f t="shared" si="82"/>
        <v>0.31626001903139839</v>
      </c>
      <c r="EZ58" s="88">
        <f t="shared" si="83"/>
        <v>-6.961072862057549E-4</v>
      </c>
      <c r="FA58" s="88">
        <f t="shared" si="84"/>
        <v>-3.012902952135299E-3</v>
      </c>
      <c r="FB58" s="88">
        <f t="shared" si="85"/>
        <v>3.7090102383409151E-3</v>
      </c>
      <c r="FC58" s="374"/>
      <c r="FD58" s="316">
        <v>2032</v>
      </c>
      <c r="FE58" s="308">
        <f t="shared" si="126"/>
        <v>0.03</v>
      </c>
      <c r="FF58" s="343">
        <f>FF57</f>
        <v>0.03</v>
      </c>
      <c r="FG58" s="308">
        <f t="shared" si="126"/>
        <v>1.7000000000000001E-2</v>
      </c>
      <c r="FH58" s="345">
        <f>FH57</f>
        <v>1.7000000000000001E-2</v>
      </c>
      <c r="FI58" s="319">
        <f t="shared" si="55"/>
        <v>1.2999999999999998E-2</v>
      </c>
      <c r="FK58" s="345">
        <f t="shared" si="86"/>
        <v>6.8012210406284135E-3</v>
      </c>
      <c r="FL58" s="345">
        <f t="shared" si="87"/>
        <v>-4.8902466293282432E-3</v>
      </c>
      <c r="FM58" s="345">
        <f t="shared" si="127"/>
        <v>-2.2926986615545032E-3</v>
      </c>
      <c r="FO58" s="316">
        <v>2032</v>
      </c>
      <c r="FP58" s="46">
        <f t="shared" si="142"/>
        <v>372395.63620986842</v>
      </c>
      <c r="FQ58" s="46">
        <f t="shared" si="88"/>
        <v>7582.6813132351808</v>
      </c>
      <c r="FR58" s="46">
        <f t="shared" si="89"/>
        <v>264959.47146071959</v>
      </c>
      <c r="FS58" s="46">
        <f t="shared" si="90"/>
        <v>48431.377278977336</v>
      </c>
      <c r="FT58" s="46">
        <f t="shared" si="91"/>
        <v>57399.424380369346</v>
      </c>
      <c r="FU58" s="46">
        <f t="shared" si="92"/>
        <v>154890.21673877118</v>
      </c>
      <c r="FV58" s="285">
        <f t="shared" si="38"/>
        <v>905658.80738194112</v>
      </c>
    </row>
    <row r="59" spans="17:178">
      <c r="Q59" s="316">
        <v>2033</v>
      </c>
      <c r="R59" s="46">
        <f t="shared" si="143"/>
        <v>628601.4970376743</v>
      </c>
      <c r="S59" s="46">
        <f t="shared" si="93"/>
        <v>16422.770518354846</v>
      </c>
      <c r="T59" s="46">
        <f t="shared" si="94"/>
        <v>299461.38918754121</v>
      </c>
      <c r="U59" s="46">
        <f t="shared" si="95"/>
        <v>57246.521313735931</v>
      </c>
      <c r="V59" s="46">
        <f t="shared" si="96"/>
        <v>242592.31565383499</v>
      </c>
      <c r="W59" s="46">
        <f t="shared" si="97"/>
        <v>852495.45632685698</v>
      </c>
      <c r="Y59" s="316">
        <v>2033</v>
      </c>
      <c r="Z59" s="46">
        <f t="shared" si="98"/>
        <v>522842.14157231909</v>
      </c>
      <c r="AA59" s="46">
        <f t="shared" si="99"/>
        <v>13613.984961021393</v>
      </c>
      <c r="AB59" s="46">
        <f t="shared" si="98"/>
        <v>252247.28198342322</v>
      </c>
      <c r="AC59" s="46">
        <f t="shared" si="100"/>
        <v>47440.778328191809</v>
      </c>
      <c r="AD59" s="46">
        <f t="shared" si="101"/>
        <v>205682.99774056638</v>
      </c>
      <c r="AE59" s="46">
        <f t="shared" si="102"/>
        <v>698874.76073569863</v>
      </c>
      <c r="AG59" s="316">
        <v>2033</v>
      </c>
      <c r="AH59" s="48">
        <f t="shared" si="103"/>
        <v>1.2022777948757344</v>
      </c>
      <c r="AI59" s="48">
        <f t="shared" si="60"/>
        <v>1.2063161936328981</v>
      </c>
      <c r="AJ59" s="48">
        <f t="shared" si="61"/>
        <v>1.1871738986952522</v>
      </c>
      <c r="AK59" s="48">
        <f t="shared" si="62"/>
        <v>1.2066943952248994</v>
      </c>
      <c r="AL59" s="48">
        <f t="shared" si="63"/>
        <v>1.1794475883700575</v>
      </c>
      <c r="AM59" s="48">
        <f t="shared" si="64"/>
        <v>1.2198114801419404</v>
      </c>
      <c r="AO59" s="316">
        <v>2033</v>
      </c>
      <c r="AP59" s="88">
        <f t="shared" si="128"/>
        <v>5.0000000000000001E-3</v>
      </c>
      <c r="AQ59" s="302">
        <f t="shared" si="165"/>
        <v>5.0000000000000001E-3</v>
      </c>
      <c r="AR59" s="44"/>
      <c r="AS59" s="316">
        <v>2033</v>
      </c>
      <c r="AT59" s="345">
        <f t="shared" ref="AT59:AT64" si="170">AP59</f>
        <v>5.0000000000000001E-3</v>
      </c>
      <c r="AU59" s="345">
        <f t="shared" ref="AU59:AY59" si="171">AT59</f>
        <v>5.0000000000000001E-3</v>
      </c>
      <c r="AV59" s="345">
        <f t="shared" si="171"/>
        <v>5.0000000000000001E-3</v>
      </c>
      <c r="AW59" s="345">
        <f t="shared" si="171"/>
        <v>5.0000000000000001E-3</v>
      </c>
      <c r="AX59" s="345">
        <f t="shared" si="171"/>
        <v>5.0000000000000001E-3</v>
      </c>
      <c r="AY59" s="345">
        <f t="shared" si="171"/>
        <v>5.0000000000000001E-3</v>
      </c>
      <c r="BQ59" s="316">
        <v>2033</v>
      </c>
      <c r="BR59" s="346">
        <f t="shared" si="105"/>
        <v>51226.437302882405</v>
      </c>
      <c r="BS59" s="346">
        <f t="shared" si="106"/>
        <v>743.0211667000284</v>
      </c>
      <c r="BT59" s="346">
        <f t="shared" si="105"/>
        <v>32827.44202370158</v>
      </c>
      <c r="BU59" s="346">
        <f t="shared" si="106"/>
        <v>4639.3424023411781</v>
      </c>
      <c r="BV59" s="346">
        <f t="shared" si="107"/>
        <v>8673.0246712596163</v>
      </c>
      <c r="BW59" s="346">
        <f t="shared" si="106"/>
        <v>18842.509352705518</v>
      </c>
      <c r="BY59" s="316">
        <v>2033</v>
      </c>
      <c r="BZ59" s="46">
        <f t="shared" si="108"/>
        <v>42521.941991535481</v>
      </c>
      <c r="CA59" s="300">
        <f t="shared" si="109"/>
        <v>615.65162238236906</v>
      </c>
      <c r="CB59" s="46">
        <f t="shared" si="108"/>
        <v>27691.221117755194</v>
      </c>
      <c r="CC59" s="300">
        <f t="shared" si="109"/>
        <v>3790.781895178854</v>
      </c>
      <c r="CD59" s="46">
        <f t="shared" si="110"/>
        <v>7417.5774662590193</v>
      </c>
      <c r="CE59" s="300">
        <f t="shared" si="109"/>
        <v>15468.155879323111</v>
      </c>
      <c r="CG59" s="316">
        <v>2033</v>
      </c>
      <c r="CH59" s="48">
        <f t="shared" si="111"/>
        <v>1.2047059683464048</v>
      </c>
      <c r="CI59" s="48">
        <f t="shared" si="112"/>
        <v>1.2068857446111831</v>
      </c>
      <c r="CJ59" s="48">
        <f t="shared" si="113"/>
        <v>1.1854819216568646</v>
      </c>
      <c r="CK59" s="48">
        <f t="shared" si="114"/>
        <v>1.2238484119177444</v>
      </c>
      <c r="CL59" s="48">
        <f t="shared" si="115"/>
        <v>1.169252995430295</v>
      </c>
      <c r="CM59" s="48">
        <f t="shared" si="116"/>
        <v>1.2181484011221426</v>
      </c>
      <c r="CO59" s="316">
        <v>2033</v>
      </c>
      <c r="CP59" s="88">
        <f t="shared" si="130"/>
        <v>5.0000000000000001E-3</v>
      </c>
      <c r="CQ59" s="302">
        <f t="shared" si="168"/>
        <v>5.0000000000000001E-3</v>
      </c>
      <c r="CR59" s="45"/>
      <c r="CS59" s="316">
        <v>2033</v>
      </c>
      <c r="CT59" s="345">
        <f t="shared" si="117"/>
        <v>5.0000000000000001E-3</v>
      </c>
      <c r="CU59" s="345">
        <f t="shared" si="118"/>
        <v>5.0000000000000001E-3</v>
      </c>
      <c r="CV59" s="345">
        <f t="shared" si="118"/>
        <v>5.0000000000000001E-3</v>
      </c>
      <c r="CW59" s="345">
        <f t="shared" si="118"/>
        <v>5.0000000000000001E-3</v>
      </c>
      <c r="CX59" s="345">
        <f t="shared" si="118"/>
        <v>5.0000000000000001E-3</v>
      </c>
      <c r="CY59" s="345">
        <f t="shared" si="118"/>
        <v>5.0000000000000001E-3</v>
      </c>
      <c r="DA59" s="316">
        <v>2033</v>
      </c>
      <c r="DI59" s="316">
        <v>2033</v>
      </c>
      <c r="DJ59" s="342">
        <f t="shared" si="131"/>
        <v>5.475613402610726E-2</v>
      </c>
      <c r="DK59" s="342">
        <f t="shared" si="132"/>
        <v>5.2886778090110012E-2</v>
      </c>
      <c r="DL59" s="342">
        <f t="shared" si="133"/>
        <v>7.9332382181603933E-2</v>
      </c>
      <c r="DM59" s="342">
        <f t="shared" si="134"/>
        <v>7.8397457889894467E-2</v>
      </c>
      <c r="DN59" s="342">
        <f t="shared" si="135"/>
        <v>3.0212897124007876E-2</v>
      </c>
      <c r="DO59" s="342">
        <f t="shared" si="136"/>
        <v>1.9684330097015108E-2</v>
      </c>
      <c r="DQ59" s="316">
        <v>2033</v>
      </c>
      <c r="DR59" s="46">
        <f t="shared" si="120"/>
        <v>797754.16319999984</v>
      </c>
      <c r="DS59" s="300">
        <v>803.98661759999993</v>
      </c>
      <c r="DT59" s="46">
        <f t="shared" si="120"/>
        <v>683071.43566470267</v>
      </c>
      <c r="DU59" s="300">
        <v>685.9379413191831</v>
      </c>
      <c r="DW59" s="46">
        <f t="shared" ref="DW59" si="172">(DX58/4+DX59*3/4)*1000</f>
        <v>796863.48207743757</v>
      </c>
      <c r="DX59" s="300">
        <v>803.08897803116758</v>
      </c>
      <c r="DY59" s="46">
        <f t="shared" ref="DY59" si="173">(DZ58/4+DZ59*3/4)*1000</f>
        <v>682308.79616851069</v>
      </c>
      <c r="DZ59" s="300">
        <v>685.17210141039277</v>
      </c>
      <c r="EB59" s="316">
        <v>2033</v>
      </c>
      <c r="EC59" s="88">
        <f t="shared" si="70"/>
        <v>6.4213312403660572E-2</v>
      </c>
      <c r="ED59" s="88">
        <f t="shared" si="71"/>
        <v>9.3139114902212087E-4</v>
      </c>
      <c r="EE59" s="88">
        <f t="shared" si="72"/>
        <v>4.1149822261061168E-2</v>
      </c>
      <c r="EF59" s="88">
        <f t="shared" si="73"/>
        <v>5.8155038436046094E-3</v>
      </c>
      <c r="EG59" s="302">
        <f t="shared" si="123"/>
        <v>1.0871801203104794E-2</v>
      </c>
      <c r="EH59" s="88">
        <f t="shared" si="74"/>
        <v>2.361944346002947E-2</v>
      </c>
      <c r="EJ59" s="316">
        <v>2033</v>
      </c>
      <c r="EK59" s="302">
        <f t="shared" si="124"/>
        <v>0.78884465303755513</v>
      </c>
      <c r="EL59" s="88">
        <f t="shared" si="75"/>
        <v>2.0609264808496914E-2</v>
      </c>
      <c r="EM59" s="302">
        <f t="shared" si="125"/>
        <v>0.37580011623426379</v>
      </c>
      <c r="EN59" s="88">
        <f t="shared" si="76"/>
        <v>7.1839810207506571E-2</v>
      </c>
      <c r="EO59" s="88">
        <f t="shared" si="77"/>
        <v>0.30443397283232559</v>
      </c>
      <c r="EP59" s="88">
        <f t="shared" si="78"/>
        <v>1.0698136826453457</v>
      </c>
      <c r="ER59" s="316">
        <v>2033</v>
      </c>
      <c r="ES59" s="317">
        <f t="shared" si="79"/>
        <v>116833.33599999998</v>
      </c>
      <c r="ET59" s="61">
        <v>12712.574000000001</v>
      </c>
      <c r="EU59" s="61">
        <v>66738.233999999997</v>
      </c>
      <c r="EV59" s="61">
        <v>37382.527999999998</v>
      </c>
      <c r="EW59" s="88">
        <f t="shared" si="80"/>
        <v>0.10880947540520458</v>
      </c>
      <c r="EX59" s="88">
        <f t="shared" si="81"/>
        <v>0.57122595557829492</v>
      </c>
      <c r="EY59" s="88">
        <f t="shared" si="82"/>
        <v>0.31996456901650061</v>
      </c>
      <c r="EZ59" s="88">
        <f t="shared" si="83"/>
        <v>-5.4464736159888505E-4</v>
      </c>
      <c r="FA59" s="88">
        <f t="shared" si="84"/>
        <v>-3.1599026235031857E-3</v>
      </c>
      <c r="FB59" s="88">
        <f t="shared" si="85"/>
        <v>3.7045499851022234E-3</v>
      </c>
      <c r="FC59" s="374"/>
      <c r="FD59" s="316">
        <v>2033</v>
      </c>
      <c r="FE59" s="308">
        <f t="shared" si="126"/>
        <v>0.03</v>
      </c>
      <c r="FF59" s="343">
        <f t="shared" ref="FF59:FH66" si="174">FF58</f>
        <v>0.03</v>
      </c>
      <c r="FG59" s="308">
        <f t="shared" si="126"/>
        <v>1.7000000000000001E-2</v>
      </c>
      <c r="FH59" s="345">
        <f t="shared" si="174"/>
        <v>1.7000000000000001E-2</v>
      </c>
      <c r="FI59" s="319">
        <f t="shared" si="55"/>
        <v>1.2999999999999998E-2</v>
      </c>
      <c r="FK59" s="345">
        <f t="shared" si="86"/>
        <v>4.0053108426006956E-3</v>
      </c>
      <c r="FL59" s="345">
        <f t="shared" si="87"/>
        <v>-2.9509483269325454E-3</v>
      </c>
      <c r="FM59" s="345">
        <f t="shared" si="127"/>
        <v>-1.9260749098205052E-3</v>
      </c>
      <c r="FO59" s="316">
        <v>2033</v>
      </c>
      <c r="FP59" s="46">
        <f t="shared" si="142"/>
        <v>392252.70875908004</v>
      </c>
      <c r="FQ59" s="46">
        <f t="shared" si="88"/>
        <v>7590.6986899710291</v>
      </c>
      <c r="FR59" s="46">
        <f t="shared" si="89"/>
        <v>261074.79837616257</v>
      </c>
      <c r="FS59" s="46">
        <f t="shared" si="90"/>
        <v>48416.163808416757</v>
      </c>
      <c r="FT59" s="46">
        <f t="shared" si="91"/>
        <v>59901.720080367239</v>
      </c>
      <c r="FU59" s="46">
        <f t="shared" si="92"/>
        <v>154753.18572512403</v>
      </c>
      <c r="FV59" s="285">
        <f t="shared" si="38"/>
        <v>923989.27543912176</v>
      </c>
    </row>
    <row r="60" spans="17:178">
      <c r="Q60" s="316">
        <v>2034</v>
      </c>
      <c r="R60" s="46">
        <f t="shared" si="143"/>
        <v>651113.74312500434</v>
      </c>
      <c r="S60" s="46">
        <f t="shared" si="93"/>
        <v>16376.731686510815</v>
      </c>
      <c r="T60" s="46">
        <f t="shared" si="94"/>
        <v>310274.68813677854</v>
      </c>
      <c r="U60" s="46">
        <f t="shared" si="95"/>
        <v>57618.644993554321</v>
      </c>
      <c r="V60" s="46">
        <f t="shared" si="96"/>
        <v>245642.26822908348</v>
      </c>
      <c r="W60" s="46">
        <f t="shared" si="97"/>
        <v>858867.9667755696</v>
      </c>
      <c r="Y60" s="316">
        <v>2034</v>
      </c>
      <c r="Z60" s="46">
        <f t="shared" si="98"/>
        <v>538872.44198469492</v>
      </c>
      <c r="AA60" s="46">
        <f t="shared" si="99"/>
        <v>13508.278754336621</v>
      </c>
      <c r="AB60" s="46">
        <f t="shared" si="98"/>
        <v>260055.44201336108</v>
      </c>
      <c r="AC60" s="46">
        <f t="shared" si="100"/>
        <v>47511.603016543333</v>
      </c>
      <c r="AD60" s="46">
        <f t="shared" si="101"/>
        <v>207232.75014695679</v>
      </c>
      <c r="AE60" s="46">
        <f t="shared" si="102"/>
        <v>700595.95743191754</v>
      </c>
      <c r="AG60" s="316">
        <v>2034</v>
      </c>
      <c r="AH60" s="48">
        <f t="shared" si="103"/>
        <v>1.2082891838501129</v>
      </c>
      <c r="AI60" s="48">
        <f t="shared" si="60"/>
        <v>1.2123477746010625</v>
      </c>
      <c r="AJ60" s="48">
        <f t="shared" si="61"/>
        <v>1.1931097681887284</v>
      </c>
      <c r="AK60" s="48">
        <f t="shared" si="62"/>
        <v>1.2127278672010238</v>
      </c>
      <c r="AL60" s="48">
        <f t="shared" si="63"/>
        <v>1.1853448263119077</v>
      </c>
      <c r="AM60" s="48">
        <f t="shared" si="64"/>
        <v>1.22591053754265</v>
      </c>
      <c r="AO60" s="316">
        <v>2034</v>
      </c>
      <c r="AP60" s="88">
        <f t="shared" si="128"/>
        <v>5.0000000000000001E-3</v>
      </c>
      <c r="AQ60" s="302">
        <f t="shared" si="165"/>
        <v>5.0000000000000001E-3</v>
      </c>
      <c r="AR60" s="44"/>
      <c r="AS60" s="316">
        <v>2034</v>
      </c>
      <c r="AT60" s="345">
        <f t="shared" si="170"/>
        <v>5.0000000000000001E-3</v>
      </c>
      <c r="AU60" s="345">
        <f t="shared" ref="AU60:AY60" si="175">AT60</f>
        <v>5.0000000000000001E-3</v>
      </c>
      <c r="AV60" s="345">
        <f t="shared" si="175"/>
        <v>5.0000000000000001E-3</v>
      </c>
      <c r="AW60" s="345">
        <f t="shared" si="175"/>
        <v>5.0000000000000001E-3</v>
      </c>
      <c r="AX60" s="345">
        <f t="shared" si="175"/>
        <v>5.0000000000000001E-3</v>
      </c>
      <c r="AY60" s="345">
        <f t="shared" si="175"/>
        <v>5.0000000000000001E-3</v>
      </c>
      <c r="BQ60" s="316">
        <v>2034</v>
      </c>
      <c r="BR60" s="346">
        <f t="shared" si="105"/>
        <v>54070.107640199742</v>
      </c>
      <c r="BS60" s="346">
        <f t="shared" si="106"/>
        <v>745.0890935688775</v>
      </c>
      <c r="BT60" s="346">
        <f t="shared" si="105"/>
        <v>33144.456936551484</v>
      </c>
      <c r="BU60" s="346">
        <f t="shared" si="106"/>
        <v>4661.6525714051459</v>
      </c>
      <c r="BV60" s="346">
        <f t="shared" si="107"/>
        <v>9123.5078582540609</v>
      </c>
      <c r="BW60" s="346">
        <f t="shared" si="106"/>
        <v>18948.869172036062</v>
      </c>
      <c r="BY60" s="316">
        <v>2034</v>
      </c>
      <c r="BZ60" s="46">
        <f t="shared" si="108"/>
        <v>44659.114790806663</v>
      </c>
      <c r="CA60" s="300">
        <f t="shared" si="109"/>
        <v>614.29359487086106</v>
      </c>
      <c r="CB60" s="46">
        <f t="shared" si="108"/>
        <v>27819.537808517605</v>
      </c>
      <c r="CC60" s="300">
        <f t="shared" si="109"/>
        <v>3790.0611095997615</v>
      </c>
      <c r="CD60" s="46">
        <f t="shared" si="110"/>
        <v>7764.0316572836873</v>
      </c>
      <c r="CE60" s="300">
        <f t="shared" si="109"/>
        <v>15478.078183012882</v>
      </c>
      <c r="CG60" s="316">
        <v>2034</v>
      </c>
      <c r="CH60" s="48">
        <f t="shared" si="111"/>
        <v>1.2107294981881367</v>
      </c>
      <c r="CI60" s="48">
        <f t="shared" si="112"/>
        <v>1.212920173334239</v>
      </c>
      <c r="CJ60" s="48">
        <f t="shared" si="113"/>
        <v>1.1914093312651488</v>
      </c>
      <c r="CK60" s="48">
        <f t="shared" si="114"/>
        <v>1.229967653977333</v>
      </c>
      <c r="CL60" s="48">
        <f t="shared" si="115"/>
        <v>1.1750992604074464</v>
      </c>
      <c r="CM60" s="48">
        <f t="shared" si="116"/>
        <v>1.2242391431277533</v>
      </c>
      <c r="CO60" s="316">
        <v>2034</v>
      </c>
      <c r="CP60" s="88">
        <f t="shared" si="130"/>
        <v>5.0000000000000001E-3</v>
      </c>
      <c r="CQ60" s="302">
        <f t="shared" si="168"/>
        <v>5.0000000000000001E-3</v>
      </c>
      <c r="CR60" s="45"/>
      <c r="CS60" s="316">
        <v>2034</v>
      </c>
      <c r="CT60" s="345">
        <f t="shared" si="117"/>
        <v>5.0000000000000001E-3</v>
      </c>
      <c r="CU60" s="345">
        <f t="shared" si="118"/>
        <v>5.0000000000000001E-3</v>
      </c>
      <c r="CV60" s="345">
        <f t="shared" si="118"/>
        <v>5.0000000000000001E-3</v>
      </c>
      <c r="CW60" s="345">
        <f t="shared" si="118"/>
        <v>5.0000000000000001E-3</v>
      </c>
      <c r="CX60" s="345">
        <f t="shared" si="118"/>
        <v>5.0000000000000001E-3</v>
      </c>
      <c r="CY60" s="345">
        <f t="shared" si="118"/>
        <v>5.0000000000000001E-3</v>
      </c>
      <c r="DA60" s="316">
        <v>2034</v>
      </c>
      <c r="DI60" s="316">
        <v>2034</v>
      </c>
      <c r="DJ60" s="342">
        <f t="shared" si="131"/>
        <v>5.475613402610726E-2</v>
      </c>
      <c r="DK60" s="342">
        <f t="shared" si="132"/>
        <v>5.2886778090110012E-2</v>
      </c>
      <c r="DL60" s="342">
        <f t="shared" si="133"/>
        <v>7.9332382181603933E-2</v>
      </c>
      <c r="DM60" s="342">
        <f t="shared" si="134"/>
        <v>7.8397457889894467E-2</v>
      </c>
      <c r="DN60" s="342">
        <f t="shared" si="135"/>
        <v>3.0212897124007876E-2</v>
      </c>
      <c r="DO60" s="342">
        <f t="shared" si="136"/>
        <v>1.9684330097015108E-2</v>
      </c>
      <c r="DQ60" s="316">
        <v>2034</v>
      </c>
      <c r="DR60" s="46">
        <f t="shared" si="120"/>
        <v>823282.29642240005</v>
      </c>
      <c r="DS60" s="300">
        <v>829.71418936319992</v>
      </c>
      <c r="DT60" s="46">
        <f t="shared" si="120"/>
        <v>694683.65007100266</v>
      </c>
      <c r="DU60" s="300">
        <v>697.59888632160914</v>
      </c>
      <c r="DW60" s="46">
        <f t="shared" ref="DW60" si="176">(DX59/4+DX60*3/4)*1000</f>
        <v>822363.11350391572</v>
      </c>
      <c r="DX60" s="300">
        <v>828.78782532816513</v>
      </c>
      <c r="DY60" s="46">
        <f t="shared" ref="DY60" si="177">(DZ59/4+DZ60*3/4)*1000</f>
        <v>693908.04570337525</v>
      </c>
      <c r="DZ60" s="300">
        <v>696.82002713436941</v>
      </c>
      <c r="EB60" s="316">
        <v>2034</v>
      </c>
      <c r="EC60" s="88">
        <f t="shared" si="70"/>
        <v>6.5676266664743244E-2</v>
      </c>
      <c r="ED60" s="88">
        <f t="shared" si="71"/>
        <v>9.0502261108575557E-4</v>
      </c>
      <c r="EE60" s="88">
        <f t="shared" si="72"/>
        <v>4.0258921005081487E-2</v>
      </c>
      <c r="EF60" s="88">
        <f t="shared" si="73"/>
        <v>5.6622771941805487E-3</v>
      </c>
      <c r="EG60" s="302">
        <f t="shared" si="123"/>
        <v>1.1081870578172956E-2</v>
      </c>
      <c r="EH60" s="88">
        <f t="shared" si="74"/>
        <v>2.3016247591353522E-2</v>
      </c>
      <c r="EJ60" s="316">
        <v>2034</v>
      </c>
      <c r="EK60" s="302">
        <f t="shared" si="124"/>
        <v>0.79175942163887447</v>
      </c>
      <c r="EL60" s="88">
        <f t="shared" si="75"/>
        <v>1.9914234256851595E-2</v>
      </c>
      <c r="EM60" s="302">
        <f t="shared" si="125"/>
        <v>0.3772964558378154</v>
      </c>
      <c r="EN60" s="88">
        <f t="shared" si="76"/>
        <v>7.0064724508439383E-2</v>
      </c>
      <c r="EO60" s="88">
        <f t="shared" si="77"/>
        <v>0.2987029259890483</v>
      </c>
      <c r="EP60" s="88">
        <f t="shared" si="78"/>
        <v>1.0443901880716833</v>
      </c>
      <c r="ER60" s="316">
        <v>2034</v>
      </c>
      <c r="ES60" s="317">
        <f t="shared" si="79"/>
        <v>116032.79799999998</v>
      </c>
      <c r="ET60" s="61">
        <v>12579.031999999999</v>
      </c>
      <c r="EU60" s="61">
        <v>65861.48</v>
      </c>
      <c r="EV60" s="61">
        <v>37592.286</v>
      </c>
      <c r="EW60" s="88">
        <f t="shared" si="80"/>
        <v>0.1084092792453389</v>
      </c>
      <c r="EX60" s="88">
        <f t="shared" si="81"/>
        <v>0.56761089222376593</v>
      </c>
      <c r="EY60" s="88">
        <f t="shared" si="82"/>
        <v>0.32397982853089524</v>
      </c>
      <c r="EZ60" s="88">
        <f t="shared" si="83"/>
        <v>-4.0019615986568169E-4</v>
      </c>
      <c r="FA60" s="88">
        <f t="shared" si="84"/>
        <v>-3.6150633545289912E-3</v>
      </c>
      <c r="FB60" s="88">
        <f t="shared" si="85"/>
        <v>4.0152595143946312E-3</v>
      </c>
      <c r="FC60" s="374"/>
      <c r="FD60" s="316">
        <v>2034</v>
      </c>
      <c r="FE60" s="308">
        <f t="shared" si="126"/>
        <v>0.03</v>
      </c>
      <c r="FF60" s="343">
        <f t="shared" si="174"/>
        <v>0.03</v>
      </c>
      <c r="FG60" s="308">
        <f t="shared" si="126"/>
        <v>1.7000000000000001E-2</v>
      </c>
      <c r="FH60" s="345">
        <f t="shared" si="174"/>
        <v>1.7000000000000001E-2</v>
      </c>
      <c r="FI60" s="319">
        <f t="shared" si="55"/>
        <v>1.2999999999999998E-2</v>
      </c>
      <c r="FK60" s="345">
        <f t="shared" si="86"/>
        <v>2.7443603099135405E-3</v>
      </c>
      <c r="FL60" s="345">
        <f t="shared" si="87"/>
        <v>-2.1468597012052615E-3</v>
      </c>
      <c r="FM60" s="345">
        <f t="shared" si="127"/>
        <v>-1.5325570754178078E-3</v>
      </c>
      <c r="FO60" s="316">
        <v>2034</v>
      </c>
      <c r="FP60" s="46">
        <f t="shared" si="142"/>
        <v>411967.51434738602</v>
      </c>
      <c r="FQ60" s="46">
        <f t="shared" si="88"/>
        <v>7573.9548412134191</v>
      </c>
      <c r="FR60" s="46">
        <f t="shared" si="89"/>
        <v>262284.57724530797</v>
      </c>
      <c r="FS60" s="46">
        <f t="shared" si="90"/>
        <v>48406.957878444249</v>
      </c>
      <c r="FT60" s="46">
        <f t="shared" si="91"/>
        <v>62699.561028551681</v>
      </c>
      <c r="FU60" s="46">
        <f t="shared" si="92"/>
        <v>154852.45470829846</v>
      </c>
      <c r="FV60" s="285">
        <f t="shared" si="38"/>
        <v>947785.02004920179</v>
      </c>
    </row>
    <row r="61" spans="17:178">
      <c r="Q61" s="316">
        <v>2035</v>
      </c>
      <c r="R61" s="46">
        <f t="shared" si="143"/>
        <v>674719.95040509664</v>
      </c>
      <c r="S61" s="46">
        <f t="shared" si="93"/>
        <v>16336.100191253654</v>
      </c>
      <c r="T61" s="46">
        <f t="shared" si="94"/>
        <v>320956.24537241459</v>
      </c>
      <c r="U61" s="46">
        <f t="shared" si="95"/>
        <v>57986.103666399395</v>
      </c>
      <c r="V61" s="46">
        <f t="shared" si="96"/>
        <v>248958.30694292593</v>
      </c>
      <c r="W61" s="46">
        <f t="shared" si="97"/>
        <v>865245.79913438577</v>
      </c>
      <c r="Y61" s="316">
        <v>2035</v>
      </c>
      <c r="Z61" s="46">
        <f t="shared" si="98"/>
        <v>555631.17149836337</v>
      </c>
      <c r="AA61" s="46">
        <f t="shared" si="99"/>
        <v>13407.725408080827</v>
      </c>
      <c r="AB61" s="46">
        <f t="shared" si="98"/>
        <v>267669.79589529178</v>
      </c>
      <c r="AC61" s="46">
        <f t="shared" si="100"/>
        <v>47576.721166326643</v>
      </c>
      <c r="AD61" s="46">
        <f t="shared" si="101"/>
        <v>208985.35422108232</v>
      </c>
      <c r="AE61" s="46">
        <f t="shared" si="102"/>
        <v>702287.04893247806</v>
      </c>
      <c r="AG61" s="316">
        <v>2035</v>
      </c>
      <c r="AH61" s="48">
        <f t="shared" si="103"/>
        <v>1.2143306297693632</v>
      </c>
      <c r="AI61" s="48">
        <f t="shared" si="60"/>
        <v>1.2184095134740676</v>
      </c>
      <c r="AJ61" s="48">
        <f t="shared" si="61"/>
        <v>1.199075317029672</v>
      </c>
      <c r="AK61" s="48">
        <f t="shared" si="62"/>
        <v>1.2187915065370287</v>
      </c>
      <c r="AL61" s="48">
        <f t="shared" si="63"/>
        <v>1.1912715504434672</v>
      </c>
      <c r="AM61" s="48">
        <f t="shared" si="64"/>
        <v>1.2320400902303632</v>
      </c>
      <c r="AO61" s="316">
        <v>2035</v>
      </c>
      <c r="AP61" s="88">
        <f t="shared" si="128"/>
        <v>5.0000000000000001E-3</v>
      </c>
      <c r="AQ61" s="302">
        <f t="shared" si="165"/>
        <v>5.0000000000000001E-3</v>
      </c>
      <c r="AR61" s="44"/>
      <c r="AS61" s="316">
        <v>2035</v>
      </c>
      <c r="AT61" s="345">
        <f t="shared" si="170"/>
        <v>5.0000000000000001E-3</v>
      </c>
      <c r="AU61" s="345">
        <f t="shared" ref="AU61:AY61" si="178">AT61</f>
        <v>5.0000000000000001E-3</v>
      </c>
      <c r="AV61" s="345">
        <f t="shared" si="178"/>
        <v>5.0000000000000001E-3</v>
      </c>
      <c r="AW61" s="345">
        <f t="shared" si="178"/>
        <v>5.0000000000000001E-3</v>
      </c>
      <c r="AX61" s="345">
        <f t="shared" si="178"/>
        <v>5.0000000000000001E-3</v>
      </c>
      <c r="AY61" s="345">
        <f t="shared" si="178"/>
        <v>5.0000000000000001E-3</v>
      </c>
      <c r="BQ61" s="316">
        <v>2035</v>
      </c>
      <c r="BR61" s="346">
        <f t="shared" si="105"/>
        <v>56294.838693371486</v>
      </c>
      <c r="BS61" s="346">
        <f t="shared" si="106"/>
        <v>748.28111097442081</v>
      </c>
      <c r="BT61" s="346">
        <f t="shared" si="105"/>
        <v>33819.81880784138</v>
      </c>
      <c r="BU61" s="346">
        <f t="shared" si="106"/>
        <v>4684.7703942365852</v>
      </c>
      <c r="BV61" s="346">
        <f t="shared" si="107"/>
        <v>9463.984298878644</v>
      </c>
      <c r="BW61" s="346">
        <f t="shared" si="106"/>
        <v>19048.258630496839</v>
      </c>
      <c r="BY61" s="316">
        <v>2035</v>
      </c>
      <c r="BZ61" s="46">
        <f t="shared" si="108"/>
        <v>46265.301169958082</v>
      </c>
      <c r="CA61" s="300">
        <f t="shared" si="109"/>
        <v>613.85599460415483</v>
      </c>
      <c r="CB61" s="46">
        <f t="shared" si="108"/>
        <v>28245.171596140601</v>
      </c>
      <c r="CC61" s="300">
        <f t="shared" si="109"/>
        <v>3789.9070465541522</v>
      </c>
      <c r="CD61" s="46">
        <f t="shared" si="110"/>
        <v>8013.7058350407724</v>
      </c>
      <c r="CE61" s="300">
        <f t="shared" si="109"/>
        <v>15481.853591284709</v>
      </c>
      <c r="CG61" s="316">
        <v>2035</v>
      </c>
      <c r="CH61" s="48">
        <f t="shared" si="111"/>
        <v>1.2167831456790772</v>
      </c>
      <c r="CI61" s="48">
        <f t="shared" si="112"/>
        <v>1.2189847742009101</v>
      </c>
      <c r="CJ61" s="48">
        <f t="shared" si="113"/>
        <v>1.1973663779214745</v>
      </c>
      <c r="CK61" s="48">
        <f t="shared" si="114"/>
        <v>1.2361174922472196</v>
      </c>
      <c r="CL61" s="48">
        <f t="shared" si="115"/>
        <v>1.1809747567094835</v>
      </c>
      <c r="CM61" s="48">
        <f t="shared" si="116"/>
        <v>1.2303603388433919</v>
      </c>
      <c r="CO61" s="316">
        <v>2035</v>
      </c>
      <c r="CP61" s="88">
        <f t="shared" si="130"/>
        <v>5.0000000000000001E-3</v>
      </c>
      <c r="CQ61" s="302">
        <f t="shared" si="168"/>
        <v>5.0000000000000001E-3</v>
      </c>
      <c r="CR61" s="45"/>
      <c r="CS61" s="316">
        <v>2035</v>
      </c>
      <c r="CT61" s="345">
        <f t="shared" si="117"/>
        <v>5.0000000000000001E-3</v>
      </c>
      <c r="CU61" s="345">
        <f t="shared" si="118"/>
        <v>5.0000000000000001E-3</v>
      </c>
      <c r="CV61" s="345">
        <f t="shared" si="118"/>
        <v>5.0000000000000001E-3</v>
      </c>
      <c r="CW61" s="345">
        <f t="shared" si="118"/>
        <v>5.0000000000000001E-3</v>
      </c>
      <c r="CX61" s="345">
        <f t="shared" si="118"/>
        <v>5.0000000000000001E-3</v>
      </c>
      <c r="CY61" s="345">
        <f t="shared" si="118"/>
        <v>5.0000000000000001E-3</v>
      </c>
      <c r="DA61" s="316">
        <v>2035</v>
      </c>
      <c r="DI61" s="316">
        <v>2035</v>
      </c>
      <c r="DJ61" s="342">
        <f t="shared" si="131"/>
        <v>5.475613402610726E-2</v>
      </c>
      <c r="DK61" s="342">
        <f t="shared" si="132"/>
        <v>5.2886778090110012E-2</v>
      </c>
      <c r="DL61" s="342">
        <f t="shared" si="133"/>
        <v>7.9332382181603933E-2</v>
      </c>
      <c r="DM61" s="342">
        <f t="shared" si="134"/>
        <v>7.8397457889894467E-2</v>
      </c>
      <c r="DN61" s="342">
        <f t="shared" si="135"/>
        <v>3.0212897124007876E-2</v>
      </c>
      <c r="DO61" s="342">
        <f t="shared" si="136"/>
        <v>1.9684330097015108E-2</v>
      </c>
      <c r="DQ61" s="316">
        <v>2035</v>
      </c>
      <c r="DR61" s="46">
        <f t="shared" si="120"/>
        <v>849627.3299079166</v>
      </c>
      <c r="DS61" s="300">
        <v>856.26504342282237</v>
      </c>
      <c r="DT61" s="46">
        <f t="shared" si="120"/>
        <v>706493.27212220966</v>
      </c>
      <c r="DU61" s="300">
        <v>709.4580673890764</v>
      </c>
      <c r="DW61" s="46">
        <f t="shared" ref="DW61" si="179">(DX60/4+DX61*3/4)*1000</f>
        <v>848678.73313604109</v>
      </c>
      <c r="DX61" s="300">
        <v>855.30903573866635</v>
      </c>
      <c r="DY61" s="46">
        <f t="shared" ref="DY61" si="180">(DZ60/4+DZ61*3/4)*1000</f>
        <v>705704.4824803326</v>
      </c>
      <c r="DZ61" s="300">
        <v>708.66596759565357</v>
      </c>
      <c r="EB61" s="316">
        <v>2035</v>
      </c>
      <c r="EC61" s="88">
        <f t="shared" si="70"/>
        <v>6.6258271964336146E-2</v>
      </c>
      <c r="ED61" s="88">
        <f t="shared" si="71"/>
        <v>8.807168562427485E-4</v>
      </c>
      <c r="EE61" s="88">
        <f t="shared" si="72"/>
        <v>3.9805474255997397E-2</v>
      </c>
      <c r="EF61" s="88">
        <f t="shared" si="73"/>
        <v>5.5139120757148018E-3</v>
      </c>
      <c r="EG61" s="302">
        <f t="shared" si="123"/>
        <v>1.1138982899601827E-2</v>
      </c>
      <c r="EH61" s="88">
        <f t="shared" si="74"/>
        <v>2.2419545558358282E-2</v>
      </c>
      <c r="EJ61" s="316">
        <v>2035</v>
      </c>
      <c r="EK61" s="302">
        <f t="shared" si="124"/>
        <v>0.79502398735958513</v>
      </c>
      <c r="EL61" s="88">
        <f t="shared" si="75"/>
        <v>1.9248862441607829E-2</v>
      </c>
      <c r="EM61" s="302">
        <f t="shared" si="125"/>
        <v>0.37818344308736923</v>
      </c>
      <c r="EN61" s="88">
        <f t="shared" si="76"/>
        <v>6.8325152265956882E-2</v>
      </c>
      <c r="EO61" s="88">
        <f t="shared" si="77"/>
        <v>0.29334811539694672</v>
      </c>
      <c r="EP61" s="88">
        <f t="shared" si="78"/>
        <v>1.0195210099552348</v>
      </c>
      <c r="ER61" s="316">
        <v>2035</v>
      </c>
      <c r="ES61" s="317">
        <f t="shared" si="79"/>
        <v>115215.69799999999</v>
      </c>
      <c r="ET61" s="61">
        <v>12457.214</v>
      </c>
      <c r="EU61" s="61">
        <v>64941.881999999998</v>
      </c>
      <c r="EV61" s="61">
        <v>37816.601999999999</v>
      </c>
      <c r="EW61" s="88">
        <f t="shared" si="80"/>
        <v>0.10812080485768528</v>
      </c>
      <c r="EX61" s="88">
        <f t="shared" si="81"/>
        <v>0.56365480683022906</v>
      </c>
      <c r="EY61" s="88">
        <f t="shared" si="82"/>
        <v>0.32822438831208578</v>
      </c>
      <c r="EZ61" s="88">
        <f t="shared" si="83"/>
        <v>-2.8847438765361444E-4</v>
      </c>
      <c r="FA61" s="88">
        <f t="shared" si="84"/>
        <v>-3.9560853935368678E-3</v>
      </c>
      <c r="FB61" s="88">
        <f t="shared" si="85"/>
        <v>4.2445597811905378E-3</v>
      </c>
      <c r="FC61" s="374"/>
      <c r="FD61" s="316">
        <v>2035</v>
      </c>
      <c r="FE61" s="308">
        <f t="shared" si="126"/>
        <v>0.03</v>
      </c>
      <c r="FF61" s="343">
        <f t="shared" si="174"/>
        <v>0.03</v>
      </c>
      <c r="FG61" s="308">
        <f t="shared" si="126"/>
        <v>1.7000000000000001E-2</v>
      </c>
      <c r="FH61" s="345">
        <f t="shared" si="174"/>
        <v>1.7000000000000001E-2</v>
      </c>
      <c r="FI61" s="319">
        <f t="shared" si="55"/>
        <v>1.2999999999999998E-2</v>
      </c>
      <c r="FK61" s="345">
        <f t="shared" si="86"/>
        <v>2.6515122505241795E-3</v>
      </c>
      <c r="FL61" s="345">
        <f t="shared" si="87"/>
        <v>-1.7952747545059711E-3</v>
      </c>
      <c r="FM61" s="345">
        <f t="shared" si="127"/>
        <v>-1.3335616353958388E-3</v>
      </c>
      <c r="FO61" s="316">
        <v>2035</v>
      </c>
      <c r="FP61" s="46">
        <f t="shared" si="142"/>
        <v>426784.12263210403</v>
      </c>
      <c r="FQ61" s="46">
        <f t="shared" si="88"/>
        <v>7568.5594330792464</v>
      </c>
      <c r="FR61" s="46">
        <f t="shared" si="89"/>
        <v>266297.48280888767</v>
      </c>
      <c r="FS61" s="46">
        <f t="shared" si="90"/>
        <v>48404.990173137187</v>
      </c>
      <c r="FT61" s="46">
        <f>CD61/CD$44*FT$44</f>
        <v>64715.840976463529</v>
      </c>
      <c r="FU61" s="46">
        <f t="shared" si="92"/>
        <v>154890.22627344407</v>
      </c>
      <c r="FV61" s="285">
        <f>SUM(FP61:FU61)</f>
        <v>968661.22229711572</v>
      </c>
    </row>
    <row r="62" spans="17:178" hidden="1" outlineLevel="1">
      <c r="Q62" s="316">
        <v>2036</v>
      </c>
      <c r="R62" s="46">
        <f t="shared" si="143"/>
        <v>699036.91575577925</v>
      </c>
      <c r="S62" s="46">
        <f t="shared" si="93"/>
        <v>16301.417588230923</v>
      </c>
      <c r="T62" s="46">
        <f t="shared" si="94"/>
        <v>331744.72147564468</v>
      </c>
      <c r="U62" s="46">
        <f t="shared" si="95"/>
        <v>58350.157991539651</v>
      </c>
      <c r="V62" s="46">
        <f t="shared" si="96"/>
        <v>252564.88494636604</v>
      </c>
      <c r="W62" s="46">
        <f t="shared" si="97"/>
        <v>871625.16314887814</v>
      </c>
      <c r="Y62" s="316">
        <v>2036</v>
      </c>
      <c r="Z62" s="46">
        <f t="shared" si="98"/>
        <v>572792.20593086025</v>
      </c>
      <c r="AA62" s="46">
        <f t="shared" si="99"/>
        <v>13312.696452886983</v>
      </c>
      <c r="AB62" s="46">
        <f t="shared" si="98"/>
        <v>275290.672350946</v>
      </c>
      <c r="AC62" s="46">
        <f t="shared" si="100"/>
        <v>47637.236054438705</v>
      </c>
      <c r="AD62" s="46">
        <f t="shared" si="101"/>
        <v>210958.06672849864</v>
      </c>
      <c r="AE62" s="46">
        <f t="shared" si="102"/>
        <v>703945.20959862566</v>
      </c>
      <c r="AG62" s="316">
        <v>2036</v>
      </c>
      <c r="AH62" s="48">
        <f t="shared" si="103"/>
        <v>1.22040228291821</v>
      </c>
      <c r="AI62" s="48">
        <f t="shared" si="60"/>
        <v>1.2245015610414378</v>
      </c>
      <c r="AJ62" s="48">
        <f t="shared" si="61"/>
        <v>1.2050706936148201</v>
      </c>
      <c r="AK62" s="48">
        <f t="shared" si="62"/>
        <v>1.2248854640697138</v>
      </c>
      <c r="AL62" s="48">
        <f t="shared" si="63"/>
        <v>1.1972279081956845</v>
      </c>
      <c r="AM62" s="48">
        <f t="shared" si="64"/>
        <v>1.2382002906815148</v>
      </c>
      <c r="AO62" s="316">
        <v>2036</v>
      </c>
      <c r="AP62" s="88">
        <f t="shared" si="128"/>
        <v>5.0000000000000001E-3</v>
      </c>
      <c r="AQ62" s="302">
        <f t="shared" si="165"/>
        <v>5.0000000000000001E-3</v>
      </c>
      <c r="AR62" s="44"/>
      <c r="AS62" s="316">
        <v>2036</v>
      </c>
      <c r="AT62" s="345">
        <f t="shared" si="170"/>
        <v>5.0000000000000001E-3</v>
      </c>
      <c r="AU62" s="345">
        <f t="shared" ref="AU62:AY62" si="181">AT62</f>
        <v>5.0000000000000001E-3</v>
      </c>
      <c r="AV62" s="345">
        <f t="shared" si="181"/>
        <v>5.0000000000000001E-3</v>
      </c>
      <c r="AW62" s="345">
        <f t="shared" si="181"/>
        <v>5.0000000000000001E-3</v>
      </c>
      <c r="AX62" s="345">
        <f t="shared" si="181"/>
        <v>5.0000000000000001E-3</v>
      </c>
      <c r="AY62" s="345">
        <f t="shared" si="181"/>
        <v>5.0000000000000001E-3</v>
      </c>
      <c r="BQ62" s="316">
        <v>2036</v>
      </c>
      <c r="BR62" s="346">
        <f t="shared" si="105"/>
        <v>58190.434012249651</v>
      </c>
      <c r="BS62" s="346">
        <f t="shared" si="106"/>
        <v>752.27543245941172</v>
      </c>
      <c r="BT62" s="346">
        <f t="shared" si="105"/>
        <v>34723.670216701728</v>
      </c>
      <c r="BU62" s="346">
        <f t="shared" si="106"/>
        <v>4708.8176757767624</v>
      </c>
      <c r="BV62" s="346">
        <f t="shared" si="107"/>
        <v>9835.3931923332657</v>
      </c>
      <c r="BW62" s="346">
        <f t="shared" si="106"/>
        <v>19143.941567340749</v>
      </c>
      <c r="BY62" s="316">
        <v>2036</v>
      </c>
      <c r="BZ62" s="46">
        <f t="shared" si="108"/>
        <v>47585.249328144244</v>
      </c>
      <c r="CA62" s="300">
        <f t="shared" si="109"/>
        <v>614.06244315645472</v>
      </c>
      <c r="CB62" s="46">
        <f t="shared" si="108"/>
        <v>28855.759002091421</v>
      </c>
      <c r="CC62" s="300">
        <f t="shared" si="109"/>
        <v>3790.4088822884082</v>
      </c>
      <c r="CD62" s="46">
        <f t="shared" si="110"/>
        <v>8286.7655149222137</v>
      </c>
      <c r="CE62" s="300">
        <f t="shared" si="109"/>
        <v>15482.210760193084</v>
      </c>
      <c r="CG62" s="316">
        <v>2036</v>
      </c>
      <c r="CH62" s="48">
        <f t="shared" si="111"/>
        <v>1.2228670614074724</v>
      </c>
      <c r="CI62" s="48">
        <f t="shared" si="112"/>
        <v>1.2250796980719145</v>
      </c>
      <c r="CJ62" s="48">
        <f t="shared" si="113"/>
        <v>1.2033532098110817</v>
      </c>
      <c r="CK62" s="48">
        <f t="shared" si="114"/>
        <v>1.2422980797084555</v>
      </c>
      <c r="CL62" s="48">
        <f t="shared" si="115"/>
        <v>1.1868796304930307</v>
      </c>
      <c r="CM62" s="48">
        <f t="shared" si="116"/>
        <v>1.2365121405376087</v>
      </c>
      <c r="CO62" s="316">
        <v>2036</v>
      </c>
      <c r="CP62" s="302">
        <f t="shared" si="130"/>
        <v>5.0000000000000001E-3</v>
      </c>
      <c r="CQ62" s="302">
        <f t="shared" si="168"/>
        <v>5.0000000000000001E-3</v>
      </c>
      <c r="CR62" s="45"/>
      <c r="CS62" s="316">
        <v>2036</v>
      </c>
      <c r="CT62" s="345">
        <f t="shared" si="117"/>
        <v>5.0000000000000001E-3</v>
      </c>
      <c r="CU62" s="345">
        <f t="shared" si="118"/>
        <v>5.0000000000000001E-3</v>
      </c>
      <c r="CV62" s="345">
        <f t="shared" si="118"/>
        <v>5.0000000000000001E-3</v>
      </c>
      <c r="CW62" s="345">
        <f t="shared" si="118"/>
        <v>5.0000000000000001E-3</v>
      </c>
      <c r="CX62" s="345">
        <f t="shared" si="118"/>
        <v>5.0000000000000001E-3</v>
      </c>
      <c r="CY62" s="345">
        <f t="shared" si="118"/>
        <v>5.0000000000000001E-3</v>
      </c>
      <c r="DA62" s="316">
        <v>2036</v>
      </c>
      <c r="DI62" s="316">
        <v>2036</v>
      </c>
      <c r="DJ62" s="342">
        <f t="shared" si="131"/>
        <v>5.475613402610726E-2</v>
      </c>
      <c r="DK62" s="342">
        <f t="shared" si="132"/>
        <v>5.2886778090110012E-2</v>
      </c>
      <c r="DL62" s="342">
        <f t="shared" si="133"/>
        <v>7.9332382181603933E-2</v>
      </c>
      <c r="DM62" s="342">
        <f t="shared" si="134"/>
        <v>7.8397457889894467E-2</v>
      </c>
      <c r="DN62" s="342">
        <f t="shared" si="135"/>
        <v>3.0212897124007876E-2</v>
      </c>
      <c r="DO62" s="342">
        <f t="shared" si="136"/>
        <v>1.9684330097015108E-2</v>
      </c>
      <c r="DQ62" s="316">
        <v>2036</v>
      </c>
      <c r="DR62" s="46">
        <f t="shared" si="120"/>
        <v>876815.40446497023</v>
      </c>
      <c r="DS62" s="61">
        <v>883.66552481235271</v>
      </c>
      <c r="DT62" s="46">
        <f t="shared" si="120"/>
        <v>718503.65774828708</v>
      </c>
      <c r="DU62" s="61">
        <v>721.5188545346906</v>
      </c>
      <c r="DW62" s="46">
        <f t="shared" ref="DW62" si="182">(DX61/4+DX62*3/4)*1000</f>
        <v>875836.45259639435</v>
      </c>
      <c r="DX62" s="61">
        <v>882.6789248823037</v>
      </c>
      <c r="DY62" s="46">
        <f t="shared" ref="DY62" si="183">(DZ61/4+DZ62*3/4)*1000</f>
        <v>717701.45868249796</v>
      </c>
      <c r="DZ62" s="61">
        <v>720.71328904477957</v>
      </c>
      <c r="EB62" s="316">
        <v>2036</v>
      </c>
      <c r="EC62" s="88">
        <f t="shared" si="70"/>
        <v>6.6365661136801368E-2</v>
      </c>
      <c r="ED62" s="88">
        <f t="shared" si="71"/>
        <v>8.5796329378867112E-4</v>
      </c>
      <c r="EE62" s="88">
        <f t="shared" si="72"/>
        <v>3.9602030301794246E-2</v>
      </c>
      <c r="EF62" s="88">
        <f t="shared" si="73"/>
        <v>5.3703637639099955E-3</v>
      </c>
      <c r="EG62" s="302">
        <f t="shared" si="123"/>
        <v>1.1217176548505998E-2</v>
      </c>
      <c r="EH62" s="88">
        <f t="shared" si="74"/>
        <v>2.1833491370994239E-2</v>
      </c>
      <c r="EJ62" s="316">
        <v>2036</v>
      </c>
      <c r="EK62" s="302">
        <f t="shared" si="124"/>
        <v>0.79813635717433606</v>
      </c>
      <c r="EL62" s="88">
        <f t="shared" si="75"/>
        <v>1.8612399084219199E-2</v>
      </c>
      <c r="EM62" s="302">
        <f t="shared" si="125"/>
        <v>0.37877473641590975</v>
      </c>
      <c r="EN62" s="88">
        <f t="shared" si="76"/>
        <v>6.6622207626277866E-2</v>
      </c>
      <c r="EO62" s="88">
        <f t="shared" si="77"/>
        <v>0.28836991677800577</v>
      </c>
      <c r="EP62" s="88">
        <f t="shared" si="78"/>
        <v>0.99519169425406773</v>
      </c>
      <c r="ER62" s="316">
        <v>2036</v>
      </c>
      <c r="ES62" s="317">
        <f t="shared" si="79"/>
        <v>114382.59700000001</v>
      </c>
      <c r="ET62" s="61">
        <v>12344.484</v>
      </c>
      <c r="EU62" s="61">
        <v>63953.892</v>
      </c>
      <c r="EV62" s="61">
        <v>38084.220999999998</v>
      </c>
      <c r="EW62" s="88">
        <f t="shared" si="80"/>
        <v>0.10792274632477526</v>
      </c>
      <c r="EX62" s="88">
        <f t="shared" si="81"/>
        <v>0.55912257351526995</v>
      </c>
      <c r="EY62" s="88">
        <f t="shared" si="82"/>
        <v>0.33295468015995472</v>
      </c>
      <c r="EZ62" s="88">
        <f t="shared" si="83"/>
        <v>-1.9805853291002262E-4</v>
      </c>
      <c r="FA62" s="88">
        <f t="shared" si="84"/>
        <v>-4.532233314959111E-3</v>
      </c>
      <c r="FB62" s="88">
        <f t="shared" si="85"/>
        <v>4.7302918478689393E-3</v>
      </c>
      <c r="FC62" s="374"/>
      <c r="FD62" s="316">
        <v>2036</v>
      </c>
      <c r="FE62" s="308">
        <f t="shared" si="126"/>
        <v>0.03</v>
      </c>
      <c r="FF62" s="343">
        <f t="shared" si="174"/>
        <v>0.03</v>
      </c>
      <c r="FG62" s="308">
        <f t="shared" si="126"/>
        <v>1.7000000000000001E-2</v>
      </c>
      <c r="FH62" s="345">
        <f t="shared" si="174"/>
        <v>1.7000000000000001E-2</v>
      </c>
      <c r="FI62" s="319">
        <f t="shared" si="55"/>
        <v>1.2999999999999998E-2</v>
      </c>
      <c r="FK62" s="345">
        <f t="shared" si="86"/>
        <v>2.9487630131301845E-3</v>
      </c>
      <c r="FL62" s="345">
        <f t="shared" si="87"/>
        <v>-1.6372797516704951E-3</v>
      </c>
      <c r="FM62" s="345">
        <f t="shared" si="127"/>
        <v>-1.1405427094907748E-3</v>
      </c>
      <c r="FO62" s="316">
        <v>2036</v>
      </c>
      <c r="FP62" s="46">
        <f t="shared" si="142"/>
        <v>438960.26549437369</v>
      </c>
      <c r="FQ62" s="46">
        <f t="shared" si="88"/>
        <v>7571.1048478861221</v>
      </c>
      <c r="FR62" s="46">
        <f t="shared" si="89"/>
        <v>272054.14421510586</v>
      </c>
      <c r="FS62" s="46">
        <f t="shared" si="90"/>
        <v>48411.399658511589</v>
      </c>
      <c r="FT62" s="46">
        <f t="shared" si="91"/>
        <v>66920.973930436186</v>
      </c>
      <c r="FU62" s="46">
        <f t="shared" si="92"/>
        <v>154893.79961643627</v>
      </c>
      <c r="FV62" s="285">
        <f t="shared" si="38"/>
        <v>988811.68776274973</v>
      </c>
    </row>
    <row r="63" spans="17:178" hidden="1" outlineLevel="1">
      <c r="Q63" s="316">
        <v>2037</v>
      </c>
      <c r="R63" s="46">
        <f t="shared" si="143"/>
        <v>723917.61548287899</v>
      </c>
      <c r="S63" s="46">
        <f t="shared" si="93"/>
        <v>16272.534553634559</v>
      </c>
      <c r="T63" s="46">
        <f t="shared" si="94"/>
        <v>342737.80926705332</v>
      </c>
      <c r="U63" s="46">
        <f t="shared" si="95"/>
        <v>58710.840820043137</v>
      </c>
      <c r="V63" s="46">
        <f t="shared" si="96"/>
        <v>256398.50404066747</v>
      </c>
      <c r="W63" s="46">
        <f t="shared" si="97"/>
        <v>878004.38650093437</v>
      </c>
      <c r="Y63" s="316">
        <v>2037</v>
      </c>
      <c r="Z63" s="46">
        <f t="shared" si="98"/>
        <v>590228.3578034098</v>
      </c>
      <c r="AA63" s="46">
        <f t="shared" si="99"/>
        <v>13222.9938984416</v>
      </c>
      <c r="AB63" s="46">
        <f t="shared" si="98"/>
        <v>282998.04139612924</v>
      </c>
      <c r="AC63" s="46">
        <f t="shared" si="100"/>
        <v>47693.232386416144</v>
      </c>
      <c r="AD63" s="46">
        <f t="shared" si="101"/>
        <v>213094.6729910381</v>
      </c>
      <c r="AE63" s="46">
        <f t="shared" si="102"/>
        <v>705569.37520399923</v>
      </c>
      <c r="AG63" s="316">
        <v>2037</v>
      </c>
      <c r="AH63" s="48">
        <f t="shared" si="103"/>
        <v>1.2265042943328008</v>
      </c>
      <c r="AI63" s="48">
        <f t="shared" si="60"/>
        <v>1.2306240688466448</v>
      </c>
      <c r="AJ63" s="48">
        <f t="shared" si="61"/>
        <v>1.211096047082894</v>
      </c>
      <c r="AK63" s="48">
        <f t="shared" si="62"/>
        <v>1.2310098913900622</v>
      </c>
      <c r="AL63" s="48">
        <f t="shared" si="63"/>
        <v>1.2032140477366629</v>
      </c>
      <c r="AM63" s="48">
        <f t="shared" si="64"/>
        <v>1.2443912921349223</v>
      </c>
      <c r="AO63" s="316">
        <v>2037</v>
      </c>
      <c r="AP63" s="88">
        <f t="shared" si="128"/>
        <v>5.0000000000000001E-3</v>
      </c>
      <c r="AQ63" s="302">
        <f t="shared" si="165"/>
        <v>5.0000000000000001E-3</v>
      </c>
      <c r="AR63" s="44"/>
      <c r="AS63" s="316">
        <v>2037</v>
      </c>
      <c r="AT63" s="345">
        <f t="shared" si="170"/>
        <v>5.0000000000000001E-3</v>
      </c>
      <c r="AU63" s="345">
        <f t="shared" ref="AU63:AY63" si="184">AT63</f>
        <v>5.0000000000000001E-3</v>
      </c>
      <c r="AV63" s="345">
        <f t="shared" si="184"/>
        <v>5.0000000000000001E-3</v>
      </c>
      <c r="AW63" s="345">
        <f t="shared" si="184"/>
        <v>5.0000000000000001E-3</v>
      </c>
      <c r="AX63" s="345">
        <f t="shared" si="184"/>
        <v>5.0000000000000001E-3</v>
      </c>
      <c r="AY63" s="345">
        <f t="shared" si="184"/>
        <v>5.0000000000000001E-3</v>
      </c>
      <c r="BQ63" s="316">
        <v>2037</v>
      </c>
      <c r="BR63" s="346">
        <f t="shared" si="105"/>
        <v>59974.339683898572</v>
      </c>
      <c r="BS63" s="346">
        <f t="shared" si="106"/>
        <v>756.40694124852541</v>
      </c>
      <c r="BT63" s="346">
        <f t="shared" si="105"/>
        <v>35733.053770344741</v>
      </c>
      <c r="BU63" s="346">
        <f t="shared" si="106"/>
        <v>4732.6434994016399</v>
      </c>
      <c r="BV63" s="346">
        <f t="shared" si="107"/>
        <v>10151.158266997432</v>
      </c>
      <c r="BW63" s="346">
        <f t="shared" si="106"/>
        <v>19237.977077309824</v>
      </c>
      <c r="BY63" s="316">
        <v>2037</v>
      </c>
      <c r="BZ63" s="46">
        <f t="shared" si="108"/>
        <v>48800.038669609348</v>
      </c>
      <c r="CA63" s="300">
        <f t="shared" si="109"/>
        <v>614.36306863944708</v>
      </c>
      <c r="CB63" s="46">
        <f t="shared" si="108"/>
        <v>29546.83387515918</v>
      </c>
      <c r="CC63" s="300">
        <f t="shared" si="109"/>
        <v>3790.6345395462613</v>
      </c>
      <c r="CD63" s="46">
        <f t="shared" si="110"/>
        <v>8510.2606300871703</v>
      </c>
      <c r="CE63" s="300">
        <f t="shared" si="109"/>
        <v>15480.855481325358</v>
      </c>
      <c r="CG63" s="316">
        <v>2037</v>
      </c>
      <c r="CH63" s="48">
        <f t="shared" si="111"/>
        <v>1.2289813967145096</v>
      </c>
      <c r="CI63" s="48">
        <f t="shared" si="112"/>
        <v>1.2312050965622741</v>
      </c>
      <c r="CJ63" s="48">
        <f t="shared" si="113"/>
        <v>1.2093699758601371</v>
      </c>
      <c r="CK63" s="48">
        <f t="shared" si="114"/>
        <v>1.2485095701069977</v>
      </c>
      <c r="CL63" s="48">
        <f t="shared" si="115"/>
        <v>1.1928140286454958</v>
      </c>
      <c r="CM63" s="48">
        <f t="shared" si="116"/>
        <v>1.2426947012402967</v>
      </c>
      <c r="CO63" s="316">
        <v>2037</v>
      </c>
      <c r="CP63" s="302">
        <f t="shared" si="130"/>
        <v>5.0000000000000001E-3</v>
      </c>
      <c r="CQ63" s="302">
        <f t="shared" si="168"/>
        <v>5.0000000000000001E-3</v>
      </c>
      <c r="CR63" s="45"/>
      <c r="CS63" s="316">
        <v>2037</v>
      </c>
      <c r="CT63" s="345">
        <f t="shared" si="117"/>
        <v>5.0000000000000001E-3</v>
      </c>
      <c r="CU63" s="345">
        <f t="shared" si="118"/>
        <v>5.0000000000000001E-3</v>
      </c>
      <c r="CV63" s="345">
        <f t="shared" si="118"/>
        <v>5.0000000000000001E-3</v>
      </c>
      <c r="CW63" s="345">
        <f t="shared" si="118"/>
        <v>5.0000000000000001E-3</v>
      </c>
      <c r="CX63" s="345">
        <f t="shared" si="118"/>
        <v>5.0000000000000001E-3</v>
      </c>
      <c r="CY63" s="345">
        <f t="shared" si="118"/>
        <v>5.0000000000000001E-3</v>
      </c>
      <c r="DA63" s="316">
        <v>2037</v>
      </c>
      <c r="DI63" s="316">
        <v>2037</v>
      </c>
      <c r="DJ63" s="342">
        <f t="shared" si="131"/>
        <v>5.475613402610726E-2</v>
      </c>
      <c r="DK63" s="342">
        <f t="shared" si="132"/>
        <v>5.2886778090110012E-2</v>
      </c>
      <c r="DL63" s="342">
        <f t="shared" si="133"/>
        <v>7.9332382181603933E-2</v>
      </c>
      <c r="DM63" s="342">
        <f t="shared" si="134"/>
        <v>7.8397457889894467E-2</v>
      </c>
      <c r="DN63" s="342">
        <f t="shared" si="135"/>
        <v>3.0212897124007876E-2</v>
      </c>
      <c r="DO63" s="342">
        <f t="shared" si="136"/>
        <v>1.9684330097015108E-2</v>
      </c>
      <c r="DQ63" s="316">
        <v>2037</v>
      </c>
      <c r="DR63" s="46">
        <f t="shared" si="120"/>
        <v>904873.4974078493</v>
      </c>
      <c r="DS63" s="61">
        <v>911.94282160634805</v>
      </c>
      <c r="DT63" s="46">
        <f t="shared" si="120"/>
        <v>730718.21993000782</v>
      </c>
      <c r="DU63" s="61">
        <v>733.78467506178026</v>
      </c>
      <c r="DW63" s="46">
        <f t="shared" ref="DW63" si="185">(DX62/4+DX63*3/4)*1000</f>
        <v>903863.21907947911</v>
      </c>
      <c r="DX63" s="61">
        <v>910.92465047853761</v>
      </c>
      <c r="DY63" s="46">
        <f t="shared" ref="DY63" si="186">(DZ62/4+DZ63*3/4)*1000</f>
        <v>729902.38348010054</v>
      </c>
      <c r="DZ63" s="61">
        <v>732.9654149585408</v>
      </c>
      <c r="EB63" s="316">
        <v>2037</v>
      </c>
      <c r="EC63" s="88">
        <f t="shared" si="70"/>
        <v>6.6279253238938241E-2</v>
      </c>
      <c r="ED63" s="88">
        <f t="shared" si="71"/>
        <v>8.3592562210670399E-4</v>
      </c>
      <c r="EE63" s="88">
        <f t="shared" si="72"/>
        <v>3.9489557239445763E-2</v>
      </c>
      <c r="EF63" s="88">
        <f t="shared" si="73"/>
        <v>5.2301714139700549E-3</v>
      </c>
      <c r="EG63" s="302">
        <f t="shared" si="123"/>
        <v>1.1218317583703138E-2</v>
      </c>
      <c r="EH63" s="88">
        <f t="shared" si="74"/>
        <v>2.1260405053767181E-2</v>
      </c>
      <c r="EJ63" s="316">
        <v>2037</v>
      </c>
      <c r="EK63" s="302">
        <f t="shared" si="124"/>
        <v>0.80091500594541065</v>
      </c>
      <c r="EL63" s="88">
        <f t="shared" si="75"/>
        <v>1.8003315335927694E-2</v>
      </c>
      <c r="EM63" s="302">
        <f t="shared" si="125"/>
        <v>0.37919211893156529</v>
      </c>
      <c r="EN63" s="88">
        <f t="shared" si="76"/>
        <v>6.4955448546557729E-2</v>
      </c>
      <c r="EO63" s="88">
        <f t="shared" si="77"/>
        <v>0.28366958476503917</v>
      </c>
      <c r="EP63" s="88">
        <f t="shared" si="78"/>
        <v>0.9713907679473005</v>
      </c>
      <c r="ER63" s="316">
        <v>2037</v>
      </c>
      <c r="ES63" s="317">
        <f t="shared" si="79"/>
        <v>113534.84299999999</v>
      </c>
      <c r="ET63" s="61">
        <v>12238.57</v>
      </c>
      <c r="EU63" s="61">
        <v>62905.048000000003</v>
      </c>
      <c r="EV63" s="61">
        <v>38391.224999999999</v>
      </c>
      <c r="EW63" s="88">
        <f t="shared" si="80"/>
        <v>0.10779571871165577</v>
      </c>
      <c r="EX63" s="88">
        <f t="shared" si="81"/>
        <v>0.55405940888120142</v>
      </c>
      <c r="EY63" s="88">
        <f t="shared" si="82"/>
        <v>0.33814487240714292</v>
      </c>
      <c r="EZ63" s="88">
        <f t="shared" si="83"/>
        <v>-1.2702761311948751E-4</v>
      </c>
      <c r="FA63" s="88">
        <f t="shared" si="84"/>
        <v>-5.0631646340685288E-3</v>
      </c>
      <c r="FB63" s="88">
        <f t="shared" si="85"/>
        <v>5.1901922471881967E-3</v>
      </c>
      <c r="FC63" s="374"/>
      <c r="FD63" s="316">
        <v>2037</v>
      </c>
      <c r="FE63" s="308">
        <f t="shared" si="126"/>
        <v>0.03</v>
      </c>
      <c r="FF63" s="343">
        <f t="shared" si="174"/>
        <v>0.03</v>
      </c>
      <c r="FG63" s="308">
        <f t="shared" si="126"/>
        <v>1.7000000000000001E-2</v>
      </c>
      <c r="FH63" s="345">
        <f t="shared" si="174"/>
        <v>1.7000000000000001E-2</v>
      </c>
      <c r="FI63" s="319">
        <f t="shared" si="55"/>
        <v>1.2999999999999998E-2</v>
      </c>
      <c r="FK63" s="345">
        <f t="shared" si="86"/>
        <v>3.4067707172958928E-3</v>
      </c>
      <c r="FL63" s="345">
        <f t="shared" si="87"/>
        <v>-1.5602974756168675E-3</v>
      </c>
      <c r="FM63" s="345">
        <f t="shared" si="127"/>
        <v>-1.0491946518227831E-3</v>
      </c>
      <c r="FO63" s="316">
        <v>2037</v>
      </c>
      <c r="FP63" s="46">
        <f t="shared" si="142"/>
        <v>450166.34845869837</v>
      </c>
      <c r="FQ63" s="46">
        <f t="shared" si="88"/>
        <v>7574.8114205271422</v>
      </c>
      <c r="FR63" s="46">
        <f t="shared" si="89"/>
        <v>278569.64717475371</v>
      </c>
      <c r="FS63" s="46">
        <f t="shared" si="90"/>
        <v>48414.281770715046</v>
      </c>
      <c r="FT63" s="46">
        <f t="shared" si="91"/>
        <v>68725.841070528564</v>
      </c>
      <c r="FU63" s="46">
        <f t="shared" si="92"/>
        <v>154880.24055199683</v>
      </c>
      <c r="FV63" s="285">
        <f t="shared" si="38"/>
        <v>1008331.1704472197</v>
      </c>
    </row>
    <row r="64" spans="17:178" hidden="1" outlineLevel="1">
      <c r="Q64" s="316">
        <v>2038</v>
      </c>
      <c r="R64" s="46">
        <f t="shared" si="143"/>
        <v>749262.17020507494</v>
      </c>
      <c r="S64" s="46">
        <f t="shared" si="93"/>
        <v>16249.038891361439</v>
      </c>
      <c r="T64" s="46">
        <f t="shared" si="94"/>
        <v>353962.95293945231</v>
      </c>
      <c r="U64" s="46">
        <f t="shared" si="95"/>
        <v>59068.232209954149</v>
      </c>
      <c r="V64" s="46">
        <f t="shared" si="96"/>
        <v>260476.4537296168</v>
      </c>
      <c r="W64" s="46">
        <f t="shared" si="97"/>
        <v>884383.10102333687</v>
      </c>
      <c r="Y64" s="316">
        <v>2038</v>
      </c>
      <c r="Z64" s="46">
        <f t="shared" si="98"/>
        <v>607853.14911763242</v>
      </c>
      <c r="AA64" s="46">
        <f t="shared" si="99"/>
        <v>13138.210369154573</v>
      </c>
      <c r="AB64" s="46">
        <f t="shared" si="98"/>
        <v>290812.56112730841</v>
      </c>
      <c r="AC64" s="46">
        <f t="shared" si="100"/>
        <v>47744.831961948163</v>
      </c>
      <c r="AD64" s="46">
        <f t="shared" si="101"/>
        <v>215406.85255651848</v>
      </c>
      <c r="AE64" s="46">
        <f t="shared" si="102"/>
        <v>707159.54913837195</v>
      </c>
      <c r="AG64" s="316">
        <v>2038</v>
      </c>
      <c r="AH64" s="48">
        <f t="shared" si="103"/>
        <v>1.2326368158044647</v>
      </c>
      <c r="AI64" s="48">
        <f t="shared" si="60"/>
        <v>1.2367771891908779</v>
      </c>
      <c r="AJ64" s="48">
        <f t="shared" si="61"/>
        <v>1.2171515273183082</v>
      </c>
      <c r="AK64" s="48">
        <f t="shared" si="62"/>
        <v>1.2371649408470125</v>
      </c>
      <c r="AL64" s="48">
        <f t="shared" si="63"/>
        <v>1.209230117975346</v>
      </c>
      <c r="AM64" s="48">
        <f t="shared" si="64"/>
        <v>1.2506132485955967</v>
      </c>
      <c r="AO64" s="316">
        <v>2038</v>
      </c>
      <c r="AP64" s="88">
        <f t="shared" si="128"/>
        <v>5.0000000000000001E-3</v>
      </c>
      <c r="AQ64" s="302">
        <f t="shared" si="165"/>
        <v>5.0000000000000001E-3</v>
      </c>
      <c r="AR64" s="44"/>
      <c r="AS64" s="316">
        <v>2038</v>
      </c>
      <c r="AT64" s="345">
        <f t="shared" si="170"/>
        <v>5.0000000000000001E-3</v>
      </c>
      <c r="AU64" s="345">
        <f t="shared" ref="AU64:AY64" si="187">AT64</f>
        <v>5.0000000000000001E-3</v>
      </c>
      <c r="AV64" s="345">
        <f t="shared" si="187"/>
        <v>5.0000000000000001E-3</v>
      </c>
      <c r="AW64" s="345">
        <f t="shared" si="187"/>
        <v>5.0000000000000001E-3</v>
      </c>
      <c r="AX64" s="345">
        <f t="shared" si="187"/>
        <v>5.0000000000000001E-3</v>
      </c>
      <c r="AY64" s="345">
        <f t="shared" si="187"/>
        <v>5.0000000000000001E-3</v>
      </c>
      <c r="BQ64" s="316">
        <v>2038</v>
      </c>
      <c r="BR64" s="346">
        <f t="shared" si="105"/>
        <v>61686.424797373496</v>
      </c>
      <c r="BS64" s="346">
        <f t="shared" si="106"/>
        <v>760.40544741688052</v>
      </c>
      <c r="BT64" s="346">
        <f t="shared" si="105"/>
        <v>36785.111046669837</v>
      </c>
      <c r="BU64" s="346">
        <f t="shared" si="106"/>
        <v>4756.2982016899987</v>
      </c>
      <c r="BV64" s="346">
        <f t="shared" si="107"/>
        <v>10489.772289406965</v>
      </c>
      <c r="BW64" s="346">
        <f t="shared" si="106"/>
        <v>19331.642845474253</v>
      </c>
      <c r="BY64" s="316">
        <v>2038</v>
      </c>
      <c r="BZ64" s="46">
        <f t="shared" si="108"/>
        <v>49943.41438011534</v>
      </c>
      <c r="CA64" s="300">
        <f t="shared" si="109"/>
        <v>614.53801470673159</v>
      </c>
      <c r="CB64" s="46">
        <f t="shared" si="108"/>
        <v>30265.428507862263</v>
      </c>
      <c r="CC64" s="300">
        <f t="shared" si="109"/>
        <v>3790.6277531790365</v>
      </c>
      <c r="CD64" s="46">
        <f t="shared" si="110"/>
        <v>8750.3869982327051</v>
      </c>
      <c r="CE64" s="300">
        <f t="shared" si="109"/>
        <v>15478.834422232978</v>
      </c>
      <c r="CG64" s="316">
        <v>2038</v>
      </c>
      <c r="CH64" s="48">
        <f t="shared" si="111"/>
        <v>1.235126303698082</v>
      </c>
      <c r="CI64" s="48">
        <f t="shared" si="112"/>
        <v>1.2373611220450853</v>
      </c>
      <c r="CJ64" s="48">
        <f t="shared" si="113"/>
        <v>1.2154168257394375</v>
      </c>
      <c r="CK64" s="48">
        <f t="shared" si="114"/>
        <v>1.2547521179575325</v>
      </c>
      <c r="CL64" s="48">
        <f t="shared" si="115"/>
        <v>1.1987780987887231</v>
      </c>
      <c r="CM64" s="48">
        <f t="shared" si="116"/>
        <v>1.2489081747464981</v>
      </c>
      <c r="CO64" s="316">
        <v>2038</v>
      </c>
      <c r="CP64" s="302">
        <f t="shared" si="130"/>
        <v>5.0000000000000001E-3</v>
      </c>
      <c r="CQ64" s="302">
        <f t="shared" si="168"/>
        <v>5.0000000000000001E-3</v>
      </c>
      <c r="CR64" s="45"/>
      <c r="CS64" s="316">
        <v>2038</v>
      </c>
      <c r="CT64" s="345">
        <f t="shared" si="117"/>
        <v>5.0000000000000001E-3</v>
      </c>
      <c r="CU64" s="345">
        <f t="shared" si="118"/>
        <v>5.0000000000000001E-3</v>
      </c>
      <c r="CV64" s="345">
        <f t="shared" si="118"/>
        <v>5.0000000000000001E-3</v>
      </c>
      <c r="CW64" s="345">
        <f t="shared" si="118"/>
        <v>5.0000000000000001E-3</v>
      </c>
      <c r="CX64" s="345">
        <f t="shared" si="118"/>
        <v>5.0000000000000001E-3</v>
      </c>
      <c r="CY64" s="345">
        <f t="shared" si="118"/>
        <v>5.0000000000000001E-3</v>
      </c>
      <c r="DA64" s="316">
        <v>2038</v>
      </c>
      <c r="DI64" s="316">
        <v>2038</v>
      </c>
      <c r="DJ64" s="342">
        <f t="shared" si="131"/>
        <v>5.475613402610726E-2</v>
      </c>
      <c r="DK64" s="342">
        <f t="shared" si="132"/>
        <v>5.2886778090110012E-2</v>
      </c>
      <c r="DL64" s="342">
        <f t="shared" si="133"/>
        <v>7.9332382181603933E-2</v>
      </c>
      <c r="DM64" s="342">
        <f t="shared" si="134"/>
        <v>7.8397457889894467E-2</v>
      </c>
      <c r="DN64" s="342">
        <f t="shared" si="135"/>
        <v>3.0212897124007876E-2</v>
      </c>
      <c r="DO64" s="342">
        <f t="shared" si="136"/>
        <v>1.9684330097015108E-2</v>
      </c>
      <c r="DQ64" s="316">
        <v>2038</v>
      </c>
      <c r="DR64" s="46">
        <f t="shared" si="120"/>
        <v>933829.4493249004</v>
      </c>
      <c r="DS64" s="61">
        <v>941.12499189775122</v>
      </c>
      <c r="DT64" s="46">
        <f t="shared" si="120"/>
        <v>743140.4296688179</v>
      </c>
      <c r="DU64" s="61">
        <v>746.25901453783047</v>
      </c>
      <c r="DW64" s="46">
        <f t="shared" ref="DW64" si="188">(DX63/4+DX64*3/4)*1000</f>
        <v>932786.8420900224</v>
      </c>
      <c r="DX64" s="61">
        <v>940.07423929385084</v>
      </c>
      <c r="DY64" s="46">
        <f t="shared" ref="DY64" si="189">(DZ63/4+DZ64*3/4)*1000</f>
        <v>742310.72399926221</v>
      </c>
      <c r="DZ64" s="61">
        <v>745.42582701283595</v>
      </c>
      <c r="EB64" s="316">
        <v>2038</v>
      </c>
      <c r="EC64" s="88">
        <f t="shared" si="70"/>
        <v>6.605748495292034E-2</v>
      </c>
      <c r="ED64" s="88">
        <f t="shared" si="71"/>
        <v>8.1428728550658313E-4</v>
      </c>
      <c r="EE64" s="88">
        <f t="shared" si="72"/>
        <v>3.9391680218762798E-2</v>
      </c>
      <c r="EF64" s="88">
        <f t="shared" si="73"/>
        <v>5.0933264153625712E-3</v>
      </c>
      <c r="EG64" s="302">
        <f t="shared" si="123"/>
        <v>1.1233070767890653E-2</v>
      </c>
      <c r="EH64" s="88">
        <f t="shared" si="74"/>
        <v>2.0701470551662091E-2</v>
      </c>
      <c r="EJ64" s="316">
        <v>2038</v>
      </c>
      <c r="EK64" s="302">
        <f t="shared" si="124"/>
        <v>0.80325122138972493</v>
      </c>
      <c r="EL64" s="88">
        <f t="shared" si="75"/>
        <v>1.7419884327434861E-2</v>
      </c>
      <c r="EM64" s="302">
        <f t="shared" si="125"/>
        <v>0.37946820963549965</v>
      </c>
      <c r="EN64" s="88">
        <f t="shared" si="76"/>
        <v>6.3324469798056532E-2</v>
      </c>
      <c r="EO64" s="88">
        <f t="shared" si="77"/>
        <v>0.27924542025698779</v>
      </c>
      <c r="EP64" s="88">
        <f t="shared" si="78"/>
        <v>0.94810846499696433</v>
      </c>
      <c r="ER64" s="316">
        <v>2038</v>
      </c>
      <c r="ES64" s="317">
        <f t="shared" si="79"/>
        <v>112673.864</v>
      </c>
      <c r="ET64" s="61">
        <v>12136.862999999999</v>
      </c>
      <c r="EU64" s="61">
        <v>61813.150999999998</v>
      </c>
      <c r="EV64" s="61">
        <v>38723.85</v>
      </c>
      <c r="EW64" s="88">
        <f t="shared" si="80"/>
        <v>0.10771675496990145</v>
      </c>
      <c r="EX64" s="88">
        <f t="shared" si="81"/>
        <v>0.54860238928168825</v>
      </c>
      <c r="EY64" s="88">
        <f t="shared" si="82"/>
        <v>0.34368085574841029</v>
      </c>
      <c r="EZ64" s="88">
        <f t="shared" si="83"/>
        <v>-7.8963741754325967E-5</v>
      </c>
      <c r="FA64" s="88">
        <f t="shared" si="84"/>
        <v>-5.4570195995131687E-3</v>
      </c>
      <c r="FB64" s="88">
        <f t="shared" si="85"/>
        <v>5.5359833412673698E-3</v>
      </c>
      <c r="FC64" s="374"/>
      <c r="FD64" s="316">
        <v>2038</v>
      </c>
      <c r="FE64" s="308">
        <f t="shared" si="126"/>
        <v>0.03</v>
      </c>
      <c r="FF64" s="343">
        <f t="shared" si="174"/>
        <v>0.03</v>
      </c>
      <c r="FG64" s="308">
        <f t="shared" si="126"/>
        <v>1.7000000000000001E-2</v>
      </c>
      <c r="FH64" s="345">
        <f t="shared" si="174"/>
        <v>1.7000000000000001E-2</v>
      </c>
      <c r="FI64" s="319">
        <f t="shared" si="55"/>
        <v>1.2999999999999998E-2</v>
      </c>
      <c r="FK64" s="345">
        <f t="shared" si="86"/>
        <v>4.0014106290325868E-3</v>
      </c>
      <c r="FL64" s="345">
        <f t="shared" si="87"/>
        <v>-1.5145424251857831E-3</v>
      </c>
      <c r="FM64" s="345">
        <f t="shared" si="127"/>
        <v>-9.7340187055474509E-4</v>
      </c>
      <c r="FO64" s="316">
        <v>2038</v>
      </c>
      <c r="FP64" s="46">
        <f t="shared" si="142"/>
        <v>460713.66117702599</v>
      </c>
      <c r="FQ64" s="46">
        <f t="shared" si="88"/>
        <v>7576.9684243186912</v>
      </c>
      <c r="FR64" s="46">
        <f t="shared" si="89"/>
        <v>285344.60838175006</v>
      </c>
      <c r="FS64" s="46">
        <f t="shared" si="90"/>
        <v>48414.195094700364</v>
      </c>
      <c r="FT64" s="46">
        <f t="shared" si="91"/>
        <v>70665.01630044679</v>
      </c>
      <c r="FU64" s="46">
        <f t="shared" si="92"/>
        <v>154860.02060234515</v>
      </c>
      <c r="FV64" s="285">
        <f t="shared" si="38"/>
        <v>1027574.469980587</v>
      </c>
    </row>
    <row r="65" spans="17:178" hidden="1" outlineLevel="1">
      <c r="Q65" s="316">
        <v>2039</v>
      </c>
      <c r="R65" s="46">
        <f t="shared" si="143"/>
        <v>774990.68069276109</v>
      </c>
      <c r="S65" s="46">
        <f t="shared" si="93"/>
        <v>16230.378819051208</v>
      </c>
      <c r="T65" s="46">
        <f t="shared" si="94"/>
        <v>365434.21835660416</v>
      </c>
      <c r="U65" s="46">
        <f t="shared" si="95"/>
        <v>59422.421267834783</v>
      </c>
      <c r="V65" s="46">
        <f t="shared" si="96"/>
        <v>264771.51534762455</v>
      </c>
      <c r="W65" s="46">
        <f t="shared" si="97"/>
        <v>890763.6785204839</v>
      </c>
      <c r="Y65" s="316">
        <v>2039</v>
      </c>
      <c r="Z65" s="46">
        <f t="shared" si="98"/>
        <v>625597.90181276354</v>
      </c>
      <c r="AA65" s="46">
        <f t="shared" si="99"/>
        <v>13057.833542586583</v>
      </c>
      <c r="AB65" s="46">
        <f t="shared" si="98"/>
        <v>298743.52494910883</v>
      </c>
      <c r="AC65" s="46">
        <f t="shared" si="100"/>
        <v>47792.162046475656</v>
      </c>
      <c r="AD65" s="46">
        <f t="shared" si="101"/>
        <v>217869.40319357891</v>
      </c>
      <c r="AE65" s="46">
        <f t="shared" si="102"/>
        <v>708717.91852810455</v>
      </c>
      <c r="AG65" s="316">
        <v>2039</v>
      </c>
      <c r="AH65" s="48">
        <f t="shared" si="103"/>
        <v>1.2387999998834869</v>
      </c>
      <c r="AI65" s="48">
        <f t="shared" si="60"/>
        <v>1.2429610751368321</v>
      </c>
      <c r="AJ65" s="48">
        <f t="shared" si="61"/>
        <v>1.2232372849548996</v>
      </c>
      <c r="AK65" s="48">
        <f t="shared" si="62"/>
        <v>1.2433507655512475</v>
      </c>
      <c r="AL65" s="48">
        <f t="shared" si="63"/>
        <v>1.2152762685652225</v>
      </c>
      <c r="AM65" s="48">
        <f t="shared" si="64"/>
        <v>1.2568663148385746</v>
      </c>
      <c r="AO65" s="316">
        <v>2039</v>
      </c>
      <c r="AP65" s="88">
        <f t="shared" si="128"/>
        <v>5.0000000000000001E-3</v>
      </c>
      <c r="AQ65" s="302">
        <f t="shared" si="165"/>
        <v>5.0000000000000001E-3</v>
      </c>
      <c r="AR65" s="44"/>
      <c r="AS65" s="316">
        <v>2039</v>
      </c>
      <c r="AT65" s="345">
        <f t="shared" si="166"/>
        <v>5.0000000000000001E-3</v>
      </c>
      <c r="AU65" s="345">
        <f t="shared" ref="AU65:AY65" si="190">AT65</f>
        <v>5.0000000000000001E-3</v>
      </c>
      <c r="AV65" s="345">
        <f t="shared" si="190"/>
        <v>5.0000000000000001E-3</v>
      </c>
      <c r="AW65" s="345">
        <f t="shared" si="190"/>
        <v>5.0000000000000001E-3</v>
      </c>
      <c r="AX65" s="345">
        <f t="shared" si="190"/>
        <v>5.0000000000000001E-3</v>
      </c>
      <c r="AY65" s="345">
        <f t="shared" si="190"/>
        <v>5.0000000000000001E-3</v>
      </c>
      <c r="BQ65" s="316">
        <v>2039</v>
      </c>
      <c r="BR65" s="346">
        <f t="shared" si="105"/>
        <v>63341.702808185735</v>
      </c>
      <c r="BS65" s="346">
        <f t="shared" si="106"/>
        <v>764.11144169004569</v>
      </c>
      <c r="BT65" s="346">
        <f t="shared" si="105"/>
        <v>37868.530738965535</v>
      </c>
      <c r="BU65" s="346">
        <f t="shared" si="106"/>
        <v>4779.7969512077971</v>
      </c>
      <c r="BV65" s="346">
        <f t="shared" si="107"/>
        <v>10807.546537830307</v>
      </c>
      <c r="BW65" s="346">
        <f t="shared" si="106"/>
        <v>19427.669672694781</v>
      </c>
      <c r="BY65" s="316">
        <v>2039</v>
      </c>
      <c r="BZ65" s="46">
        <f t="shared" si="108"/>
        <v>51028.441196407541</v>
      </c>
      <c r="CA65" s="300">
        <f t="shared" si="109"/>
        <v>614.46078972666976</v>
      </c>
      <c r="CB65" s="46">
        <f t="shared" si="108"/>
        <v>31001.817064363102</v>
      </c>
      <c r="CC65" s="300">
        <f t="shared" si="109"/>
        <v>3790.4035377244122</v>
      </c>
      <c r="CD65" s="46">
        <f t="shared" si="110"/>
        <v>8970.6157131568361</v>
      </c>
      <c r="CE65" s="300">
        <f t="shared" si="109"/>
        <v>15478.331386228687</v>
      </c>
      <c r="CG65" s="316">
        <v>2039</v>
      </c>
      <c r="CH65" s="48">
        <f t="shared" si="111"/>
        <v>1.2413019352165722</v>
      </c>
      <c r="CI65" s="48">
        <f t="shared" si="112"/>
        <v>1.2435479276553105</v>
      </c>
      <c r="CJ65" s="48">
        <f t="shared" si="113"/>
        <v>1.2214939098681346</v>
      </c>
      <c r="CK65" s="48">
        <f t="shared" si="114"/>
        <v>1.2610258785473201</v>
      </c>
      <c r="CL65" s="48">
        <f t="shared" si="115"/>
        <v>1.2047719892826665</v>
      </c>
      <c r="CM65" s="48">
        <f t="shared" si="116"/>
        <v>1.2551527156202305</v>
      </c>
      <c r="CO65" s="316">
        <v>2039</v>
      </c>
      <c r="CP65" s="302">
        <f t="shared" si="130"/>
        <v>5.0000000000000001E-3</v>
      </c>
      <c r="CQ65" s="302">
        <f t="shared" si="168"/>
        <v>5.0000000000000001E-3</v>
      </c>
      <c r="CR65" s="45"/>
      <c r="CS65" s="316">
        <v>2039</v>
      </c>
      <c r="CT65" s="345">
        <f t="shared" si="117"/>
        <v>5.0000000000000001E-3</v>
      </c>
      <c r="CU65" s="345">
        <f t="shared" si="118"/>
        <v>5.0000000000000001E-3</v>
      </c>
      <c r="CV65" s="345">
        <f t="shared" si="118"/>
        <v>5.0000000000000001E-3</v>
      </c>
      <c r="CW65" s="345">
        <f t="shared" si="118"/>
        <v>5.0000000000000001E-3</v>
      </c>
      <c r="CX65" s="345">
        <f t="shared" si="118"/>
        <v>5.0000000000000001E-3</v>
      </c>
      <c r="CY65" s="345">
        <f t="shared" si="118"/>
        <v>5.0000000000000001E-3</v>
      </c>
      <c r="DA65" s="316">
        <v>2039</v>
      </c>
      <c r="DI65" s="316">
        <v>2039</v>
      </c>
      <c r="DJ65" s="342">
        <f t="shared" si="131"/>
        <v>5.475613402610726E-2</v>
      </c>
      <c r="DK65" s="342">
        <f t="shared" si="132"/>
        <v>5.2886778090110012E-2</v>
      </c>
      <c r="DL65" s="342">
        <f t="shared" si="133"/>
        <v>7.9332382181603933E-2</v>
      </c>
      <c r="DM65" s="342">
        <f t="shared" si="134"/>
        <v>7.8397457889894467E-2</v>
      </c>
      <c r="DN65" s="342">
        <f t="shared" si="135"/>
        <v>3.0212897124007876E-2</v>
      </c>
      <c r="DO65" s="342">
        <f t="shared" si="136"/>
        <v>1.9684330097015108E-2</v>
      </c>
      <c r="DQ65" s="316">
        <v>2039</v>
      </c>
      <c r="DR65" s="46">
        <f t="shared" si="120"/>
        <v>963711.99170329713</v>
      </c>
      <c r="DS65" s="61">
        <v>971.24099163847927</v>
      </c>
      <c r="DT65" s="46">
        <f t="shared" si="120"/>
        <v>755773.81697318773</v>
      </c>
      <c r="DU65" s="61">
        <v>758.94541778497353</v>
      </c>
      <c r="DW65" s="46">
        <f t="shared" ref="DW65" si="191">(DX64/4+DX65*3/4)*1000</f>
        <v>962636.02103690337</v>
      </c>
      <c r="DX65" s="61">
        <v>970.15661495125414</v>
      </c>
      <c r="DY65" s="46">
        <f t="shared" ref="DY65" si="192">(DZ64/4+DZ65*3/4)*1000</f>
        <v>754930.00630724942</v>
      </c>
      <c r="DZ65" s="61">
        <v>758.09806607205405</v>
      </c>
      <c r="EB65" s="316">
        <v>2039</v>
      </c>
      <c r="EC65" s="88">
        <f t="shared" si="70"/>
        <v>6.5726797376707405E-2</v>
      </c>
      <c r="ED65" s="88">
        <f t="shared" si="71"/>
        <v>7.928836086593976E-4</v>
      </c>
      <c r="EE65" s="88">
        <f t="shared" si="72"/>
        <v>3.9294447993778119E-2</v>
      </c>
      <c r="EF65" s="88">
        <f t="shared" si="73"/>
        <v>4.9597773944472998E-3</v>
      </c>
      <c r="EG65" s="302">
        <f t="shared" si="123"/>
        <v>1.1214498346885447E-2</v>
      </c>
      <c r="EH65" s="88">
        <f t="shared" si="74"/>
        <v>2.0159207148971615E-2</v>
      </c>
      <c r="EJ65" s="316">
        <v>2039</v>
      </c>
      <c r="EK65" s="302">
        <f t="shared" si="124"/>
        <v>0.80507134966545291</v>
      </c>
      <c r="EL65" s="88">
        <f t="shared" si="75"/>
        <v>1.6860348526713819E-2</v>
      </c>
      <c r="EM65" s="302">
        <f t="shared" si="125"/>
        <v>0.37961826731039705</v>
      </c>
      <c r="EN65" s="88">
        <f t="shared" si="76"/>
        <v>6.1728856981507846E-2</v>
      </c>
      <c r="EO65" s="88">
        <f t="shared" si="77"/>
        <v>0.27504841867690127</v>
      </c>
      <c r="EP65" s="88">
        <f t="shared" si="78"/>
        <v>0.92533798762381425</v>
      </c>
      <c r="ER65" s="316">
        <v>2039</v>
      </c>
      <c r="ES65" s="317">
        <f t="shared" si="79"/>
        <v>111801.21400000001</v>
      </c>
      <c r="ET65" s="61">
        <v>12036.759</v>
      </c>
      <c r="EU65" s="61">
        <v>60748.023000000001</v>
      </c>
      <c r="EV65" s="61">
        <v>39016.432000000001</v>
      </c>
      <c r="EW65" s="88">
        <f t="shared" si="80"/>
        <v>0.1076621493573406</v>
      </c>
      <c r="EX65" s="88">
        <f t="shared" si="81"/>
        <v>0.543357454061277</v>
      </c>
      <c r="EY65" s="88">
        <f t="shared" si="82"/>
        <v>0.34898039658138236</v>
      </c>
      <c r="EZ65" s="88">
        <f t="shared" si="83"/>
        <v>-5.4605612560848504E-5</v>
      </c>
      <c r="FA65" s="88">
        <f t="shared" si="84"/>
        <v>-5.2449352204112509E-3</v>
      </c>
      <c r="FB65" s="88">
        <f t="shared" si="85"/>
        <v>5.2995408329720717E-3</v>
      </c>
      <c r="FC65" s="374"/>
      <c r="FD65" s="316">
        <v>2039</v>
      </c>
      <c r="FE65" s="308">
        <f t="shared" si="126"/>
        <v>0.03</v>
      </c>
      <c r="FF65" s="343">
        <f t="shared" si="174"/>
        <v>0.03</v>
      </c>
      <c r="FG65" s="308">
        <f t="shared" si="126"/>
        <v>1.7000000000000001E-2</v>
      </c>
      <c r="FH65" s="345">
        <f t="shared" si="174"/>
        <v>1.7000000000000001E-2</v>
      </c>
      <c r="FI65" s="319">
        <f t="shared" si="55"/>
        <v>1.2999999999999998E-2</v>
      </c>
      <c r="FK65" s="345">
        <f t="shared" si="86"/>
        <v>4.6750709002629787E-3</v>
      </c>
      <c r="FL65" s="345">
        <f t="shared" si="87"/>
        <v>-1.4812157885202293E-3</v>
      </c>
      <c r="FM65" s="345">
        <f t="shared" si="127"/>
        <v>-9.6104023757355266E-4</v>
      </c>
      <c r="FO65" s="316">
        <v>2039</v>
      </c>
      <c r="FP65" s="46">
        <f t="shared" si="142"/>
        <v>470722.72209554136</v>
      </c>
      <c r="FQ65" s="46">
        <f t="shared" si="88"/>
        <v>7576.0162761659421</v>
      </c>
      <c r="FR65" s="46">
        <f t="shared" si="89"/>
        <v>292287.33196542406</v>
      </c>
      <c r="FS65" s="46">
        <f t="shared" si="90"/>
        <v>48411.331397320864</v>
      </c>
      <c r="FT65" s="46">
        <f t="shared" si="91"/>
        <v>72443.505152777929</v>
      </c>
      <c r="FU65" s="46">
        <f t="shared" si="92"/>
        <v>154854.98791294079</v>
      </c>
      <c r="FV65" s="285">
        <f t="shared" si="38"/>
        <v>1046295.8948001709</v>
      </c>
    </row>
    <row r="66" spans="17:178" hidden="1" outlineLevel="1">
      <c r="Q66" s="316">
        <v>2040</v>
      </c>
      <c r="R66" s="46">
        <f t="shared" si="143"/>
        <v>801062.103921192</v>
      </c>
      <c r="S66" s="46">
        <f t="shared" si="93"/>
        <v>16216.188079485632</v>
      </c>
      <c r="T66" s="46">
        <f t="shared" si="94"/>
        <v>377166.93269032275</v>
      </c>
      <c r="U66" s="46">
        <f t="shared" si="95"/>
        <v>59773.960120150063</v>
      </c>
      <c r="V66" s="46">
        <f t="shared" si="96"/>
        <v>269302.92833545065</v>
      </c>
      <c r="W66" s="46">
        <f t="shared" si="97"/>
        <v>897149.34669081878</v>
      </c>
      <c r="Y66" s="316">
        <v>2040</v>
      </c>
      <c r="Z66" s="46">
        <f t="shared" si="98"/>
        <v>643426.47755453805</v>
      </c>
      <c r="AA66" s="46">
        <f t="shared" si="99"/>
        <v>12981.509115299599</v>
      </c>
      <c r="AB66" s="46">
        <f t="shared" si="98"/>
        <v>306801.04743759119</v>
      </c>
      <c r="AC66" s="46">
        <f t="shared" si="100"/>
        <v>47835.718513118743</v>
      </c>
      <c r="AD66" s="46">
        <f t="shared" si="101"/>
        <v>220495.63519244466</v>
      </c>
      <c r="AE66" s="46">
        <f t="shared" si="102"/>
        <v>710247.3083781742</v>
      </c>
      <c r="AG66" s="316">
        <v>2040</v>
      </c>
      <c r="AH66" s="48">
        <f>(AT66+1)*AH65</f>
        <v>1.2449939998829043</v>
      </c>
      <c r="AI66" s="48">
        <f t="shared" si="60"/>
        <v>1.2491758805125162</v>
      </c>
      <c r="AJ66" s="48">
        <f t="shared" si="61"/>
        <v>1.2293534713796739</v>
      </c>
      <c r="AK66" s="48">
        <f t="shared" si="62"/>
        <v>1.2495675193790035</v>
      </c>
      <c r="AL66" s="48">
        <f t="shared" si="63"/>
        <v>1.2213526499080485</v>
      </c>
      <c r="AM66" s="48">
        <f t="shared" si="64"/>
        <v>1.2631506464127673</v>
      </c>
      <c r="AO66" s="316">
        <v>2040</v>
      </c>
      <c r="AP66" s="88">
        <f t="shared" si="128"/>
        <v>5.0000000000000001E-3</v>
      </c>
      <c r="AQ66" s="302">
        <f t="shared" si="165"/>
        <v>5.0000000000000001E-3</v>
      </c>
      <c r="AR66" s="44"/>
      <c r="AS66" s="316">
        <v>2040</v>
      </c>
      <c r="AT66" s="345">
        <f>AP66</f>
        <v>5.0000000000000001E-3</v>
      </c>
      <c r="AU66" s="345">
        <f t="shared" ref="AU66:AY66" si="193">AT66</f>
        <v>5.0000000000000001E-3</v>
      </c>
      <c r="AV66" s="345">
        <f t="shared" si="193"/>
        <v>5.0000000000000001E-3</v>
      </c>
      <c r="AW66" s="345">
        <f t="shared" si="193"/>
        <v>5.0000000000000001E-3</v>
      </c>
      <c r="AX66" s="345">
        <f t="shared" si="193"/>
        <v>5.0000000000000001E-3</v>
      </c>
      <c r="AY66" s="345">
        <f t="shared" si="193"/>
        <v>5.0000000000000001E-3</v>
      </c>
      <c r="BQ66" s="316">
        <v>2040</v>
      </c>
      <c r="BR66" s="346">
        <f t="shared" si="105"/>
        <v>64975.102972037581</v>
      </c>
      <c r="BS66" s="346">
        <f t="shared" si="106"/>
        <v>767.68395527039831</v>
      </c>
      <c r="BT66" s="346">
        <f t="shared" si="105"/>
        <v>38985.621988119019</v>
      </c>
      <c r="BU66" s="346">
        <f t="shared" si="106"/>
        <v>4803.6160186081524</v>
      </c>
      <c r="BV66" s="346">
        <f t="shared" si="107"/>
        <v>11149.85315056294</v>
      </c>
      <c r="BW66" s="346">
        <f t="shared" si="106"/>
        <v>19526.94730009175</v>
      </c>
      <c r="BY66" s="316">
        <v>2040</v>
      </c>
      <c r="BZ66" s="46">
        <f t="shared" si="108"/>
        <v>52083.898299885681</v>
      </c>
      <c r="CA66" s="300">
        <f t="shared" si="109"/>
        <v>614.26231761738654</v>
      </c>
      <c r="CB66" s="46">
        <f t="shared" si="108"/>
        <v>31757.557984024577</v>
      </c>
      <c r="CC66" s="300">
        <f t="shared" si="109"/>
        <v>3790.340478148672</v>
      </c>
      <c r="CD66" s="46">
        <f t="shared" si="110"/>
        <v>9208.6978640223388</v>
      </c>
      <c r="CE66" s="300">
        <f t="shared" si="109"/>
        <v>15480.027304046283</v>
      </c>
      <c r="CG66" s="316">
        <v>2040</v>
      </c>
      <c r="CH66" s="48">
        <f>(CT66+1)*CH65</f>
        <v>1.247508444892655</v>
      </c>
      <c r="CI66" s="48">
        <f t="shared" si="112"/>
        <v>1.2497656672935868</v>
      </c>
      <c r="CJ66" s="48">
        <f t="shared" si="113"/>
        <v>1.2276013794174752</v>
      </c>
      <c r="CK66" s="48">
        <f t="shared" si="114"/>
        <v>1.2673310079400566</v>
      </c>
      <c r="CL66" s="48">
        <f t="shared" si="115"/>
        <v>1.2107958492290798</v>
      </c>
      <c r="CM66" s="48">
        <f t="shared" si="116"/>
        <v>1.2614284791983315</v>
      </c>
      <c r="CO66" s="316">
        <v>2040</v>
      </c>
      <c r="CP66" s="302">
        <f t="shared" si="130"/>
        <v>5.0000000000000001E-3</v>
      </c>
      <c r="CQ66" s="302">
        <f t="shared" si="168"/>
        <v>5.0000000000000001E-3</v>
      </c>
      <c r="CR66" s="45"/>
      <c r="CS66" s="316">
        <v>2040</v>
      </c>
      <c r="CT66" s="345">
        <f t="shared" si="117"/>
        <v>5.0000000000000001E-3</v>
      </c>
      <c r="CU66" s="345">
        <f t="shared" si="118"/>
        <v>5.0000000000000001E-3</v>
      </c>
      <c r="CV66" s="345">
        <f t="shared" si="118"/>
        <v>5.0000000000000001E-3</v>
      </c>
      <c r="CW66" s="345">
        <f t="shared" si="118"/>
        <v>5.0000000000000001E-3</v>
      </c>
      <c r="CX66" s="345">
        <f t="shared" si="118"/>
        <v>5.0000000000000001E-3</v>
      </c>
      <c r="CY66" s="345">
        <f t="shared" si="118"/>
        <v>5.0000000000000001E-3</v>
      </c>
      <c r="DA66" s="316">
        <v>2040</v>
      </c>
      <c r="DI66" s="316">
        <v>2040</v>
      </c>
      <c r="DJ66" s="342">
        <f t="shared" si="131"/>
        <v>5.475613402610726E-2</v>
      </c>
      <c r="DK66" s="342">
        <f t="shared" si="132"/>
        <v>5.2886778090110012E-2</v>
      </c>
      <c r="DL66" s="342">
        <f t="shared" si="133"/>
        <v>7.9332382181603933E-2</v>
      </c>
      <c r="DM66" s="342">
        <f t="shared" si="134"/>
        <v>7.8397457889894467E-2</v>
      </c>
      <c r="DN66" s="342">
        <f t="shared" si="135"/>
        <v>3.0212897124007876E-2</v>
      </c>
      <c r="DO66" s="342">
        <f t="shared" si="136"/>
        <v>1.9684330097015108E-2</v>
      </c>
      <c r="DQ66" s="316">
        <v>2040</v>
      </c>
      <c r="DR66" s="46">
        <f t="shared" si="120"/>
        <v>994550.77543780289</v>
      </c>
      <c r="DS66" s="61">
        <v>1002.3207033709107</v>
      </c>
      <c r="DT66" s="46">
        <f t="shared" si="120"/>
        <v>768621.97186173184</v>
      </c>
      <c r="DU66" s="61">
        <v>771.84748988731803</v>
      </c>
      <c r="DW66" s="46">
        <f t="shared" ref="DW66" si="194">(DX65/4+DX66*3/4)*1000</f>
        <v>993440.37371008424</v>
      </c>
      <c r="DX66" s="61">
        <v>1001.2016266296943</v>
      </c>
      <c r="DY66" s="46">
        <f t="shared" ref="DY66" si="195">(DZ65/4+DZ66*3/4)*1000</f>
        <v>767763.81641447276</v>
      </c>
      <c r="DZ66" s="61">
        <v>770.98573319527895</v>
      </c>
      <c r="EB66" s="316">
        <v>2040</v>
      </c>
      <c r="EC66" s="88">
        <f t="shared" si="70"/>
        <v>6.5331106844128128E-2</v>
      </c>
      <c r="ED66" s="88">
        <f t="shared" si="71"/>
        <v>7.7189015807912131E-4</v>
      </c>
      <c r="EE66" s="88">
        <f t="shared" si="72"/>
        <v>3.9199227380781521E-2</v>
      </c>
      <c r="EF66" s="88">
        <f t="shared" si="73"/>
        <v>4.8299354213399443E-3</v>
      </c>
      <c r="EG66" s="302">
        <f t="shared" si="123"/>
        <v>1.1210944102531876E-2</v>
      </c>
      <c r="EH66" s="88">
        <f t="shared" si="74"/>
        <v>1.9633937032019259E-2</v>
      </c>
      <c r="EJ66" s="316">
        <v>2040</v>
      </c>
      <c r="EK66" s="302">
        <f t="shared" si="124"/>
        <v>0.80635146821098092</v>
      </c>
      <c r="EL66" s="88">
        <f t="shared" si="75"/>
        <v>1.6323262581854764E-2</v>
      </c>
      <c r="EM66" s="302">
        <f t="shared" si="125"/>
        <v>0.37965734297848397</v>
      </c>
      <c r="EN66" s="88">
        <f t="shared" si="76"/>
        <v>6.0168643938759328E-2</v>
      </c>
      <c r="EO66" s="88">
        <f t="shared" si="77"/>
        <v>0.2710811191714676</v>
      </c>
      <c r="EP66" s="88">
        <f>W66/$DW66</f>
        <v>0.90307316919317593</v>
      </c>
      <c r="ER66" s="316">
        <v>2040</v>
      </c>
      <c r="ES66" s="317">
        <f t="shared" si="79"/>
        <v>110918.554</v>
      </c>
      <c r="ET66" s="61">
        <v>11935.950999999999</v>
      </c>
      <c r="EU66" s="61">
        <v>59776.889000000003</v>
      </c>
      <c r="EV66" s="61">
        <v>39205.714</v>
      </c>
      <c r="EW66" s="88">
        <f t="shared" si="80"/>
        <v>0.10761004872097411</v>
      </c>
      <c r="EX66" s="88">
        <f t="shared" si="81"/>
        <v>0.53892596724620123</v>
      </c>
      <c r="EY66" s="88">
        <f t="shared" si="82"/>
        <v>0.35346398403282464</v>
      </c>
      <c r="EZ66" s="88">
        <f t="shared" si="83"/>
        <v>-5.2100636366486652E-5</v>
      </c>
      <c r="FA66" s="88">
        <f t="shared" si="84"/>
        <v>-4.4314868150757691E-3</v>
      </c>
      <c r="FB66" s="88">
        <f t="shared" si="85"/>
        <v>4.4835874514422835E-3</v>
      </c>
      <c r="FC66" s="374"/>
      <c r="FD66" s="316">
        <v>2040</v>
      </c>
      <c r="FE66" s="308">
        <f t="shared" si="126"/>
        <v>0.03</v>
      </c>
      <c r="FF66" s="343">
        <f t="shared" si="174"/>
        <v>0.03</v>
      </c>
      <c r="FG66" s="308">
        <f t="shared" si="126"/>
        <v>1.7000000000000001E-2</v>
      </c>
      <c r="FH66" s="345">
        <f t="shared" si="174"/>
        <v>1.7000000000000001E-2</v>
      </c>
      <c r="FI66" s="319">
        <f t="shared" si="55"/>
        <v>1.2999999999999998E-2</v>
      </c>
      <c r="FK66" s="345">
        <f>SUM(EK66:EL66)-(24.0959475629*(EW66-EW65)+0.793461523015+0.837029275127*FE66)</f>
        <v>5.3577437259063609E-3</v>
      </c>
      <c r="FL66" s="345">
        <f t="shared" si="87"/>
        <v>-1.4541446742145636E-3</v>
      </c>
      <c r="FM66" s="345">
        <f t="shared" si="127"/>
        <v>-9.6141324135583239E-4</v>
      </c>
      <c r="FO66" s="316">
        <v>2040</v>
      </c>
      <c r="FP66" s="46">
        <f t="shared" si="142"/>
        <v>480459.01090146485</v>
      </c>
      <c r="FQ66" s="46">
        <f t="shared" si="88"/>
        <v>7573.5692071984276</v>
      </c>
      <c r="FR66" s="46">
        <f t="shared" si="89"/>
        <v>299412.51100271562</v>
      </c>
      <c r="FS66" s="46">
        <f t="shared" si="90"/>
        <v>48410.525995471544</v>
      </c>
      <c r="FT66" s="46">
        <f t="shared" si="91"/>
        <v>74366.172010272814</v>
      </c>
      <c r="FU66" s="46">
        <f t="shared" si="92"/>
        <v>154871.9549442436</v>
      </c>
      <c r="FV66" s="285">
        <f t="shared" si="38"/>
        <v>1065093.7440613669</v>
      </c>
    </row>
    <row r="67" spans="17:178" collapsed="1">
      <c r="FE67" s="24">
        <v>0</v>
      </c>
    </row>
    <row r="68" spans="17:178" ht="108" customHeight="1">
      <c r="AP68" s="66" t="s">
        <v>596</v>
      </c>
      <c r="AQ68" s="67" t="s">
        <v>699</v>
      </c>
      <c r="AR68" s="49"/>
      <c r="AT68" s="431" t="s">
        <v>598</v>
      </c>
      <c r="AU68" s="431"/>
      <c r="AV68" s="431"/>
      <c r="AW68" s="431"/>
      <c r="AX68" s="431"/>
      <c r="AY68" s="431"/>
      <c r="BS68" s="67"/>
      <c r="BU68" s="67"/>
      <c r="BW68" s="67"/>
      <c r="CA68" s="67" t="s">
        <v>700</v>
      </c>
      <c r="CC68" s="67" t="s">
        <v>700</v>
      </c>
      <c r="CE68" s="67" t="s">
        <v>700</v>
      </c>
      <c r="CP68" s="66" t="s">
        <v>596</v>
      </c>
      <c r="CQ68" s="67" t="s">
        <v>699</v>
      </c>
      <c r="CR68" s="49"/>
      <c r="CT68" s="431" t="s">
        <v>709</v>
      </c>
      <c r="CU68" s="431"/>
      <c r="CV68" s="431"/>
      <c r="CW68" s="431"/>
      <c r="CX68" s="431"/>
      <c r="CY68" s="431"/>
      <c r="DJ68" s="414" t="s">
        <v>700</v>
      </c>
      <c r="DK68" s="414"/>
      <c r="DL68" s="414"/>
      <c r="DM68" s="414"/>
      <c r="DN68" s="414"/>
      <c r="DO68" s="414"/>
      <c r="DR68" s="66" t="s">
        <v>596</v>
      </c>
      <c r="DS68" s="67" t="s">
        <v>597</v>
      </c>
      <c r="DT68" s="66" t="s">
        <v>596</v>
      </c>
      <c r="DU68" s="67" t="s">
        <v>597</v>
      </c>
      <c r="DW68" s="66" t="s">
        <v>596</v>
      </c>
      <c r="DX68" s="67" t="s">
        <v>597</v>
      </c>
      <c r="DY68" s="66" t="s">
        <v>596</v>
      </c>
      <c r="DZ68" s="67" t="s">
        <v>597</v>
      </c>
      <c r="EG68" s="66" t="s">
        <v>600</v>
      </c>
      <c r="EK68" s="455" t="s">
        <v>601</v>
      </c>
      <c r="EL68" s="455"/>
      <c r="EM68" s="455"/>
      <c r="EN68" s="455"/>
      <c r="EQ68" s="37"/>
      <c r="ES68" s="32"/>
      <c r="ET68" s="430" t="s">
        <v>602</v>
      </c>
      <c r="EU68" s="430"/>
      <c r="EV68" s="430"/>
      <c r="EW68" s="32"/>
      <c r="EX68" s="32"/>
      <c r="EY68" s="32"/>
      <c r="FE68" s="66" t="s">
        <v>596</v>
      </c>
      <c r="FF68" s="67" t="s">
        <v>699</v>
      </c>
      <c r="FG68" s="96" t="s">
        <v>596</v>
      </c>
      <c r="FH68" s="96" t="s">
        <v>699</v>
      </c>
      <c r="FP68" s="414" t="s">
        <v>603</v>
      </c>
      <c r="FQ68" s="414"/>
      <c r="FR68" s="414"/>
      <c r="FS68" s="414"/>
      <c r="FT68" s="414"/>
      <c r="FU68" s="414"/>
    </row>
  </sheetData>
  <mergeCells count="38">
    <mergeCell ref="Z2:AE2"/>
    <mergeCell ref="BZ2:CE2"/>
    <mergeCell ref="CT2:CY2"/>
    <mergeCell ref="DJ2:DO2"/>
    <mergeCell ref="EC2:EH2"/>
    <mergeCell ref="AP2:AQ2"/>
    <mergeCell ref="DJ68:DO68"/>
    <mergeCell ref="DR2:DZ2"/>
    <mergeCell ref="CP2:CQ2"/>
    <mergeCell ref="FP3:FV3"/>
    <mergeCell ref="FP68:FU68"/>
    <mergeCell ref="CT68:CY68"/>
    <mergeCell ref="FP2:FV2"/>
    <mergeCell ref="EK2:EP2"/>
    <mergeCell ref="ES2:FB2"/>
    <mergeCell ref="FE2:FI2"/>
    <mergeCell ref="AT68:AY68"/>
    <mergeCell ref="EK3:EP3"/>
    <mergeCell ref="ES3:FB3"/>
    <mergeCell ref="FK3:FL3"/>
    <mergeCell ref="EK68:EN68"/>
    <mergeCell ref="ET68:EV68"/>
    <mergeCell ref="DB3:DG3"/>
    <mergeCell ref="DJ3:DO3"/>
    <mergeCell ref="DR3:DY3"/>
    <mergeCell ref="EC3:EH3"/>
    <mergeCell ref="BB3:BG3"/>
    <mergeCell ref="BJ3:BO3"/>
    <mergeCell ref="BR3:BW3"/>
    <mergeCell ref="BZ3:CE3"/>
    <mergeCell ref="CH3:CM3"/>
    <mergeCell ref="CT3:CY3"/>
    <mergeCell ref="AT3:AY3"/>
    <mergeCell ref="B3:G3"/>
    <mergeCell ref="J3:O3"/>
    <mergeCell ref="R3:W3"/>
    <mergeCell ref="Z3:AE3"/>
    <mergeCell ref="AH3:AM3"/>
  </mergeCells>
  <phoneticPr fontId="1"/>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B21B4-06D1-4E23-BC6D-7F8CA75EF98A}">
  <dimension ref="A1:FW68"/>
  <sheetViews>
    <sheetView topLeftCell="FD2" zoomScaleNormal="100" workbookViewId="0">
      <selection activeCell="FP68" sqref="FP68:FU68"/>
    </sheetView>
  </sheetViews>
  <sheetFormatPr defaultColWidth="8.84375" defaultRowHeight="18.45" outlineLevelRow="1" outlineLevelCol="1"/>
  <cols>
    <col min="1" max="1" width="6.3046875" style="24" customWidth="1" outlineLevel="1"/>
    <col min="2" max="3" width="10.07421875" style="37" customWidth="1" outlineLevel="1"/>
    <col min="4" max="5" width="12.3046875" style="37" customWidth="1" outlineLevel="1"/>
    <col min="6" max="7" width="10.07421875" style="37" customWidth="1" outlineLevel="1"/>
    <col min="8" max="8" width="8.84375" style="37" customWidth="1" outlineLevel="1"/>
    <col min="9" max="9" width="6.3046875" style="24" customWidth="1" outlineLevel="1" collapsed="1"/>
    <col min="10" max="11" width="10.07421875" style="37" customWidth="1" outlineLevel="1"/>
    <col min="12" max="13" width="12.3046875" style="37" customWidth="1" outlineLevel="1"/>
    <col min="14" max="15" width="10.07421875" style="37" customWidth="1" outlineLevel="1"/>
    <col min="16" max="16" width="8.84375" style="37" customWidth="1" outlineLevel="1"/>
    <col min="17" max="17" width="6.3046875" style="24" customWidth="1" outlineLevel="1" collapsed="1"/>
    <col min="18" max="19" width="10.07421875" style="37" customWidth="1" outlineLevel="1"/>
    <col min="20" max="21" width="12.3046875" style="37" customWidth="1" outlineLevel="1"/>
    <col min="22" max="23" width="10.07421875" style="37" customWidth="1" outlineLevel="1"/>
    <col min="24" max="24" width="8.84375" style="37" customWidth="1" outlineLevel="1"/>
    <col min="25" max="25" width="6.3046875" style="24" bestFit="1" customWidth="1"/>
    <col min="26" max="27" width="10.07421875" style="37" bestFit="1" customWidth="1"/>
    <col min="28" max="29" width="12.3046875" style="37" bestFit="1" customWidth="1"/>
    <col min="30" max="31" width="10.07421875" style="37" bestFit="1" customWidth="1"/>
    <col min="32" max="32" width="8.84375" style="24" customWidth="1"/>
    <col min="33" max="33" width="6.3046875" style="24" customWidth="1" outlineLevel="1" collapsed="1"/>
    <col min="34" max="35" width="10.07421875" style="37" customWidth="1" outlineLevel="1"/>
    <col min="36" max="37" width="12.3046875" style="37" customWidth="1" outlineLevel="1"/>
    <col min="38" max="39" width="10.07421875" style="37" customWidth="1" outlineLevel="1"/>
    <col min="40" max="40" width="8.84375" style="37" customWidth="1" outlineLevel="1"/>
    <col min="41" max="41" width="6.3046875" style="24" customWidth="1" outlineLevel="1"/>
    <col min="42" max="42" width="11.84375" style="37" customWidth="1" outlineLevel="1"/>
    <col min="43" max="43" width="12.3046875" style="37" customWidth="1" outlineLevel="1"/>
    <col min="44" max="44" width="8.84375" style="43" customWidth="1" outlineLevel="1"/>
    <col min="45" max="45" width="6.3046875" style="24" customWidth="1" outlineLevel="1"/>
    <col min="46" max="47" width="10.07421875" style="37" customWidth="1" outlineLevel="1"/>
    <col min="48" max="49" width="12.3046875" style="37" customWidth="1" outlineLevel="1"/>
    <col min="50" max="51" width="10.07421875" style="37" customWidth="1" outlineLevel="1"/>
    <col min="52" max="52" width="8.84375" style="24" customWidth="1" outlineLevel="1"/>
    <col min="53" max="53" width="6.3046875" style="24" customWidth="1" outlineLevel="1"/>
    <col min="54" max="55" width="10.07421875" style="37" customWidth="1" outlineLevel="1"/>
    <col min="56" max="57" width="12.3046875" style="37" customWidth="1" outlineLevel="1"/>
    <col min="58" max="59" width="10.07421875" style="37" customWidth="1" outlineLevel="1"/>
    <col min="60" max="60" width="8.84375" style="37" customWidth="1" outlineLevel="1"/>
    <col min="61" max="61" width="6.3046875" style="24" customWidth="1" outlineLevel="1"/>
    <col min="62" max="63" width="10.07421875" style="37" customWidth="1" outlineLevel="1"/>
    <col min="64" max="65" width="12.3046875" style="37" customWidth="1" outlineLevel="1"/>
    <col min="66" max="67" width="10.07421875" style="37" customWidth="1" outlineLevel="1"/>
    <col min="68" max="68" width="8.84375" style="37" customWidth="1" outlineLevel="1"/>
    <col min="69" max="69" width="6.3046875" style="24" customWidth="1" outlineLevel="1" collapsed="1"/>
    <col min="70" max="71" width="10.07421875" style="37" customWidth="1" outlineLevel="1"/>
    <col min="72" max="73" width="12.3046875" style="37" customWidth="1" outlineLevel="1"/>
    <col min="74" max="75" width="10.07421875" style="37" customWidth="1" outlineLevel="1"/>
    <col min="76" max="76" width="8.84375" style="37" customWidth="1" outlineLevel="1"/>
    <col min="77" max="77" width="6.3046875" style="24" bestFit="1" customWidth="1"/>
    <col min="78" max="79" width="10.07421875" style="37" bestFit="1" customWidth="1"/>
    <col min="80" max="81" width="12.3046875" style="37" bestFit="1" customWidth="1"/>
    <col min="82" max="83" width="10.07421875" style="37" bestFit="1" customWidth="1"/>
    <col min="84" max="84" width="8.84375" style="24" customWidth="1"/>
    <col min="85" max="85" width="6.3046875" style="24" customWidth="1" outlineLevel="1" collapsed="1"/>
    <col min="86" max="87" width="10.07421875" style="37" customWidth="1" outlineLevel="1"/>
    <col min="88" max="89" width="12.3046875" style="37" customWidth="1" outlineLevel="1"/>
    <col min="90" max="91" width="10.07421875" style="37" customWidth="1" outlineLevel="1"/>
    <col min="92" max="92" width="8.84375" style="37" customWidth="1" outlineLevel="1"/>
    <col min="93" max="93" width="6.3046875" style="24" customWidth="1"/>
    <col min="94" max="94" width="11.84375" style="37" customWidth="1"/>
    <col min="95" max="95" width="12.3046875" style="37" bestFit="1" customWidth="1"/>
    <col min="96" max="96" width="8.84375" style="43" customWidth="1"/>
    <col min="97" max="97" width="6.3046875" style="24" customWidth="1"/>
    <col min="98" max="99" width="10.07421875" style="37" customWidth="1"/>
    <col min="100" max="101" width="12.3046875" style="37" customWidth="1"/>
    <col min="102" max="103" width="10.07421875" style="37" customWidth="1"/>
    <col min="104" max="104" width="8.84375" style="24"/>
    <col min="105" max="105" width="6.3046875" style="24" customWidth="1" outlineLevel="1"/>
    <col min="106" max="107" width="10.07421875" style="24" customWidth="1" outlineLevel="1"/>
    <col min="108" max="109" width="12.3046875" style="24" customWidth="1" outlineLevel="1"/>
    <col min="110" max="111" width="10.07421875" style="24" customWidth="1" outlineLevel="1"/>
    <col min="112" max="112" width="8.84375" style="24" customWidth="1" outlineLevel="1"/>
    <col min="113" max="113" width="6.3046875" style="24" bestFit="1" customWidth="1"/>
    <col min="114" max="115" width="10.07421875" style="24" bestFit="1" customWidth="1"/>
    <col min="116" max="117" width="12.3046875" style="24" bestFit="1" customWidth="1"/>
    <col min="118" max="119" width="10.07421875" style="24" bestFit="1" customWidth="1"/>
    <col min="120" max="120" width="8.84375" style="24"/>
    <col min="121" max="121" width="6.3046875" style="24" bestFit="1" customWidth="1"/>
    <col min="122" max="122" width="9" style="24" bestFit="1" customWidth="1"/>
    <col min="123" max="123" width="12.3046875" style="24" bestFit="1" customWidth="1"/>
    <col min="124" max="124" width="19.69140625" style="24" bestFit="1" customWidth="1"/>
    <col min="125" max="125" width="12.3046875" style="24" bestFit="1" customWidth="1"/>
    <col min="126" max="126" width="15" style="24" customWidth="1"/>
    <col min="127" max="127" width="12.3046875" style="24" bestFit="1" customWidth="1"/>
    <col min="128" max="128" width="12.3046875" style="24" customWidth="1"/>
    <col min="129" max="129" width="12.3046875" style="24" bestFit="1" customWidth="1"/>
    <col min="130" max="130" width="12.3046875" style="24" customWidth="1"/>
    <col min="131" max="131" width="8.84375" style="24"/>
    <col min="132" max="132" width="6.3046875" style="24" bestFit="1" customWidth="1"/>
    <col min="133" max="134" width="10.07421875" style="38" bestFit="1" customWidth="1"/>
    <col min="135" max="136" width="12.3046875" style="38" bestFit="1" customWidth="1"/>
    <col min="137" max="138" width="10.07421875" style="38" bestFit="1" customWidth="1"/>
    <col min="139" max="139" width="8.84375" style="38" customWidth="1"/>
    <col min="140" max="140" width="6.3046875" style="24" bestFit="1" customWidth="1"/>
    <col min="141" max="142" width="10.07421875" style="38" bestFit="1" customWidth="1"/>
    <col min="143" max="144" width="12.3046875" style="38" bestFit="1" customWidth="1"/>
    <col min="145" max="146" width="10.07421875" style="38" bestFit="1" customWidth="1"/>
    <col min="147" max="147" width="8.84375" style="38" customWidth="1"/>
    <col min="148" max="148" width="6.3046875" style="24" bestFit="1" customWidth="1"/>
    <col min="149" max="149" width="10.4609375" style="24" bestFit="1" customWidth="1"/>
    <col min="150" max="150" width="10.69140625" style="24" bestFit="1" customWidth="1"/>
    <col min="151" max="151" width="11.07421875" style="24" bestFit="1" customWidth="1"/>
    <col min="152" max="152" width="10.69140625" style="24" bestFit="1" customWidth="1"/>
    <col min="153" max="155" width="10.69140625" style="24" customWidth="1"/>
    <col min="156" max="158" width="12.3046875" style="24" bestFit="1" customWidth="1"/>
    <col min="159" max="159" width="8.84375" style="24"/>
    <col min="160" max="160" width="6.3046875" style="24" bestFit="1" customWidth="1"/>
    <col min="161" max="161" width="14.4609375" style="24" bestFit="1" customWidth="1"/>
    <col min="162" max="162" width="14.4609375" style="24" customWidth="1"/>
    <col min="163" max="163" width="12.3046875" style="90" bestFit="1" customWidth="1"/>
    <col min="164" max="164" width="12.3046875" style="90" customWidth="1"/>
    <col min="165" max="165" width="15.4609375" style="24" customWidth="1"/>
    <col min="166" max="166" width="8.84375" style="24"/>
    <col min="167" max="167" width="19.3046875" style="90" hidden="1" customWidth="1" outlineLevel="1"/>
    <col min="168" max="168" width="16.84375" style="90" hidden="1" customWidth="1" outlineLevel="1"/>
    <col min="169" max="169" width="26.53515625" style="90" hidden="1" customWidth="1" outlineLevel="1"/>
    <col min="170" max="170" width="8.84375" style="24" hidden="1" customWidth="1" outlineLevel="1"/>
    <col min="171" max="171" width="6.3046875" style="24" bestFit="1" customWidth="1" collapsed="1"/>
    <col min="172" max="173" width="10.07421875" style="37" bestFit="1" customWidth="1"/>
    <col min="174" max="175" width="12.3046875" style="37" bestFit="1" customWidth="1"/>
    <col min="176" max="177" width="10.07421875" style="37" bestFit="1" customWidth="1"/>
    <col min="178" max="178" width="9" style="37" bestFit="1" customWidth="1"/>
    <col min="179" max="179" width="8.84375" style="37"/>
    <col min="180" max="16384" width="8.84375" style="24"/>
  </cols>
  <sheetData>
    <row r="1" spans="1:178" hidden="1" outlineLevel="1">
      <c r="CP1" s="37" t="s">
        <v>428</v>
      </c>
      <c r="CT1" s="37" t="s">
        <v>429</v>
      </c>
      <c r="CU1" s="37" t="s">
        <v>430</v>
      </c>
      <c r="CV1" s="37" t="s">
        <v>431</v>
      </c>
      <c r="CW1" s="37" t="s">
        <v>432</v>
      </c>
      <c r="CX1" s="37" t="s">
        <v>433</v>
      </c>
      <c r="CY1" s="37" t="s">
        <v>586</v>
      </c>
      <c r="EC1" s="38" t="s">
        <v>428</v>
      </c>
      <c r="ED1" s="38" t="s">
        <v>429</v>
      </c>
      <c r="EE1" s="38" t="s">
        <v>430</v>
      </c>
      <c r="EF1" s="38" t="s">
        <v>431</v>
      </c>
      <c r="EG1" s="38" t="s">
        <v>432</v>
      </c>
      <c r="EH1" s="38" t="s">
        <v>433</v>
      </c>
      <c r="EK1" s="38" t="s">
        <v>440</v>
      </c>
      <c r="EL1" s="38" t="s">
        <v>441</v>
      </c>
      <c r="EM1" s="38" t="s">
        <v>442</v>
      </c>
      <c r="EN1" s="38" t="s">
        <v>443</v>
      </c>
      <c r="EO1" s="38" t="s">
        <v>444</v>
      </c>
      <c r="EP1" s="38" t="s">
        <v>445</v>
      </c>
      <c r="EW1" s="24" t="s">
        <v>452</v>
      </c>
      <c r="EX1" s="24" t="s">
        <v>453</v>
      </c>
      <c r="EY1" s="24" t="s">
        <v>454</v>
      </c>
      <c r="FE1" s="24" t="s">
        <v>455</v>
      </c>
      <c r="FG1" s="90" t="s">
        <v>456</v>
      </c>
      <c r="FI1" s="24" t="s">
        <v>457</v>
      </c>
      <c r="FK1" s="90" t="s">
        <v>458</v>
      </c>
      <c r="FL1" s="90" t="s">
        <v>459</v>
      </c>
      <c r="FM1" s="90" t="s">
        <v>460</v>
      </c>
    </row>
    <row r="2" spans="1:178" collapsed="1">
      <c r="Z2" s="416" t="s">
        <v>701</v>
      </c>
      <c r="AA2" s="416"/>
      <c r="AB2" s="416"/>
      <c r="AC2" s="416"/>
      <c r="AD2" s="416"/>
      <c r="AE2" s="416"/>
      <c r="AQ2" s="145" t="s">
        <v>587</v>
      </c>
      <c r="AR2" s="57"/>
      <c r="BZ2" s="416" t="s">
        <v>702</v>
      </c>
      <c r="CA2" s="416"/>
      <c r="CB2" s="416"/>
      <c r="CC2" s="416"/>
      <c r="CD2" s="416"/>
      <c r="CE2" s="416"/>
      <c r="CP2" s="456" t="s">
        <v>698</v>
      </c>
      <c r="CQ2" s="456"/>
      <c r="CR2" s="57"/>
      <c r="CT2" s="416" t="s">
        <v>708</v>
      </c>
      <c r="CU2" s="416"/>
      <c r="CV2" s="416"/>
      <c r="CW2" s="416"/>
      <c r="CX2" s="416"/>
      <c r="CY2" s="416"/>
      <c r="DJ2" s="416" t="s">
        <v>703</v>
      </c>
      <c r="DK2" s="416"/>
      <c r="DL2" s="416"/>
      <c r="DM2" s="416"/>
      <c r="DN2" s="416"/>
      <c r="DO2" s="416"/>
      <c r="DR2" s="456" t="s">
        <v>698</v>
      </c>
      <c r="DS2" s="456"/>
      <c r="DT2" s="456"/>
      <c r="DU2" s="456"/>
      <c r="DV2" s="456"/>
      <c r="DW2" s="456"/>
      <c r="DX2" s="456"/>
      <c r="DY2" s="456"/>
      <c r="DZ2" s="456"/>
      <c r="EC2" s="408" t="s">
        <v>704</v>
      </c>
      <c r="ED2" s="408"/>
      <c r="EE2" s="408"/>
      <c r="EF2" s="408"/>
      <c r="EG2" s="408"/>
      <c r="EH2" s="408"/>
      <c r="EK2" s="408" t="s">
        <v>704</v>
      </c>
      <c r="EL2" s="408"/>
      <c r="EM2" s="408"/>
      <c r="EN2" s="408"/>
      <c r="EO2" s="408"/>
      <c r="EP2" s="408"/>
      <c r="ES2" s="425" t="s">
        <v>705</v>
      </c>
      <c r="ET2" s="425"/>
      <c r="EU2" s="425"/>
      <c r="EV2" s="425"/>
      <c r="EW2" s="425"/>
      <c r="EX2" s="425"/>
      <c r="EY2" s="425"/>
      <c r="EZ2" s="425"/>
      <c r="FA2" s="425"/>
      <c r="FB2" s="425"/>
      <c r="FE2" s="456" t="s">
        <v>706</v>
      </c>
      <c r="FF2" s="456"/>
      <c r="FG2" s="456"/>
      <c r="FH2" s="456"/>
      <c r="FI2" s="456"/>
      <c r="FP2" s="416" t="s">
        <v>707</v>
      </c>
      <c r="FQ2" s="416"/>
      <c r="FR2" s="416"/>
      <c r="FS2" s="416"/>
      <c r="FT2" s="416"/>
      <c r="FU2" s="416"/>
      <c r="FV2" s="416"/>
    </row>
    <row r="3" spans="1:178" ht="35.4" customHeight="1">
      <c r="A3" s="316"/>
      <c r="B3" s="431" t="s">
        <v>463</v>
      </c>
      <c r="C3" s="431"/>
      <c r="D3" s="431"/>
      <c r="E3" s="431"/>
      <c r="F3" s="431"/>
      <c r="G3" s="431"/>
      <c r="I3" s="316"/>
      <c r="J3" s="431" t="s">
        <v>464</v>
      </c>
      <c r="K3" s="431"/>
      <c r="L3" s="431"/>
      <c r="M3" s="431"/>
      <c r="N3" s="431"/>
      <c r="O3" s="431"/>
      <c r="P3" s="87"/>
      <c r="Q3" s="316"/>
      <c r="R3" s="431" t="s">
        <v>465</v>
      </c>
      <c r="S3" s="431"/>
      <c r="T3" s="431"/>
      <c r="U3" s="431"/>
      <c r="V3" s="431"/>
      <c r="W3" s="431"/>
      <c r="Y3" s="316"/>
      <c r="Z3" s="431" t="s">
        <v>466</v>
      </c>
      <c r="AA3" s="431"/>
      <c r="AB3" s="431"/>
      <c r="AC3" s="431"/>
      <c r="AD3" s="431"/>
      <c r="AE3" s="431"/>
      <c r="AG3" s="316"/>
      <c r="AH3" s="431" t="s">
        <v>467</v>
      </c>
      <c r="AI3" s="431"/>
      <c r="AJ3" s="431"/>
      <c r="AK3" s="431"/>
      <c r="AL3" s="431"/>
      <c r="AM3" s="431"/>
      <c r="AN3" s="87"/>
      <c r="AO3" s="316"/>
      <c r="AP3" s="87"/>
      <c r="AQ3" s="87"/>
      <c r="AR3" s="72"/>
      <c r="AS3" s="316"/>
      <c r="AT3" s="431" t="s">
        <v>588</v>
      </c>
      <c r="AU3" s="431"/>
      <c r="AV3" s="431"/>
      <c r="AW3" s="431"/>
      <c r="AX3" s="431"/>
      <c r="AY3" s="431"/>
      <c r="BA3" s="316"/>
      <c r="BB3" s="431" t="s">
        <v>469</v>
      </c>
      <c r="BC3" s="431"/>
      <c r="BD3" s="431"/>
      <c r="BE3" s="431"/>
      <c r="BF3" s="431"/>
      <c r="BG3" s="431"/>
      <c r="BI3" s="316"/>
      <c r="BJ3" s="431" t="s">
        <v>470</v>
      </c>
      <c r="BK3" s="431"/>
      <c r="BL3" s="431"/>
      <c r="BM3" s="431"/>
      <c r="BN3" s="431"/>
      <c r="BO3" s="431"/>
      <c r="BP3" s="87"/>
      <c r="BQ3" s="316"/>
      <c r="BR3" s="431" t="s">
        <v>471</v>
      </c>
      <c r="BS3" s="431"/>
      <c r="BT3" s="431"/>
      <c r="BU3" s="431"/>
      <c r="BV3" s="431"/>
      <c r="BW3" s="431"/>
      <c r="BY3" s="316"/>
      <c r="BZ3" s="431" t="s">
        <v>472</v>
      </c>
      <c r="CA3" s="431"/>
      <c r="CB3" s="431"/>
      <c r="CC3" s="431"/>
      <c r="CD3" s="431"/>
      <c r="CE3" s="431"/>
      <c r="CG3" s="316"/>
      <c r="CH3" s="431" t="s">
        <v>473</v>
      </c>
      <c r="CI3" s="431"/>
      <c r="CJ3" s="431"/>
      <c r="CK3" s="431"/>
      <c r="CL3" s="431"/>
      <c r="CM3" s="431"/>
      <c r="CN3" s="87"/>
      <c r="CO3" s="316"/>
      <c r="CP3" s="87"/>
      <c r="CQ3" s="87"/>
      <c r="CR3" s="72"/>
      <c r="CS3" s="316"/>
      <c r="CT3" s="431" t="s">
        <v>589</v>
      </c>
      <c r="CU3" s="431"/>
      <c r="CV3" s="431"/>
      <c r="CW3" s="431"/>
      <c r="CX3" s="431"/>
      <c r="CY3" s="431"/>
      <c r="DA3" s="316"/>
      <c r="DB3" s="431" t="s">
        <v>476</v>
      </c>
      <c r="DC3" s="431"/>
      <c r="DD3" s="431"/>
      <c r="DE3" s="431"/>
      <c r="DF3" s="431"/>
      <c r="DG3" s="431"/>
      <c r="DI3" s="316"/>
      <c r="DJ3" s="431" t="s">
        <v>478</v>
      </c>
      <c r="DK3" s="431"/>
      <c r="DL3" s="431"/>
      <c r="DM3" s="431"/>
      <c r="DN3" s="431"/>
      <c r="DO3" s="431"/>
      <c r="DQ3" s="316"/>
      <c r="DR3" s="432" t="s">
        <v>479</v>
      </c>
      <c r="DS3" s="432"/>
      <c r="DT3" s="432"/>
      <c r="DU3" s="432"/>
      <c r="DV3" s="432"/>
      <c r="DW3" s="432"/>
      <c r="DX3" s="432"/>
      <c r="DY3" s="432"/>
      <c r="DZ3" s="57"/>
      <c r="EB3" s="316"/>
      <c r="EC3" s="417" t="s">
        <v>480</v>
      </c>
      <c r="ED3" s="417"/>
      <c r="EE3" s="417"/>
      <c r="EF3" s="417"/>
      <c r="EG3" s="417"/>
      <c r="EH3" s="417"/>
      <c r="EJ3" s="316"/>
      <c r="EK3" s="417" t="s">
        <v>482</v>
      </c>
      <c r="EL3" s="417"/>
      <c r="EM3" s="417"/>
      <c r="EN3" s="417"/>
      <c r="EO3" s="417"/>
      <c r="EP3" s="417"/>
      <c r="ER3" s="316"/>
      <c r="ES3" s="432" t="s">
        <v>484</v>
      </c>
      <c r="ET3" s="432"/>
      <c r="EU3" s="432"/>
      <c r="EV3" s="432"/>
      <c r="EW3" s="432"/>
      <c r="EX3" s="432"/>
      <c r="EY3" s="432"/>
      <c r="EZ3" s="432"/>
      <c r="FA3" s="432"/>
      <c r="FB3" s="432"/>
      <c r="FD3" s="316"/>
      <c r="FE3" s="24" t="s">
        <v>485</v>
      </c>
      <c r="FG3" s="90" t="s">
        <v>486</v>
      </c>
      <c r="FK3" s="454" t="s">
        <v>487</v>
      </c>
      <c r="FL3" s="454"/>
      <c r="FM3" s="96" t="s">
        <v>488</v>
      </c>
      <c r="FO3" s="316"/>
      <c r="FP3" s="431" t="s">
        <v>590</v>
      </c>
      <c r="FQ3" s="431"/>
      <c r="FR3" s="431"/>
      <c r="FS3" s="431"/>
      <c r="FT3" s="431"/>
      <c r="FU3" s="431"/>
      <c r="FV3" s="431"/>
    </row>
    <row r="4" spans="1:178" ht="55.3">
      <c r="A4" s="316"/>
      <c r="B4" s="37" t="s">
        <v>489</v>
      </c>
      <c r="C4" s="37" t="s">
        <v>490</v>
      </c>
      <c r="D4" s="37" t="s">
        <v>177</v>
      </c>
      <c r="E4" s="37" t="s">
        <v>491</v>
      </c>
      <c r="F4" s="37" t="s">
        <v>492</v>
      </c>
      <c r="G4" s="37" t="s">
        <v>493</v>
      </c>
      <c r="I4" s="316"/>
      <c r="J4" s="37" t="s">
        <v>489</v>
      </c>
      <c r="K4" s="37" t="s">
        <v>490</v>
      </c>
      <c r="L4" s="37" t="s">
        <v>177</v>
      </c>
      <c r="M4" s="37" t="s">
        <v>491</v>
      </c>
      <c r="N4" s="37" t="s">
        <v>492</v>
      </c>
      <c r="O4" s="37" t="s">
        <v>493</v>
      </c>
      <c r="P4" s="67"/>
      <c r="Q4" s="316"/>
      <c r="R4" s="37" t="s">
        <v>489</v>
      </c>
      <c r="S4" s="37" t="s">
        <v>490</v>
      </c>
      <c r="T4" s="37" t="s">
        <v>177</v>
      </c>
      <c r="U4" s="37" t="s">
        <v>491</v>
      </c>
      <c r="V4" s="37" t="s">
        <v>492</v>
      </c>
      <c r="W4" s="37" t="s">
        <v>493</v>
      </c>
      <c r="Y4" s="316"/>
      <c r="Z4" s="37" t="s">
        <v>489</v>
      </c>
      <c r="AA4" s="37" t="s">
        <v>490</v>
      </c>
      <c r="AB4" s="37" t="s">
        <v>177</v>
      </c>
      <c r="AC4" s="37" t="s">
        <v>491</v>
      </c>
      <c r="AD4" s="37" t="s">
        <v>492</v>
      </c>
      <c r="AE4" s="37" t="s">
        <v>493</v>
      </c>
      <c r="AG4" s="316"/>
      <c r="AH4" s="37" t="s">
        <v>489</v>
      </c>
      <c r="AI4" s="37" t="s">
        <v>490</v>
      </c>
      <c r="AJ4" s="37" t="s">
        <v>177</v>
      </c>
      <c r="AK4" s="37" t="s">
        <v>491</v>
      </c>
      <c r="AL4" s="37" t="s">
        <v>492</v>
      </c>
      <c r="AM4" s="37" t="s">
        <v>493</v>
      </c>
      <c r="AN4" s="67"/>
      <c r="AO4" s="316"/>
      <c r="AP4" s="67" t="s">
        <v>591</v>
      </c>
      <c r="AQ4" s="67" t="s">
        <v>592</v>
      </c>
      <c r="AR4" s="49"/>
      <c r="AS4" s="316"/>
      <c r="AT4" s="37" t="s">
        <v>489</v>
      </c>
      <c r="AU4" s="37" t="s">
        <v>490</v>
      </c>
      <c r="AV4" s="37" t="s">
        <v>177</v>
      </c>
      <c r="AW4" s="37" t="s">
        <v>491</v>
      </c>
      <c r="AX4" s="37" t="s">
        <v>492</v>
      </c>
      <c r="AY4" s="37" t="s">
        <v>493</v>
      </c>
      <c r="BA4" s="316"/>
      <c r="BB4" s="37" t="s">
        <v>489</v>
      </c>
      <c r="BC4" s="37" t="s">
        <v>490</v>
      </c>
      <c r="BD4" s="37" t="s">
        <v>177</v>
      </c>
      <c r="BE4" s="37" t="s">
        <v>491</v>
      </c>
      <c r="BF4" s="37" t="s">
        <v>492</v>
      </c>
      <c r="BG4" s="37" t="s">
        <v>493</v>
      </c>
      <c r="BI4" s="316"/>
      <c r="BJ4" s="37" t="s">
        <v>489</v>
      </c>
      <c r="BK4" s="37" t="s">
        <v>490</v>
      </c>
      <c r="BL4" s="37" t="s">
        <v>177</v>
      </c>
      <c r="BM4" s="37" t="s">
        <v>491</v>
      </c>
      <c r="BN4" s="37" t="s">
        <v>492</v>
      </c>
      <c r="BO4" s="37" t="s">
        <v>493</v>
      </c>
      <c r="BP4" s="67"/>
      <c r="BQ4" s="316"/>
      <c r="BR4" s="37" t="s">
        <v>489</v>
      </c>
      <c r="BS4" s="37" t="s">
        <v>490</v>
      </c>
      <c r="BT4" s="37" t="s">
        <v>177</v>
      </c>
      <c r="BU4" s="37" t="s">
        <v>491</v>
      </c>
      <c r="BV4" s="37" t="s">
        <v>492</v>
      </c>
      <c r="BW4" s="37" t="s">
        <v>493</v>
      </c>
      <c r="BY4" s="316"/>
      <c r="BZ4" s="37" t="s">
        <v>489</v>
      </c>
      <c r="CA4" s="37" t="s">
        <v>490</v>
      </c>
      <c r="CB4" s="37" t="s">
        <v>177</v>
      </c>
      <c r="CC4" s="37" t="s">
        <v>491</v>
      </c>
      <c r="CD4" s="37" t="s">
        <v>492</v>
      </c>
      <c r="CE4" s="37" t="s">
        <v>493</v>
      </c>
      <c r="CG4" s="316"/>
      <c r="CH4" s="37" t="s">
        <v>489</v>
      </c>
      <c r="CI4" s="37" t="s">
        <v>490</v>
      </c>
      <c r="CJ4" s="37" t="s">
        <v>177</v>
      </c>
      <c r="CK4" s="37" t="s">
        <v>491</v>
      </c>
      <c r="CL4" s="37" t="s">
        <v>492</v>
      </c>
      <c r="CM4" s="37" t="s">
        <v>493</v>
      </c>
      <c r="CN4" s="67"/>
      <c r="CO4" s="316"/>
      <c r="CP4" s="67" t="s">
        <v>591</v>
      </c>
      <c r="CQ4" s="67" t="s">
        <v>592</v>
      </c>
      <c r="CR4" s="49"/>
      <c r="CS4" s="316"/>
      <c r="CT4" s="37" t="s">
        <v>489</v>
      </c>
      <c r="CU4" s="37" t="s">
        <v>490</v>
      </c>
      <c r="CV4" s="37" t="s">
        <v>177</v>
      </c>
      <c r="CW4" s="37" t="s">
        <v>491</v>
      </c>
      <c r="CX4" s="37" t="s">
        <v>492</v>
      </c>
      <c r="CY4" s="37" t="s">
        <v>493</v>
      </c>
      <c r="DA4" s="316"/>
      <c r="DB4" s="37" t="s">
        <v>489</v>
      </c>
      <c r="DC4" s="37" t="s">
        <v>490</v>
      </c>
      <c r="DD4" s="37" t="s">
        <v>177</v>
      </c>
      <c r="DE4" s="37" t="s">
        <v>491</v>
      </c>
      <c r="DF4" s="37" t="s">
        <v>492</v>
      </c>
      <c r="DG4" s="37" t="s">
        <v>493</v>
      </c>
      <c r="DI4" s="316"/>
      <c r="DJ4" s="37" t="s">
        <v>489</v>
      </c>
      <c r="DK4" s="37" t="s">
        <v>490</v>
      </c>
      <c r="DL4" s="37" t="s">
        <v>177</v>
      </c>
      <c r="DM4" s="37" t="s">
        <v>491</v>
      </c>
      <c r="DN4" s="37" t="s">
        <v>492</v>
      </c>
      <c r="DO4" s="37" t="s">
        <v>493</v>
      </c>
      <c r="DQ4" s="316"/>
      <c r="DR4" s="24" t="s">
        <v>494</v>
      </c>
      <c r="DS4" s="32" t="s">
        <v>593</v>
      </c>
      <c r="DT4" s="32" t="s">
        <v>495</v>
      </c>
      <c r="DU4" s="32" t="s">
        <v>594</v>
      </c>
      <c r="DV4" s="32" t="s">
        <v>138</v>
      </c>
      <c r="DW4" s="32" t="s">
        <v>496</v>
      </c>
      <c r="DX4" s="32" t="s">
        <v>496</v>
      </c>
      <c r="DY4" s="32" t="s">
        <v>497</v>
      </c>
      <c r="DZ4" s="32" t="s">
        <v>497</v>
      </c>
      <c r="EB4" s="316"/>
      <c r="EC4" s="37" t="s">
        <v>489</v>
      </c>
      <c r="ED4" s="37" t="s">
        <v>490</v>
      </c>
      <c r="EE4" s="37" t="s">
        <v>177</v>
      </c>
      <c r="EF4" s="37" t="s">
        <v>491</v>
      </c>
      <c r="EG4" s="37" t="s">
        <v>492</v>
      </c>
      <c r="EH4" s="37" t="s">
        <v>493</v>
      </c>
      <c r="EJ4" s="316"/>
      <c r="EK4" s="37" t="s">
        <v>489</v>
      </c>
      <c r="EL4" s="37" t="s">
        <v>490</v>
      </c>
      <c r="EM4" s="37" t="s">
        <v>177</v>
      </c>
      <c r="EN4" s="37" t="s">
        <v>491</v>
      </c>
      <c r="EO4" s="37" t="s">
        <v>492</v>
      </c>
      <c r="EP4" s="37" t="s">
        <v>493</v>
      </c>
      <c r="ER4" s="316"/>
      <c r="ES4" s="24" t="s">
        <v>498</v>
      </c>
      <c r="ET4" s="24" t="s">
        <v>499</v>
      </c>
      <c r="EU4" s="24" t="s">
        <v>500</v>
      </c>
      <c r="EV4" s="24" t="s">
        <v>501</v>
      </c>
      <c r="EW4" s="32" t="s">
        <v>502</v>
      </c>
      <c r="EX4" s="32" t="s">
        <v>503</v>
      </c>
      <c r="EY4" s="32" t="s">
        <v>504</v>
      </c>
      <c r="EZ4" s="32" t="s">
        <v>505</v>
      </c>
      <c r="FA4" s="32" t="s">
        <v>506</v>
      </c>
      <c r="FB4" s="32" t="s">
        <v>507</v>
      </c>
      <c r="FD4" s="316"/>
      <c r="FE4" s="24" t="s">
        <v>21</v>
      </c>
      <c r="FF4" s="24" t="s">
        <v>21</v>
      </c>
      <c r="FG4" s="90" t="s">
        <v>24</v>
      </c>
      <c r="FH4" s="90" t="s">
        <v>24</v>
      </c>
      <c r="FI4" s="24" t="s">
        <v>25</v>
      </c>
      <c r="FK4" s="96" t="s">
        <v>508</v>
      </c>
      <c r="FL4" s="96" t="s">
        <v>509</v>
      </c>
      <c r="FM4" s="96" t="s">
        <v>510</v>
      </c>
      <c r="FO4" s="316"/>
      <c r="FP4" s="37" t="s">
        <v>489</v>
      </c>
      <c r="FQ4" s="37" t="s">
        <v>490</v>
      </c>
      <c r="FR4" s="37" t="s">
        <v>177</v>
      </c>
      <c r="FS4" s="37" t="s">
        <v>491</v>
      </c>
      <c r="FT4" s="37" t="s">
        <v>492</v>
      </c>
      <c r="FU4" s="37" t="s">
        <v>493</v>
      </c>
      <c r="FV4" s="37" t="s">
        <v>188</v>
      </c>
    </row>
    <row r="5" spans="1:178">
      <c r="A5" s="316"/>
      <c r="B5" s="37" t="s">
        <v>511</v>
      </c>
      <c r="C5" s="37" t="s">
        <v>511</v>
      </c>
      <c r="D5" s="37" t="s">
        <v>511</v>
      </c>
      <c r="E5" s="37" t="s">
        <v>511</v>
      </c>
      <c r="F5" s="37" t="s">
        <v>511</v>
      </c>
      <c r="G5" s="37" t="s">
        <v>511</v>
      </c>
      <c r="I5" s="316"/>
      <c r="J5" s="37" t="s">
        <v>511</v>
      </c>
      <c r="K5" s="37" t="s">
        <v>511</v>
      </c>
      <c r="L5" s="37" t="s">
        <v>511</v>
      </c>
      <c r="M5" s="37" t="s">
        <v>511</v>
      </c>
      <c r="N5" s="37" t="s">
        <v>511</v>
      </c>
      <c r="O5" s="37" t="s">
        <v>511</v>
      </c>
      <c r="P5" s="67"/>
      <c r="Q5" s="316"/>
      <c r="R5" s="37" t="s">
        <v>511</v>
      </c>
      <c r="S5" s="37" t="s">
        <v>511</v>
      </c>
      <c r="T5" s="37" t="s">
        <v>511</v>
      </c>
      <c r="U5" s="37" t="s">
        <v>511</v>
      </c>
      <c r="V5" s="37" t="s">
        <v>511</v>
      </c>
      <c r="W5" s="37" t="s">
        <v>511</v>
      </c>
      <c r="Y5" s="316"/>
      <c r="Z5" s="37" t="s">
        <v>511</v>
      </c>
      <c r="AA5" s="37" t="s">
        <v>511</v>
      </c>
      <c r="AB5" s="37" t="s">
        <v>511</v>
      </c>
      <c r="AC5" s="37" t="s">
        <v>511</v>
      </c>
      <c r="AD5" s="37" t="s">
        <v>511</v>
      </c>
      <c r="AE5" s="37" t="s">
        <v>511</v>
      </c>
      <c r="AG5" s="316"/>
      <c r="AN5" s="67"/>
      <c r="AO5" s="316"/>
      <c r="AP5" s="67"/>
      <c r="AQ5" s="67"/>
      <c r="AR5" s="49"/>
      <c r="AS5" s="316"/>
      <c r="BA5" s="316"/>
      <c r="BB5" s="37" t="s">
        <v>511</v>
      </c>
      <c r="BC5" s="37" t="s">
        <v>511</v>
      </c>
      <c r="BD5" s="37" t="s">
        <v>511</v>
      </c>
      <c r="BE5" s="37" t="s">
        <v>511</v>
      </c>
      <c r="BF5" s="37" t="s">
        <v>511</v>
      </c>
      <c r="BG5" s="37" t="s">
        <v>511</v>
      </c>
      <c r="BI5" s="316"/>
      <c r="BJ5" s="37" t="s">
        <v>511</v>
      </c>
      <c r="BK5" s="37" t="s">
        <v>511</v>
      </c>
      <c r="BL5" s="37" t="s">
        <v>511</v>
      </c>
      <c r="BM5" s="37" t="s">
        <v>511</v>
      </c>
      <c r="BN5" s="37" t="s">
        <v>511</v>
      </c>
      <c r="BO5" s="37" t="s">
        <v>511</v>
      </c>
      <c r="BP5" s="67"/>
      <c r="BQ5" s="316"/>
      <c r="BR5" s="37" t="s">
        <v>511</v>
      </c>
      <c r="BS5" s="37" t="s">
        <v>511</v>
      </c>
      <c r="BT5" s="37" t="s">
        <v>511</v>
      </c>
      <c r="BU5" s="37" t="s">
        <v>511</v>
      </c>
      <c r="BV5" s="37" t="s">
        <v>511</v>
      </c>
      <c r="BW5" s="37" t="s">
        <v>511</v>
      </c>
      <c r="BY5" s="316"/>
      <c r="BZ5" s="37" t="s">
        <v>511</v>
      </c>
      <c r="CA5" s="37" t="s">
        <v>511</v>
      </c>
      <c r="CB5" s="37" t="s">
        <v>511</v>
      </c>
      <c r="CC5" s="37" t="s">
        <v>511</v>
      </c>
      <c r="CD5" s="37" t="s">
        <v>511</v>
      </c>
      <c r="CE5" s="37" t="s">
        <v>511</v>
      </c>
      <c r="CG5" s="316"/>
      <c r="CN5" s="67"/>
      <c r="CO5" s="316"/>
      <c r="CP5" s="67"/>
      <c r="CQ5" s="67"/>
      <c r="CR5" s="49"/>
      <c r="CS5" s="316"/>
      <c r="DA5" s="316"/>
      <c r="DB5" s="37" t="s">
        <v>511</v>
      </c>
      <c r="DC5" s="37" t="s">
        <v>511</v>
      </c>
      <c r="DD5" s="37" t="s">
        <v>511</v>
      </c>
      <c r="DE5" s="37" t="s">
        <v>511</v>
      </c>
      <c r="DF5" s="37" t="s">
        <v>511</v>
      </c>
      <c r="DG5" s="37" t="s">
        <v>511</v>
      </c>
      <c r="DI5" s="316"/>
      <c r="DJ5" s="38" t="s">
        <v>512</v>
      </c>
      <c r="DK5" s="38" t="s">
        <v>512</v>
      </c>
      <c r="DL5" s="38" t="s">
        <v>512</v>
      </c>
      <c r="DM5" s="38" t="s">
        <v>512</v>
      </c>
      <c r="DN5" s="38" t="s">
        <v>512</v>
      </c>
      <c r="DO5" s="38" t="s">
        <v>512</v>
      </c>
      <c r="DQ5" s="316"/>
      <c r="DR5" s="37" t="s">
        <v>511</v>
      </c>
      <c r="DS5" s="37" t="s">
        <v>595</v>
      </c>
      <c r="DT5" s="37" t="s">
        <v>511</v>
      </c>
      <c r="DU5" s="37" t="s">
        <v>595</v>
      </c>
      <c r="DV5" s="38" t="s">
        <v>512</v>
      </c>
      <c r="DW5" s="37" t="s">
        <v>511</v>
      </c>
      <c r="DX5" s="37" t="s">
        <v>595</v>
      </c>
      <c r="DY5" s="37" t="s">
        <v>511</v>
      </c>
      <c r="DZ5" s="37" t="s">
        <v>595</v>
      </c>
      <c r="EB5" s="316"/>
      <c r="EC5" s="38" t="s">
        <v>512</v>
      </c>
      <c r="ED5" s="38" t="s">
        <v>512</v>
      </c>
      <c r="EE5" s="38" t="s">
        <v>512</v>
      </c>
      <c r="EF5" s="38" t="s">
        <v>512</v>
      </c>
      <c r="EG5" s="38" t="s">
        <v>512</v>
      </c>
      <c r="EH5" s="38" t="s">
        <v>512</v>
      </c>
      <c r="EJ5" s="316"/>
      <c r="EK5" s="38" t="s">
        <v>512</v>
      </c>
      <c r="EL5" s="38" t="s">
        <v>512</v>
      </c>
      <c r="EM5" s="38" t="s">
        <v>512</v>
      </c>
      <c r="EN5" s="38" t="s">
        <v>512</v>
      </c>
      <c r="EO5" s="38" t="s">
        <v>512</v>
      </c>
      <c r="EP5" s="38" t="s">
        <v>512</v>
      </c>
      <c r="ER5" s="316"/>
      <c r="ES5" s="38" t="s">
        <v>513</v>
      </c>
      <c r="ET5" s="38" t="s">
        <v>513</v>
      </c>
      <c r="EU5" s="38" t="s">
        <v>513</v>
      </c>
      <c r="EV5" s="38" t="s">
        <v>513</v>
      </c>
      <c r="EW5" s="24" t="s">
        <v>514</v>
      </c>
      <c r="EX5" s="24" t="s">
        <v>514</v>
      </c>
      <c r="EY5" s="24" t="s">
        <v>514</v>
      </c>
      <c r="EZ5" s="24" t="s">
        <v>514</v>
      </c>
      <c r="FA5" s="24" t="s">
        <v>514</v>
      </c>
      <c r="FB5" s="24" t="s">
        <v>514</v>
      </c>
      <c r="FD5" s="316"/>
      <c r="FE5" s="24" t="s">
        <v>514</v>
      </c>
      <c r="FF5" s="24" t="s">
        <v>514</v>
      </c>
      <c r="FG5" s="90" t="s">
        <v>514</v>
      </c>
      <c r="FH5" s="90" t="s">
        <v>514</v>
      </c>
      <c r="FO5" s="316"/>
    </row>
    <row r="6" spans="1:178" hidden="1" outlineLevel="1">
      <c r="A6" s="316">
        <v>1980</v>
      </c>
      <c r="B6" s="61">
        <v>156565.4</v>
      </c>
      <c r="C6" s="61">
        <v>11183</v>
      </c>
      <c r="D6" s="61">
        <v>88439.1</v>
      </c>
      <c r="E6" s="61">
        <v>24271.1</v>
      </c>
      <c r="F6" s="61">
        <v>83324.899999999994</v>
      </c>
      <c r="G6" s="61">
        <v>178336</v>
      </c>
      <c r="I6" s="316">
        <v>1980</v>
      </c>
      <c r="J6" s="61">
        <v>197430.1</v>
      </c>
      <c r="K6" s="61">
        <v>14150.3</v>
      </c>
      <c r="L6" s="61">
        <v>105433.3</v>
      </c>
      <c r="M6" s="61">
        <v>30067.200000000001</v>
      </c>
      <c r="N6" s="61">
        <v>100291.3</v>
      </c>
      <c r="O6" s="61">
        <v>229343.9</v>
      </c>
      <c r="Q6" s="316">
        <v>1980</v>
      </c>
      <c r="R6" s="46">
        <f t="shared" ref="R6:W19" si="0">B6/B$20*R$20</f>
        <v>177527.28272116708</v>
      </c>
      <c r="S6" s="46">
        <f t="shared" si="0"/>
        <v>10426.971661664134</v>
      </c>
      <c r="T6" s="46">
        <f t="shared" si="0"/>
        <v>100162.53411091551</v>
      </c>
      <c r="U6" s="46">
        <f t="shared" si="0"/>
        <v>26366.23704940977</v>
      </c>
      <c r="V6" s="46">
        <f t="shared" si="0"/>
        <v>82566.007793900644</v>
      </c>
      <c r="W6" s="46">
        <f t="shared" si="0"/>
        <v>185477.15843367641</v>
      </c>
      <c r="Y6" s="316">
        <v>1980</v>
      </c>
      <c r="Z6" s="46">
        <f t="shared" ref="Z6:AE19" si="1">J6/J$20*Z$20</f>
        <v>234420.88495401439</v>
      </c>
      <c r="AA6" s="46">
        <f t="shared" si="1"/>
        <v>13930.632549786942</v>
      </c>
      <c r="AB6" s="46">
        <f t="shared" si="1"/>
        <v>124030.9630262401</v>
      </c>
      <c r="AC6" s="46">
        <f t="shared" si="1"/>
        <v>34460.212835240585</v>
      </c>
      <c r="AD6" s="46">
        <f t="shared" si="1"/>
        <v>102536.56069559009</v>
      </c>
      <c r="AE6" s="46">
        <f t="shared" si="1"/>
        <v>252177.91824812553</v>
      </c>
      <c r="AG6" s="316">
        <v>1980</v>
      </c>
      <c r="AH6" s="48">
        <f t="shared" ref="AH6:AM21" si="2">R6/Z6</f>
        <v>0.75730147830468286</v>
      </c>
      <c r="AI6" s="48">
        <f t="shared" si="2"/>
        <v>0.74849233330927289</v>
      </c>
      <c r="AJ6" s="48">
        <f t="shared" si="2"/>
        <v>0.80756072247641131</v>
      </c>
      <c r="AK6" s="48">
        <f t="shared" si="2"/>
        <v>0.76512113188246056</v>
      </c>
      <c r="AL6" s="48">
        <f t="shared" si="2"/>
        <v>0.80523480828484295</v>
      </c>
      <c r="AM6" s="48">
        <f t="shared" si="2"/>
        <v>0.73550118790012287</v>
      </c>
      <c r="AO6" s="316">
        <v>1980</v>
      </c>
      <c r="AP6" s="62">
        <v>0.14966875871687257</v>
      </c>
      <c r="AS6" s="316">
        <v>1980</v>
      </c>
      <c r="BA6" s="316">
        <v>1980</v>
      </c>
      <c r="BB6" s="61">
        <v>16179.3</v>
      </c>
      <c r="BC6" s="61">
        <v>892.6</v>
      </c>
      <c r="BD6" s="61">
        <v>10403.700000000001</v>
      </c>
      <c r="BE6" s="61">
        <v>2954.4</v>
      </c>
      <c r="BF6" s="61">
        <v>6281.2</v>
      </c>
      <c r="BG6" s="61">
        <v>14504.7</v>
      </c>
      <c r="BI6" s="316">
        <v>1980</v>
      </c>
      <c r="BJ6" s="61">
        <v>20757.8</v>
      </c>
      <c r="BK6" s="61">
        <v>1158.8</v>
      </c>
      <c r="BL6" s="61">
        <v>12713.7</v>
      </c>
      <c r="BM6" s="61">
        <v>4290.8999999999996</v>
      </c>
      <c r="BN6" s="61">
        <v>7740</v>
      </c>
      <c r="BO6" s="61">
        <v>19247.400000000001</v>
      </c>
      <c r="BQ6" s="316">
        <v>1980</v>
      </c>
      <c r="BR6" s="46">
        <f>BB6/BB$20*BR$20</f>
        <v>18532.920977638012</v>
      </c>
      <c r="BS6" s="46">
        <f t="shared" ref="BS6:BW19" si="3">BC6/BC$20*BS$20</f>
        <v>885.53040096174254</v>
      </c>
      <c r="BT6" s="46">
        <f t="shared" si="3"/>
        <v>12992.532461173214</v>
      </c>
      <c r="BU6" s="46">
        <f t="shared" si="3"/>
        <v>3237.8996475752765</v>
      </c>
      <c r="BV6" s="46">
        <f t="shared" si="3"/>
        <v>6439.5705119909826</v>
      </c>
      <c r="BW6" s="46">
        <f t="shared" si="3"/>
        <v>14377.4020322822</v>
      </c>
      <c r="BY6" s="316">
        <v>1980</v>
      </c>
      <c r="BZ6" s="46">
        <f t="shared" ref="BZ6:CE19" si="4">BJ6/BJ$20*BZ$20</f>
        <v>24749.738610848097</v>
      </c>
      <c r="CA6" s="46">
        <f t="shared" si="4"/>
        <v>1215.8924096052995</v>
      </c>
      <c r="CB6" s="46">
        <f t="shared" si="4"/>
        <v>16493.459966896415</v>
      </c>
      <c r="CC6" s="46">
        <f t="shared" si="4"/>
        <v>5013.9204338624331</v>
      </c>
      <c r="CD6" s="46">
        <f t="shared" si="4"/>
        <v>8195.4705972356805</v>
      </c>
      <c r="CE6" s="46">
        <f t="shared" si="4"/>
        <v>20272.2554747289</v>
      </c>
      <c r="CG6" s="316">
        <v>1980</v>
      </c>
      <c r="CH6" s="48">
        <f t="shared" ref="CH6:CM21" si="5">BR6/BZ6</f>
        <v>0.74881279633049613</v>
      </c>
      <c r="CI6" s="48">
        <f t="shared" si="5"/>
        <v>0.72829667655315133</v>
      </c>
      <c r="CJ6" s="48">
        <f t="shared" si="5"/>
        <v>0.78773844222195832</v>
      </c>
      <c r="CK6" s="48">
        <f t="shared" si="5"/>
        <v>0.64578201634543819</v>
      </c>
      <c r="CL6" s="48">
        <f t="shared" si="5"/>
        <v>0.78574749742413075</v>
      </c>
      <c r="CM6" s="48">
        <f t="shared" si="5"/>
        <v>0.70921570864203354</v>
      </c>
      <c r="CO6" s="316">
        <v>1980</v>
      </c>
      <c r="CP6" s="62">
        <v>0.14966875871687257</v>
      </c>
      <c r="CS6" s="316">
        <v>1980</v>
      </c>
      <c r="DA6" s="316">
        <v>1980</v>
      </c>
      <c r="DB6" s="43"/>
      <c r="DC6" s="43"/>
      <c r="DD6" s="43"/>
      <c r="DE6" s="43"/>
      <c r="DF6" s="43"/>
      <c r="DG6" s="43"/>
      <c r="DI6" s="316">
        <v>1980</v>
      </c>
      <c r="DJ6" s="43"/>
      <c r="DK6" s="43"/>
      <c r="DL6" s="43"/>
      <c r="DM6" s="43"/>
      <c r="DN6" s="43"/>
      <c r="DO6" s="43"/>
      <c r="DQ6" s="316">
        <v>1980</v>
      </c>
      <c r="DR6" s="61">
        <v>256075.9</v>
      </c>
      <c r="DS6" s="43"/>
      <c r="DT6" s="61">
        <v>273389.5</v>
      </c>
      <c r="DU6" s="43"/>
      <c r="DV6" s="89">
        <v>-1</v>
      </c>
      <c r="DW6" s="46">
        <f t="shared" ref="DW6:DW46" si="6">DR6/(1+DV6/100)</f>
        <v>258662.52525252526</v>
      </c>
      <c r="DX6" s="43"/>
      <c r="DY6" s="46">
        <f t="shared" ref="DY6:DY46" si="7">DT6/(1+DV6/100)</f>
        <v>276151.01010101009</v>
      </c>
      <c r="DZ6" s="43"/>
      <c r="EB6" s="316">
        <v>1980</v>
      </c>
      <c r="EC6" s="88">
        <f t="shared" ref="EC6:EC46" si="8">BR6/$DR6</f>
        <v>7.23727651748486E-2</v>
      </c>
      <c r="ED6" s="88">
        <f t="shared" ref="ED6:ED46" si="9">BS6/$DR6</f>
        <v>3.4580778627029819E-3</v>
      </c>
      <c r="EE6" s="88">
        <f t="shared" ref="EE6:EE46" si="10">BT6/$DR6</f>
        <v>5.0737037187697918E-2</v>
      </c>
      <c r="EF6" s="88">
        <f t="shared" ref="EF6:EF46" si="11">BU6/$DR6</f>
        <v>1.2644296661947793E-2</v>
      </c>
      <c r="EG6" s="88">
        <f t="shared" ref="EG6:EG46" si="12">BV6/$DR6</f>
        <v>2.5147116585320924E-2</v>
      </c>
      <c r="EH6" s="88">
        <f t="shared" ref="EH6:EH46" si="13">BW6/$DR6</f>
        <v>5.6145080549486304E-2</v>
      </c>
      <c r="EI6" s="140"/>
      <c r="EJ6" s="316">
        <v>1980</v>
      </c>
      <c r="EK6" s="88">
        <f t="shared" ref="EK6:EK46" si="14">R6/$DW6</f>
        <v>0.68632780317849285</v>
      </c>
      <c r="EL6" s="88">
        <f t="shared" ref="EL6:EL46" si="15">S6/$DW6</f>
        <v>4.0311102860704551E-2</v>
      </c>
      <c r="EM6" s="88">
        <f t="shared" ref="EM6:EM46" si="16">T6/$DW6</f>
        <v>0.38723249149883437</v>
      </c>
      <c r="EN6" s="88">
        <f t="shared" ref="EN6:EN46" si="17">U6/$DW6</f>
        <v>0.10193296080933689</v>
      </c>
      <c r="EO6" s="88">
        <f t="shared" ref="EO6:EO46" si="18">V6/$DW6</f>
        <v>0.31920359438729545</v>
      </c>
      <c r="EP6" s="88">
        <f t="shared" ref="EP6:EP46" si="19">W6/$DW6</f>
        <v>0.71706235084730596</v>
      </c>
      <c r="ER6" s="316">
        <v>1980</v>
      </c>
      <c r="ES6" s="317">
        <f>SUM(ET6:EV6)</f>
        <v>117061</v>
      </c>
      <c r="ET6" s="61">
        <v>27524</v>
      </c>
      <c r="EU6" s="61">
        <v>78884</v>
      </c>
      <c r="EV6" s="61">
        <v>10653</v>
      </c>
      <c r="EW6" s="88">
        <f>ET6/$ES6</f>
        <v>0.2351252765652096</v>
      </c>
      <c r="EX6" s="88">
        <f>EU6/$ES6</f>
        <v>0.67387088782771376</v>
      </c>
      <c r="EY6" s="88">
        <f>EV6/$ES6</f>
        <v>9.1003835607076658E-2</v>
      </c>
      <c r="EZ6" s="38"/>
      <c r="FA6" s="38"/>
      <c r="FD6" s="316">
        <v>1980</v>
      </c>
      <c r="FF6" s="43"/>
      <c r="FH6" s="55"/>
      <c r="FO6" s="316">
        <v>1980</v>
      </c>
      <c r="FP6" s="61">
        <v>209115.89550873864</v>
      </c>
      <c r="FQ6" s="61">
        <v>12344.283979982103</v>
      </c>
      <c r="FR6" s="61">
        <v>129499.31966766097</v>
      </c>
      <c r="FS6" s="61">
        <v>52625.431821695216</v>
      </c>
      <c r="FT6" s="61">
        <v>69112.274387905345</v>
      </c>
      <c r="FU6" s="61">
        <v>202914.43510561698</v>
      </c>
      <c r="FV6" s="46">
        <f>SUM(FP6:FU6)</f>
        <v>675611.6404715993</v>
      </c>
    </row>
    <row r="7" spans="1:178" hidden="1" outlineLevel="1">
      <c r="A7" s="316">
        <v>1981</v>
      </c>
      <c r="B7" s="61">
        <v>163912.4</v>
      </c>
      <c r="C7" s="61">
        <v>11670.9</v>
      </c>
      <c r="D7" s="61">
        <v>93040.7</v>
      </c>
      <c r="E7" s="61">
        <v>26055.7</v>
      </c>
      <c r="F7" s="61">
        <v>89082.4</v>
      </c>
      <c r="G7" s="61">
        <v>193128.5</v>
      </c>
      <c r="I7" s="316">
        <v>1981</v>
      </c>
      <c r="J7" s="61">
        <v>204438.7</v>
      </c>
      <c r="K7" s="61">
        <v>14583.3</v>
      </c>
      <c r="L7" s="61">
        <v>109278.39999999999</v>
      </c>
      <c r="M7" s="61">
        <v>31791.4</v>
      </c>
      <c r="N7" s="61">
        <v>104749.9</v>
      </c>
      <c r="O7" s="61">
        <v>242393.1</v>
      </c>
      <c r="Q7" s="316">
        <v>1981</v>
      </c>
      <c r="R7" s="46">
        <f t="shared" si="0"/>
        <v>185857.94164167196</v>
      </c>
      <c r="S7" s="46">
        <f t="shared" si="0"/>
        <v>10881.887111340064</v>
      </c>
      <c r="T7" s="46">
        <f t="shared" si="0"/>
        <v>105374.11945003347</v>
      </c>
      <c r="U7" s="46">
        <f t="shared" si="0"/>
        <v>28304.887816716433</v>
      </c>
      <c r="V7" s="46">
        <f t="shared" si="0"/>
        <v>88271.070624739717</v>
      </c>
      <c r="W7" s="46">
        <f t="shared" si="0"/>
        <v>200861.99865735619</v>
      </c>
      <c r="Y7" s="316">
        <v>1981</v>
      </c>
      <c r="Z7" s="46">
        <f t="shared" si="1"/>
        <v>242742.62624011363</v>
      </c>
      <c r="AA7" s="46">
        <f t="shared" si="1"/>
        <v>14356.910713080848</v>
      </c>
      <c r="AB7" s="46">
        <f t="shared" si="1"/>
        <v>128554.31054483428</v>
      </c>
      <c r="AC7" s="46">
        <f t="shared" si="1"/>
        <v>36436.329632631823</v>
      </c>
      <c r="AD7" s="46">
        <f t="shared" si="1"/>
        <v>107094.97712370855</v>
      </c>
      <c r="AE7" s="46">
        <f t="shared" si="1"/>
        <v>266526.32730022341</v>
      </c>
      <c r="AG7" s="316">
        <v>1981</v>
      </c>
      <c r="AH7" s="48">
        <f t="shared" si="2"/>
        <v>0.7656584445857767</v>
      </c>
      <c r="AI7" s="48">
        <f t="shared" si="2"/>
        <v>0.75795464141358593</v>
      </c>
      <c r="AJ7" s="48">
        <f t="shared" si="2"/>
        <v>0.81968561772406268</v>
      </c>
      <c r="AK7" s="48">
        <f t="shared" si="2"/>
        <v>0.77683147842001643</v>
      </c>
      <c r="AL7" s="48">
        <f t="shared" si="2"/>
        <v>0.8242316586218158</v>
      </c>
      <c r="AM7" s="48">
        <f t="shared" si="2"/>
        <v>0.75362910933409999</v>
      </c>
      <c r="AO7" s="316">
        <v>1981</v>
      </c>
      <c r="AP7" s="62">
        <v>1.3496095230880245E-2</v>
      </c>
      <c r="AS7" s="316">
        <v>1981</v>
      </c>
      <c r="AT7" s="308">
        <f>AH7/AH6-1</f>
        <v>1.1035190766829128E-2</v>
      </c>
      <c r="AU7" s="308">
        <f t="shared" ref="AU7:AY22" si="20">AI7/AI6-1</f>
        <v>1.2641823681049269E-2</v>
      </c>
      <c r="AV7" s="308">
        <f t="shared" si="20"/>
        <v>1.5014221110791537E-2</v>
      </c>
      <c r="AW7" s="308">
        <f t="shared" si="20"/>
        <v>1.5305219068703968E-2</v>
      </c>
      <c r="AX7" s="308">
        <f t="shared" si="20"/>
        <v>2.3591690450436742E-2</v>
      </c>
      <c r="AY7" s="308">
        <f t="shared" si="20"/>
        <v>2.4647032162834259E-2</v>
      </c>
      <c r="BA7" s="316">
        <v>1981</v>
      </c>
      <c r="BB7" s="61">
        <v>15655.6</v>
      </c>
      <c r="BC7" s="61">
        <v>892.7</v>
      </c>
      <c r="BD7" s="61">
        <v>10182</v>
      </c>
      <c r="BE7" s="61">
        <v>3236.2</v>
      </c>
      <c r="BF7" s="61">
        <v>6097</v>
      </c>
      <c r="BG7" s="61">
        <v>14910.9</v>
      </c>
      <c r="BI7" s="316">
        <v>1981</v>
      </c>
      <c r="BJ7" s="61">
        <v>20187.099999999999</v>
      </c>
      <c r="BK7" s="61">
        <v>1146.4000000000001</v>
      </c>
      <c r="BL7" s="61">
        <v>12212.5</v>
      </c>
      <c r="BM7" s="61">
        <v>4599.3999999999996</v>
      </c>
      <c r="BN7" s="61">
        <v>7295.4</v>
      </c>
      <c r="BO7" s="61">
        <v>19214</v>
      </c>
      <c r="BQ7" s="316">
        <v>1981</v>
      </c>
      <c r="BR7" s="46">
        <f t="shared" ref="BR7:BR18" si="21">BB7/BB$20*BR$20</f>
        <v>17933.037749316081</v>
      </c>
      <c r="BS7" s="46">
        <f t="shared" si="3"/>
        <v>885.62960893854768</v>
      </c>
      <c r="BT7" s="46">
        <f t="shared" si="3"/>
        <v>12715.665149866456</v>
      </c>
      <c r="BU7" s="46">
        <f t="shared" si="3"/>
        <v>3546.7407390614367</v>
      </c>
      <c r="BV7" s="46">
        <f t="shared" si="3"/>
        <v>6250.7262006637293</v>
      </c>
      <c r="BW7" s="46">
        <f t="shared" si="3"/>
        <v>14780.03708888544</v>
      </c>
      <c r="BY7" s="316">
        <v>1981</v>
      </c>
      <c r="BZ7" s="46">
        <f t="shared" si="4"/>
        <v>24069.287126335723</v>
      </c>
      <c r="CA7" s="46">
        <f t="shared" si="4"/>
        <v>1202.8814794369307</v>
      </c>
      <c r="CB7" s="46">
        <f t="shared" si="4"/>
        <v>15843.254115302583</v>
      </c>
      <c r="CC7" s="46">
        <f t="shared" si="4"/>
        <v>5374.4029559082883</v>
      </c>
      <c r="CD7" s="46">
        <f t="shared" si="4"/>
        <v>7724.7075187433056</v>
      </c>
      <c r="CE7" s="46">
        <f t="shared" si="4"/>
        <v>20237.077043727521</v>
      </c>
      <c r="CG7" s="316">
        <v>1981</v>
      </c>
      <c r="CH7" s="48">
        <f t="shared" si="5"/>
        <v>0.74505894816030571</v>
      </c>
      <c r="CI7" s="48">
        <f t="shared" si="5"/>
        <v>0.73625675021042913</v>
      </c>
      <c r="CJ7" s="48">
        <f t="shared" si="5"/>
        <v>0.80259175654985737</v>
      </c>
      <c r="CK7" s="48">
        <f t="shared" si="5"/>
        <v>0.65993204606334321</v>
      </c>
      <c r="CL7" s="48">
        <f t="shared" si="5"/>
        <v>0.80918613235477288</v>
      </c>
      <c r="CM7" s="48">
        <f t="shared" si="5"/>
        <v>0.73034445918001334</v>
      </c>
      <c r="CO7" s="316">
        <v>1981</v>
      </c>
      <c r="CP7" s="62">
        <v>1.3496095230880245E-2</v>
      </c>
      <c r="CS7" s="316">
        <v>1981</v>
      </c>
      <c r="CT7" s="308">
        <f>CH7/CH6-1</f>
        <v>-5.0130662678120608E-3</v>
      </c>
      <c r="CU7" s="308">
        <f t="shared" ref="CU7:CY22" si="22">CI7/CI6-1</f>
        <v>1.0929713005077613E-2</v>
      </c>
      <c r="CV7" s="308">
        <f t="shared" si="22"/>
        <v>1.885564234494197E-2</v>
      </c>
      <c r="CW7" s="308">
        <f t="shared" si="22"/>
        <v>2.1911464487632815E-2</v>
      </c>
      <c r="CX7" s="308">
        <f t="shared" si="22"/>
        <v>2.9829729025519836E-2</v>
      </c>
      <c r="CY7" s="308">
        <f t="shared" si="22"/>
        <v>2.9791712564342321E-2</v>
      </c>
      <c r="DA7" s="316">
        <v>1981</v>
      </c>
      <c r="DB7" s="46">
        <f t="shared" ref="DB7:DB46" si="23">-(Z7-Z6-BZ7)</f>
        <v>15747.545840236475</v>
      </c>
      <c r="DC7" s="46">
        <f t="shared" ref="DC7:DC46" si="24">-(AA7-AA6-CA7)</f>
        <v>776.60331614302481</v>
      </c>
      <c r="DD7" s="46">
        <f t="shared" ref="DD7:DD46" si="25">-(AB7-AB6-CB7)</f>
        <v>11319.906596708404</v>
      </c>
      <c r="DE7" s="46">
        <f t="shared" ref="DE7:DE46" si="26">-(AC7-AC6-CC7)</f>
        <v>3398.2861585170504</v>
      </c>
      <c r="DF7" s="46">
        <f t="shared" ref="DF7:DF46" si="27">-(AD7-AD6-CD7)</f>
        <v>3166.2910906248417</v>
      </c>
      <c r="DG7" s="46">
        <f t="shared" ref="DG7:DG46" si="28">-(AE7-AE6-CE7)</f>
        <v>5888.6679916296416</v>
      </c>
      <c r="DI7" s="316">
        <v>1981</v>
      </c>
      <c r="DJ7" s="88">
        <f t="shared" ref="DJ7:DJ46" si="29">DB7/Z6</f>
        <v>6.7176377409059018E-2</v>
      </c>
      <c r="DK7" s="88">
        <f t="shared" ref="DK7:DK46" si="30">DC7/AA6</f>
        <v>5.5747886060988835E-2</v>
      </c>
      <c r="DL7" s="88">
        <f t="shared" ref="DL7:DL46" si="31">DD7/AB6</f>
        <v>9.1266779846848042E-2</v>
      </c>
      <c r="DM7" s="88">
        <f t="shared" ref="DM7:DM46" si="32">DE7/AC6</f>
        <v>9.8614775676655372E-2</v>
      </c>
      <c r="DN7" s="88">
        <f t="shared" ref="DN7:DN46" si="33">DF7/AD6</f>
        <v>3.0879630340097979E-2</v>
      </c>
      <c r="DO7" s="88">
        <f t="shared" ref="DO7:DO46" si="34">DG7/AE6</f>
        <v>2.3351243568580822E-2</v>
      </c>
      <c r="DQ7" s="316">
        <v>1981</v>
      </c>
      <c r="DR7" s="61">
        <v>274615.90000000002</v>
      </c>
      <c r="DS7" s="43"/>
      <c r="DT7" s="61">
        <v>285037.59999999998</v>
      </c>
      <c r="DU7" s="43"/>
      <c r="DV7" s="89">
        <v>-0.5</v>
      </c>
      <c r="DW7" s="46">
        <f t="shared" si="6"/>
        <v>275995.87939698494</v>
      </c>
      <c r="DX7" s="43"/>
      <c r="DY7" s="46">
        <f t="shared" si="7"/>
        <v>286469.94974874367</v>
      </c>
      <c r="DZ7" s="43"/>
      <c r="EB7" s="316">
        <v>1981</v>
      </c>
      <c r="EC7" s="88">
        <f t="shared" si="8"/>
        <v>6.5302255802799761E-2</v>
      </c>
      <c r="ED7" s="88">
        <f t="shared" si="9"/>
        <v>3.2249757167685761E-3</v>
      </c>
      <c r="EE7" s="88">
        <f t="shared" si="10"/>
        <v>4.6303455662496072E-2</v>
      </c>
      <c r="EF7" s="88">
        <f t="shared" si="11"/>
        <v>1.2915278172390732E-2</v>
      </c>
      <c r="EG7" s="88">
        <f t="shared" si="12"/>
        <v>2.2761705351597373E-2</v>
      </c>
      <c r="EH7" s="88">
        <f t="shared" si="13"/>
        <v>5.3820762340729134E-2</v>
      </c>
      <c r="EI7" s="140"/>
      <c r="EJ7" s="316">
        <v>1981</v>
      </c>
      <c r="EK7" s="88">
        <f t="shared" si="14"/>
        <v>0.6734083930808944</v>
      </c>
      <c r="EL7" s="88">
        <f t="shared" si="15"/>
        <v>3.9427715859800407E-2</v>
      </c>
      <c r="EM7" s="88">
        <f t="shared" si="16"/>
        <v>0.38179598797004577</v>
      </c>
      <c r="EN7" s="88">
        <f t="shared" si="17"/>
        <v>0.10255547248951299</v>
      </c>
      <c r="EO7" s="88">
        <f t="shared" si="18"/>
        <v>0.31982749459013848</v>
      </c>
      <c r="EP7" s="88">
        <f t="shared" si="19"/>
        <v>0.7277717301294987</v>
      </c>
      <c r="ER7" s="316">
        <v>1981</v>
      </c>
      <c r="ES7" s="317">
        <f t="shared" ref="ES7:ES45" si="35">SUM(ET7:EV7)</f>
        <v>117884</v>
      </c>
      <c r="ET7" s="61">
        <v>27603</v>
      </c>
      <c r="EU7" s="61">
        <v>79272</v>
      </c>
      <c r="EV7" s="61">
        <v>11009</v>
      </c>
      <c r="EW7" s="88">
        <f t="shared" ref="EW7:EY45" si="36">ET7/$ES7</f>
        <v>0.23415391401716942</v>
      </c>
      <c r="EX7" s="88">
        <f t="shared" si="36"/>
        <v>0.67245767025211223</v>
      </c>
      <c r="EY7" s="88">
        <f t="shared" si="36"/>
        <v>9.3388415730718335E-2</v>
      </c>
      <c r="EZ7" s="88">
        <f>EW7-EW6</f>
        <v>-9.7136254804017219E-4</v>
      </c>
      <c r="FA7" s="88">
        <f t="shared" ref="FA7:FB22" si="37">EX7-EX6</f>
        <v>-1.413217575601533E-3</v>
      </c>
      <c r="FB7" s="88">
        <f t="shared" si="37"/>
        <v>2.3845801236416775E-3</v>
      </c>
      <c r="FD7" s="316">
        <v>1981</v>
      </c>
      <c r="FF7" s="43"/>
      <c r="FG7" s="159">
        <v>3.7000000000000005E-2</v>
      </c>
      <c r="FH7" s="55"/>
      <c r="FO7" s="316">
        <v>1981</v>
      </c>
      <c r="FP7" s="61">
        <v>192233.3971502608</v>
      </c>
      <c r="FQ7" s="61">
        <v>11594.987730497327</v>
      </c>
      <c r="FR7" s="61">
        <v>122949.88497664926</v>
      </c>
      <c r="FS7" s="61">
        <v>52968.802714956102</v>
      </c>
      <c r="FT7" s="61">
        <v>75441.126091765123</v>
      </c>
      <c r="FU7" s="61">
        <v>201061.51597687128</v>
      </c>
      <c r="FV7" s="46">
        <f t="shared" ref="FV7:FV66" si="38">SUM(FP7:FU7)</f>
        <v>656249.71464099991</v>
      </c>
    </row>
    <row r="8" spans="1:178" hidden="1" outlineLevel="1">
      <c r="A8" s="316">
        <v>1982</v>
      </c>
      <c r="B8" s="61">
        <v>172651.5</v>
      </c>
      <c r="C8" s="61">
        <v>12242.6</v>
      </c>
      <c r="D8" s="61">
        <v>97509.1</v>
      </c>
      <c r="E8" s="61">
        <v>27619.599999999999</v>
      </c>
      <c r="F8" s="61">
        <v>94009.9</v>
      </c>
      <c r="G8" s="61">
        <v>207890.4</v>
      </c>
      <c r="I8" s="316">
        <v>1982</v>
      </c>
      <c r="J8" s="61">
        <v>210844.7</v>
      </c>
      <c r="K8" s="61">
        <v>14955.2</v>
      </c>
      <c r="L8" s="61">
        <v>111969.7</v>
      </c>
      <c r="M8" s="61">
        <v>32939.4</v>
      </c>
      <c r="N8" s="61">
        <v>108181.6</v>
      </c>
      <c r="O8" s="61">
        <v>255247.7</v>
      </c>
      <c r="Q8" s="316">
        <v>1982</v>
      </c>
      <c r="R8" s="46">
        <f t="shared" si="0"/>
        <v>195767.08297448594</v>
      </c>
      <c r="S8" s="46">
        <f t="shared" si="0"/>
        <v>11414.9372498515</v>
      </c>
      <c r="T8" s="46">
        <f t="shared" si="0"/>
        <v>110434.84787695341</v>
      </c>
      <c r="U8" s="46">
        <f t="shared" si="0"/>
        <v>30003.787253559916</v>
      </c>
      <c r="V8" s="46">
        <f t="shared" si="0"/>
        <v>93153.692786955871</v>
      </c>
      <c r="W8" s="46">
        <f t="shared" si="0"/>
        <v>216215.01355665911</v>
      </c>
      <c r="Y8" s="316">
        <v>1982</v>
      </c>
      <c r="Z8" s="46">
        <f t="shared" si="1"/>
        <v>250348.86353126334</v>
      </c>
      <c r="AA8" s="46">
        <f t="shared" si="1"/>
        <v>14723.037384972313</v>
      </c>
      <c r="AB8" s="46">
        <f t="shared" si="1"/>
        <v>131720.33618182488</v>
      </c>
      <c r="AC8" s="46">
        <f t="shared" si="1"/>
        <v>37752.059874718092</v>
      </c>
      <c r="AD8" s="46">
        <f t="shared" si="1"/>
        <v>110603.50393848766</v>
      </c>
      <c r="AE8" s="46">
        <f t="shared" si="1"/>
        <v>280660.76151849719</v>
      </c>
      <c r="AG8" s="316">
        <v>1982</v>
      </c>
      <c r="AH8" s="48">
        <f t="shared" si="2"/>
        <v>0.78197711870195374</v>
      </c>
      <c r="AI8" s="48">
        <f t="shared" si="2"/>
        <v>0.77531129965768042</v>
      </c>
      <c r="AJ8" s="48">
        <f t="shared" si="2"/>
        <v>0.83840393274209923</v>
      </c>
      <c r="AK8" s="48">
        <f t="shared" si="2"/>
        <v>0.7947589443630052</v>
      </c>
      <c r="AL8" s="48">
        <f t="shared" si="2"/>
        <v>0.84223093726545473</v>
      </c>
      <c r="AM8" s="48">
        <f t="shared" si="2"/>
        <v>0.7703784896286946</v>
      </c>
      <c r="AO8" s="316">
        <v>1982</v>
      </c>
      <c r="AP8" s="62">
        <v>4.6382883219808768E-3</v>
      </c>
      <c r="AS8" s="316">
        <v>1982</v>
      </c>
      <c r="AT8" s="308">
        <f t="shared" ref="AT8:AY46" si="39">AH8/AH7-1</f>
        <v>2.1313255579654022E-2</v>
      </c>
      <c r="AU8" s="308">
        <f t="shared" si="20"/>
        <v>2.2899336313482177E-2</v>
      </c>
      <c r="AV8" s="308">
        <f t="shared" si="20"/>
        <v>2.2835968587578526E-2</v>
      </c>
      <c r="AW8" s="308">
        <f t="shared" si="20"/>
        <v>2.3077677000745478E-2</v>
      </c>
      <c r="AX8" s="308">
        <f t="shared" si="20"/>
        <v>2.1837645345648582E-2</v>
      </c>
      <c r="AY8" s="308">
        <f t="shared" si="20"/>
        <v>2.2224964624036669E-2</v>
      </c>
      <c r="BA8" s="316">
        <v>1982</v>
      </c>
      <c r="BB8" s="61">
        <v>15824.8</v>
      </c>
      <c r="BC8" s="61">
        <v>879.5</v>
      </c>
      <c r="BD8" s="61">
        <v>9676.5</v>
      </c>
      <c r="BE8" s="61">
        <v>2944.8</v>
      </c>
      <c r="BF8" s="61">
        <v>5487.1</v>
      </c>
      <c r="BG8" s="61">
        <v>15415.1</v>
      </c>
      <c r="BI8" s="316">
        <v>1982</v>
      </c>
      <c r="BJ8" s="61">
        <v>19916.900000000001</v>
      </c>
      <c r="BK8" s="61">
        <v>1104.0999999999999</v>
      </c>
      <c r="BL8" s="61">
        <v>11352.6</v>
      </c>
      <c r="BM8" s="61">
        <v>4094.7</v>
      </c>
      <c r="BN8" s="61">
        <v>6400.3</v>
      </c>
      <c r="BO8" s="61">
        <v>19326.2</v>
      </c>
      <c r="BQ8" s="316">
        <v>1982</v>
      </c>
      <c r="BR8" s="46">
        <f t="shared" si="21"/>
        <v>18126.85146371759</v>
      </c>
      <c r="BS8" s="46">
        <f t="shared" si="3"/>
        <v>872.53415600028302</v>
      </c>
      <c r="BT8" s="46">
        <f t="shared" si="3"/>
        <v>12084.377707982985</v>
      </c>
      <c r="BU8" s="46">
        <f t="shared" si="3"/>
        <v>3227.3784464458686</v>
      </c>
      <c r="BV8" s="46">
        <f t="shared" si="3"/>
        <v>5625.4485379140488</v>
      </c>
      <c r="BW8" s="46">
        <f t="shared" si="3"/>
        <v>15279.81206559483</v>
      </c>
      <c r="BY8" s="316">
        <v>1982</v>
      </c>
      <c r="BZ8" s="46">
        <f t="shared" si="4"/>
        <v>23747.124885026376</v>
      </c>
      <c r="CA8" s="46">
        <f t="shared" si="4"/>
        <v>1158.4974192658017</v>
      </c>
      <c r="CB8" s="46">
        <f t="shared" si="4"/>
        <v>14727.707403839027</v>
      </c>
      <c r="CC8" s="46">
        <f t="shared" si="4"/>
        <v>4784.6605608465607</v>
      </c>
      <c r="CD8" s="46">
        <f t="shared" si="4"/>
        <v>6776.9341684092424</v>
      </c>
      <c r="CE8" s="46">
        <f t="shared" si="4"/>
        <v>20355.251293977664</v>
      </c>
      <c r="CG8" s="316">
        <v>1982</v>
      </c>
      <c r="CH8" s="48">
        <f t="shared" si="5"/>
        <v>0.76332825769351897</v>
      </c>
      <c r="CI8" s="48">
        <f t="shared" si="5"/>
        <v>0.75316020691116603</v>
      </c>
      <c r="CJ8" s="48">
        <f t="shared" si="5"/>
        <v>0.82051994764867386</v>
      </c>
      <c r="CK8" s="48">
        <f t="shared" si="5"/>
        <v>0.67452610386949607</v>
      </c>
      <c r="CL8" s="48">
        <f t="shared" si="5"/>
        <v>0.83008752897986571</v>
      </c>
      <c r="CM8" s="48">
        <f t="shared" si="5"/>
        <v>0.75065700958039949</v>
      </c>
      <c r="CO8" s="316">
        <v>1982</v>
      </c>
      <c r="CP8" s="62">
        <v>4.6382883219808768E-3</v>
      </c>
      <c r="CS8" s="316">
        <v>1982</v>
      </c>
      <c r="CT8" s="308">
        <f t="shared" ref="CT8:CY45" si="40">CH8/CH7-1</f>
        <v>2.4520622936377912E-2</v>
      </c>
      <c r="CU8" s="308">
        <f t="shared" si="22"/>
        <v>2.2958644108737492E-2</v>
      </c>
      <c r="CV8" s="308">
        <f t="shared" si="22"/>
        <v>2.2337870969277418E-2</v>
      </c>
      <c r="CW8" s="308">
        <f t="shared" si="22"/>
        <v>2.2114485715930998E-2</v>
      </c>
      <c r="CX8" s="308">
        <f t="shared" si="22"/>
        <v>2.5830146846768987E-2</v>
      </c>
      <c r="CY8" s="308">
        <f t="shared" si="22"/>
        <v>2.7812287948609793E-2</v>
      </c>
      <c r="DA8" s="316">
        <v>1982</v>
      </c>
      <c r="DB8" s="46">
        <f t="shared" si="23"/>
        <v>16140.887593876669</v>
      </c>
      <c r="DC8" s="46">
        <f t="shared" si="24"/>
        <v>792.37074737433682</v>
      </c>
      <c r="DD8" s="46">
        <f t="shared" si="25"/>
        <v>11561.681766848429</v>
      </c>
      <c r="DE8" s="46">
        <f t="shared" si="26"/>
        <v>3468.9303187602918</v>
      </c>
      <c r="DF8" s="46">
        <f t="shared" si="27"/>
        <v>3268.4073536301357</v>
      </c>
      <c r="DG8" s="46">
        <f t="shared" si="28"/>
        <v>6220.8170757038752</v>
      </c>
      <c r="DI8" s="316">
        <v>1982</v>
      </c>
      <c r="DJ8" s="88">
        <f t="shared" si="29"/>
        <v>6.6493832763886276E-2</v>
      </c>
      <c r="DK8" s="88">
        <f t="shared" si="30"/>
        <v>5.5190894699400278E-2</v>
      </c>
      <c r="DL8" s="88">
        <f t="shared" si="31"/>
        <v>8.9936165639628279E-2</v>
      </c>
      <c r="DM8" s="88">
        <f t="shared" si="32"/>
        <v>9.5205262268062543E-2</v>
      </c>
      <c r="DN8" s="88">
        <f t="shared" si="33"/>
        <v>3.0518773535519808E-2</v>
      </c>
      <c r="DO8" s="88">
        <f t="shared" si="34"/>
        <v>2.3340347419774993E-2</v>
      </c>
      <c r="DQ8" s="316">
        <v>1982</v>
      </c>
      <c r="DR8" s="61">
        <v>288613</v>
      </c>
      <c r="DS8" s="43"/>
      <c r="DT8" s="61">
        <v>294386.09999999998</v>
      </c>
      <c r="DU8" s="43"/>
      <c r="DV8" s="89">
        <v>-0.9</v>
      </c>
      <c r="DW8" s="46">
        <f t="shared" si="6"/>
        <v>291234.10696266399</v>
      </c>
      <c r="DX8" s="43"/>
      <c r="DY8" s="46">
        <f t="shared" si="7"/>
        <v>297059.63673057518</v>
      </c>
      <c r="DZ8" s="43"/>
      <c r="EB8" s="316">
        <v>1982</v>
      </c>
      <c r="EC8" s="88">
        <f t="shared" si="8"/>
        <v>6.280677399742074E-2</v>
      </c>
      <c r="ED8" s="88">
        <f t="shared" si="9"/>
        <v>3.0231976937985573E-3</v>
      </c>
      <c r="EE8" s="88">
        <f t="shared" si="10"/>
        <v>4.1870524570906321E-2</v>
      </c>
      <c r="EF8" s="88">
        <f t="shared" si="11"/>
        <v>1.1182373789281386E-2</v>
      </c>
      <c r="EG8" s="88">
        <f t="shared" si="12"/>
        <v>1.9491320688652447E-2</v>
      </c>
      <c r="EH8" s="88">
        <f t="shared" si="13"/>
        <v>5.2942216967339757E-2</v>
      </c>
      <c r="EI8" s="140"/>
      <c r="EJ8" s="316">
        <v>1982</v>
      </c>
      <c r="EK8" s="88">
        <f t="shared" si="14"/>
        <v>0.67219833904819104</v>
      </c>
      <c r="EL8" s="88">
        <f t="shared" si="15"/>
        <v>3.9195056406339412E-2</v>
      </c>
      <c r="EM8" s="88">
        <f t="shared" si="16"/>
        <v>0.37919613546881403</v>
      </c>
      <c r="EN8" s="88">
        <f t="shared" si="17"/>
        <v>0.10302291708369989</v>
      </c>
      <c r="EO8" s="88">
        <f t="shared" si="18"/>
        <v>0.31985845943139518</v>
      </c>
      <c r="EP8" s="88">
        <f t="shared" si="19"/>
        <v>0.7424096573427017</v>
      </c>
      <c r="ER8" s="316">
        <v>1982</v>
      </c>
      <c r="ES8" s="317">
        <f t="shared" si="35"/>
        <v>118693</v>
      </c>
      <c r="ET8" s="61">
        <v>27254</v>
      </c>
      <c r="EU8" s="61">
        <v>80089</v>
      </c>
      <c r="EV8" s="61">
        <v>11350</v>
      </c>
      <c r="EW8" s="88">
        <f t="shared" si="36"/>
        <v>0.22961758486178629</v>
      </c>
      <c r="EX8" s="88">
        <f t="shared" si="36"/>
        <v>0.67475756784309104</v>
      </c>
      <c r="EY8" s="88">
        <f t="shared" si="36"/>
        <v>9.5624847295122717E-2</v>
      </c>
      <c r="EZ8" s="88">
        <f t="shared" ref="EZ8:FB45" si="41">EW8-EW7</f>
        <v>-4.5363291553831286E-3</v>
      </c>
      <c r="FA8" s="88">
        <f t="shared" si="37"/>
        <v>2.2998975909788166E-3</v>
      </c>
      <c r="FB8" s="88">
        <f t="shared" si="37"/>
        <v>2.2364315644043814E-3</v>
      </c>
      <c r="FD8" s="316">
        <v>1982</v>
      </c>
      <c r="FF8" s="43"/>
      <c r="FG8" s="159">
        <v>3.7999999999999999E-2</v>
      </c>
      <c r="FH8" s="55"/>
      <c r="FO8" s="316">
        <v>1982</v>
      </c>
      <c r="FP8" s="61">
        <v>198773.39734513013</v>
      </c>
      <c r="FQ8" s="61">
        <v>11834.491191114705</v>
      </c>
      <c r="FR8" s="61">
        <v>117807.82633205278</v>
      </c>
      <c r="FS8" s="61">
        <v>50421.513314383847</v>
      </c>
      <c r="FT8" s="61">
        <v>77609.379083273889</v>
      </c>
      <c r="FU8" s="61">
        <v>205116.61976260578</v>
      </c>
      <c r="FV8" s="46">
        <f t="shared" si="38"/>
        <v>661563.22702856117</v>
      </c>
    </row>
    <row r="9" spans="1:178" hidden="1" outlineLevel="1">
      <c r="A9" s="316">
        <v>1983</v>
      </c>
      <c r="B9" s="61">
        <v>175788.7</v>
      </c>
      <c r="C9" s="61">
        <v>12551.4</v>
      </c>
      <c r="D9" s="61">
        <v>99792.2</v>
      </c>
      <c r="E9" s="61">
        <v>28221.599999999999</v>
      </c>
      <c r="F9" s="61">
        <v>94812.7</v>
      </c>
      <c r="G9" s="61">
        <v>218120.9</v>
      </c>
      <c r="I9" s="316">
        <v>1983</v>
      </c>
      <c r="J9" s="61">
        <v>216135.1</v>
      </c>
      <c r="K9" s="61">
        <v>15352.8</v>
      </c>
      <c r="L9" s="61">
        <v>114953.2</v>
      </c>
      <c r="M9" s="61">
        <v>33733.5</v>
      </c>
      <c r="N9" s="61">
        <v>109501.9</v>
      </c>
      <c r="O9" s="61">
        <v>268134.40000000002</v>
      </c>
      <c r="Q9" s="316">
        <v>1983</v>
      </c>
      <c r="R9" s="46">
        <f t="shared" si="0"/>
        <v>199324.3094840011</v>
      </c>
      <c r="S9" s="46">
        <f t="shared" si="0"/>
        <v>11702.860781025773</v>
      </c>
      <c r="T9" s="46">
        <f t="shared" si="0"/>
        <v>113020.59424511671</v>
      </c>
      <c r="U9" s="46">
        <f t="shared" si="0"/>
        <v>30657.753275031733</v>
      </c>
      <c r="V9" s="46">
        <f t="shared" si="0"/>
        <v>93949.181183064895</v>
      </c>
      <c r="W9" s="46">
        <f t="shared" si="0"/>
        <v>226855.17633565899</v>
      </c>
      <c r="Y9" s="316">
        <v>1983</v>
      </c>
      <c r="Z9" s="46">
        <f t="shared" si="1"/>
        <v>256630.48041623033</v>
      </c>
      <c r="AA9" s="46">
        <f t="shared" si="1"/>
        <v>15114.465093345651</v>
      </c>
      <c r="AB9" s="46">
        <f t="shared" si="1"/>
        <v>135230.10376179047</v>
      </c>
      <c r="AC9" s="46">
        <f t="shared" si="1"/>
        <v>38662.183032593268</v>
      </c>
      <c r="AD9" s="46">
        <f t="shared" si="1"/>
        <v>111953.36201278112</v>
      </c>
      <c r="AE9" s="46">
        <f t="shared" si="1"/>
        <v>294830.49168829073</v>
      </c>
      <c r="AG9" s="316">
        <v>1983</v>
      </c>
      <c r="AH9" s="48">
        <f t="shared" si="2"/>
        <v>0.77669772180107344</v>
      </c>
      <c r="AI9" s="48">
        <f t="shared" si="2"/>
        <v>0.77428216670255279</v>
      </c>
      <c r="AJ9" s="48">
        <f t="shared" si="2"/>
        <v>0.83576504861819756</v>
      </c>
      <c r="AK9" s="48">
        <f t="shared" si="2"/>
        <v>0.79296487860466691</v>
      </c>
      <c r="AL9" s="48">
        <f t="shared" si="2"/>
        <v>0.83918141888708286</v>
      </c>
      <c r="AM9" s="48">
        <f t="shared" si="2"/>
        <v>0.76944272295791383</v>
      </c>
      <c r="AO9" s="316">
        <v>1983</v>
      </c>
      <c r="AP9" s="62">
        <v>-6.4040509345386631E-3</v>
      </c>
      <c r="AS9" s="316">
        <v>1983</v>
      </c>
      <c r="AT9" s="308">
        <f t="shared" si="39"/>
        <v>-6.7513444762218322E-3</v>
      </c>
      <c r="AU9" s="308">
        <f t="shared" si="20"/>
        <v>-1.3273803123752259E-3</v>
      </c>
      <c r="AV9" s="308">
        <f t="shared" si="20"/>
        <v>-3.1475092385013781E-3</v>
      </c>
      <c r="AW9" s="308">
        <f t="shared" si="20"/>
        <v>-2.257370956392557E-3</v>
      </c>
      <c r="AX9" s="308">
        <f t="shared" si="20"/>
        <v>-3.6207627189200897E-3</v>
      </c>
      <c r="AY9" s="308">
        <f t="shared" si="20"/>
        <v>-1.2146843186545686E-3</v>
      </c>
      <c r="BA9" s="316">
        <v>1983</v>
      </c>
      <c r="BB9" s="61">
        <v>15146.3</v>
      </c>
      <c r="BC9" s="61">
        <v>912.3</v>
      </c>
      <c r="BD9" s="61">
        <v>10073.1</v>
      </c>
      <c r="BE9" s="61">
        <v>2723.3</v>
      </c>
      <c r="BF9" s="61">
        <v>3761.3</v>
      </c>
      <c r="BG9" s="61">
        <v>15657.9</v>
      </c>
      <c r="BI9" s="316">
        <v>1983</v>
      </c>
      <c r="BJ9" s="61">
        <v>19093.900000000001</v>
      </c>
      <c r="BK9" s="61">
        <v>1145.7</v>
      </c>
      <c r="BL9" s="61">
        <v>11839.9</v>
      </c>
      <c r="BM9" s="61">
        <v>3792.3</v>
      </c>
      <c r="BN9" s="61">
        <v>4391.2</v>
      </c>
      <c r="BO9" s="61">
        <v>19642.099999999999</v>
      </c>
      <c r="BQ9" s="316">
        <v>1983</v>
      </c>
      <c r="BR9" s="46">
        <f t="shared" si="21"/>
        <v>17349.649305198531</v>
      </c>
      <c r="BS9" s="46">
        <f t="shared" si="3"/>
        <v>905.07437239233445</v>
      </c>
      <c r="BT9" s="46">
        <f t="shared" si="3"/>
        <v>12579.666727668415</v>
      </c>
      <c r="BU9" s="46">
        <f t="shared" si="3"/>
        <v>2984.6236495538014</v>
      </c>
      <c r="BV9" s="46">
        <f t="shared" si="3"/>
        <v>3856.1352236438393</v>
      </c>
      <c r="BW9" s="46">
        <f t="shared" si="3"/>
        <v>15520.481173776185</v>
      </c>
      <c r="BY9" s="316">
        <v>1983</v>
      </c>
      <c r="BZ9" s="46">
        <f t="shared" si="4"/>
        <v>22765.853513458678</v>
      </c>
      <c r="CA9" s="46">
        <f t="shared" si="4"/>
        <v>1202.146991443555</v>
      </c>
      <c r="CB9" s="46">
        <f t="shared" si="4"/>
        <v>15359.880810626084</v>
      </c>
      <c r="CC9" s="46">
        <f t="shared" si="4"/>
        <v>4431.3058941798945</v>
      </c>
      <c r="CD9" s="46">
        <f t="shared" si="4"/>
        <v>4649.606006018259</v>
      </c>
      <c r="CE9" s="46">
        <f t="shared" si="4"/>
        <v>20687.971843478732</v>
      </c>
      <c r="CG9" s="316">
        <v>1983</v>
      </c>
      <c r="CH9" s="48">
        <f t="shared" si="5"/>
        <v>0.76209087855817903</v>
      </c>
      <c r="CI9" s="48">
        <f t="shared" si="5"/>
        <v>0.75288161833313616</v>
      </c>
      <c r="CJ9" s="48">
        <f t="shared" si="5"/>
        <v>0.81899507442568853</v>
      </c>
      <c r="CK9" s="48">
        <f t="shared" si="5"/>
        <v>0.67353139702538367</v>
      </c>
      <c r="CL9" s="48">
        <f t="shared" si="5"/>
        <v>0.82934666263176193</v>
      </c>
      <c r="CM9" s="48">
        <f t="shared" si="5"/>
        <v>0.75021762844619078</v>
      </c>
      <c r="CO9" s="316">
        <v>1983</v>
      </c>
      <c r="CP9" s="62">
        <v>-6.4040509345386631E-3</v>
      </c>
      <c r="CS9" s="316">
        <v>1983</v>
      </c>
      <c r="CT9" s="308">
        <f t="shared" si="40"/>
        <v>-1.6210314800592096E-3</v>
      </c>
      <c r="CU9" s="308">
        <f t="shared" si="22"/>
        <v>-3.6989285343735911E-4</v>
      </c>
      <c r="CV9" s="308">
        <f t="shared" si="22"/>
        <v>-1.8584230978845317E-3</v>
      </c>
      <c r="CW9" s="308">
        <f t="shared" si="22"/>
        <v>-1.4746750917513651E-3</v>
      </c>
      <c r="CX9" s="308">
        <f t="shared" si="22"/>
        <v>-8.9251593625827574E-4</v>
      </c>
      <c r="CY9" s="308">
        <f t="shared" si="22"/>
        <v>-5.8532875681038821E-4</v>
      </c>
      <c r="DA9" s="316">
        <v>1983</v>
      </c>
      <c r="DB9" s="46">
        <f t="shared" si="23"/>
        <v>16484.236628491686</v>
      </c>
      <c r="DC9" s="46">
        <f t="shared" si="24"/>
        <v>810.71928307021722</v>
      </c>
      <c r="DD9" s="46">
        <f t="shared" si="25"/>
        <v>11850.1132306605</v>
      </c>
      <c r="DE9" s="46">
        <f t="shared" si="26"/>
        <v>3521.1827363047187</v>
      </c>
      <c r="DF9" s="46">
        <f t="shared" si="27"/>
        <v>3299.7479317248017</v>
      </c>
      <c r="DG9" s="46">
        <f t="shared" si="28"/>
        <v>6518.2416736851992</v>
      </c>
      <c r="DI9" s="316">
        <v>1983</v>
      </c>
      <c r="DJ9" s="88">
        <f t="shared" si="29"/>
        <v>6.5845062749538497E-2</v>
      </c>
      <c r="DK9" s="88">
        <f t="shared" si="30"/>
        <v>5.5064675981717735E-2</v>
      </c>
      <c r="DL9" s="88">
        <f t="shared" si="31"/>
        <v>8.9964189085448218E-2</v>
      </c>
      <c r="DM9" s="88">
        <f t="shared" si="32"/>
        <v>9.3271274414957014E-2</v>
      </c>
      <c r="DN9" s="88">
        <f t="shared" si="33"/>
        <v>2.9834027080733017E-2</v>
      </c>
      <c r="DO9" s="88">
        <f t="shared" si="34"/>
        <v>2.3224627619545631E-2</v>
      </c>
      <c r="DQ9" s="316">
        <v>1983</v>
      </c>
      <c r="DR9" s="61">
        <v>301844.09999999998</v>
      </c>
      <c r="DS9" s="43"/>
      <c r="DT9" s="61">
        <v>305072.90000000002</v>
      </c>
      <c r="DU9" s="43"/>
      <c r="DV9" s="89">
        <v>-1.2</v>
      </c>
      <c r="DW9" s="46">
        <f t="shared" si="6"/>
        <v>305510.22267206473</v>
      </c>
      <c r="DX9" s="43"/>
      <c r="DY9" s="46">
        <f t="shared" si="7"/>
        <v>308778.23886639677</v>
      </c>
      <c r="DZ9" s="43"/>
      <c r="EB9" s="316">
        <v>1983</v>
      </c>
      <c r="EC9" s="88">
        <f t="shared" si="8"/>
        <v>5.7478841909444418E-2</v>
      </c>
      <c r="ED9" s="88">
        <f t="shared" si="9"/>
        <v>2.9984829002532585E-3</v>
      </c>
      <c r="EE9" s="88">
        <f t="shared" si="10"/>
        <v>4.1676039808856348E-2</v>
      </c>
      <c r="EF9" s="88">
        <f t="shared" si="11"/>
        <v>9.8879641826817282E-3</v>
      </c>
      <c r="EG9" s="88">
        <f t="shared" si="12"/>
        <v>1.2775254588855107E-2</v>
      </c>
      <c r="EH9" s="88">
        <f t="shared" si="13"/>
        <v>5.1418865479816188E-2</v>
      </c>
      <c r="EI9" s="140"/>
      <c r="EJ9" s="316">
        <v>1983</v>
      </c>
      <c r="EK9" s="88">
        <f t="shared" si="14"/>
        <v>0.65243089982607949</v>
      </c>
      <c r="EL9" s="88">
        <f t="shared" si="15"/>
        <v>3.8305954801347665E-2</v>
      </c>
      <c r="EM9" s="88">
        <f t="shared" si="16"/>
        <v>0.36994046633402916</v>
      </c>
      <c r="EN9" s="88">
        <f t="shared" si="17"/>
        <v>0.10034935331096867</v>
      </c>
      <c r="EO9" s="88">
        <f t="shared" si="18"/>
        <v>0.30751567119870199</v>
      </c>
      <c r="EP9" s="88">
        <f t="shared" si="19"/>
        <v>0.74254528817900078</v>
      </c>
      <c r="ER9" s="316">
        <v>1983</v>
      </c>
      <c r="ES9" s="317">
        <f t="shared" si="35"/>
        <v>119483</v>
      </c>
      <c r="ET9" s="61">
        <v>26907</v>
      </c>
      <c r="EU9" s="61">
        <v>80904</v>
      </c>
      <c r="EV9" s="61">
        <v>11672</v>
      </c>
      <c r="EW9" s="88">
        <f t="shared" si="36"/>
        <v>0.22519521605584059</v>
      </c>
      <c r="EX9" s="88">
        <f t="shared" si="36"/>
        <v>0.67711724680498486</v>
      </c>
      <c r="EY9" s="88">
        <f t="shared" si="36"/>
        <v>9.7687537139174607E-2</v>
      </c>
      <c r="EZ9" s="88">
        <f t="shared" si="41"/>
        <v>-4.4223688059457089E-3</v>
      </c>
      <c r="FA9" s="88">
        <f t="shared" si="37"/>
        <v>2.3596789618938185E-3</v>
      </c>
      <c r="FB9" s="88">
        <f t="shared" si="37"/>
        <v>2.0626898440518904E-3</v>
      </c>
      <c r="FD9" s="316">
        <v>1983</v>
      </c>
      <c r="FF9" s="43"/>
      <c r="FG9" s="159">
        <v>3.9E-2</v>
      </c>
      <c r="FH9" s="55"/>
      <c r="FO9" s="316">
        <v>1983</v>
      </c>
      <c r="FP9" s="61">
        <v>186580.87495231561</v>
      </c>
      <c r="FQ9" s="61">
        <v>11846.53137729371</v>
      </c>
      <c r="FR9" s="61">
        <v>119700.25530258204</v>
      </c>
      <c r="FS9" s="61">
        <v>44205.767500736722</v>
      </c>
      <c r="FT9" s="61">
        <v>61030.108693556635</v>
      </c>
      <c r="FU9" s="61">
        <v>208059.28149195394</v>
      </c>
      <c r="FV9" s="46">
        <f t="shared" si="38"/>
        <v>631422.81931843865</v>
      </c>
    </row>
    <row r="10" spans="1:178" hidden="1" outlineLevel="1">
      <c r="A10" s="316">
        <v>1984</v>
      </c>
      <c r="B10" s="61">
        <v>182887.3</v>
      </c>
      <c r="C10" s="61">
        <v>13027.3</v>
      </c>
      <c r="D10" s="61">
        <v>104642.2</v>
      </c>
      <c r="E10" s="61">
        <v>29470.3</v>
      </c>
      <c r="F10" s="61">
        <v>97650.3</v>
      </c>
      <c r="G10" s="61">
        <v>231281.7</v>
      </c>
      <c r="I10" s="316">
        <v>1984</v>
      </c>
      <c r="J10" s="61">
        <v>220855.5</v>
      </c>
      <c r="K10" s="61">
        <v>15663.3</v>
      </c>
      <c r="L10" s="61">
        <v>118405.7</v>
      </c>
      <c r="M10" s="61">
        <v>34599.9</v>
      </c>
      <c r="N10" s="61">
        <v>110731.2</v>
      </c>
      <c r="O10" s="61">
        <v>279948.5</v>
      </c>
      <c r="Q10" s="316">
        <v>1984</v>
      </c>
      <c r="R10" s="46">
        <f t="shared" si="0"/>
        <v>207373.31117354729</v>
      </c>
      <c r="S10" s="46">
        <f t="shared" si="0"/>
        <v>12146.587492443634</v>
      </c>
      <c r="T10" s="46">
        <f t="shared" si="0"/>
        <v>118513.50733941483</v>
      </c>
      <c r="U10" s="46">
        <f t="shared" si="0"/>
        <v>32014.243924553099</v>
      </c>
      <c r="V10" s="46">
        <f t="shared" si="0"/>
        <v>96760.937377383423</v>
      </c>
      <c r="W10" s="46">
        <f t="shared" si="0"/>
        <v>240542.97793889075</v>
      </c>
      <c r="Y10" s="316">
        <v>1984</v>
      </c>
      <c r="Z10" s="46">
        <f t="shared" si="1"/>
        <v>262235.30128871597</v>
      </c>
      <c r="AA10" s="46">
        <f t="shared" si="1"/>
        <v>15420.144930996363</v>
      </c>
      <c r="AB10" s="46">
        <f t="shared" si="1"/>
        <v>139291.59951169201</v>
      </c>
      <c r="AC10" s="46">
        <f t="shared" si="1"/>
        <v>39655.169689164301</v>
      </c>
      <c r="AD10" s="46">
        <f t="shared" si="1"/>
        <v>113210.18283435875</v>
      </c>
      <c r="AE10" s="46">
        <f t="shared" si="1"/>
        <v>307820.83127864031</v>
      </c>
      <c r="AG10" s="316">
        <v>1984</v>
      </c>
      <c r="AH10" s="48">
        <f t="shared" si="2"/>
        <v>0.79079098105572487</v>
      </c>
      <c r="AI10" s="48">
        <f t="shared" si="2"/>
        <v>0.7877090356023515</v>
      </c>
      <c r="AJ10" s="48">
        <f t="shared" si="2"/>
        <v>0.85083025648985333</v>
      </c>
      <c r="AK10" s="48">
        <f t="shared" si="2"/>
        <v>0.80731577182737235</v>
      </c>
      <c r="AL10" s="48">
        <f t="shared" si="2"/>
        <v>0.85470171458831823</v>
      </c>
      <c r="AM10" s="48">
        <f t="shared" si="2"/>
        <v>0.78143827024218038</v>
      </c>
      <c r="AO10" s="316">
        <v>1984</v>
      </c>
      <c r="AP10" s="62">
        <v>8.9934797271973288E-4</v>
      </c>
      <c r="AS10" s="316">
        <v>1984</v>
      </c>
      <c r="AT10" s="308">
        <f t="shared" si="39"/>
        <v>1.814510183185658E-2</v>
      </c>
      <c r="AU10" s="308">
        <f t="shared" si="20"/>
        <v>1.7341054046201121E-2</v>
      </c>
      <c r="AV10" s="308">
        <f t="shared" si="20"/>
        <v>1.8025649548953471E-2</v>
      </c>
      <c r="AW10" s="308">
        <f t="shared" si="20"/>
        <v>1.8097766508849533E-2</v>
      </c>
      <c r="AX10" s="308">
        <f t="shared" si="20"/>
        <v>1.8494565480034364E-2</v>
      </c>
      <c r="AY10" s="308">
        <f t="shared" si="20"/>
        <v>1.5589915826551559E-2</v>
      </c>
      <c r="BA10" s="316">
        <v>1984</v>
      </c>
      <c r="BB10" s="61">
        <v>15096</v>
      </c>
      <c r="BC10" s="61">
        <v>872.5</v>
      </c>
      <c r="BD10" s="61">
        <v>10849.7</v>
      </c>
      <c r="BE10" s="61">
        <v>2885.4</v>
      </c>
      <c r="BF10" s="61">
        <v>3791.8</v>
      </c>
      <c r="BG10" s="61">
        <v>15279.8</v>
      </c>
      <c r="BI10" s="316">
        <v>1984</v>
      </c>
      <c r="BJ10" s="61">
        <v>18716.900000000001</v>
      </c>
      <c r="BK10" s="61">
        <v>1075</v>
      </c>
      <c r="BL10" s="61">
        <v>12521.8</v>
      </c>
      <c r="BM10" s="61">
        <v>3943.5</v>
      </c>
      <c r="BN10" s="61">
        <v>4362.8</v>
      </c>
      <c r="BO10" s="61">
        <v>18852.900000000001</v>
      </c>
      <c r="BQ10" s="316">
        <v>1984</v>
      </c>
      <c r="BR10" s="46">
        <f t="shared" si="21"/>
        <v>17292.032107595718</v>
      </c>
      <c r="BS10" s="46">
        <f t="shared" si="3"/>
        <v>865.58959762393044</v>
      </c>
      <c r="BT10" s="46">
        <f t="shared" si="3"/>
        <v>13549.514061727175</v>
      </c>
      <c r="BU10" s="46">
        <f t="shared" si="3"/>
        <v>3162.2785144576574</v>
      </c>
      <c r="BV10" s="46">
        <f t="shared" si="3"/>
        <v>3887.4042328484061</v>
      </c>
      <c r="BW10" s="46">
        <f t="shared" si="3"/>
        <v>15145.699502427869</v>
      </c>
      <c r="BY10" s="316">
        <v>1984</v>
      </c>
      <c r="BZ10" s="46">
        <f t="shared" si="4"/>
        <v>22316.352532801302</v>
      </c>
      <c r="CA10" s="46">
        <f t="shared" si="4"/>
        <v>1127.9637041126136</v>
      </c>
      <c r="CB10" s="46">
        <f t="shared" si="4"/>
        <v>16244.508444707952</v>
      </c>
      <c r="CC10" s="46">
        <f t="shared" si="4"/>
        <v>4607.9832275132276</v>
      </c>
      <c r="CD10" s="46">
        <f t="shared" si="4"/>
        <v>4619.53477023512</v>
      </c>
      <c r="CE10" s="46">
        <f t="shared" si="4"/>
        <v>19856.749755266505</v>
      </c>
      <c r="CG10" s="316">
        <v>1984</v>
      </c>
      <c r="CH10" s="48">
        <f t="shared" si="5"/>
        <v>0.77485924647315574</v>
      </c>
      <c r="CI10" s="48">
        <f t="shared" si="5"/>
        <v>0.76739135706933326</v>
      </c>
      <c r="CJ10" s="48">
        <f t="shared" si="5"/>
        <v>0.83409812662821836</v>
      </c>
      <c r="CK10" s="48">
        <f t="shared" si="5"/>
        <v>0.68626085606744536</v>
      </c>
      <c r="CL10" s="48">
        <f t="shared" si="5"/>
        <v>0.84151422734080839</v>
      </c>
      <c r="CM10" s="48">
        <f t="shared" si="5"/>
        <v>0.76274816820969671</v>
      </c>
      <c r="CO10" s="316">
        <v>1984</v>
      </c>
      <c r="CP10" s="62">
        <v>8.9934797271973288E-4</v>
      </c>
      <c r="CS10" s="316">
        <v>1984</v>
      </c>
      <c r="CT10" s="308">
        <f t="shared" si="40"/>
        <v>1.6754390157684984E-2</v>
      </c>
      <c r="CU10" s="308">
        <f t="shared" si="22"/>
        <v>1.9272271208216507E-2</v>
      </c>
      <c r="CV10" s="308">
        <f t="shared" si="22"/>
        <v>1.8440956086482885E-2</v>
      </c>
      <c r="CW10" s="308">
        <f t="shared" si="22"/>
        <v>1.8899577804807111E-2</v>
      </c>
      <c r="CX10" s="308">
        <f t="shared" si="22"/>
        <v>1.4671265053910254E-2</v>
      </c>
      <c r="CY10" s="308">
        <f t="shared" si="22"/>
        <v>1.670253975430902E-2</v>
      </c>
      <c r="DA10" s="316">
        <v>1984</v>
      </c>
      <c r="DB10" s="46">
        <f t="shared" si="23"/>
        <v>16711.531660315664</v>
      </c>
      <c r="DC10" s="46">
        <f t="shared" si="24"/>
        <v>822.28386646190143</v>
      </c>
      <c r="DD10" s="46">
        <f t="shared" si="25"/>
        <v>12183.012694806408</v>
      </c>
      <c r="DE10" s="46">
        <f t="shared" si="26"/>
        <v>3614.9965709421949</v>
      </c>
      <c r="DF10" s="46">
        <f t="shared" si="27"/>
        <v>3362.7139486574806</v>
      </c>
      <c r="DG10" s="46">
        <f t="shared" si="28"/>
        <v>6866.4101649169206</v>
      </c>
      <c r="DI10" s="316">
        <v>1984</v>
      </c>
      <c r="DJ10" s="88">
        <f t="shared" si="29"/>
        <v>6.5119044445582391E-2</v>
      </c>
      <c r="DK10" s="88">
        <f t="shared" si="30"/>
        <v>5.4403768931519984E-2</v>
      </c>
      <c r="DL10" s="88">
        <f t="shared" si="31"/>
        <v>9.009098089776621E-2</v>
      </c>
      <c r="DM10" s="88">
        <f t="shared" si="32"/>
        <v>9.3502132766136226E-2</v>
      </c>
      <c r="DN10" s="88">
        <f t="shared" si="33"/>
        <v>3.0036739301081264E-2</v>
      </c>
      <c r="DO10" s="88">
        <f t="shared" si="34"/>
        <v>2.3289348824125106E-2</v>
      </c>
      <c r="DQ10" s="316">
        <v>1984</v>
      </c>
      <c r="DR10" s="61">
        <v>319663.59999999998</v>
      </c>
      <c r="DS10" s="43"/>
      <c r="DT10" s="61">
        <v>318529.3</v>
      </c>
      <c r="DU10" s="43"/>
      <c r="DV10" s="89">
        <v>-0.7</v>
      </c>
      <c r="DW10" s="46">
        <f t="shared" si="6"/>
        <v>321917.01913393755</v>
      </c>
      <c r="DX10" s="43"/>
      <c r="DY10" s="46">
        <f t="shared" si="7"/>
        <v>320774.72306142998</v>
      </c>
      <c r="DZ10" s="43"/>
      <c r="EB10" s="316">
        <v>1984</v>
      </c>
      <c r="EC10" s="88">
        <f t="shared" si="8"/>
        <v>5.4094467144822619E-2</v>
      </c>
      <c r="ED10" s="88">
        <f t="shared" si="9"/>
        <v>2.7078140821286205E-3</v>
      </c>
      <c r="EE10" s="88">
        <f t="shared" si="10"/>
        <v>4.2386790556469912E-2</v>
      </c>
      <c r="EF10" s="88">
        <f t="shared" si="11"/>
        <v>9.8925198691926682E-3</v>
      </c>
      <c r="EG10" s="88">
        <f t="shared" si="12"/>
        <v>1.2160922397321455E-2</v>
      </c>
      <c r="EH10" s="88">
        <f t="shared" si="13"/>
        <v>4.7380119295496487E-2</v>
      </c>
      <c r="EI10" s="140"/>
      <c r="EJ10" s="316">
        <v>1984</v>
      </c>
      <c r="EK10" s="88">
        <f t="shared" si="14"/>
        <v>0.64418250309178926</v>
      </c>
      <c r="EL10" s="88">
        <f t="shared" si="15"/>
        <v>3.7732045124926734E-2</v>
      </c>
      <c r="EM10" s="88">
        <f t="shared" si="16"/>
        <v>0.36814924435575064</v>
      </c>
      <c r="EN10" s="88">
        <f t="shared" si="17"/>
        <v>9.9448746172792993E-2</v>
      </c>
      <c r="EO10" s="88">
        <f t="shared" si="18"/>
        <v>0.30057726564970721</v>
      </c>
      <c r="EP10" s="88">
        <f t="shared" si="19"/>
        <v>0.74722044390827902</v>
      </c>
      <c r="ER10" s="316">
        <v>1984</v>
      </c>
      <c r="ES10" s="317">
        <f t="shared" si="35"/>
        <v>120236</v>
      </c>
      <c r="ET10" s="61">
        <v>26504</v>
      </c>
      <c r="EU10" s="61">
        <v>81776</v>
      </c>
      <c r="EV10" s="61">
        <v>11956</v>
      </c>
      <c r="EW10" s="88">
        <f t="shared" si="36"/>
        <v>0.22043314814198742</v>
      </c>
      <c r="EX10" s="88">
        <f t="shared" si="36"/>
        <v>0.6801290794770285</v>
      </c>
      <c r="EY10" s="88">
        <f t="shared" si="36"/>
        <v>9.9437772380984071E-2</v>
      </c>
      <c r="EZ10" s="88">
        <f t="shared" si="41"/>
        <v>-4.7620679138531685E-3</v>
      </c>
      <c r="FA10" s="88">
        <f t="shared" si="37"/>
        <v>3.011832672043635E-3</v>
      </c>
      <c r="FB10" s="88">
        <f t="shared" si="37"/>
        <v>1.7502352418094641E-3</v>
      </c>
      <c r="FD10" s="316">
        <v>1984</v>
      </c>
      <c r="FF10" s="43"/>
      <c r="FG10" s="159">
        <v>0.04</v>
      </c>
      <c r="FH10" s="55"/>
      <c r="FO10" s="316">
        <v>1984</v>
      </c>
      <c r="FP10" s="61">
        <v>183316.46164974963</v>
      </c>
      <c r="FQ10" s="61">
        <v>10878.346928778528</v>
      </c>
      <c r="FR10" s="61">
        <v>132872.6220074202</v>
      </c>
      <c r="FS10" s="61">
        <v>41202.14601206415</v>
      </c>
      <c r="FT10" s="61">
        <v>56797.668049522254</v>
      </c>
      <c r="FU10" s="61">
        <v>205529.40862902641</v>
      </c>
      <c r="FV10" s="46">
        <f t="shared" si="38"/>
        <v>630596.65327656118</v>
      </c>
    </row>
    <row r="11" spans="1:178" hidden="1" outlineLevel="1">
      <c r="A11" s="316">
        <v>1985</v>
      </c>
      <c r="B11" s="61">
        <v>187832.8</v>
      </c>
      <c r="C11" s="61">
        <v>13257</v>
      </c>
      <c r="D11" s="61">
        <v>108033.7</v>
      </c>
      <c r="E11" s="61">
        <v>29886.5</v>
      </c>
      <c r="F11" s="61">
        <v>99596.800000000003</v>
      </c>
      <c r="G11" s="61">
        <v>240210.4</v>
      </c>
      <c r="I11" s="316">
        <v>1985</v>
      </c>
      <c r="J11" s="61">
        <v>226068.2</v>
      </c>
      <c r="K11" s="61">
        <v>15906.5</v>
      </c>
      <c r="L11" s="61">
        <v>122068.6</v>
      </c>
      <c r="M11" s="61">
        <v>35033.800000000003</v>
      </c>
      <c r="N11" s="61">
        <v>112699</v>
      </c>
      <c r="O11" s="61">
        <v>291324.2</v>
      </c>
      <c r="Q11" s="316">
        <v>1985</v>
      </c>
      <c r="R11" s="46">
        <f t="shared" si="0"/>
        <v>212980.94336238041</v>
      </c>
      <c r="S11" s="46">
        <f t="shared" si="0"/>
        <v>12360.758590600144</v>
      </c>
      <c r="T11" s="46">
        <f t="shared" si="0"/>
        <v>122354.58254752042</v>
      </c>
      <c r="U11" s="46">
        <f t="shared" si="0"/>
        <v>32466.371263650395</v>
      </c>
      <c r="V11" s="46">
        <f t="shared" si="0"/>
        <v>98689.709379159947</v>
      </c>
      <c r="W11" s="46">
        <f t="shared" si="0"/>
        <v>249829.21237560999</v>
      </c>
      <c r="Y11" s="316">
        <v>1985</v>
      </c>
      <c r="Z11" s="46">
        <f t="shared" si="1"/>
        <v>268424.6601909289</v>
      </c>
      <c r="AA11" s="46">
        <f t="shared" si="1"/>
        <v>15659.569525252895</v>
      </c>
      <c r="AB11" s="46">
        <f t="shared" si="1"/>
        <v>143600.60828281855</v>
      </c>
      <c r="AC11" s="46">
        <f t="shared" si="1"/>
        <v>40152.465291987668</v>
      </c>
      <c r="AD11" s="46">
        <f t="shared" si="1"/>
        <v>115222.03674528404</v>
      </c>
      <c r="AE11" s="46">
        <f t="shared" si="1"/>
        <v>320329.12273359165</v>
      </c>
      <c r="AG11" s="316">
        <v>1985</v>
      </c>
      <c r="AH11" s="48">
        <f t="shared" si="2"/>
        <v>0.79344775256821898</v>
      </c>
      <c r="AI11" s="48">
        <f t="shared" si="2"/>
        <v>0.78934217001731555</v>
      </c>
      <c r="AJ11" s="48">
        <f t="shared" si="2"/>
        <v>0.85204780126380453</v>
      </c>
      <c r="AK11" s="48">
        <f t="shared" si="2"/>
        <v>0.8085772823052283</v>
      </c>
      <c r="AL11" s="48">
        <f t="shared" si="2"/>
        <v>0.85651766074339286</v>
      </c>
      <c r="AM11" s="48">
        <f t="shared" si="2"/>
        <v>0.77991414031806794</v>
      </c>
      <c r="AO11" s="316">
        <v>1985</v>
      </c>
      <c r="AP11" s="62">
        <v>-7.5627105952855711E-3</v>
      </c>
      <c r="AS11" s="316">
        <v>1985</v>
      </c>
      <c r="AT11" s="308">
        <f t="shared" si="39"/>
        <v>3.3596381043032864E-3</v>
      </c>
      <c r="AU11" s="308">
        <f t="shared" si="20"/>
        <v>2.0732711460078601E-3</v>
      </c>
      <c r="AV11" s="308">
        <f t="shared" si="20"/>
        <v>1.4310078475279209E-3</v>
      </c>
      <c r="AW11" s="308">
        <f t="shared" si="20"/>
        <v>1.5625985789928798E-3</v>
      </c>
      <c r="AX11" s="308">
        <f t="shared" si="20"/>
        <v>2.1246548638893525E-3</v>
      </c>
      <c r="AY11" s="308">
        <f t="shared" si="20"/>
        <v>-1.9504162800217939E-3</v>
      </c>
      <c r="BA11" s="316">
        <v>1985</v>
      </c>
      <c r="BB11" s="61">
        <v>15768.9</v>
      </c>
      <c r="BC11" s="61">
        <v>832.7</v>
      </c>
      <c r="BD11" s="61">
        <v>11330.8</v>
      </c>
      <c r="BE11" s="61">
        <v>2598.6</v>
      </c>
      <c r="BF11" s="61">
        <v>4534.5</v>
      </c>
      <c r="BG11" s="61">
        <v>15146.7</v>
      </c>
      <c r="BI11" s="316">
        <v>1985</v>
      </c>
      <c r="BJ11" s="61">
        <v>19390.2</v>
      </c>
      <c r="BK11" s="61">
        <v>1019.9</v>
      </c>
      <c r="BL11" s="61">
        <v>12982.5</v>
      </c>
      <c r="BM11" s="61">
        <v>3525.7</v>
      </c>
      <c r="BN11" s="61">
        <v>5164.6000000000004</v>
      </c>
      <c r="BO11" s="61">
        <v>18682.5</v>
      </c>
      <c r="BQ11" s="316">
        <v>1985</v>
      </c>
      <c r="BR11" s="46">
        <f t="shared" si="21"/>
        <v>18062.819627813074</v>
      </c>
      <c r="BS11" s="46">
        <f t="shared" si="3"/>
        <v>826.10482285552666</v>
      </c>
      <c r="BT11" s="46">
        <f t="shared" si="3"/>
        <v>14150.329864477198</v>
      </c>
      <c r="BU11" s="46">
        <f t="shared" si="3"/>
        <v>2847.9576307165967</v>
      </c>
      <c r="BV11" s="46">
        <f t="shared" si="3"/>
        <v>4648.8302373150209</v>
      </c>
      <c r="BW11" s="46">
        <f t="shared" si="3"/>
        <v>15013.76763134493</v>
      </c>
      <c r="BY11" s="316">
        <v>1985</v>
      </c>
      <c r="BZ11" s="46">
        <f t="shared" si="4"/>
        <v>23119.135053428919</v>
      </c>
      <c r="CA11" s="46">
        <f t="shared" si="4"/>
        <v>1070.14900634833</v>
      </c>
      <c r="CB11" s="46">
        <f t="shared" si="4"/>
        <v>16842.173719706516</v>
      </c>
      <c r="CC11" s="46">
        <f t="shared" si="4"/>
        <v>4119.7835590828918</v>
      </c>
      <c r="CD11" s="46">
        <f t="shared" si="4"/>
        <v>5468.5177579435913</v>
      </c>
      <c r="CE11" s="46">
        <f t="shared" si="4"/>
        <v>19677.276562373241</v>
      </c>
      <c r="CG11" s="316">
        <v>1985</v>
      </c>
      <c r="CH11" s="48">
        <f t="shared" si="5"/>
        <v>0.78129305383049286</v>
      </c>
      <c r="CI11" s="48">
        <f t="shared" si="5"/>
        <v>0.77195308125776296</v>
      </c>
      <c r="CJ11" s="48">
        <f t="shared" si="5"/>
        <v>0.84017242073214859</v>
      </c>
      <c r="CK11" s="48">
        <f t="shared" si="5"/>
        <v>0.69128816838877394</v>
      </c>
      <c r="CL11" s="48">
        <f t="shared" si="5"/>
        <v>0.85010791645727235</v>
      </c>
      <c r="CM11" s="48">
        <f t="shared" si="5"/>
        <v>0.76300028531662545</v>
      </c>
      <c r="CO11" s="316">
        <v>1985</v>
      </c>
      <c r="CP11" s="62">
        <v>-7.5627105952855711E-3</v>
      </c>
      <c r="CS11" s="316">
        <v>1985</v>
      </c>
      <c r="CT11" s="308">
        <f t="shared" si="40"/>
        <v>8.3031949178140607E-3</v>
      </c>
      <c r="CU11" s="308">
        <f t="shared" si="22"/>
        <v>5.9444560411143765E-3</v>
      </c>
      <c r="CV11" s="308">
        <f t="shared" si="22"/>
        <v>7.2824694241733212E-3</v>
      </c>
      <c r="CW11" s="308">
        <f t="shared" si="22"/>
        <v>7.3256579868727911E-3</v>
      </c>
      <c r="CX11" s="308">
        <f t="shared" si="22"/>
        <v>1.0212173291020976E-2</v>
      </c>
      <c r="CY11" s="308">
        <f t="shared" si="22"/>
        <v>3.3053780715142089E-4</v>
      </c>
      <c r="DA11" s="316">
        <v>1985</v>
      </c>
      <c r="DB11" s="46">
        <f t="shared" si="23"/>
        <v>16929.776151215989</v>
      </c>
      <c r="DC11" s="46">
        <f t="shared" si="24"/>
        <v>830.72441209179783</v>
      </c>
      <c r="DD11" s="46">
        <f t="shared" si="25"/>
        <v>12533.164948579979</v>
      </c>
      <c r="DE11" s="46">
        <f t="shared" si="26"/>
        <v>3622.4879562595243</v>
      </c>
      <c r="DF11" s="46">
        <f t="shared" si="27"/>
        <v>3456.6638470183025</v>
      </c>
      <c r="DG11" s="46">
        <f t="shared" si="28"/>
        <v>7168.9851074219041</v>
      </c>
      <c r="DI11" s="316">
        <v>1985</v>
      </c>
      <c r="DJ11" s="88">
        <f t="shared" si="29"/>
        <v>6.455948557656864E-2</v>
      </c>
      <c r="DK11" s="88">
        <f t="shared" si="30"/>
        <v>5.3872672131760641E-2</v>
      </c>
      <c r="DL11" s="88">
        <f t="shared" si="31"/>
        <v>8.9977895239317401E-2</v>
      </c>
      <c r="DM11" s="88">
        <f t="shared" si="32"/>
        <v>9.1349702564741828E-2</v>
      </c>
      <c r="DN11" s="88">
        <f t="shared" si="33"/>
        <v>3.0533153118177118E-2</v>
      </c>
      <c r="DO11" s="88">
        <f t="shared" si="34"/>
        <v>2.3289473547462802E-2</v>
      </c>
      <c r="DQ11" s="316">
        <v>1985</v>
      </c>
      <c r="DR11" s="61">
        <v>340395.3</v>
      </c>
      <c r="DS11" s="43"/>
      <c r="DT11" s="61">
        <v>334964.8</v>
      </c>
      <c r="DU11" s="43"/>
      <c r="DV11" s="89">
        <v>0.1</v>
      </c>
      <c r="DW11" s="46">
        <f t="shared" si="6"/>
        <v>340055.24475524476</v>
      </c>
      <c r="DX11" s="43"/>
      <c r="DY11" s="46">
        <f t="shared" si="7"/>
        <v>334630.16983016988</v>
      </c>
      <c r="DZ11" s="43"/>
      <c r="EB11" s="316">
        <v>1985</v>
      </c>
      <c r="EC11" s="88">
        <f t="shared" si="8"/>
        <v>5.3064245093316725E-2</v>
      </c>
      <c r="ED11" s="88">
        <f t="shared" si="9"/>
        <v>2.4268984408877758E-3</v>
      </c>
      <c r="EE11" s="88">
        <f t="shared" si="10"/>
        <v>4.1570285678084275E-2</v>
      </c>
      <c r="EF11" s="88">
        <f t="shared" si="11"/>
        <v>8.3666185482484529E-3</v>
      </c>
      <c r="EG11" s="88">
        <f t="shared" si="12"/>
        <v>1.3657151662537706E-2</v>
      </c>
      <c r="EH11" s="88">
        <f t="shared" si="13"/>
        <v>4.4106859381856711E-2</v>
      </c>
      <c r="EI11" s="140"/>
      <c r="EJ11" s="316">
        <v>1985</v>
      </c>
      <c r="EK11" s="88">
        <f t="shared" si="14"/>
        <v>0.62631277313682887</v>
      </c>
      <c r="EL11" s="88">
        <f t="shared" si="15"/>
        <v>3.634926613026309E-2</v>
      </c>
      <c r="EM11" s="88">
        <f t="shared" si="16"/>
        <v>0.35980795601486842</v>
      </c>
      <c r="EN11" s="88">
        <f t="shared" si="17"/>
        <v>9.547381422397444E-2</v>
      </c>
      <c r="EO11" s="88">
        <f t="shared" si="18"/>
        <v>0.29021669537898764</v>
      </c>
      <c r="EP11" s="88">
        <f t="shared" si="19"/>
        <v>0.73467242816803169</v>
      </c>
      <c r="ER11" s="316">
        <v>1985</v>
      </c>
      <c r="ES11" s="317">
        <f t="shared" si="35"/>
        <v>121049</v>
      </c>
      <c r="ET11" s="61">
        <v>26042</v>
      </c>
      <c r="EU11" s="61">
        <v>82535</v>
      </c>
      <c r="EV11" s="61">
        <v>12472</v>
      </c>
      <c r="EW11" s="88">
        <f t="shared" si="36"/>
        <v>0.21513601929797024</v>
      </c>
      <c r="EX11" s="88">
        <f t="shared" si="36"/>
        <v>0.68183132450495254</v>
      </c>
      <c r="EY11" s="88">
        <f t="shared" si="36"/>
        <v>0.10303265619707722</v>
      </c>
      <c r="EZ11" s="88">
        <f t="shared" si="41"/>
        <v>-5.2971288440171738E-3</v>
      </c>
      <c r="FA11" s="88">
        <f t="shared" si="37"/>
        <v>1.7022450279240431E-3</v>
      </c>
      <c r="FB11" s="88">
        <f t="shared" si="37"/>
        <v>3.5948838160931446E-3</v>
      </c>
      <c r="FD11" s="316">
        <v>1985</v>
      </c>
      <c r="FE11" s="130"/>
      <c r="FF11" s="43"/>
      <c r="FG11" s="159">
        <v>4.2999999999999997E-2</v>
      </c>
      <c r="FH11" s="55"/>
      <c r="FJ11" s="130"/>
      <c r="FN11" s="130"/>
      <c r="FO11" s="316">
        <v>1985</v>
      </c>
      <c r="FP11" s="61">
        <v>188008.8058138889</v>
      </c>
      <c r="FQ11" s="61">
        <v>10689.203736029876</v>
      </c>
      <c r="FR11" s="61">
        <v>140469.11870846161</v>
      </c>
      <c r="FS11" s="61">
        <v>37619.325192198623</v>
      </c>
      <c r="FT11" s="61">
        <v>59616.226028088997</v>
      </c>
      <c r="FU11" s="61">
        <v>200436.81777592422</v>
      </c>
      <c r="FV11" s="46">
        <f t="shared" si="38"/>
        <v>636839.49725459225</v>
      </c>
    </row>
    <row r="12" spans="1:178" hidden="1" outlineLevel="1">
      <c r="A12" s="316">
        <v>1986</v>
      </c>
      <c r="B12" s="61">
        <v>190496.9</v>
      </c>
      <c r="C12" s="61">
        <v>13216.2</v>
      </c>
      <c r="D12" s="61">
        <v>109794.9</v>
      </c>
      <c r="E12" s="61">
        <v>29576.5</v>
      </c>
      <c r="F12" s="61">
        <v>100219.1</v>
      </c>
      <c r="G12" s="61">
        <v>246865.2</v>
      </c>
      <c r="I12" s="316">
        <v>1986</v>
      </c>
      <c r="J12" s="61">
        <v>232471.2</v>
      </c>
      <c r="K12" s="61">
        <v>16178.4</v>
      </c>
      <c r="L12" s="61">
        <v>126622</v>
      </c>
      <c r="M12" s="61">
        <v>35393.699999999997</v>
      </c>
      <c r="N12" s="61">
        <v>115410.4</v>
      </c>
      <c r="O12" s="61">
        <v>303944</v>
      </c>
      <c r="Q12" s="316">
        <v>1986</v>
      </c>
      <c r="R12" s="46">
        <f t="shared" si="0"/>
        <v>216001.72850327013</v>
      </c>
      <c r="S12" s="46">
        <f t="shared" si="0"/>
        <v>12322.716880522716</v>
      </c>
      <c r="T12" s="46">
        <f t="shared" si="0"/>
        <v>124349.24616436119</v>
      </c>
      <c r="U12" s="46">
        <f t="shared" si="0"/>
        <v>32129.61135226125</v>
      </c>
      <c r="V12" s="46">
        <f t="shared" si="0"/>
        <v>99306.341702152771</v>
      </c>
      <c r="W12" s="46">
        <f t="shared" si="0"/>
        <v>256750.49239727939</v>
      </c>
      <c r="Y12" s="316">
        <v>1986</v>
      </c>
      <c r="Z12" s="46">
        <f t="shared" si="1"/>
        <v>276027.33539780241</v>
      </c>
      <c r="AA12" s="46">
        <f t="shared" si="1"/>
        <v>15927.248584374402</v>
      </c>
      <c r="AB12" s="46">
        <f t="shared" si="1"/>
        <v>148957.19474121148</v>
      </c>
      <c r="AC12" s="46">
        <f t="shared" si="1"/>
        <v>40564.94901509468</v>
      </c>
      <c r="AD12" s="46">
        <f t="shared" si="1"/>
        <v>117994.13792125866</v>
      </c>
      <c r="AE12" s="46">
        <f t="shared" si="1"/>
        <v>334205.37971146504</v>
      </c>
      <c r="AG12" s="316">
        <v>1986</v>
      </c>
      <c r="AH12" s="48">
        <f t="shared" si="2"/>
        <v>0.78253745482118586</v>
      </c>
      <c r="AI12" s="48">
        <f t="shared" si="2"/>
        <v>0.77368773490557874</v>
      </c>
      <c r="AJ12" s="48">
        <f t="shared" si="2"/>
        <v>0.83479852302802471</v>
      </c>
      <c r="AK12" s="48">
        <f t="shared" si="2"/>
        <v>0.79205353716346238</v>
      </c>
      <c r="AL12" s="48">
        <f t="shared" si="2"/>
        <v>0.84162097754740273</v>
      </c>
      <c r="AM12" s="48">
        <f t="shared" si="2"/>
        <v>0.76824165014621837</v>
      </c>
      <c r="AO12" s="316">
        <v>1986</v>
      </c>
      <c r="AP12" s="62">
        <v>-4.6929228912023557E-2</v>
      </c>
      <c r="AS12" s="316">
        <v>1986</v>
      </c>
      <c r="AT12" s="308">
        <f t="shared" si="39"/>
        <v>-1.3750492974135775E-2</v>
      </c>
      <c r="AU12" s="308">
        <f t="shared" si="20"/>
        <v>-1.9832254890668533E-2</v>
      </c>
      <c r="AV12" s="308">
        <f t="shared" si="20"/>
        <v>-2.0244495919354177E-2</v>
      </c>
      <c r="AW12" s="308">
        <f t="shared" si="20"/>
        <v>-2.0435579261709247E-2</v>
      </c>
      <c r="AX12" s="308">
        <f t="shared" si="20"/>
        <v>-1.7392149489434905E-2</v>
      </c>
      <c r="AY12" s="308">
        <f t="shared" si="20"/>
        <v>-1.4966378436335637E-2</v>
      </c>
      <c r="BA12" s="316">
        <v>1986</v>
      </c>
      <c r="BB12" s="61">
        <v>16729</v>
      </c>
      <c r="BC12" s="61">
        <v>852.5</v>
      </c>
      <c r="BD12" s="61">
        <v>12179.5</v>
      </c>
      <c r="BE12" s="61">
        <v>2531.4</v>
      </c>
      <c r="BF12" s="61">
        <v>5182</v>
      </c>
      <c r="BG12" s="61">
        <v>16180.7</v>
      </c>
      <c r="BI12" s="316">
        <v>1986</v>
      </c>
      <c r="BJ12" s="61">
        <v>20770.8</v>
      </c>
      <c r="BK12" s="61">
        <v>1057.5</v>
      </c>
      <c r="BL12" s="61">
        <v>14134.9</v>
      </c>
      <c r="BM12" s="61">
        <v>3478</v>
      </c>
      <c r="BN12" s="61">
        <v>5964</v>
      </c>
      <c r="BO12" s="61">
        <v>20155.599999999999</v>
      </c>
      <c r="BQ12" s="316">
        <v>1986</v>
      </c>
      <c r="BR12" s="46">
        <f t="shared" si="21"/>
        <v>19162.586455217861</v>
      </c>
      <c r="BS12" s="46">
        <f t="shared" si="3"/>
        <v>845.74800226292359</v>
      </c>
      <c r="BT12" s="46">
        <f t="shared" si="3"/>
        <v>15210.218394499949</v>
      </c>
      <c r="BU12" s="46">
        <f t="shared" si="3"/>
        <v>2774.3092228107412</v>
      </c>
      <c r="BV12" s="46">
        <f t="shared" si="3"/>
        <v>5312.6559245267263</v>
      </c>
      <c r="BW12" s="46">
        <f t="shared" si="3"/>
        <v>16038.692910832255</v>
      </c>
      <c r="BY12" s="316">
        <v>1986</v>
      </c>
      <c r="BZ12" s="46">
        <f t="shared" si="4"/>
        <v>24765.23864466387</v>
      </c>
      <c r="CA12" s="46">
        <f t="shared" si="4"/>
        <v>1109.6015042782224</v>
      </c>
      <c r="CB12" s="46">
        <f t="shared" si="4"/>
        <v>18337.180151024811</v>
      </c>
      <c r="CC12" s="46">
        <f t="shared" si="4"/>
        <v>4064.0460670193997</v>
      </c>
      <c r="CD12" s="46">
        <f t="shared" si="4"/>
        <v>6314.9595144591212</v>
      </c>
      <c r="CE12" s="46">
        <f t="shared" si="4"/>
        <v>21228.813888964007</v>
      </c>
      <c r="CG12" s="316">
        <v>1986</v>
      </c>
      <c r="CH12" s="48">
        <f t="shared" si="5"/>
        <v>0.77376950532018374</v>
      </c>
      <c r="CI12" s="48">
        <f t="shared" si="5"/>
        <v>0.76220877405268916</v>
      </c>
      <c r="CJ12" s="48">
        <f t="shared" si="5"/>
        <v>0.8294742304557603</v>
      </c>
      <c r="CK12" s="48">
        <f t="shared" si="5"/>
        <v>0.68264709037745708</v>
      </c>
      <c r="CL12" s="48">
        <f t="shared" si="5"/>
        <v>0.84128107430657972</v>
      </c>
      <c r="CM12" s="48">
        <f t="shared" si="5"/>
        <v>0.75551526310992423</v>
      </c>
      <c r="CO12" s="316">
        <v>1986</v>
      </c>
      <c r="CP12" s="62">
        <v>-4.6929228912023557E-2</v>
      </c>
      <c r="CS12" s="316">
        <v>1986</v>
      </c>
      <c r="CT12" s="308">
        <f t="shared" si="40"/>
        <v>-9.6296114158739288E-3</v>
      </c>
      <c r="CU12" s="308">
        <f t="shared" si="22"/>
        <v>-1.2622926757669184E-2</v>
      </c>
      <c r="CV12" s="308">
        <f t="shared" si="22"/>
        <v>-1.2733327127145699E-2</v>
      </c>
      <c r="CW12" s="308">
        <f t="shared" si="22"/>
        <v>-1.2499965146889669E-2</v>
      </c>
      <c r="CX12" s="308">
        <f t="shared" si="22"/>
        <v>-1.0383201920383778E-2</v>
      </c>
      <c r="CY12" s="308">
        <f t="shared" si="22"/>
        <v>-9.8099861176266234E-3</v>
      </c>
      <c r="DA12" s="316">
        <v>1986</v>
      </c>
      <c r="DB12" s="46">
        <f t="shared" si="23"/>
        <v>17162.563437790363</v>
      </c>
      <c r="DC12" s="46">
        <f t="shared" si="24"/>
        <v>841.92244515671564</v>
      </c>
      <c r="DD12" s="46">
        <f t="shared" si="25"/>
        <v>12980.593692631875</v>
      </c>
      <c r="DE12" s="46">
        <f t="shared" si="26"/>
        <v>3651.5623439123874</v>
      </c>
      <c r="DF12" s="46">
        <f t="shared" si="27"/>
        <v>3542.8583384845033</v>
      </c>
      <c r="DG12" s="46">
        <f t="shared" si="28"/>
        <v>7352.5569110906181</v>
      </c>
      <c r="DI12" s="316">
        <v>1986</v>
      </c>
      <c r="DJ12" s="88">
        <f t="shared" si="29"/>
        <v>6.3938102503632605E-2</v>
      </c>
      <c r="DK12" s="88">
        <f t="shared" si="30"/>
        <v>5.3764086158244441E-2</v>
      </c>
      <c r="DL12" s="88">
        <f t="shared" si="31"/>
        <v>9.0393723591106617E-2</v>
      </c>
      <c r="DM12" s="88">
        <f t="shared" si="32"/>
        <v>9.0942419534101385E-2</v>
      </c>
      <c r="DN12" s="88">
        <f t="shared" si="33"/>
        <v>3.0748096792599964E-2</v>
      </c>
      <c r="DO12" s="88">
        <f t="shared" si="34"/>
        <v>2.2953132853941363E-2</v>
      </c>
      <c r="DQ12" s="316">
        <v>1986</v>
      </c>
      <c r="DR12" s="61">
        <v>357276.1</v>
      </c>
      <c r="DS12" s="43"/>
      <c r="DT12" s="61">
        <v>345998.7</v>
      </c>
      <c r="DU12" s="43"/>
      <c r="DV12" s="89">
        <v>-1</v>
      </c>
      <c r="DW12" s="46">
        <f t="shared" si="6"/>
        <v>360884.94949494948</v>
      </c>
      <c r="DX12" s="43"/>
      <c r="DY12" s="46">
        <f t="shared" si="7"/>
        <v>349493.63636363635</v>
      </c>
      <c r="DZ12" s="43"/>
      <c r="EB12" s="316">
        <v>1986</v>
      </c>
      <c r="EC12" s="88">
        <f t="shared" si="8"/>
        <v>5.3635231842314286E-2</v>
      </c>
      <c r="ED12" s="88">
        <f t="shared" si="9"/>
        <v>2.367211247164094E-3</v>
      </c>
      <c r="EE12" s="88">
        <f t="shared" si="10"/>
        <v>4.2572728471061874E-2</v>
      </c>
      <c r="EF12" s="88">
        <f t="shared" si="11"/>
        <v>7.7651687946961503E-3</v>
      </c>
      <c r="EG12" s="88">
        <f t="shared" si="12"/>
        <v>1.4869888930512639E-2</v>
      </c>
      <c r="EH12" s="88">
        <f t="shared" si="13"/>
        <v>4.4891591995188752E-2</v>
      </c>
      <c r="EI12" s="140"/>
      <c r="EJ12" s="316">
        <v>1986</v>
      </c>
      <c r="EK12" s="88">
        <f t="shared" si="14"/>
        <v>0.59853349053641547</v>
      </c>
      <c r="EL12" s="88">
        <f t="shared" si="15"/>
        <v>3.4145832065781867E-2</v>
      </c>
      <c r="EM12" s="88">
        <f t="shared" si="16"/>
        <v>0.34456755910265918</v>
      </c>
      <c r="EN12" s="88">
        <f t="shared" si="17"/>
        <v>8.9030067330948356E-2</v>
      </c>
      <c r="EO12" s="88">
        <f t="shared" si="18"/>
        <v>0.27517451708953172</v>
      </c>
      <c r="EP12" s="88">
        <f t="shared" si="19"/>
        <v>0.71144693830151695</v>
      </c>
      <c r="ER12" s="316">
        <v>1986</v>
      </c>
      <c r="ES12" s="317">
        <f t="shared" si="35"/>
        <v>121672</v>
      </c>
      <c r="ET12" s="61">
        <v>25434</v>
      </c>
      <c r="EU12" s="61">
        <v>83368</v>
      </c>
      <c r="EV12" s="61">
        <v>12870</v>
      </c>
      <c r="EW12" s="88">
        <f t="shared" si="36"/>
        <v>0.20903741205864948</v>
      </c>
      <c r="EX12" s="88">
        <f t="shared" si="36"/>
        <v>0.68518640278782295</v>
      </c>
      <c r="EY12" s="88">
        <f t="shared" si="36"/>
        <v>0.10577618515352752</v>
      </c>
      <c r="EZ12" s="88">
        <f t="shared" si="41"/>
        <v>-6.0986072393207635E-3</v>
      </c>
      <c r="FA12" s="88">
        <f t="shared" si="37"/>
        <v>3.3550782828704051E-3</v>
      </c>
      <c r="FB12" s="88">
        <f t="shared" si="37"/>
        <v>2.7435289564503029E-3</v>
      </c>
      <c r="FD12" s="316">
        <v>1986</v>
      </c>
      <c r="FE12" s="130"/>
      <c r="FF12" s="43"/>
      <c r="FG12" s="159">
        <v>4.4999999999999998E-2</v>
      </c>
      <c r="FH12" s="55"/>
      <c r="FJ12" s="130"/>
      <c r="FN12" s="130"/>
      <c r="FO12" s="316">
        <v>1986</v>
      </c>
      <c r="FP12" s="61">
        <v>203669.28314025773</v>
      </c>
      <c r="FQ12" s="61">
        <v>10804.187502570989</v>
      </c>
      <c r="FR12" s="61">
        <v>148434.06157465052</v>
      </c>
      <c r="FS12" s="61">
        <v>37726.933350944273</v>
      </c>
      <c r="FT12" s="61">
        <v>62402.797154670094</v>
      </c>
      <c r="FU12" s="61">
        <v>219883.88842543331</v>
      </c>
      <c r="FV12" s="46">
        <f t="shared" si="38"/>
        <v>682921.15114852693</v>
      </c>
    </row>
    <row r="13" spans="1:178" hidden="1" outlineLevel="1">
      <c r="A13" s="316">
        <v>1987</v>
      </c>
      <c r="B13" s="61">
        <v>205383.4</v>
      </c>
      <c r="C13" s="61">
        <v>13678.4</v>
      </c>
      <c r="D13" s="61">
        <v>116731.5</v>
      </c>
      <c r="E13" s="61">
        <v>30490.7</v>
      </c>
      <c r="F13" s="61">
        <v>105054.9</v>
      </c>
      <c r="G13" s="61">
        <v>263341.59999999998</v>
      </c>
      <c r="I13" s="316">
        <v>1987</v>
      </c>
      <c r="J13" s="61">
        <v>243148.1</v>
      </c>
      <c r="K13" s="61">
        <v>16355.1</v>
      </c>
      <c r="L13" s="61">
        <v>132085.79999999999</v>
      </c>
      <c r="M13" s="61">
        <v>35831.9</v>
      </c>
      <c r="N13" s="61">
        <v>118875.7</v>
      </c>
      <c r="O13" s="61">
        <v>318040.8</v>
      </c>
      <c r="Q13" s="316">
        <v>1987</v>
      </c>
      <c r="R13" s="46">
        <f t="shared" si="0"/>
        <v>232881.31935941498</v>
      </c>
      <c r="S13" s="46">
        <f t="shared" si="0"/>
        <v>12753.669782429284</v>
      </c>
      <c r="T13" s="46">
        <f t="shared" si="0"/>
        <v>132205.35770454846</v>
      </c>
      <c r="U13" s="46">
        <f t="shared" si="0"/>
        <v>33122.72719417078</v>
      </c>
      <c r="V13" s="46">
        <f t="shared" si="0"/>
        <v>104098.09903387165</v>
      </c>
      <c r="W13" s="46">
        <f t="shared" si="0"/>
        <v>273886.66150063829</v>
      </c>
      <c r="Y13" s="316">
        <v>1987</v>
      </c>
      <c r="Z13" s="46">
        <f t="shared" si="1"/>
        <v>288704.67460071784</v>
      </c>
      <c r="AA13" s="46">
        <f t="shared" si="1"/>
        <v>16101.205516138911</v>
      </c>
      <c r="AB13" s="46">
        <f t="shared" si="1"/>
        <v>155384.76910133084</v>
      </c>
      <c r="AC13" s="46">
        <f t="shared" si="1"/>
        <v>41067.172875793462</v>
      </c>
      <c r="AD13" s="46">
        <f t="shared" si="1"/>
        <v>121537.01695242515</v>
      </c>
      <c r="AE13" s="46">
        <f t="shared" si="1"/>
        <v>349705.69028419082</v>
      </c>
      <c r="AG13" s="316">
        <v>1987</v>
      </c>
      <c r="AH13" s="48">
        <f t="shared" si="2"/>
        <v>0.80664201118839773</v>
      </c>
      <c r="AI13" s="48">
        <f t="shared" si="2"/>
        <v>0.79209409318114399</v>
      </c>
      <c r="AJ13" s="48">
        <f t="shared" si="2"/>
        <v>0.8508257177917713</v>
      </c>
      <c r="AK13" s="48">
        <f t="shared" si="2"/>
        <v>0.80654997348732915</v>
      </c>
      <c r="AL13" s="48">
        <f t="shared" si="2"/>
        <v>0.85651352685922966</v>
      </c>
      <c r="AM13" s="48">
        <f t="shared" si="2"/>
        <v>0.78319189281153057</v>
      </c>
      <c r="AO13" s="316">
        <v>1987</v>
      </c>
      <c r="AP13" s="62">
        <v>-3.1190626979107017E-2</v>
      </c>
      <c r="AS13" s="316">
        <v>1987</v>
      </c>
      <c r="AT13" s="308">
        <f t="shared" si="39"/>
        <v>3.0803070471201677E-2</v>
      </c>
      <c r="AU13" s="308">
        <f t="shared" si="20"/>
        <v>2.3790422731480465E-2</v>
      </c>
      <c r="AV13" s="308">
        <f t="shared" si="20"/>
        <v>1.9198877719155405E-2</v>
      </c>
      <c r="AW13" s="308">
        <f t="shared" si="20"/>
        <v>1.8302344025609818E-2</v>
      </c>
      <c r="AX13" s="308">
        <f t="shared" si="20"/>
        <v>1.7695078555700627E-2</v>
      </c>
      <c r="AY13" s="308">
        <f t="shared" si="20"/>
        <v>1.946033863494212E-2</v>
      </c>
      <c r="BA13" s="316">
        <v>1987</v>
      </c>
      <c r="BB13" s="61">
        <v>20685.400000000001</v>
      </c>
      <c r="BC13" s="61">
        <v>788.1</v>
      </c>
      <c r="BD13" s="61">
        <v>13271.2</v>
      </c>
      <c r="BE13" s="61">
        <v>2620.1999999999998</v>
      </c>
      <c r="BF13" s="61">
        <v>5912.5</v>
      </c>
      <c r="BG13" s="61">
        <v>17642</v>
      </c>
      <c r="BI13" s="316">
        <v>1987</v>
      </c>
      <c r="BJ13" s="61">
        <v>25302.3</v>
      </c>
      <c r="BK13" s="61">
        <v>972</v>
      </c>
      <c r="BL13" s="61">
        <v>15380.2</v>
      </c>
      <c r="BM13" s="61">
        <v>3597.7</v>
      </c>
      <c r="BN13" s="61">
        <v>6801.3</v>
      </c>
      <c r="BO13" s="61">
        <v>21902.6</v>
      </c>
      <c r="BQ13" s="316">
        <v>1987</v>
      </c>
      <c r="BR13" s="46">
        <f t="shared" si="21"/>
        <v>23694.528415372319</v>
      </c>
      <c r="BS13" s="46">
        <f t="shared" si="3"/>
        <v>781.85806520048095</v>
      </c>
      <c r="BT13" s="46">
        <f t="shared" si="3"/>
        <v>16573.574478187755</v>
      </c>
      <c r="BU13" s="46">
        <f t="shared" si="3"/>
        <v>2871.6303332577645</v>
      </c>
      <c r="BV13" s="46">
        <f t="shared" si="3"/>
        <v>6061.5743253115143</v>
      </c>
      <c r="BW13" s="46">
        <f t="shared" si="3"/>
        <v>17487.168066455877</v>
      </c>
      <c r="BY13" s="316">
        <v>1987</v>
      </c>
      <c r="BZ13" s="46">
        <f t="shared" si="4"/>
        <v>30168.19273975382</v>
      </c>
      <c r="CA13" s="46">
        <f t="shared" si="4"/>
        <v>1019.8890422301959</v>
      </c>
      <c r="CB13" s="46">
        <f t="shared" si="4"/>
        <v>19952.705583965348</v>
      </c>
      <c r="CC13" s="46">
        <f t="shared" si="4"/>
        <v>4203.9156225749548</v>
      </c>
      <c r="CD13" s="46">
        <f t="shared" si="4"/>
        <v>7201.5315468965164</v>
      </c>
      <c r="CE13" s="46">
        <f t="shared" si="4"/>
        <v>23068.835414694826</v>
      </c>
      <c r="CG13" s="316">
        <v>1987</v>
      </c>
      <c r="CH13" s="48">
        <f t="shared" si="5"/>
        <v>0.78541424803843496</v>
      </c>
      <c r="CI13" s="48">
        <f t="shared" si="5"/>
        <v>0.76661090846783542</v>
      </c>
      <c r="CJ13" s="48">
        <f t="shared" si="5"/>
        <v>0.83064296260186521</v>
      </c>
      <c r="CK13" s="48">
        <f t="shared" si="5"/>
        <v>0.68308467416357233</v>
      </c>
      <c r="CL13" s="48">
        <f t="shared" si="5"/>
        <v>0.84170627953768196</v>
      </c>
      <c r="CM13" s="48">
        <f t="shared" si="5"/>
        <v>0.75804295067780347</v>
      </c>
      <c r="CO13" s="316">
        <v>1987</v>
      </c>
      <c r="CP13" s="62">
        <v>-3.1190626979107017E-2</v>
      </c>
      <c r="CS13" s="316">
        <v>1987</v>
      </c>
      <c r="CT13" s="308">
        <f t="shared" si="40"/>
        <v>1.5049368885935444E-2</v>
      </c>
      <c r="CU13" s="308">
        <f t="shared" si="22"/>
        <v>5.7754969045291649E-3</v>
      </c>
      <c r="CV13" s="308">
        <f t="shared" si="22"/>
        <v>1.409003562971245E-3</v>
      </c>
      <c r="CW13" s="308">
        <f t="shared" si="22"/>
        <v>6.4101025593377159E-4</v>
      </c>
      <c r="CX13" s="308">
        <f t="shared" si="22"/>
        <v>5.054258845091919E-4</v>
      </c>
      <c r="CY13" s="308">
        <f t="shared" si="22"/>
        <v>3.3456472573096807E-3</v>
      </c>
      <c r="DA13" s="316">
        <v>1987</v>
      </c>
      <c r="DB13" s="46">
        <f t="shared" si="23"/>
        <v>17490.853536838385</v>
      </c>
      <c r="DC13" s="46">
        <f t="shared" si="24"/>
        <v>845.93211046568672</v>
      </c>
      <c r="DD13" s="46">
        <f t="shared" si="25"/>
        <v>13525.131223845994</v>
      </c>
      <c r="DE13" s="46">
        <f t="shared" si="26"/>
        <v>3701.6917618761736</v>
      </c>
      <c r="DF13" s="46">
        <f t="shared" si="27"/>
        <v>3658.6525157300239</v>
      </c>
      <c r="DG13" s="46">
        <f t="shared" si="28"/>
        <v>7568.524841969047</v>
      </c>
      <c r="DI13" s="316">
        <v>1987</v>
      </c>
      <c r="DJ13" s="88">
        <f t="shared" si="29"/>
        <v>6.3366381853562026E-2</v>
      </c>
      <c r="DK13" s="88">
        <f t="shared" si="30"/>
        <v>5.3112256394089154E-2</v>
      </c>
      <c r="DL13" s="88">
        <f t="shared" si="31"/>
        <v>9.0798777778701295E-2</v>
      </c>
      <c r="DM13" s="88">
        <f t="shared" si="32"/>
        <v>9.1253455304448478E-2</v>
      </c>
      <c r="DN13" s="88">
        <f t="shared" si="33"/>
        <v>3.1007070183194711E-2</v>
      </c>
      <c r="DO13" s="88">
        <f t="shared" si="34"/>
        <v>2.2646328579460046E-2</v>
      </c>
      <c r="DQ13" s="316">
        <v>1987</v>
      </c>
      <c r="DR13" s="61">
        <v>373273</v>
      </c>
      <c r="DS13" s="43"/>
      <c r="DT13" s="61">
        <v>362083.7</v>
      </c>
      <c r="DU13" s="43"/>
      <c r="DV13" s="89">
        <v>-1</v>
      </c>
      <c r="DW13" s="46">
        <f t="shared" si="6"/>
        <v>377043.43434343435</v>
      </c>
      <c r="DX13" s="43"/>
      <c r="DY13" s="46">
        <f t="shared" si="7"/>
        <v>365741.11111111112</v>
      </c>
      <c r="DZ13" s="43"/>
      <c r="EB13" s="316">
        <v>1987</v>
      </c>
      <c r="EC13" s="88">
        <f t="shared" si="8"/>
        <v>6.3477745283940484E-2</v>
      </c>
      <c r="ED13" s="88">
        <f t="shared" si="9"/>
        <v>2.0946011771558106E-3</v>
      </c>
      <c r="EE13" s="88">
        <f t="shared" si="10"/>
        <v>4.4400678533373039E-2</v>
      </c>
      <c r="EF13" s="88">
        <f t="shared" si="11"/>
        <v>7.6931102256465496E-3</v>
      </c>
      <c r="EG13" s="88">
        <f t="shared" si="12"/>
        <v>1.6238984135770639E-2</v>
      </c>
      <c r="EH13" s="88">
        <f t="shared" si="13"/>
        <v>4.6848199753145491E-2</v>
      </c>
      <c r="EI13" s="140"/>
      <c r="EJ13" s="316">
        <v>1987</v>
      </c>
      <c r="EK13" s="88">
        <f t="shared" si="14"/>
        <v>0.61765117264259894</v>
      </c>
      <c r="EL13" s="88">
        <f t="shared" si="15"/>
        <v>3.3825465770642375E-2</v>
      </c>
      <c r="EM13" s="88">
        <f t="shared" si="16"/>
        <v>0.35063694434771059</v>
      </c>
      <c r="EN13" s="88">
        <f t="shared" si="17"/>
        <v>8.7848571748369353E-2</v>
      </c>
      <c r="EO13" s="88">
        <f t="shared" si="18"/>
        <v>0.27609047009436238</v>
      </c>
      <c r="EP13" s="88">
        <f t="shared" si="19"/>
        <v>0.72640612871981602</v>
      </c>
      <c r="ER13" s="316">
        <v>1987</v>
      </c>
      <c r="ES13" s="317">
        <f t="shared" si="35"/>
        <v>122264</v>
      </c>
      <c r="ET13" s="61">
        <v>24753</v>
      </c>
      <c r="EU13" s="61">
        <v>84189</v>
      </c>
      <c r="EV13" s="61">
        <v>13322</v>
      </c>
      <c r="EW13" s="88">
        <f t="shared" si="36"/>
        <v>0.20245534253745992</v>
      </c>
      <c r="EX13" s="88">
        <f t="shared" si="36"/>
        <v>0.68858372047372896</v>
      </c>
      <c r="EY13" s="88">
        <f t="shared" si="36"/>
        <v>0.1089609369888111</v>
      </c>
      <c r="EZ13" s="88">
        <f t="shared" si="41"/>
        <v>-6.5820695211895597E-3</v>
      </c>
      <c r="FA13" s="88">
        <f t="shared" si="37"/>
        <v>3.3973176859060095E-3</v>
      </c>
      <c r="FB13" s="88">
        <f t="shared" si="37"/>
        <v>3.184751835283578E-3</v>
      </c>
      <c r="FD13" s="316">
        <v>1987</v>
      </c>
      <c r="FE13" s="159">
        <v>5.0023503649634996E-2</v>
      </c>
      <c r="FF13" s="43"/>
      <c r="FG13" s="159">
        <v>4.7E-2</v>
      </c>
      <c r="FH13" s="55"/>
      <c r="FI13" s="319">
        <f>FE13-FG13</f>
        <v>3.0235036496349954E-3</v>
      </c>
      <c r="FJ13" s="130"/>
      <c r="FK13" s="345">
        <f>SUM(EK13:EL13)-(24.0959475629*(EW13-EW12)+0.793461523015+0.837029275127*FE13)</f>
        <v>-2.525481956297948E-2</v>
      </c>
      <c r="FL13" s="345">
        <f>EM13-(4.79228258068*(EW13-EW12) + 0.334886759052 + 1.54914698576*FE13)</f>
        <v>-3.0200437489054321E-2</v>
      </c>
      <c r="FM13" s="345">
        <f>EG13-(-1.26996838471*(EW13-EW12) + 0.0104066687 + 0.130732498683*(FE13-FG13))</f>
        <v>-2.9219749489973398E-3</v>
      </c>
      <c r="FN13" s="38"/>
      <c r="FO13" s="316">
        <v>1987</v>
      </c>
      <c r="FP13" s="61">
        <v>247527.87236867321</v>
      </c>
      <c r="FQ13" s="61">
        <v>10735.465389144465</v>
      </c>
      <c r="FR13" s="61">
        <v>158980.90996544124</v>
      </c>
      <c r="FS13" s="61">
        <v>38865.962509917081</v>
      </c>
      <c r="FT13" s="61">
        <v>66344.736357248345</v>
      </c>
      <c r="FU13" s="61">
        <v>233292.84543566033</v>
      </c>
      <c r="FV13" s="46">
        <f t="shared" si="38"/>
        <v>755747.79202608461</v>
      </c>
    </row>
    <row r="14" spans="1:178" hidden="1" outlineLevel="1">
      <c r="A14" s="316">
        <v>1988</v>
      </c>
      <c r="B14" s="61">
        <v>218530.8</v>
      </c>
      <c r="C14" s="61">
        <v>14009.8</v>
      </c>
      <c r="D14" s="61">
        <v>126032.5</v>
      </c>
      <c r="E14" s="61">
        <v>30960.400000000001</v>
      </c>
      <c r="F14" s="61">
        <v>110060.8</v>
      </c>
      <c r="G14" s="61">
        <v>280527</v>
      </c>
      <c r="I14" s="316">
        <v>1988</v>
      </c>
      <c r="J14" s="61">
        <v>256381.5</v>
      </c>
      <c r="K14" s="61">
        <v>16538.7</v>
      </c>
      <c r="L14" s="61">
        <v>140383.79999999999</v>
      </c>
      <c r="M14" s="61">
        <v>35783.199999999997</v>
      </c>
      <c r="N14" s="61">
        <v>122213.2</v>
      </c>
      <c r="O14" s="61">
        <v>333456.5</v>
      </c>
      <c r="Q14" s="316">
        <v>1988</v>
      </c>
      <c r="R14" s="46">
        <f t="shared" si="0"/>
        <v>247788.96943311117</v>
      </c>
      <c r="S14" s="46">
        <f t="shared" si="0"/>
        <v>13062.665437322918</v>
      </c>
      <c r="T14" s="46">
        <f t="shared" si="0"/>
        <v>142739.29269219111</v>
      </c>
      <c r="U14" s="46">
        <f t="shared" si="0"/>
        <v>33632.972776040078</v>
      </c>
      <c r="V14" s="46">
        <f t="shared" si="0"/>
        <v>109058.40715803968</v>
      </c>
      <c r="W14" s="46">
        <f t="shared" si="0"/>
        <v>291760.22128972242</v>
      </c>
      <c r="Y14" s="316">
        <v>1988</v>
      </c>
      <c r="Z14" s="46">
        <f t="shared" si="1"/>
        <v>304417.50328768324</v>
      </c>
      <c r="AA14" s="46">
        <f t="shared" si="1"/>
        <v>16281.955333184549</v>
      </c>
      <c r="AB14" s="46">
        <f t="shared" si="1"/>
        <v>165146.47561333168</v>
      </c>
      <c r="AC14" s="46">
        <f t="shared" si="1"/>
        <v>41011.35749008823</v>
      </c>
      <c r="AD14" s="46">
        <f t="shared" si="1"/>
        <v>124949.2348748325</v>
      </c>
      <c r="AE14" s="46">
        <f t="shared" si="1"/>
        <v>366656.21364381642</v>
      </c>
      <c r="AG14" s="316">
        <v>1988</v>
      </c>
      <c r="AH14" s="48">
        <f t="shared" si="2"/>
        <v>0.81397740523133955</v>
      </c>
      <c r="AI14" s="48">
        <f t="shared" si="2"/>
        <v>0.80227866801106262</v>
      </c>
      <c r="AJ14" s="48">
        <f t="shared" si="2"/>
        <v>0.8643193393142462</v>
      </c>
      <c r="AK14" s="48">
        <f t="shared" si="2"/>
        <v>0.82008923465087968</v>
      </c>
      <c r="AL14" s="48">
        <f t="shared" si="2"/>
        <v>0.87282172849868667</v>
      </c>
      <c r="AM14" s="48">
        <f t="shared" si="2"/>
        <v>0.79573237935945418</v>
      </c>
      <c r="AO14" s="316">
        <v>1988</v>
      </c>
      <c r="AP14" s="62">
        <v>-5.2296126818074384E-3</v>
      </c>
      <c r="AS14" s="316">
        <v>1988</v>
      </c>
      <c r="AT14" s="308">
        <f t="shared" si="39"/>
        <v>9.0937416365592938E-3</v>
      </c>
      <c r="AU14" s="308">
        <f t="shared" si="20"/>
        <v>1.2857784091049318E-2</v>
      </c>
      <c r="AV14" s="308">
        <f t="shared" si="20"/>
        <v>1.5859442469012608E-2</v>
      </c>
      <c r="AW14" s="308">
        <f t="shared" si="20"/>
        <v>1.6786636425031531E-2</v>
      </c>
      <c r="AX14" s="308">
        <f t="shared" si="20"/>
        <v>1.9040214927203758E-2</v>
      </c>
      <c r="AY14" s="308">
        <f t="shared" si="20"/>
        <v>1.6012022932087921E-2</v>
      </c>
      <c r="BA14" s="316">
        <v>1988</v>
      </c>
      <c r="BB14" s="61">
        <v>23763.3</v>
      </c>
      <c r="BC14" s="61">
        <v>817.4</v>
      </c>
      <c r="BD14" s="61">
        <v>16428.099999999999</v>
      </c>
      <c r="BE14" s="61">
        <v>2298.8000000000002</v>
      </c>
      <c r="BF14" s="61">
        <v>5967.4</v>
      </c>
      <c r="BG14" s="61">
        <v>19433.400000000001</v>
      </c>
      <c r="BI14" s="316">
        <v>1988</v>
      </c>
      <c r="BJ14" s="61">
        <v>28378.799999999999</v>
      </c>
      <c r="BK14" s="61">
        <v>984.3</v>
      </c>
      <c r="BL14" s="61">
        <v>18614.400000000001</v>
      </c>
      <c r="BM14" s="61">
        <v>3085.5</v>
      </c>
      <c r="BN14" s="61">
        <v>6715.7</v>
      </c>
      <c r="BO14" s="61">
        <v>23595</v>
      </c>
      <c r="BQ14" s="316">
        <v>1988</v>
      </c>
      <c r="BR14" s="46">
        <f t="shared" si="21"/>
        <v>27220.173991946831</v>
      </c>
      <c r="BS14" s="46">
        <f t="shared" si="3"/>
        <v>810.92600240435615</v>
      </c>
      <c r="BT14" s="46">
        <f t="shared" si="3"/>
        <v>20516.030116727667</v>
      </c>
      <c r="BU14" s="46">
        <f t="shared" si="3"/>
        <v>2519.3892871127964</v>
      </c>
      <c r="BV14" s="46">
        <f t="shared" si="3"/>
        <v>6117.8585418797338</v>
      </c>
      <c r="BW14" s="46">
        <f t="shared" si="3"/>
        <v>19262.846157049295</v>
      </c>
      <c r="BY14" s="316">
        <v>1988</v>
      </c>
      <c r="BZ14" s="46">
        <f t="shared" si="4"/>
        <v>33836.335357770862</v>
      </c>
      <c r="CA14" s="46">
        <f t="shared" si="4"/>
        <v>1032.7950455423681</v>
      </c>
      <c r="CB14" s="46">
        <f t="shared" si="4"/>
        <v>24148.427382099362</v>
      </c>
      <c r="CC14" s="46">
        <f t="shared" si="4"/>
        <v>3605.4094708994708</v>
      </c>
      <c r="CD14" s="46">
        <f t="shared" si="4"/>
        <v>7110.8943010149433</v>
      </c>
      <c r="CE14" s="46">
        <f t="shared" si="4"/>
        <v>24851.349684956327</v>
      </c>
      <c r="CG14" s="316">
        <v>1988</v>
      </c>
      <c r="CH14" s="48">
        <f t="shared" si="5"/>
        <v>0.80446578224658238</v>
      </c>
      <c r="CI14" s="48">
        <f t="shared" si="5"/>
        <v>0.78517611592385361</v>
      </c>
      <c r="CJ14" s="48">
        <f t="shared" si="5"/>
        <v>0.84958038020876248</v>
      </c>
      <c r="CK14" s="48">
        <f t="shared" si="5"/>
        <v>0.69878034865323191</v>
      </c>
      <c r="CL14" s="48">
        <f t="shared" si="5"/>
        <v>0.86035008859666595</v>
      </c>
      <c r="CM14" s="48">
        <f t="shared" si="5"/>
        <v>0.77512273583716007</v>
      </c>
      <c r="CO14" s="316">
        <v>1988</v>
      </c>
      <c r="CP14" s="62">
        <v>-5.2296126818074384E-3</v>
      </c>
      <c r="CS14" s="316">
        <v>1988</v>
      </c>
      <c r="CT14" s="308">
        <f t="shared" si="40"/>
        <v>2.4256669974766165E-2</v>
      </c>
      <c r="CU14" s="308">
        <f t="shared" si="22"/>
        <v>2.4217249260283902E-2</v>
      </c>
      <c r="CV14" s="308">
        <f t="shared" si="22"/>
        <v>2.2798504844462553E-2</v>
      </c>
      <c r="CW14" s="308">
        <f t="shared" si="22"/>
        <v>2.2977641108518077E-2</v>
      </c>
      <c r="CX14" s="308">
        <f t="shared" si="22"/>
        <v>2.2150017782003983E-2</v>
      </c>
      <c r="CY14" s="308">
        <f t="shared" si="22"/>
        <v>2.2531421397804285E-2</v>
      </c>
      <c r="DA14" s="316">
        <v>1988</v>
      </c>
      <c r="DB14" s="46">
        <f t="shared" si="23"/>
        <v>18123.506670805466</v>
      </c>
      <c r="DC14" s="46">
        <f t="shared" si="24"/>
        <v>852.04522849672981</v>
      </c>
      <c r="DD14" s="46">
        <f t="shared" si="25"/>
        <v>14386.720870098514</v>
      </c>
      <c r="DE14" s="46">
        <f t="shared" si="26"/>
        <v>3661.2248566047019</v>
      </c>
      <c r="DF14" s="46">
        <f t="shared" si="27"/>
        <v>3698.6763786075953</v>
      </c>
      <c r="DG14" s="46">
        <f t="shared" si="28"/>
        <v>7900.8263253307268</v>
      </c>
      <c r="DI14" s="316">
        <v>1988</v>
      </c>
      <c r="DJ14" s="88">
        <f t="shared" si="29"/>
        <v>6.277524496570934E-2</v>
      </c>
      <c r="DK14" s="88">
        <f t="shared" si="30"/>
        <v>5.2918101544799818E-2</v>
      </c>
      <c r="DL14" s="88">
        <f t="shared" si="31"/>
        <v>9.2587715985963354E-2</v>
      </c>
      <c r="DM14" s="88">
        <f t="shared" si="32"/>
        <v>8.9152103741788516E-2</v>
      </c>
      <c r="DN14" s="88">
        <f t="shared" si="33"/>
        <v>3.0432509134689534E-2</v>
      </c>
      <c r="DO14" s="88">
        <f t="shared" si="34"/>
        <v>2.2592787434800001E-2</v>
      </c>
      <c r="DQ14" s="316">
        <v>1988</v>
      </c>
      <c r="DR14" s="61">
        <v>400566.9</v>
      </c>
      <c r="DS14" s="43"/>
      <c r="DT14" s="61">
        <v>386204.4</v>
      </c>
      <c r="DU14" s="43"/>
      <c r="DV14" s="89">
        <v>1.1000000000000001</v>
      </c>
      <c r="DW14" s="46">
        <f t="shared" si="6"/>
        <v>396208.60534124635</v>
      </c>
      <c r="DX14" s="43"/>
      <c r="DY14" s="46">
        <f t="shared" si="7"/>
        <v>382002.37388724042</v>
      </c>
      <c r="DZ14" s="43"/>
      <c r="EB14" s="316">
        <v>1988</v>
      </c>
      <c r="EC14" s="88">
        <f t="shared" si="8"/>
        <v>6.7954126993385697E-2</v>
      </c>
      <c r="ED14" s="88">
        <f t="shared" si="9"/>
        <v>2.0244458601156412E-3</v>
      </c>
      <c r="EE14" s="88">
        <f t="shared" si="10"/>
        <v>5.1217487307931998E-2</v>
      </c>
      <c r="EF14" s="88">
        <f t="shared" si="11"/>
        <v>6.2895593398076483E-3</v>
      </c>
      <c r="EG14" s="88">
        <f t="shared" si="12"/>
        <v>1.5273000694465104E-2</v>
      </c>
      <c r="EH14" s="88">
        <f t="shared" si="13"/>
        <v>4.8088961312203513E-2</v>
      </c>
      <c r="EI14" s="140"/>
      <c r="EJ14" s="316">
        <v>1988</v>
      </c>
      <c r="EK14" s="88">
        <f t="shared" si="14"/>
        <v>0.62540027170711143</v>
      </c>
      <c r="EL14" s="88">
        <f t="shared" si="15"/>
        <v>3.2969161348911924E-2</v>
      </c>
      <c r="EM14" s="88">
        <f t="shared" si="16"/>
        <v>0.36026297957171499</v>
      </c>
      <c r="EN14" s="88">
        <f t="shared" si="17"/>
        <v>8.4887032544567503E-2</v>
      </c>
      <c r="EO14" s="88">
        <f t="shared" si="18"/>
        <v>0.27525501891638604</v>
      </c>
      <c r="EP14" s="88">
        <f t="shared" si="19"/>
        <v>0.73638032429516598</v>
      </c>
      <c r="ER14" s="316">
        <v>1988</v>
      </c>
      <c r="ES14" s="317">
        <f t="shared" si="35"/>
        <v>122783</v>
      </c>
      <c r="ET14" s="61">
        <v>23985</v>
      </c>
      <c r="EU14" s="61">
        <v>85013</v>
      </c>
      <c r="EV14" s="61">
        <v>13785</v>
      </c>
      <c r="EW14" s="88">
        <f t="shared" si="36"/>
        <v>0.19534463240025085</v>
      </c>
      <c r="EX14" s="88">
        <f t="shared" si="36"/>
        <v>0.69238412483812906</v>
      </c>
      <c r="EY14" s="88">
        <f t="shared" si="36"/>
        <v>0.11227124276162009</v>
      </c>
      <c r="EZ14" s="88">
        <f t="shared" si="41"/>
        <v>-7.1107101372090697E-3</v>
      </c>
      <c r="FA14" s="88">
        <f t="shared" si="37"/>
        <v>3.8004043644001007E-3</v>
      </c>
      <c r="FB14" s="88">
        <f t="shared" si="37"/>
        <v>3.3103057728089968E-3</v>
      </c>
      <c r="FD14" s="316">
        <v>1988</v>
      </c>
      <c r="FE14" s="159">
        <v>4.9711391941391937E-2</v>
      </c>
      <c r="FF14" s="43"/>
      <c r="FG14" s="159">
        <v>4.7E-2</v>
      </c>
      <c r="FH14" s="55"/>
      <c r="FI14" s="319">
        <f t="shared" ref="FI14:FI66" si="42">FE14-FG14</f>
        <v>2.7113919413919371E-3</v>
      </c>
      <c r="FK14" s="345">
        <f t="shared" ref="FK14:FK46" si="43">SUM(EK14:EL14)-(24.0959475629*(EW14-EW13)+0.793461523015+0.837029275127*FE14)</f>
        <v>-5.362681720062823E-3</v>
      </c>
      <c r="FL14" s="345">
        <f t="shared" ref="FL14:FL46" si="44">EM14-(4.79228258068*(EW14-EW13) + 0.334886759052 + 1.54914698576*FE14)</f>
        <v>-1.7557500137414528E-2</v>
      </c>
      <c r="FM14" s="345">
        <f t="shared" ref="FM14:FM66" si="45">EG14-(-1.26996838471*(EW14-EW13) + 0.0104066687 + 0.130732498683*(FE14-FG14))</f>
        <v>-4.5185121160344396E-3</v>
      </c>
      <c r="FN14" s="38"/>
      <c r="FO14" s="316">
        <v>1988</v>
      </c>
      <c r="FP14" s="61">
        <v>276009.70308196789</v>
      </c>
      <c r="FQ14" s="61">
        <v>10574.240056545475</v>
      </c>
      <c r="FR14" s="61">
        <v>187138.826864426</v>
      </c>
      <c r="FS14" s="61">
        <v>40886.250045990455</v>
      </c>
      <c r="FT14" s="61">
        <v>68853.775936686056</v>
      </c>
      <c r="FU14" s="61">
        <v>247349.75768353729</v>
      </c>
      <c r="FV14" s="46">
        <f t="shared" si="38"/>
        <v>830812.55366915325</v>
      </c>
    </row>
    <row r="15" spans="1:178" hidden="1" outlineLevel="1">
      <c r="A15" s="316">
        <v>1989</v>
      </c>
      <c r="B15" s="61">
        <v>245675.9</v>
      </c>
      <c r="C15" s="61">
        <v>15189.1</v>
      </c>
      <c r="D15" s="61">
        <v>139923.29999999999</v>
      </c>
      <c r="E15" s="61">
        <v>32989.1</v>
      </c>
      <c r="F15" s="61">
        <v>118030.1</v>
      </c>
      <c r="G15" s="61">
        <v>306996.2</v>
      </c>
      <c r="I15" s="316">
        <v>1989</v>
      </c>
      <c r="J15" s="61">
        <v>268830.40000000002</v>
      </c>
      <c r="K15" s="61">
        <v>16815.099999999999</v>
      </c>
      <c r="L15" s="61">
        <v>149821.4</v>
      </c>
      <c r="M15" s="61">
        <v>36101.199999999997</v>
      </c>
      <c r="N15" s="61">
        <v>127589.6</v>
      </c>
      <c r="O15" s="61">
        <v>347683.2</v>
      </c>
      <c r="Q15" s="316">
        <v>1989</v>
      </c>
      <c r="R15" s="46">
        <f t="shared" si="0"/>
        <v>278568.41267021431</v>
      </c>
      <c r="S15" s="46">
        <f t="shared" si="0"/>
        <v>14162.238689634509</v>
      </c>
      <c r="T15" s="46">
        <f t="shared" si="0"/>
        <v>158471.44881802122</v>
      </c>
      <c r="U15" s="46">
        <f t="shared" si="0"/>
        <v>35836.794815508314</v>
      </c>
      <c r="V15" s="46">
        <f t="shared" si="0"/>
        <v>116955.12573690305</v>
      </c>
      <c r="W15" s="46">
        <f t="shared" si="0"/>
        <v>319289.33488435659</v>
      </c>
      <c r="Y15" s="316">
        <v>1989</v>
      </c>
      <c r="Z15" s="46">
        <f t="shared" si="1"/>
        <v>319198.84693641786</v>
      </c>
      <c r="AA15" s="46">
        <f t="shared" si="1"/>
        <v>16554.064534880705</v>
      </c>
      <c r="AB15" s="46">
        <f t="shared" si="1"/>
        <v>176248.79923078883</v>
      </c>
      <c r="AC15" s="46">
        <f t="shared" si="1"/>
        <v>41375.819351572056</v>
      </c>
      <c r="AD15" s="46">
        <f t="shared" si="1"/>
        <v>130445.9984517706</v>
      </c>
      <c r="AE15" s="46">
        <f t="shared" si="1"/>
        <v>382299.35736615048</v>
      </c>
      <c r="AG15" s="316">
        <v>1989</v>
      </c>
      <c r="AH15" s="48">
        <f t="shared" si="2"/>
        <v>0.87271121228612447</v>
      </c>
      <c r="AI15" s="48">
        <f t="shared" si="2"/>
        <v>0.85551428531606644</v>
      </c>
      <c r="AJ15" s="48">
        <f t="shared" si="2"/>
        <v>0.89913491331371242</v>
      </c>
      <c r="AK15" s="48">
        <f t="shared" si="2"/>
        <v>0.86612894625727122</v>
      </c>
      <c r="AL15" s="48">
        <f t="shared" si="2"/>
        <v>0.89657886884237781</v>
      </c>
      <c r="AM15" s="48">
        <f t="shared" si="2"/>
        <v>0.83518145854102099</v>
      </c>
      <c r="AO15" s="316">
        <v>1989</v>
      </c>
      <c r="AP15" s="62">
        <v>1.8646295383607514E-2</v>
      </c>
      <c r="AS15" s="316">
        <v>1989</v>
      </c>
      <c r="AT15" s="308">
        <f t="shared" si="39"/>
        <v>7.2156557021496592E-2</v>
      </c>
      <c r="AU15" s="308">
        <f t="shared" si="20"/>
        <v>6.6355518883458364E-2</v>
      </c>
      <c r="AV15" s="308">
        <f t="shared" si="20"/>
        <v>4.0280915184761401E-2</v>
      </c>
      <c r="AW15" s="308">
        <f t="shared" si="20"/>
        <v>5.6139880467996894E-2</v>
      </c>
      <c r="AX15" s="308">
        <f t="shared" si="20"/>
        <v>2.7218777406647687E-2</v>
      </c>
      <c r="AY15" s="308">
        <f t="shared" si="20"/>
        <v>4.9575812427442578E-2</v>
      </c>
      <c r="BA15" s="316">
        <v>1989</v>
      </c>
      <c r="BB15" s="61">
        <v>24901.9</v>
      </c>
      <c r="BC15" s="61">
        <v>947.6</v>
      </c>
      <c r="BD15" s="61">
        <v>18614.400000000001</v>
      </c>
      <c r="BE15" s="61">
        <v>2729</v>
      </c>
      <c r="BF15" s="61">
        <v>8175.9</v>
      </c>
      <c r="BG15" s="61">
        <v>19503.599999999999</v>
      </c>
      <c r="BI15" s="316">
        <v>1989</v>
      </c>
      <c r="BJ15" s="61">
        <v>28148.7</v>
      </c>
      <c r="BK15" s="61">
        <v>1082.8</v>
      </c>
      <c r="BL15" s="61">
        <v>20364.099999999999</v>
      </c>
      <c r="BM15" s="61">
        <v>3493.2</v>
      </c>
      <c r="BN15" s="61">
        <v>8936.2000000000007</v>
      </c>
      <c r="BO15" s="61">
        <v>22674.6</v>
      </c>
      <c r="BQ15" s="316">
        <v>1989</v>
      </c>
      <c r="BR15" s="46">
        <f t="shared" si="21"/>
        <v>28524.407415218462</v>
      </c>
      <c r="BS15" s="46">
        <f t="shared" si="3"/>
        <v>940.09478820451181</v>
      </c>
      <c r="BT15" s="46">
        <f t="shared" si="3"/>
        <v>23246.363913344547</v>
      </c>
      <c r="BU15" s="46">
        <f t="shared" si="3"/>
        <v>2990.8706127243872</v>
      </c>
      <c r="BV15" s="46">
        <f t="shared" si="3"/>
        <v>8382.0423723153344</v>
      </c>
      <c r="BW15" s="46">
        <f t="shared" si="3"/>
        <v>19332.43005900288</v>
      </c>
      <c r="BY15" s="316">
        <v>1989</v>
      </c>
      <c r="BZ15" s="46">
        <f t="shared" si="4"/>
        <v>33561.984759231709</v>
      </c>
      <c r="CA15" s="46">
        <f t="shared" si="4"/>
        <v>1136.1479988959425</v>
      </c>
      <c r="CB15" s="46">
        <f t="shared" si="4"/>
        <v>26418.310020833844</v>
      </c>
      <c r="CC15" s="46">
        <f t="shared" si="4"/>
        <v>4081.8072804232797</v>
      </c>
      <c r="CD15" s="46">
        <f t="shared" si="4"/>
        <v>9462.0625776508386</v>
      </c>
      <c r="CE15" s="46">
        <f t="shared" si="4"/>
        <v>23881.94166418778</v>
      </c>
      <c r="CG15" s="316">
        <v>1989</v>
      </c>
      <c r="CH15" s="48">
        <f t="shared" si="5"/>
        <v>0.84990228140105484</v>
      </c>
      <c r="CI15" s="48">
        <f t="shared" si="5"/>
        <v>0.82744042951979291</v>
      </c>
      <c r="CJ15" s="48">
        <f t="shared" si="5"/>
        <v>0.87993379951299466</v>
      </c>
      <c r="CK15" s="48">
        <f t="shared" si="5"/>
        <v>0.7327319511307836</v>
      </c>
      <c r="CL15" s="48">
        <f t="shared" si="5"/>
        <v>0.88585784584785077</v>
      </c>
      <c r="CM15" s="48">
        <f t="shared" si="5"/>
        <v>0.80949992805622117</v>
      </c>
      <c r="CO15" s="316">
        <v>1989</v>
      </c>
      <c r="CP15" s="62">
        <v>1.8646295383607514E-2</v>
      </c>
      <c r="CS15" s="316">
        <v>1989</v>
      </c>
      <c r="CT15" s="308">
        <f t="shared" si="40"/>
        <v>5.648033783063422E-2</v>
      </c>
      <c r="CU15" s="308">
        <f t="shared" si="22"/>
        <v>5.3827813580664463E-2</v>
      </c>
      <c r="CV15" s="308">
        <f t="shared" si="22"/>
        <v>3.57275426920447E-2</v>
      </c>
      <c r="CW15" s="308">
        <f t="shared" si="22"/>
        <v>4.858694515807005E-2</v>
      </c>
      <c r="CX15" s="308">
        <f t="shared" si="22"/>
        <v>2.9648113703098389E-2</v>
      </c>
      <c r="CY15" s="308">
        <f t="shared" si="22"/>
        <v>4.4350643620242325E-2</v>
      </c>
      <c r="DA15" s="316">
        <v>1989</v>
      </c>
      <c r="DB15" s="46">
        <f t="shared" si="23"/>
        <v>18780.64111049709</v>
      </c>
      <c r="DC15" s="46">
        <f t="shared" si="24"/>
        <v>864.03879719978681</v>
      </c>
      <c r="DD15" s="46">
        <f t="shared" si="25"/>
        <v>15315.986403376693</v>
      </c>
      <c r="DE15" s="46">
        <f t="shared" si="26"/>
        <v>3717.3454189394542</v>
      </c>
      <c r="DF15" s="46">
        <f t="shared" si="27"/>
        <v>3965.2990007127373</v>
      </c>
      <c r="DG15" s="46">
        <f t="shared" si="28"/>
        <v>8238.7979418537179</v>
      </c>
      <c r="DI15" s="316">
        <v>1989</v>
      </c>
      <c r="DJ15" s="88">
        <f t="shared" si="29"/>
        <v>6.1693696675348027E-2</v>
      </c>
      <c r="DK15" s="88">
        <f t="shared" si="30"/>
        <v>5.3067262470544531E-2</v>
      </c>
      <c r="DL15" s="88">
        <f t="shared" si="31"/>
        <v>9.2741830223716196E-2</v>
      </c>
      <c r="DM15" s="88">
        <f t="shared" si="32"/>
        <v>9.0641852560912561E-2</v>
      </c>
      <c r="DN15" s="88">
        <f t="shared" si="33"/>
        <v>3.173528036954338E-2</v>
      </c>
      <c r="DO15" s="88">
        <f t="shared" si="34"/>
        <v>2.2470089515126E-2</v>
      </c>
      <c r="DQ15" s="316">
        <v>1989</v>
      </c>
      <c r="DR15" s="61">
        <v>428994.1</v>
      </c>
      <c r="DS15" s="43"/>
      <c r="DT15" s="61">
        <v>405228</v>
      </c>
      <c r="DU15" s="43"/>
      <c r="DV15" s="89">
        <v>1.4</v>
      </c>
      <c r="DW15" s="46">
        <f t="shared" si="6"/>
        <v>423071.10453648912</v>
      </c>
      <c r="DX15" s="43"/>
      <c r="DY15" s="46">
        <f t="shared" si="7"/>
        <v>399633.13609467453</v>
      </c>
      <c r="DZ15" s="43"/>
      <c r="EB15" s="316">
        <v>1989</v>
      </c>
      <c r="EC15" s="88">
        <f t="shared" si="8"/>
        <v>6.6491374625474955E-2</v>
      </c>
      <c r="ED15" s="88">
        <f t="shared" si="9"/>
        <v>2.1913932807106481E-3</v>
      </c>
      <c r="EE15" s="88">
        <f t="shared" si="10"/>
        <v>5.4188073713238825E-2</v>
      </c>
      <c r="EF15" s="88">
        <f t="shared" si="11"/>
        <v>6.9718222528570616E-3</v>
      </c>
      <c r="EG15" s="88">
        <f t="shared" si="12"/>
        <v>1.9538829024257756E-2</v>
      </c>
      <c r="EH15" s="88">
        <f t="shared" si="13"/>
        <v>4.5064559300472616E-2</v>
      </c>
      <c r="EI15" s="140"/>
      <c r="EJ15" s="316">
        <v>1989</v>
      </c>
      <c r="EK15" s="88">
        <f t="shared" si="14"/>
        <v>0.65844348546424614</v>
      </c>
      <c r="EL15" s="88">
        <f t="shared" si="15"/>
        <v>3.3474842733942946E-2</v>
      </c>
      <c r="EM15" s="88">
        <f t="shared" si="16"/>
        <v>0.37457403050874949</v>
      </c>
      <c r="EN15" s="88">
        <f t="shared" si="17"/>
        <v>8.4706316340773524E-2</v>
      </c>
      <c r="EO15" s="88">
        <f t="shared" si="18"/>
        <v>0.27644319000475692</v>
      </c>
      <c r="EP15" s="88">
        <f t="shared" si="19"/>
        <v>0.75469426169902476</v>
      </c>
      <c r="ER15" s="316">
        <v>1989</v>
      </c>
      <c r="ES15" s="317">
        <f t="shared" si="35"/>
        <v>123255</v>
      </c>
      <c r="ET15" s="61">
        <v>23201</v>
      </c>
      <c r="EU15" s="61">
        <v>85745</v>
      </c>
      <c r="EV15" s="61">
        <v>14309</v>
      </c>
      <c r="EW15" s="88">
        <f t="shared" si="36"/>
        <v>0.1882357713683015</v>
      </c>
      <c r="EX15" s="88">
        <f t="shared" si="36"/>
        <v>0.69567157518964751</v>
      </c>
      <c r="EY15" s="88">
        <f t="shared" si="36"/>
        <v>0.11609265344205104</v>
      </c>
      <c r="EZ15" s="88">
        <f t="shared" si="41"/>
        <v>-7.1088610319493539E-3</v>
      </c>
      <c r="FA15" s="88">
        <f t="shared" si="37"/>
        <v>3.2874503515184506E-3</v>
      </c>
      <c r="FB15" s="88">
        <f t="shared" si="37"/>
        <v>3.821410680430945E-3</v>
      </c>
      <c r="FD15" s="316">
        <v>1989</v>
      </c>
      <c r="FE15" s="159">
        <v>5.1545140562248966E-2</v>
      </c>
      <c r="FF15" s="43"/>
      <c r="FG15" s="159">
        <v>4.4999999999999998E-2</v>
      </c>
      <c r="FH15" s="55"/>
      <c r="FI15" s="319">
        <f t="shared" si="42"/>
        <v>6.5451405622489675E-3</v>
      </c>
      <c r="FK15" s="345">
        <f t="shared" si="43"/>
        <v>2.6606756199845427E-2</v>
      </c>
      <c r="FL15" s="345">
        <f t="shared" si="44"/>
        <v>-6.096056783948256E-3</v>
      </c>
      <c r="FM15" s="345">
        <f t="shared" si="45"/>
        <v>-7.5153101754909038E-4</v>
      </c>
      <c r="FN15" s="38"/>
      <c r="FO15" s="316">
        <v>1989</v>
      </c>
      <c r="FP15" s="61">
        <v>276475.52717596584</v>
      </c>
      <c r="FQ15" s="61">
        <v>10528.880638940507</v>
      </c>
      <c r="FR15" s="61">
        <v>216600.90022876172</v>
      </c>
      <c r="FS15" s="61">
        <v>38756.208790382501</v>
      </c>
      <c r="FT15" s="61">
        <v>78110.645520670441</v>
      </c>
      <c r="FU15" s="61">
        <v>242065.11969696454</v>
      </c>
      <c r="FV15" s="46">
        <f t="shared" si="38"/>
        <v>862537.2820516855</v>
      </c>
    </row>
    <row r="16" spans="1:178" hidden="1" outlineLevel="1">
      <c r="A16" s="316">
        <v>1990</v>
      </c>
      <c r="B16" s="61">
        <v>269745.2</v>
      </c>
      <c r="C16" s="61">
        <v>16478.400000000001</v>
      </c>
      <c r="D16" s="61">
        <v>158781.1</v>
      </c>
      <c r="E16" s="61">
        <v>35087</v>
      </c>
      <c r="F16" s="61">
        <v>130789.8</v>
      </c>
      <c r="G16" s="61">
        <v>340265.8</v>
      </c>
      <c r="I16" s="316">
        <v>1990</v>
      </c>
      <c r="J16" s="61">
        <v>280611</v>
      </c>
      <c r="K16" s="61">
        <v>17298.7</v>
      </c>
      <c r="L16" s="61">
        <v>160798.5</v>
      </c>
      <c r="M16" s="61">
        <v>36290.400000000001</v>
      </c>
      <c r="N16" s="61">
        <v>133502.39999999999</v>
      </c>
      <c r="O16" s="61">
        <v>362833.1</v>
      </c>
      <c r="Q16" s="316">
        <v>1990</v>
      </c>
      <c r="R16" s="46">
        <f t="shared" si="0"/>
        <v>305860.24998548697</v>
      </c>
      <c r="S16" s="46">
        <f t="shared" si="0"/>
        <v>15364.375375978385</v>
      </c>
      <c r="T16" s="46">
        <f t="shared" si="0"/>
        <v>179829.02748805322</v>
      </c>
      <c r="U16" s="46">
        <f t="shared" si="0"/>
        <v>38115.790357776968</v>
      </c>
      <c r="V16" s="46">
        <f t="shared" si="0"/>
        <v>129598.61513380402</v>
      </c>
      <c r="W16" s="46">
        <f t="shared" si="0"/>
        <v>353891.15880227013</v>
      </c>
      <c r="Y16" s="316">
        <v>1990</v>
      </c>
      <c r="Z16" s="46">
        <f t="shared" si="1"/>
        <v>333186.67694455368</v>
      </c>
      <c r="AA16" s="46">
        <f t="shared" si="1"/>
        <v>17030.157190236208</v>
      </c>
      <c r="AB16" s="46">
        <f t="shared" si="1"/>
        <v>189162.17938900582</v>
      </c>
      <c r="AC16" s="46">
        <f t="shared" si="1"/>
        <v>41592.662698090113</v>
      </c>
      <c r="AD16" s="46">
        <f t="shared" si="1"/>
        <v>136491.1706260358</v>
      </c>
      <c r="AE16" s="46">
        <f t="shared" si="1"/>
        <v>398957.61705244367</v>
      </c>
      <c r="AG16" s="316">
        <v>1990</v>
      </c>
      <c r="AH16" s="48">
        <f t="shared" si="2"/>
        <v>0.91798463489098592</v>
      </c>
      <c r="AI16" s="48">
        <f t="shared" si="2"/>
        <v>0.90218635120920343</v>
      </c>
      <c r="AJ16" s="48">
        <f t="shared" si="2"/>
        <v>0.95066058167071932</v>
      </c>
      <c r="AK16" s="48">
        <f t="shared" si="2"/>
        <v>0.91640659398147173</v>
      </c>
      <c r="AL16" s="48">
        <f t="shared" si="2"/>
        <v>0.94950182154187623</v>
      </c>
      <c r="AM16" s="48">
        <f t="shared" si="2"/>
        <v>0.88703948408572564</v>
      </c>
      <c r="AO16" s="316">
        <v>1990</v>
      </c>
      <c r="AP16" s="62">
        <v>1.4918151761948106E-2</v>
      </c>
      <c r="AS16" s="316">
        <v>1990</v>
      </c>
      <c r="AT16" s="308">
        <f t="shared" si="39"/>
        <v>5.1876751401262133E-2</v>
      </c>
      <c r="AU16" s="308">
        <f t="shared" si="20"/>
        <v>5.4554396921489445E-2</v>
      </c>
      <c r="AV16" s="308">
        <f t="shared" si="20"/>
        <v>5.7305825404011745E-2</v>
      </c>
      <c r="AW16" s="308">
        <f t="shared" si="20"/>
        <v>5.8048686562735208E-2</v>
      </c>
      <c r="AX16" s="308">
        <f t="shared" si="20"/>
        <v>5.902766007393212E-2</v>
      </c>
      <c r="AY16" s="308">
        <f t="shared" si="20"/>
        <v>6.2091926268688313E-2</v>
      </c>
      <c r="BA16" s="316">
        <v>1990</v>
      </c>
      <c r="BB16" s="61">
        <v>26201.5</v>
      </c>
      <c r="BC16" s="61">
        <v>1200.2</v>
      </c>
      <c r="BD16" s="61">
        <v>21731.599999999999</v>
      </c>
      <c r="BE16" s="61">
        <v>2782.8</v>
      </c>
      <c r="BF16" s="61">
        <v>9235.2999999999993</v>
      </c>
      <c r="BG16" s="61">
        <v>21669.7</v>
      </c>
      <c r="BI16" s="316">
        <v>1990</v>
      </c>
      <c r="BJ16" s="61">
        <v>27952.9</v>
      </c>
      <c r="BK16" s="61">
        <v>1299.5</v>
      </c>
      <c r="BL16" s="61">
        <v>22616.9</v>
      </c>
      <c r="BM16" s="61">
        <v>3373.6</v>
      </c>
      <c r="BN16" s="61">
        <v>9641.1</v>
      </c>
      <c r="BO16" s="61">
        <v>23847.8</v>
      </c>
      <c r="BQ16" s="316">
        <v>1990</v>
      </c>
      <c r="BR16" s="46">
        <f t="shared" si="21"/>
        <v>30013.0616896641</v>
      </c>
      <c r="BS16" s="46">
        <f t="shared" si="3"/>
        <v>1190.6941376140303</v>
      </c>
      <c r="BT16" s="46">
        <f t="shared" si="3"/>
        <v>27139.240696409139</v>
      </c>
      <c r="BU16" s="46">
        <f t="shared" si="3"/>
        <v>3049.8331773871109</v>
      </c>
      <c r="BV16" s="46">
        <f t="shared" si="3"/>
        <v>9468.1534658011715</v>
      </c>
      <c r="BW16" s="46">
        <f t="shared" si="3"/>
        <v>21479.519660451133</v>
      </c>
      <c r="BY16" s="316">
        <v>1990</v>
      </c>
      <c r="BZ16" s="46">
        <f t="shared" si="4"/>
        <v>33328.53040376032</v>
      </c>
      <c r="CA16" s="46">
        <f t="shared" si="4"/>
        <v>1363.5244962738061</v>
      </c>
      <c r="CB16" s="46">
        <f t="shared" si="4"/>
        <v>29340.863377718488</v>
      </c>
      <c r="CC16" s="46">
        <f t="shared" si="4"/>
        <v>3942.0545749559078</v>
      </c>
      <c r="CD16" s="46">
        <f t="shared" si="4"/>
        <v>10208.443355944306</v>
      </c>
      <c r="CE16" s="46">
        <f t="shared" si="4"/>
        <v>25117.610384272157</v>
      </c>
      <c r="CG16" s="316">
        <v>1990</v>
      </c>
      <c r="CH16" s="48">
        <f t="shared" si="5"/>
        <v>0.90052160494534894</v>
      </c>
      <c r="CI16" s="48">
        <f t="shared" si="5"/>
        <v>0.87324733869315818</v>
      </c>
      <c r="CJ16" s="48">
        <f t="shared" si="5"/>
        <v>0.92496394352930777</v>
      </c>
      <c r="CK16" s="48">
        <f t="shared" si="5"/>
        <v>0.77366589411594422</v>
      </c>
      <c r="CL16" s="48">
        <f t="shared" si="5"/>
        <v>0.92748258825258911</v>
      </c>
      <c r="CM16" s="48">
        <f t="shared" si="5"/>
        <v>0.8551577690647244</v>
      </c>
      <c r="CO16" s="316">
        <v>1990</v>
      </c>
      <c r="CP16" s="62">
        <v>1.4918151761948106E-2</v>
      </c>
      <c r="CS16" s="316">
        <v>1990</v>
      </c>
      <c r="CT16" s="308">
        <f t="shared" si="40"/>
        <v>5.9558992430104762E-2</v>
      </c>
      <c r="CU16" s="308">
        <f t="shared" si="22"/>
        <v>5.5359766744718319E-2</v>
      </c>
      <c r="CV16" s="308">
        <f t="shared" si="22"/>
        <v>5.1174467944333335E-2</v>
      </c>
      <c r="CW16" s="308">
        <f t="shared" si="22"/>
        <v>5.5864826041760018E-2</v>
      </c>
      <c r="CX16" s="308">
        <f t="shared" si="22"/>
        <v>4.6988060894690653E-2</v>
      </c>
      <c r="CY16" s="308">
        <f t="shared" si="22"/>
        <v>5.6402526332691938E-2</v>
      </c>
      <c r="DA16" s="316">
        <v>1990</v>
      </c>
      <c r="DB16" s="46">
        <f t="shared" si="23"/>
        <v>19340.700395624503</v>
      </c>
      <c r="DC16" s="46">
        <f t="shared" si="24"/>
        <v>887.43184091830244</v>
      </c>
      <c r="DD16" s="46">
        <f t="shared" si="25"/>
        <v>16427.483219501504</v>
      </c>
      <c r="DE16" s="46">
        <f t="shared" si="26"/>
        <v>3725.2112284378509</v>
      </c>
      <c r="DF16" s="46">
        <f t="shared" si="27"/>
        <v>4163.2711816791052</v>
      </c>
      <c r="DG16" s="46">
        <f t="shared" si="28"/>
        <v>8459.3506979789599</v>
      </c>
      <c r="DI16" s="316">
        <v>1990</v>
      </c>
      <c r="DJ16" s="88">
        <f t="shared" si="29"/>
        <v>6.0591385530528036E-2</v>
      </c>
      <c r="DK16" s="88">
        <f t="shared" si="30"/>
        <v>5.3608093592266377E-2</v>
      </c>
      <c r="DL16" s="88">
        <f t="shared" si="31"/>
        <v>9.320621355264129E-2</v>
      </c>
      <c r="DM16" s="88">
        <f t="shared" si="32"/>
        <v>9.0033533760010317E-2</v>
      </c>
      <c r="DN16" s="88">
        <f t="shared" si="33"/>
        <v>3.1915668024254336E-2</v>
      </c>
      <c r="DO16" s="88">
        <f t="shared" si="34"/>
        <v>2.212755667772924E-2</v>
      </c>
      <c r="DQ16" s="316">
        <v>1990</v>
      </c>
      <c r="DR16" s="61">
        <v>461295.1</v>
      </c>
      <c r="DS16" s="43"/>
      <c r="DT16" s="61">
        <v>424844.79999999999</v>
      </c>
      <c r="DU16" s="43"/>
      <c r="DV16" s="89">
        <v>2.2999999999999998</v>
      </c>
      <c r="DW16" s="46">
        <f t="shared" si="6"/>
        <v>450923.85141739983</v>
      </c>
      <c r="DX16" s="43"/>
      <c r="DY16" s="46">
        <f t="shared" si="7"/>
        <v>415293.0596285435</v>
      </c>
      <c r="DZ16" s="43"/>
      <c r="EB16" s="316">
        <v>1990</v>
      </c>
      <c r="EC16" s="88">
        <f t="shared" si="8"/>
        <v>6.5062606755771094E-2</v>
      </c>
      <c r="ED16" s="88">
        <f t="shared" si="9"/>
        <v>2.5811983210184334E-3</v>
      </c>
      <c r="EE16" s="88">
        <f t="shared" si="10"/>
        <v>5.8832709682823732E-2</v>
      </c>
      <c r="EF16" s="88">
        <f t="shared" si="11"/>
        <v>6.6114579959490379E-3</v>
      </c>
      <c r="EG16" s="88">
        <f t="shared" si="12"/>
        <v>2.0525155081424391E-2</v>
      </c>
      <c r="EH16" s="88">
        <f t="shared" si="13"/>
        <v>4.6563511427828164E-2</v>
      </c>
      <c r="EI16" s="140"/>
      <c r="EJ16" s="316">
        <v>1990</v>
      </c>
      <c r="EK16" s="88">
        <f t="shared" si="14"/>
        <v>0.67829689874259047</v>
      </c>
      <c r="EL16" s="88">
        <f t="shared" si="15"/>
        <v>3.4073104200816107E-2</v>
      </c>
      <c r="EM16" s="88">
        <f t="shared" si="16"/>
        <v>0.39880132071699537</v>
      </c>
      <c r="EN16" s="88">
        <f t="shared" si="17"/>
        <v>8.4528219649430136E-2</v>
      </c>
      <c r="EO16" s="88">
        <f t="shared" si="18"/>
        <v>0.28740687529930736</v>
      </c>
      <c r="EP16" s="88">
        <f t="shared" si="19"/>
        <v>0.78481357260183848</v>
      </c>
      <c r="ER16" s="316">
        <v>1990</v>
      </c>
      <c r="ES16" s="317">
        <f t="shared" si="35"/>
        <v>123612</v>
      </c>
      <c r="ET16" s="61">
        <v>22544</v>
      </c>
      <c r="EU16" s="61">
        <v>86140</v>
      </c>
      <c r="EV16" s="61">
        <v>14928</v>
      </c>
      <c r="EW16" s="88">
        <f t="shared" si="36"/>
        <v>0.18237711549040547</v>
      </c>
      <c r="EX16" s="88">
        <f t="shared" si="36"/>
        <v>0.69685791023525223</v>
      </c>
      <c r="EY16" s="88">
        <f t="shared" si="36"/>
        <v>0.1207649742743423</v>
      </c>
      <c r="EZ16" s="88">
        <f t="shared" si="41"/>
        <v>-5.858655877896024E-3</v>
      </c>
      <c r="FA16" s="88">
        <f t="shared" si="37"/>
        <v>1.186335045604725E-3</v>
      </c>
      <c r="FB16" s="88">
        <f t="shared" si="37"/>
        <v>4.6723208322912574E-3</v>
      </c>
      <c r="FD16" s="316">
        <v>1990</v>
      </c>
      <c r="FE16" s="159">
        <v>6.8722398373983737E-2</v>
      </c>
      <c r="FF16" s="43"/>
      <c r="FG16" s="159">
        <v>0.04</v>
      </c>
      <c r="FH16" s="55"/>
      <c r="FI16" s="319">
        <f t="shared" si="42"/>
        <v>2.8722398373983736E-2</v>
      </c>
      <c r="FK16" s="345">
        <f t="shared" si="43"/>
        <v>2.5556854553004937E-3</v>
      </c>
      <c r="FL16" s="345">
        <f t="shared" si="44"/>
        <v>-1.4470200120419885E-2</v>
      </c>
      <c r="FM16" s="345">
        <f t="shared" si="45"/>
        <v>-1.0767722679983979E-3</v>
      </c>
      <c r="FN16" s="38"/>
      <c r="FO16" s="316">
        <v>1990</v>
      </c>
      <c r="FP16" s="61">
        <v>291705.86100284825</v>
      </c>
      <c r="FQ16" s="61">
        <v>11211.751863833022</v>
      </c>
      <c r="FR16" s="61">
        <v>245539.27533971323</v>
      </c>
      <c r="FS16" s="61">
        <v>41245.022416101732</v>
      </c>
      <c r="FT16" s="61">
        <v>91079.487514409862</v>
      </c>
      <c r="FU16" s="61">
        <v>249237.29668246288</v>
      </c>
      <c r="FV16" s="46">
        <f t="shared" si="38"/>
        <v>930018.694819369</v>
      </c>
    </row>
    <row r="17" spans="1:178" hidden="1" outlineLevel="1">
      <c r="A17" s="316">
        <v>1991</v>
      </c>
      <c r="B17" s="61">
        <v>285087.09999999998</v>
      </c>
      <c r="C17" s="61">
        <v>17215</v>
      </c>
      <c r="D17" s="61">
        <v>172317.7</v>
      </c>
      <c r="E17" s="61">
        <v>37015.199999999997</v>
      </c>
      <c r="F17" s="61">
        <v>141373.9</v>
      </c>
      <c r="G17" s="61">
        <v>362422.4</v>
      </c>
      <c r="I17" s="316">
        <v>1991</v>
      </c>
      <c r="J17" s="61">
        <v>290398.40000000002</v>
      </c>
      <c r="K17" s="61">
        <v>17684.900000000001</v>
      </c>
      <c r="L17" s="61">
        <v>170411.4</v>
      </c>
      <c r="M17" s="61">
        <v>37365.4</v>
      </c>
      <c r="N17" s="61">
        <v>141355.29999999999</v>
      </c>
      <c r="O17" s="61">
        <v>376886.4</v>
      </c>
      <c r="Q17" s="316">
        <v>1991</v>
      </c>
      <c r="R17" s="46">
        <f t="shared" si="0"/>
        <v>323256.21243172267</v>
      </c>
      <c r="S17" s="46">
        <f t="shared" si="0"/>
        <v>16051.177426052764</v>
      </c>
      <c r="T17" s="46">
        <f t="shared" si="0"/>
        <v>195160.03107408946</v>
      </c>
      <c r="U17" s="46">
        <f t="shared" si="0"/>
        <v>40210.437006617438</v>
      </c>
      <c r="V17" s="46">
        <f t="shared" si="0"/>
        <v>140086.3190865411</v>
      </c>
      <c r="W17" s="46">
        <f t="shared" si="0"/>
        <v>376934.98174632859</v>
      </c>
      <c r="Y17" s="316">
        <v>1991</v>
      </c>
      <c r="Z17" s="46">
        <f t="shared" si="1"/>
        <v>344807.85815957066</v>
      </c>
      <c r="AA17" s="46">
        <f t="shared" si="1"/>
        <v>17410.361870753775</v>
      </c>
      <c r="AB17" s="46">
        <f t="shared" si="1"/>
        <v>200470.72464439424</v>
      </c>
      <c r="AC17" s="46">
        <f t="shared" si="1"/>
        <v>42824.72716694267</v>
      </c>
      <c r="AD17" s="46">
        <f t="shared" si="1"/>
        <v>144519.87658045458</v>
      </c>
      <c r="AE17" s="46">
        <f t="shared" si="1"/>
        <v>414410.09666282963</v>
      </c>
      <c r="AG17" s="316">
        <v>1991</v>
      </c>
      <c r="AH17" s="48">
        <f t="shared" si="2"/>
        <v>0.93749665148909023</v>
      </c>
      <c r="AI17" s="48">
        <f t="shared" si="2"/>
        <v>0.92193244145119158</v>
      </c>
      <c r="AJ17" s="48">
        <f t="shared" si="2"/>
        <v>0.97350888225836874</v>
      </c>
      <c r="AK17" s="48">
        <f t="shared" si="2"/>
        <v>0.93895372292428148</v>
      </c>
      <c r="AL17" s="48">
        <f t="shared" si="2"/>
        <v>0.96932216108387481</v>
      </c>
      <c r="AM17" s="48">
        <f t="shared" si="2"/>
        <v>0.90956997617026847</v>
      </c>
      <c r="AO17" s="316">
        <v>1991</v>
      </c>
      <c r="AP17" s="62">
        <v>1.0328936914037801E-2</v>
      </c>
      <c r="AS17" s="316">
        <v>1991</v>
      </c>
      <c r="AT17" s="308">
        <f t="shared" si="39"/>
        <v>2.1255275803631957E-2</v>
      </c>
      <c r="AU17" s="308">
        <f t="shared" si="20"/>
        <v>2.1886930804841276E-2</v>
      </c>
      <c r="AV17" s="308">
        <f t="shared" si="20"/>
        <v>2.4034130612100357E-2</v>
      </c>
      <c r="AW17" s="308">
        <f t="shared" si="20"/>
        <v>2.4603848434623599E-2</v>
      </c>
      <c r="AX17" s="308">
        <f t="shared" si="20"/>
        <v>2.0874461841276615E-2</v>
      </c>
      <c r="AY17" s="308">
        <f t="shared" si="20"/>
        <v>2.5399649608343067E-2</v>
      </c>
      <c r="BA17" s="316">
        <v>1991</v>
      </c>
      <c r="BB17" s="61">
        <v>25629.8</v>
      </c>
      <c r="BC17" s="61">
        <v>1166.4000000000001</v>
      </c>
      <c r="BD17" s="61">
        <v>21987.9</v>
      </c>
      <c r="BE17" s="61">
        <v>3763.3</v>
      </c>
      <c r="BF17" s="61">
        <v>11646.9</v>
      </c>
      <c r="BG17" s="61">
        <v>21778.799999999999</v>
      </c>
      <c r="BI17" s="316">
        <v>1991</v>
      </c>
      <c r="BJ17" s="61">
        <v>26542.1</v>
      </c>
      <c r="BK17" s="61">
        <v>1220.0999999999999</v>
      </c>
      <c r="BL17" s="61">
        <v>22066.400000000001</v>
      </c>
      <c r="BM17" s="61">
        <v>4397.5</v>
      </c>
      <c r="BN17" s="61">
        <v>11783.4</v>
      </c>
      <c r="BO17" s="61">
        <v>23059.8</v>
      </c>
      <c r="BQ17" s="316">
        <v>1991</v>
      </c>
      <c r="BR17" s="46">
        <f t="shared" si="21"/>
        <v>29358.195847327555</v>
      </c>
      <c r="BS17" s="46">
        <f t="shared" si="3"/>
        <v>1157.1618414539284</v>
      </c>
      <c r="BT17" s="46">
        <f t="shared" si="3"/>
        <v>27459.317791077261</v>
      </c>
      <c r="BU17" s="46">
        <f t="shared" si="3"/>
        <v>4124.420438572989</v>
      </c>
      <c r="BV17" s="46">
        <f t="shared" si="3"/>
        <v>11940.558141136687</v>
      </c>
      <c r="BW17" s="46">
        <f t="shared" si="3"/>
        <v>21587.662163344816</v>
      </c>
      <c r="BY17" s="316">
        <v>1991</v>
      </c>
      <c r="BZ17" s="46">
        <f t="shared" si="4"/>
        <v>31646.419041661029</v>
      </c>
      <c r="CA17" s="46">
        <f t="shared" si="4"/>
        <v>1280.2125724537673</v>
      </c>
      <c r="CB17" s="46">
        <f t="shared" si="4"/>
        <v>28626.700725479055</v>
      </c>
      <c r="CC17" s="46">
        <f t="shared" si="4"/>
        <v>5138.4826278659611</v>
      </c>
      <c r="CD17" s="46">
        <f t="shared" si="4"/>
        <v>12476.80984954353</v>
      </c>
      <c r="CE17" s="46">
        <f t="shared" si="4"/>
        <v>24287.652191784528</v>
      </c>
      <c r="CG17" s="316">
        <v>1991</v>
      </c>
      <c r="CH17" s="48">
        <f t="shared" si="5"/>
        <v>0.92769408787385599</v>
      </c>
      <c r="CI17" s="48">
        <f t="shared" si="5"/>
        <v>0.90388257884080214</v>
      </c>
      <c r="CJ17" s="48">
        <f t="shared" si="5"/>
        <v>0.95922048630065249</v>
      </c>
      <c r="CK17" s="48">
        <f t="shared" si="5"/>
        <v>0.80265337790698776</v>
      </c>
      <c r="CL17" s="48">
        <f t="shared" si="5"/>
        <v>0.95702012654889812</v>
      </c>
      <c r="CM17" s="48">
        <f t="shared" si="5"/>
        <v>0.88883281071716747</v>
      </c>
      <c r="CO17" s="316">
        <v>1991</v>
      </c>
      <c r="CP17" s="62">
        <v>1.0328936914037801E-2</v>
      </c>
      <c r="CS17" s="316">
        <v>1991</v>
      </c>
      <c r="CT17" s="308">
        <f t="shared" si="40"/>
        <v>3.0174159930517197E-2</v>
      </c>
      <c r="CU17" s="308">
        <f t="shared" si="22"/>
        <v>3.5081973674824463E-2</v>
      </c>
      <c r="CV17" s="308">
        <f t="shared" si="22"/>
        <v>3.7035543937674831E-2</v>
      </c>
      <c r="CW17" s="308">
        <f t="shared" si="22"/>
        <v>3.7467702804925951E-2</v>
      </c>
      <c r="CX17" s="308">
        <f t="shared" si="22"/>
        <v>3.1847000332328346E-2</v>
      </c>
      <c r="CY17" s="308">
        <f t="shared" si="22"/>
        <v>3.9378747256512803E-2</v>
      </c>
      <c r="DA17" s="316">
        <v>1991</v>
      </c>
      <c r="DB17" s="46">
        <f t="shared" si="23"/>
        <v>20025.237826644043</v>
      </c>
      <c r="DC17" s="46">
        <f t="shared" si="24"/>
        <v>900.00789193620039</v>
      </c>
      <c r="DD17" s="46">
        <f t="shared" si="25"/>
        <v>17318.155470090631</v>
      </c>
      <c r="DE17" s="46">
        <f t="shared" si="26"/>
        <v>3906.418159013404</v>
      </c>
      <c r="DF17" s="46">
        <f t="shared" si="27"/>
        <v>4448.1038951247501</v>
      </c>
      <c r="DG17" s="46">
        <f t="shared" si="28"/>
        <v>8835.1725813985722</v>
      </c>
      <c r="DI17" s="316">
        <v>1991</v>
      </c>
      <c r="DJ17" s="88">
        <f t="shared" si="29"/>
        <v>6.0102156575655895E-2</v>
      </c>
      <c r="DK17" s="88">
        <f t="shared" si="30"/>
        <v>5.2847891060700029E-2</v>
      </c>
      <c r="DL17" s="88">
        <f t="shared" si="31"/>
        <v>9.1551892275867741E-2</v>
      </c>
      <c r="DM17" s="88">
        <f t="shared" si="32"/>
        <v>9.3920848188273898E-2</v>
      </c>
      <c r="DN17" s="88">
        <f t="shared" si="33"/>
        <v>3.2588949708049986E-2</v>
      </c>
      <c r="DO17" s="88">
        <f t="shared" si="34"/>
        <v>2.2145642052592202E-2</v>
      </c>
      <c r="DQ17" s="316">
        <v>1991</v>
      </c>
      <c r="DR17" s="61">
        <v>491418.9</v>
      </c>
      <c r="DS17" s="43"/>
      <c r="DT17" s="61">
        <v>439813.6</v>
      </c>
      <c r="DU17" s="43"/>
      <c r="DV17" s="89">
        <v>2.4</v>
      </c>
      <c r="DW17" s="46">
        <f t="shared" si="6"/>
        <v>479901.26953125</v>
      </c>
      <c r="DX17" s="43"/>
      <c r="DY17" s="46">
        <f t="shared" si="7"/>
        <v>429505.46874999994</v>
      </c>
      <c r="DZ17" s="43"/>
      <c r="EB17" s="316">
        <v>1991</v>
      </c>
      <c r="EC17" s="88">
        <f t="shared" si="8"/>
        <v>5.9741690535971559E-2</v>
      </c>
      <c r="ED17" s="88">
        <f t="shared" si="9"/>
        <v>2.3547361354110076E-3</v>
      </c>
      <c r="EE17" s="88">
        <f t="shared" si="10"/>
        <v>5.5877618445438829E-2</v>
      </c>
      <c r="EF17" s="88">
        <f t="shared" si="11"/>
        <v>8.3928811825776106E-3</v>
      </c>
      <c r="EG17" s="88">
        <f t="shared" si="12"/>
        <v>2.4298125572982006E-2</v>
      </c>
      <c r="EH17" s="88">
        <f t="shared" si="13"/>
        <v>4.3929246846925944E-2</v>
      </c>
      <c r="EI17" s="140"/>
      <c r="EJ17" s="316">
        <v>1991</v>
      </c>
      <c r="EK17" s="88">
        <f t="shared" si="14"/>
        <v>0.67358899205969491</v>
      </c>
      <c r="EL17" s="88">
        <f t="shared" si="15"/>
        <v>3.3446832598986384E-2</v>
      </c>
      <c r="EM17" s="88">
        <f t="shared" si="16"/>
        <v>0.40666704479593196</v>
      </c>
      <c r="EN17" s="88">
        <f t="shared" si="17"/>
        <v>8.3788978191063179E-2</v>
      </c>
      <c r="EO17" s="88">
        <f t="shared" si="18"/>
        <v>0.29190653990845306</v>
      </c>
      <c r="EP17" s="88">
        <f t="shared" si="19"/>
        <v>0.78544276849799732</v>
      </c>
      <c r="ER17" s="316">
        <v>1991</v>
      </c>
      <c r="ES17" s="317">
        <f t="shared" si="35"/>
        <v>124043</v>
      </c>
      <c r="ET17" s="61">
        <v>21904</v>
      </c>
      <c r="EU17" s="61">
        <v>86557</v>
      </c>
      <c r="EV17" s="61">
        <v>15582</v>
      </c>
      <c r="EW17" s="88">
        <f t="shared" si="36"/>
        <v>0.17658392654160252</v>
      </c>
      <c r="EX17" s="88">
        <f t="shared" si="36"/>
        <v>0.69779834412260267</v>
      </c>
      <c r="EY17" s="88">
        <f t="shared" si="36"/>
        <v>0.12561772933579485</v>
      </c>
      <c r="EZ17" s="88">
        <f t="shared" si="41"/>
        <v>-5.7931889488029575E-3</v>
      </c>
      <c r="FA17" s="88">
        <f t="shared" si="37"/>
        <v>9.4043388735043365E-4</v>
      </c>
      <c r="FB17" s="88">
        <f t="shared" si="37"/>
        <v>4.8527550614525516E-3</v>
      </c>
      <c r="FD17" s="316">
        <v>1991</v>
      </c>
      <c r="FE17" s="159">
        <v>6.3770000000000021E-2</v>
      </c>
      <c r="FF17" s="43"/>
      <c r="FG17" s="159">
        <v>3.3000000000000002E-2</v>
      </c>
      <c r="FH17" s="55"/>
      <c r="FI17" s="319">
        <f t="shared" si="42"/>
        <v>3.077000000000002E-2</v>
      </c>
      <c r="FK17" s="345">
        <f t="shared" si="43"/>
        <v>-2.1067809883956734E-4</v>
      </c>
      <c r="FL17" s="345">
        <f t="shared" si="44"/>
        <v>7.5378094795308659E-4</v>
      </c>
      <c r="FM17" s="345">
        <f t="shared" si="45"/>
        <v>2.5116510768749788E-3</v>
      </c>
      <c r="FN17" s="38"/>
      <c r="FO17" s="316">
        <v>1991</v>
      </c>
      <c r="FP17" s="61">
        <v>266617.62469571969</v>
      </c>
      <c r="FQ17" s="61">
        <v>12650.259388392455</v>
      </c>
      <c r="FR17" s="61">
        <v>250607.73863147068</v>
      </c>
      <c r="FS17" s="61">
        <v>46835.513427197802</v>
      </c>
      <c r="FT17" s="61">
        <v>96262.083044016399</v>
      </c>
      <c r="FU17" s="61">
        <v>257100.85993504935</v>
      </c>
      <c r="FV17" s="46">
        <f t="shared" si="38"/>
        <v>930074.07912184636</v>
      </c>
    </row>
    <row r="18" spans="1:178" hidden="1" outlineLevel="1">
      <c r="A18" s="316">
        <v>1992</v>
      </c>
      <c r="B18" s="61">
        <v>295838.5</v>
      </c>
      <c r="C18" s="61">
        <v>17709.900000000001</v>
      </c>
      <c r="D18" s="61">
        <v>179126</v>
      </c>
      <c r="E18" s="61">
        <v>38823.5</v>
      </c>
      <c r="F18" s="61">
        <v>148370.4</v>
      </c>
      <c r="G18" s="61">
        <v>379254.6</v>
      </c>
      <c r="I18" s="316">
        <v>1992</v>
      </c>
      <c r="J18" s="61">
        <v>298293.59999999998</v>
      </c>
      <c r="K18" s="61">
        <v>18116.900000000001</v>
      </c>
      <c r="L18" s="61">
        <v>177148.79999999999</v>
      </c>
      <c r="M18" s="61">
        <v>39202.800000000003</v>
      </c>
      <c r="N18" s="61">
        <v>148629.9</v>
      </c>
      <c r="O18" s="61">
        <v>393822.9</v>
      </c>
      <c r="Q18" s="316">
        <v>1992</v>
      </c>
      <c r="R18" s="46">
        <f t="shared" si="0"/>
        <v>335447.07214560808</v>
      </c>
      <c r="S18" s="46">
        <f t="shared" si="0"/>
        <v>16512.619639712568</v>
      </c>
      <c r="T18" s="46">
        <f t="shared" si="0"/>
        <v>202870.83524314302</v>
      </c>
      <c r="U18" s="46">
        <f t="shared" si="0"/>
        <v>42174.833612310948</v>
      </c>
      <c r="V18" s="46">
        <f t="shared" si="0"/>
        <v>147019.09756608357</v>
      </c>
      <c r="W18" s="46">
        <f t="shared" si="0"/>
        <v>394441.19824881444</v>
      </c>
      <c r="Y18" s="316">
        <v>1992</v>
      </c>
      <c r="Z18" s="46">
        <f t="shared" si="1"/>
        <v>354182.31408543466</v>
      </c>
      <c r="AA18" s="46">
        <f t="shared" si="1"/>
        <v>17835.655557919981</v>
      </c>
      <c r="AB18" s="46">
        <f t="shared" si="1"/>
        <v>208396.55272995154</v>
      </c>
      <c r="AC18" s="46">
        <f t="shared" si="1"/>
        <v>44930.583218170294</v>
      </c>
      <c r="AD18" s="46">
        <f t="shared" si="1"/>
        <v>151957.33590580124</v>
      </c>
      <c r="AE18" s="46">
        <f t="shared" si="1"/>
        <v>433032.83444835339</v>
      </c>
      <c r="AG18" s="316">
        <v>1992</v>
      </c>
      <c r="AH18" s="48">
        <f t="shared" si="2"/>
        <v>0.94710283039342469</v>
      </c>
      <c r="AI18" s="48">
        <f t="shared" si="2"/>
        <v>0.92582072949822614</v>
      </c>
      <c r="AJ18" s="48">
        <f t="shared" si="2"/>
        <v>0.9734846022430661</v>
      </c>
      <c r="AK18" s="48">
        <f t="shared" si="2"/>
        <v>0.93866650712103605</v>
      </c>
      <c r="AL18" s="48">
        <f t="shared" si="2"/>
        <v>0.96750246830611131</v>
      </c>
      <c r="AM18" s="48">
        <f t="shared" si="2"/>
        <v>0.91088057733843353</v>
      </c>
      <c r="AO18" s="316">
        <v>1992</v>
      </c>
      <c r="AP18" s="62">
        <v>-8.7291601132430952E-3</v>
      </c>
      <c r="AS18" s="316">
        <v>1992</v>
      </c>
      <c r="AT18" s="308">
        <f t="shared" si="39"/>
        <v>1.0246627429630006E-2</v>
      </c>
      <c r="AU18" s="308">
        <f t="shared" si="20"/>
        <v>4.2175411908860205E-3</v>
      </c>
      <c r="AV18" s="308">
        <f t="shared" si="20"/>
        <v>-2.4940722930355541E-5</v>
      </c>
      <c r="AW18" s="308">
        <f t="shared" si="20"/>
        <v>-3.0588920010976572E-4</v>
      </c>
      <c r="AX18" s="308">
        <f t="shared" si="20"/>
        <v>-1.877283787393047E-3</v>
      </c>
      <c r="AY18" s="308">
        <f t="shared" si="20"/>
        <v>1.4409019674146428E-3</v>
      </c>
      <c r="BA18" s="316">
        <v>1992</v>
      </c>
      <c r="BB18" s="61">
        <v>24523</v>
      </c>
      <c r="BC18" s="61">
        <v>1238.4000000000001</v>
      </c>
      <c r="BD18" s="61">
        <v>20091.2</v>
      </c>
      <c r="BE18" s="61">
        <v>4658.8</v>
      </c>
      <c r="BF18" s="61">
        <v>11203.4</v>
      </c>
      <c r="BG18" s="61">
        <v>25372.3</v>
      </c>
      <c r="BI18" s="316">
        <v>1992</v>
      </c>
      <c r="BJ18" s="61">
        <v>25011.4</v>
      </c>
      <c r="BK18" s="61">
        <v>1279.0999999999999</v>
      </c>
      <c r="BL18" s="61">
        <v>19895.599999999999</v>
      </c>
      <c r="BM18" s="61">
        <v>5372.6</v>
      </c>
      <c r="BN18" s="61">
        <v>11216.6</v>
      </c>
      <c r="BO18" s="61">
        <v>26470</v>
      </c>
      <c r="BQ18" s="316">
        <v>1992</v>
      </c>
      <c r="BR18" s="46">
        <f t="shared" si="21"/>
        <v>28090.388405840607</v>
      </c>
      <c r="BS18" s="46">
        <f t="shared" si="3"/>
        <v>1228.5915847535537</v>
      </c>
      <c r="BT18" s="46">
        <f t="shared" si="3"/>
        <v>25090.647383519638</v>
      </c>
      <c r="BU18" s="46">
        <f t="shared" si="3"/>
        <v>5105.8512314255677</v>
      </c>
      <c r="BV18" s="46">
        <f t="shared" si="3"/>
        <v>11485.875990899793</v>
      </c>
      <c r="BW18" s="46">
        <f t="shared" si="3"/>
        <v>25149.624437849361</v>
      </c>
      <c r="BY18" s="316">
        <v>1992</v>
      </c>
      <c r="BZ18" s="46">
        <f t="shared" si="4"/>
        <v>29821.349675368594</v>
      </c>
      <c r="CA18" s="46">
        <f t="shared" si="4"/>
        <v>1342.1194176097154</v>
      </c>
      <c r="CB18" s="46">
        <f t="shared" si="4"/>
        <v>25810.525819972492</v>
      </c>
      <c r="CC18" s="46">
        <f t="shared" si="4"/>
        <v>6277.8878377425044</v>
      </c>
      <c r="CD18" s="46">
        <f t="shared" si="4"/>
        <v>11876.655749477228</v>
      </c>
      <c r="CE18" s="46">
        <f t="shared" si="4"/>
        <v>27879.433191811568</v>
      </c>
      <c r="CG18" s="316">
        <v>1992</v>
      </c>
      <c r="CH18" s="48">
        <f t="shared" si="5"/>
        <v>0.94195563620121125</v>
      </c>
      <c r="CI18" s="48">
        <f t="shared" si="5"/>
        <v>0.91541152645093815</v>
      </c>
      <c r="CJ18" s="48">
        <f t="shared" si="5"/>
        <v>0.97210911387571175</v>
      </c>
      <c r="CK18" s="48">
        <f t="shared" si="5"/>
        <v>0.81330717645659711</v>
      </c>
      <c r="CL18" s="48">
        <f t="shared" si="5"/>
        <v>0.9670968185977239</v>
      </c>
      <c r="CM18" s="48">
        <f t="shared" si="5"/>
        <v>0.90208521331186975</v>
      </c>
      <c r="CO18" s="316">
        <v>1992</v>
      </c>
      <c r="CP18" s="62">
        <v>-8.7291601132430952E-3</v>
      </c>
      <c r="CS18" s="316">
        <v>1992</v>
      </c>
      <c r="CT18" s="308">
        <f t="shared" si="40"/>
        <v>1.5373115463138021E-2</v>
      </c>
      <c r="CU18" s="308">
        <f t="shared" si="22"/>
        <v>1.2754917375353614E-2</v>
      </c>
      <c r="CV18" s="308">
        <f t="shared" si="22"/>
        <v>1.3436564125903772E-2</v>
      </c>
      <c r="CW18" s="308">
        <f t="shared" si="22"/>
        <v>1.3273224585923282E-2</v>
      </c>
      <c r="CX18" s="308">
        <f t="shared" si="22"/>
        <v>1.052923733711153E-2</v>
      </c>
      <c r="CY18" s="308">
        <f t="shared" si="22"/>
        <v>1.490989355355743E-2</v>
      </c>
      <c r="DA18" s="316">
        <v>1992</v>
      </c>
      <c r="DB18" s="46">
        <f t="shared" si="23"/>
        <v>20446.893749504601</v>
      </c>
      <c r="DC18" s="46">
        <f t="shared" si="24"/>
        <v>916.82573044350943</v>
      </c>
      <c r="DD18" s="46">
        <f t="shared" si="25"/>
        <v>17884.697734415196</v>
      </c>
      <c r="DE18" s="46">
        <f t="shared" si="26"/>
        <v>4172.0317865148809</v>
      </c>
      <c r="DF18" s="46">
        <f t="shared" si="27"/>
        <v>4439.1964241305686</v>
      </c>
      <c r="DG18" s="46">
        <f t="shared" si="28"/>
        <v>9256.6954062878103</v>
      </c>
      <c r="DI18" s="316">
        <v>1992</v>
      </c>
      <c r="DJ18" s="88">
        <f t="shared" si="29"/>
        <v>5.929938447064672E-2</v>
      </c>
      <c r="DK18" s="88">
        <f t="shared" si="30"/>
        <v>5.2659774521034458E-2</v>
      </c>
      <c r="DL18" s="88">
        <f t="shared" si="31"/>
        <v>8.9213513674577846E-2</v>
      </c>
      <c r="DM18" s="88">
        <f t="shared" si="32"/>
        <v>9.7421094365672034E-2</v>
      </c>
      <c r="DN18" s="88">
        <f t="shared" si="33"/>
        <v>3.0716857287511289E-2</v>
      </c>
      <c r="DO18" s="88">
        <f t="shared" si="34"/>
        <v>2.2337041208286966E-2</v>
      </c>
      <c r="DQ18" s="316">
        <v>1992</v>
      </c>
      <c r="DR18" s="61">
        <v>504161.2</v>
      </c>
      <c r="DS18" s="43"/>
      <c r="DT18" s="61">
        <v>443774.5</v>
      </c>
      <c r="DU18" s="43"/>
      <c r="DV18" s="89">
        <v>0.8</v>
      </c>
      <c r="DW18" s="46">
        <f t="shared" si="6"/>
        <v>500159.92063492065</v>
      </c>
      <c r="DX18" s="43"/>
      <c r="DY18" s="46">
        <f t="shared" si="7"/>
        <v>440252.48015873018</v>
      </c>
      <c r="DZ18" s="43"/>
      <c r="EB18" s="316">
        <v>1992</v>
      </c>
      <c r="EC18" s="88">
        <f t="shared" si="8"/>
        <v>5.5717077009973408E-2</v>
      </c>
      <c r="ED18" s="88">
        <f t="shared" si="9"/>
        <v>2.436902293856714E-3</v>
      </c>
      <c r="EE18" s="88">
        <f t="shared" si="10"/>
        <v>4.9767112946255361E-2</v>
      </c>
      <c r="EF18" s="88">
        <f t="shared" si="11"/>
        <v>1.0127418038963665E-2</v>
      </c>
      <c r="EG18" s="88">
        <f t="shared" si="12"/>
        <v>2.2782149818152988E-2</v>
      </c>
      <c r="EH18" s="88">
        <f t="shared" si="13"/>
        <v>4.9884093495987714E-2</v>
      </c>
      <c r="EI18" s="140"/>
      <c r="EJ18" s="316">
        <v>1992</v>
      </c>
      <c r="EK18" s="88">
        <f t="shared" si="14"/>
        <v>0.67067963326565583</v>
      </c>
      <c r="EL18" s="88">
        <f t="shared" si="15"/>
        <v>3.3014679822307366E-2</v>
      </c>
      <c r="EM18" s="88">
        <f t="shared" si="16"/>
        <v>0.40561193904863796</v>
      </c>
      <c r="EN18" s="88">
        <f t="shared" si="17"/>
        <v>8.4322697346026293E-2</v>
      </c>
      <c r="EO18" s="88">
        <f t="shared" si="18"/>
        <v>0.29394417965248465</v>
      </c>
      <c r="EP18" s="88">
        <f t="shared" si="19"/>
        <v>0.7886301600258111</v>
      </c>
      <c r="ER18" s="316">
        <v>1992</v>
      </c>
      <c r="ES18" s="317">
        <f t="shared" si="35"/>
        <v>124451</v>
      </c>
      <c r="ET18" s="61">
        <v>21364</v>
      </c>
      <c r="EU18" s="61">
        <v>86845</v>
      </c>
      <c r="EV18" s="61">
        <v>16242</v>
      </c>
      <c r="EW18" s="88">
        <f t="shared" si="36"/>
        <v>0.17166595688262851</v>
      </c>
      <c r="EX18" s="88">
        <f t="shared" si="36"/>
        <v>0.69782484672682421</v>
      </c>
      <c r="EY18" s="88">
        <f t="shared" si="36"/>
        <v>0.13050919639054728</v>
      </c>
      <c r="EZ18" s="88">
        <f t="shared" si="41"/>
        <v>-4.9179696589740085E-3</v>
      </c>
      <c r="FA18" s="88">
        <f t="shared" si="37"/>
        <v>2.6502604221545489E-5</v>
      </c>
      <c r="FB18" s="88">
        <f t="shared" si="37"/>
        <v>4.8914670547524353E-3</v>
      </c>
      <c r="FD18" s="316">
        <v>1992</v>
      </c>
      <c r="FE18" s="159">
        <v>5.3482348178137684E-2</v>
      </c>
      <c r="FF18" s="43"/>
      <c r="FG18" s="159">
        <v>2.5000000000000001E-2</v>
      </c>
      <c r="FH18" s="55"/>
      <c r="FI18" s="319">
        <f t="shared" si="42"/>
        <v>2.8482348178137683E-2</v>
      </c>
      <c r="FK18" s="345">
        <f t="shared" si="43"/>
        <v>-1.6030362036102308E-2</v>
      </c>
      <c r="FL18" s="345">
        <f t="shared" si="44"/>
        <v>1.1441461854123036E-2</v>
      </c>
      <c r="FM18" s="345">
        <f t="shared" si="45"/>
        <v>2.4062465886058454E-3</v>
      </c>
      <c r="FN18" s="38"/>
      <c r="FO18" s="316">
        <v>1992</v>
      </c>
      <c r="FP18" s="61">
        <v>249693.19601185148</v>
      </c>
      <c r="FQ18" s="61">
        <v>14400.42202977142</v>
      </c>
      <c r="FR18" s="61">
        <v>231691.50632899883</v>
      </c>
      <c r="FS18" s="61">
        <v>55326.119467974335</v>
      </c>
      <c r="FT18" s="61">
        <v>100604.31713659353</v>
      </c>
      <c r="FU18" s="61">
        <v>284527.81732235401</v>
      </c>
      <c r="FV18" s="46">
        <f t="shared" si="38"/>
        <v>936243.37829754362</v>
      </c>
    </row>
    <row r="19" spans="1:178" hidden="1" outlineLevel="1">
      <c r="A19" s="316">
        <v>1993</v>
      </c>
      <c r="B19" s="61">
        <v>307163.5</v>
      </c>
      <c r="C19" s="61">
        <v>18384.2</v>
      </c>
      <c r="D19" s="61">
        <v>179014.8</v>
      </c>
      <c r="E19" s="61">
        <v>40578.300000000003</v>
      </c>
      <c r="F19" s="61">
        <v>161304.20000000001</v>
      </c>
      <c r="G19" s="61">
        <v>387212.1</v>
      </c>
      <c r="I19" s="316">
        <v>1993</v>
      </c>
      <c r="J19" s="61">
        <v>305995.59999999998</v>
      </c>
      <c r="K19" s="61">
        <v>18701.599999999999</v>
      </c>
      <c r="L19" s="61">
        <v>178080.7</v>
      </c>
      <c r="M19" s="61">
        <v>41237.699999999997</v>
      </c>
      <c r="N19" s="61">
        <v>164049.70000000001</v>
      </c>
      <c r="O19" s="61">
        <v>403440</v>
      </c>
      <c r="Q19" s="316">
        <v>1993</v>
      </c>
      <c r="R19" s="46">
        <f t="shared" si="0"/>
        <v>348288.32875030633</v>
      </c>
      <c r="S19" s="46">
        <f t="shared" si="0"/>
        <v>17141.333490330482</v>
      </c>
      <c r="T19" s="46">
        <f t="shared" si="0"/>
        <v>202744.89463776446</v>
      </c>
      <c r="U19" s="46">
        <f t="shared" si="0"/>
        <v>44081.111975232459</v>
      </c>
      <c r="V19" s="46">
        <f t="shared" si="0"/>
        <v>159835.10132492101</v>
      </c>
      <c r="W19" s="46">
        <f t="shared" si="0"/>
        <v>402717.34265171667</v>
      </c>
      <c r="Y19" s="316">
        <v>1993</v>
      </c>
      <c r="Z19" s="46">
        <f t="shared" si="1"/>
        <v>363327.37178391038</v>
      </c>
      <c r="AA19" s="46">
        <f t="shared" si="1"/>
        <v>18411.278749785906</v>
      </c>
      <c r="AB19" s="46">
        <f t="shared" si="1"/>
        <v>209492.83307443623</v>
      </c>
      <c r="AC19" s="46">
        <f t="shared" si="1"/>
        <v>47262.795299721976</v>
      </c>
      <c r="AD19" s="46">
        <f t="shared" si="1"/>
        <v>167722.34502038907</v>
      </c>
      <c r="AE19" s="46">
        <f t="shared" si="1"/>
        <v>443607.43554994813</v>
      </c>
      <c r="AG19" s="316">
        <v>1993</v>
      </c>
      <c r="AH19" s="48">
        <f t="shared" si="2"/>
        <v>0.95860745927353763</v>
      </c>
      <c r="AI19" s="48">
        <f t="shared" si="2"/>
        <v>0.93102351679563855</v>
      </c>
      <c r="AJ19" s="48">
        <f t="shared" si="2"/>
        <v>0.96778916807013571</v>
      </c>
      <c r="AK19" s="48">
        <f t="shared" si="2"/>
        <v>0.93268101676355497</v>
      </c>
      <c r="AL19" s="48">
        <f t="shared" si="2"/>
        <v>0.95297440126711053</v>
      </c>
      <c r="AM19" s="48">
        <f t="shared" si="2"/>
        <v>0.90782369811376296</v>
      </c>
      <c r="AO19" s="316">
        <v>1993</v>
      </c>
      <c r="AP19" s="62">
        <v>-1.5708052360174363E-2</v>
      </c>
      <c r="AS19" s="316">
        <v>1993</v>
      </c>
      <c r="AT19" s="308">
        <f t="shared" si="39"/>
        <v>1.2147180338732522E-2</v>
      </c>
      <c r="AU19" s="308">
        <f t="shared" si="20"/>
        <v>5.6196487415356433E-3</v>
      </c>
      <c r="AV19" s="308">
        <f t="shared" si="20"/>
        <v>-5.850564210062692E-3</v>
      </c>
      <c r="AW19" s="308">
        <f t="shared" si="20"/>
        <v>-6.3765888226257061E-3</v>
      </c>
      <c r="AX19" s="308">
        <f t="shared" si="20"/>
        <v>-1.5016051653528373E-2</v>
      </c>
      <c r="AY19" s="308">
        <f t="shared" si="20"/>
        <v>-3.3559604856244762E-3</v>
      </c>
      <c r="BA19" s="316">
        <v>1993</v>
      </c>
      <c r="BB19" s="61">
        <v>25036.9</v>
      </c>
      <c r="BC19" s="61">
        <v>1411.3</v>
      </c>
      <c r="BD19" s="61">
        <v>14379.8</v>
      </c>
      <c r="BE19" s="61">
        <v>5297.6</v>
      </c>
      <c r="BF19" s="61">
        <v>11178.2</v>
      </c>
      <c r="BG19" s="61">
        <v>26978</v>
      </c>
      <c r="BI19" s="316">
        <v>1993</v>
      </c>
      <c r="BJ19" s="61">
        <v>25127</v>
      </c>
      <c r="BK19" s="61">
        <v>1447</v>
      </c>
      <c r="BL19" s="61">
        <v>14290.6</v>
      </c>
      <c r="BM19" s="61">
        <v>6132.3</v>
      </c>
      <c r="BN19" s="61">
        <v>11316.7</v>
      </c>
      <c r="BO19" s="61">
        <v>28140.9</v>
      </c>
      <c r="BQ19" s="316">
        <v>1993</v>
      </c>
      <c r="BR19" s="46">
        <f>BB19/BB$20*BR$20</f>
        <v>28679.046017134558</v>
      </c>
      <c r="BS19" s="46">
        <f t="shared" si="3"/>
        <v>1400.1221766494593</v>
      </c>
      <c r="BT19" s="46">
        <f t="shared" si="3"/>
        <v>17958.035918488476</v>
      </c>
      <c r="BU19" s="46">
        <f t="shared" si="3"/>
        <v>5805.9494899115853</v>
      </c>
      <c r="BV19" s="46">
        <f t="shared" si="3"/>
        <v>11460.040612802903</v>
      </c>
      <c r="BW19" s="46">
        <f t="shared" si="3"/>
        <v>26741.232292078374</v>
      </c>
      <c r="BY19" s="316">
        <v>1993</v>
      </c>
      <c r="BZ19" s="46">
        <f>BJ19/BJ$20*BZ$20</f>
        <v>29959.180745299607</v>
      </c>
      <c r="CA19" s="46">
        <f t="shared" si="4"/>
        <v>1518.2916091636764</v>
      </c>
      <c r="CB19" s="46">
        <f t="shared" si="4"/>
        <v>18539.169478824413</v>
      </c>
      <c r="CC19" s="46">
        <f t="shared" si="4"/>
        <v>7165.5979576719574</v>
      </c>
      <c r="CD19" s="46">
        <f t="shared" si="4"/>
        <v>11982.646267149486</v>
      </c>
      <c r="CE19" s="46">
        <f t="shared" si="4"/>
        <v>29639.302663673981</v>
      </c>
      <c r="CG19" s="316">
        <v>1993</v>
      </c>
      <c r="CH19" s="48">
        <f t="shared" si="5"/>
        <v>0.95727070312608953</v>
      </c>
      <c r="CI19" s="48">
        <f t="shared" si="5"/>
        <v>0.92216947534913363</v>
      </c>
      <c r="CJ19" s="48">
        <f t="shared" si="5"/>
        <v>0.96865374357790346</v>
      </c>
      <c r="CK19" s="48">
        <f t="shared" si="5"/>
        <v>0.81025331370920084</v>
      </c>
      <c r="CL19" s="48">
        <f t="shared" si="5"/>
        <v>0.95638645732376237</v>
      </c>
      <c r="CM19" s="48">
        <f t="shared" si="5"/>
        <v>0.90222204602851563</v>
      </c>
      <c r="CO19" s="316">
        <v>1993</v>
      </c>
      <c r="CP19" s="62">
        <v>-1.5708052360174363E-2</v>
      </c>
      <c r="CS19" s="316">
        <v>1993</v>
      </c>
      <c r="CT19" s="308">
        <f t="shared" si="40"/>
        <v>1.6258798542404751E-2</v>
      </c>
      <c r="CU19" s="308">
        <f t="shared" si="22"/>
        <v>7.3824162171041152E-3</v>
      </c>
      <c r="CV19" s="308">
        <f t="shared" si="22"/>
        <v>-3.5545086950496962E-3</v>
      </c>
      <c r="CW19" s="308">
        <f t="shared" si="22"/>
        <v>-3.7548700365602761E-3</v>
      </c>
      <c r="CX19" s="308">
        <f t="shared" si="22"/>
        <v>-1.1074755978921935E-2</v>
      </c>
      <c r="CY19" s="308">
        <f t="shared" si="22"/>
        <v>1.5168491249673011E-4</v>
      </c>
      <c r="DA19" s="316">
        <v>1993</v>
      </c>
      <c r="DB19" s="46">
        <f t="shared" si="23"/>
        <v>20814.123046823886</v>
      </c>
      <c r="DC19" s="46">
        <f t="shared" si="24"/>
        <v>942.66841729775138</v>
      </c>
      <c r="DD19" s="46">
        <f t="shared" si="25"/>
        <v>17442.889134339719</v>
      </c>
      <c r="DE19" s="46">
        <f t="shared" si="26"/>
        <v>4833.3858761202746</v>
      </c>
      <c r="DF19" s="46">
        <f t="shared" si="27"/>
        <v>-3782.3628474383386</v>
      </c>
      <c r="DG19" s="46">
        <f t="shared" si="28"/>
        <v>19064.701562079237</v>
      </c>
      <c r="DI19" s="316">
        <v>1993</v>
      </c>
      <c r="DJ19" s="88">
        <f t="shared" si="29"/>
        <v>5.8766692234675427E-2</v>
      </c>
      <c r="DK19" s="88">
        <f t="shared" si="30"/>
        <v>5.2853028824003973E-2</v>
      </c>
      <c r="DL19" s="88">
        <f t="shared" si="31"/>
        <v>8.3700468677823575E-2</v>
      </c>
      <c r="DM19" s="88">
        <f t="shared" si="32"/>
        <v>0.1075745189562911</v>
      </c>
      <c r="DN19" s="88">
        <f t="shared" si="33"/>
        <v>-2.489095261437747E-2</v>
      </c>
      <c r="DO19" s="88">
        <f t="shared" si="34"/>
        <v>4.4025995364453202E-2</v>
      </c>
      <c r="DQ19" s="316">
        <v>1993</v>
      </c>
      <c r="DR19" s="61">
        <v>504497.8</v>
      </c>
      <c r="DS19" s="43"/>
      <c r="DT19" s="61">
        <v>441736.6</v>
      </c>
      <c r="DU19" s="43"/>
      <c r="DV19" s="89">
        <v>-1.7</v>
      </c>
      <c r="DW19" s="46">
        <f t="shared" si="6"/>
        <v>513222.58392675483</v>
      </c>
      <c r="DX19" s="43"/>
      <c r="DY19" s="46">
        <f t="shared" si="7"/>
        <v>449375.99186164798</v>
      </c>
      <c r="DZ19" s="43"/>
      <c r="EB19" s="316">
        <v>1993</v>
      </c>
      <c r="EC19" s="88">
        <f t="shared" si="8"/>
        <v>5.6846721664860697E-2</v>
      </c>
      <c r="ED19" s="88">
        <f t="shared" si="9"/>
        <v>2.7752790530493083E-3</v>
      </c>
      <c r="EE19" s="88">
        <f t="shared" si="10"/>
        <v>3.5595865667775908E-2</v>
      </c>
      <c r="EF19" s="88">
        <f t="shared" si="11"/>
        <v>1.1508374248433957E-2</v>
      </c>
      <c r="EG19" s="88">
        <f t="shared" si="12"/>
        <v>2.2715739519187008E-2</v>
      </c>
      <c r="EH19" s="88">
        <f t="shared" si="13"/>
        <v>5.3005646986128335E-2</v>
      </c>
      <c r="EI19" s="140"/>
      <c r="EJ19" s="316">
        <v>1993</v>
      </c>
      <c r="EK19" s="88">
        <f t="shared" si="14"/>
        <v>0.67863016877685323</v>
      </c>
      <c r="EL19" s="88">
        <f t="shared" si="15"/>
        <v>3.3399413874539916E-2</v>
      </c>
      <c r="EM19" s="88">
        <f t="shared" si="16"/>
        <v>0.39504281570489003</v>
      </c>
      <c r="EN19" s="88">
        <f t="shared" si="17"/>
        <v>8.5890826623334152E-2</v>
      </c>
      <c r="EO19" s="88">
        <f t="shared" si="18"/>
        <v>0.31143427107590432</v>
      </c>
      <c r="EP19" s="88">
        <f t="shared" si="19"/>
        <v>0.78468359589801484</v>
      </c>
      <c r="ER19" s="316">
        <v>1993</v>
      </c>
      <c r="ES19" s="317">
        <f t="shared" si="35"/>
        <v>124764</v>
      </c>
      <c r="ET19" s="61">
        <v>20841</v>
      </c>
      <c r="EU19" s="61">
        <v>87023</v>
      </c>
      <c r="EV19" s="61">
        <v>16900</v>
      </c>
      <c r="EW19" s="88">
        <f t="shared" si="36"/>
        <v>0.16704337789747042</v>
      </c>
      <c r="EX19" s="88">
        <f t="shared" si="36"/>
        <v>0.69750088166458268</v>
      </c>
      <c r="EY19" s="88">
        <f t="shared" si="36"/>
        <v>0.13545574043794684</v>
      </c>
      <c r="EZ19" s="88">
        <f t="shared" si="41"/>
        <v>-4.6225789851580823E-3</v>
      </c>
      <c r="FA19" s="88">
        <f t="shared" si="37"/>
        <v>-3.2396506224152688E-4</v>
      </c>
      <c r="FB19" s="88">
        <f t="shared" si="37"/>
        <v>4.9465440473995537E-3</v>
      </c>
      <c r="FD19" s="316">
        <v>1993</v>
      </c>
      <c r="FE19" s="159">
        <v>4.3461382113821161E-2</v>
      </c>
      <c r="FF19" s="43"/>
      <c r="FG19" s="159">
        <v>0.02</v>
      </c>
      <c r="FH19" s="55"/>
      <c r="FI19" s="319">
        <f t="shared" si="42"/>
        <v>2.346138211382116E-2</v>
      </c>
      <c r="FK19" s="345">
        <f t="shared" si="43"/>
        <v>-6.4249686986234122E-3</v>
      </c>
      <c r="FL19" s="345">
        <f t="shared" si="44"/>
        <v>1.4980692302690946E-2</v>
      </c>
      <c r="FM19" s="345">
        <f t="shared" si="45"/>
        <v>3.3713765459149198E-3</v>
      </c>
      <c r="FN19" s="38"/>
      <c r="FO19" s="316">
        <v>1993</v>
      </c>
      <c r="FP19" s="61">
        <v>256914.81187267735</v>
      </c>
      <c r="FQ19" s="61">
        <v>16210.053168005768</v>
      </c>
      <c r="FR19" s="61">
        <v>173169.5629921793</v>
      </c>
      <c r="FS19" s="61">
        <v>57791.663358336991</v>
      </c>
      <c r="FT19" s="61">
        <v>100293.00251845777</v>
      </c>
      <c r="FU19" s="61">
        <v>307141.71781202551</v>
      </c>
      <c r="FV19" s="46">
        <f t="shared" si="38"/>
        <v>911520.81172168278</v>
      </c>
    </row>
    <row r="20" spans="1:178" hidden="1" outlineLevel="1">
      <c r="A20" s="316">
        <v>1994</v>
      </c>
      <c r="B20" s="61">
        <v>318334</v>
      </c>
      <c r="C20" s="61">
        <v>19023.7</v>
      </c>
      <c r="D20" s="61">
        <v>177181.7</v>
      </c>
      <c r="E20" s="61">
        <v>42297.3</v>
      </c>
      <c r="F20" s="61">
        <v>166168.4</v>
      </c>
      <c r="G20" s="61">
        <v>410533.3</v>
      </c>
      <c r="I20" s="316">
        <v>1994</v>
      </c>
      <c r="J20" s="61">
        <v>314902.59999999998</v>
      </c>
      <c r="K20" s="61">
        <v>19267.099999999999</v>
      </c>
      <c r="L20" s="61">
        <v>176466.5</v>
      </c>
      <c r="M20" s="61">
        <v>43054.9</v>
      </c>
      <c r="N20" s="61">
        <v>168889.7</v>
      </c>
      <c r="O20" s="61">
        <v>423331.7</v>
      </c>
      <c r="Q20" s="316">
        <v>1994</v>
      </c>
      <c r="R20" s="75">
        <v>360954.4</v>
      </c>
      <c r="S20" s="75">
        <v>17737.599999999999</v>
      </c>
      <c r="T20" s="75">
        <v>200668.79999999999</v>
      </c>
      <c r="U20" s="75">
        <v>45948.5</v>
      </c>
      <c r="V20" s="75">
        <v>164655</v>
      </c>
      <c r="W20" s="75">
        <v>426972.4</v>
      </c>
      <c r="Y20" s="316">
        <v>1994</v>
      </c>
      <c r="Z20" s="75">
        <v>373903.2</v>
      </c>
      <c r="AA20" s="75">
        <v>18968</v>
      </c>
      <c r="AB20" s="75">
        <v>207593.9</v>
      </c>
      <c r="AC20" s="75">
        <v>49345.5</v>
      </c>
      <c r="AD20" s="75">
        <v>172670.7</v>
      </c>
      <c r="AE20" s="75">
        <v>465479.6</v>
      </c>
      <c r="AG20" s="316">
        <v>1994</v>
      </c>
      <c r="AH20" s="48">
        <f t="shared" si="2"/>
        <v>0.96536857667973963</v>
      </c>
      <c r="AI20" s="48">
        <f t="shared" si="2"/>
        <v>0.93513285533530144</v>
      </c>
      <c r="AJ20" s="48">
        <f t="shared" si="2"/>
        <v>0.96664111999437363</v>
      </c>
      <c r="AK20" s="48">
        <f t="shared" si="2"/>
        <v>0.93115886960310468</v>
      </c>
      <c r="AL20" s="48">
        <f t="shared" si="2"/>
        <v>0.95357811139932824</v>
      </c>
      <c r="AM20" s="48">
        <f t="shared" si="2"/>
        <v>0.91727414047790723</v>
      </c>
      <c r="AO20" s="316">
        <v>1994</v>
      </c>
      <c r="AP20" s="62">
        <v>-1.6361731280731817E-2</v>
      </c>
      <c r="AS20" s="316">
        <v>1994</v>
      </c>
      <c r="AT20" s="308">
        <f t="shared" si="39"/>
        <v>7.0530615433828103E-3</v>
      </c>
      <c r="AU20" s="308">
        <f t="shared" si="20"/>
        <v>4.4137859737487517E-3</v>
      </c>
      <c r="AV20" s="308">
        <f t="shared" si="20"/>
        <v>-1.1862584472311921E-3</v>
      </c>
      <c r="AW20" s="308">
        <f t="shared" si="20"/>
        <v>-1.632012588539844E-3</v>
      </c>
      <c r="AX20" s="308">
        <f t="shared" si="20"/>
        <v>6.3350089091063211E-4</v>
      </c>
      <c r="AY20" s="308">
        <f t="shared" si="20"/>
        <v>1.0409997429875473E-2</v>
      </c>
      <c r="BA20" s="316">
        <v>1994</v>
      </c>
      <c r="BB20" s="61">
        <v>26647.9</v>
      </c>
      <c r="BC20" s="61">
        <v>1414.1</v>
      </c>
      <c r="BD20" s="61">
        <v>12130.8</v>
      </c>
      <c r="BE20" s="61">
        <v>4852.1000000000004</v>
      </c>
      <c r="BF20" s="61">
        <v>9582.2000000000007</v>
      </c>
      <c r="BG20" s="61">
        <v>28337.599999999999</v>
      </c>
      <c r="BI20" s="316">
        <v>1994</v>
      </c>
      <c r="BJ20" s="61">
        <v>26614.799999999999</v>
      </c>
      <c r="BK20" s="61">
        <v>1449.2</v>
      </c>
      <c r="BL20" s="61">
        <v>12143.7</v>
      </c>
      <c r="BM20" s="61">
        <v>5670</v>
      </c>
      <c r="BN20" s="61">
        <v>9803.5</v>
      </c>
      <c r="BO20" s="61">
        <v>29583.200000000001</v>
      </c>
      <c r="BQ20" s="316">
        <v>1994</v>
      </c>
      <c r="BR20" s="75">
        <v>30524.400000000001</v>
      </c>
      <c r="BS20" s="75">
        <v>1402.9</v>
      </c>
      <c r="BT20" s="75">
        <v>15149.4</v>
      </c>
      <c r="BU20" s="75">
        <v>5317.7</v>
      </c>
      <c r="BV20" s="75">
        <v>9823.7999999999993</v>
      </c>
      <c r="BW20" s="75">
        <v>28088.9</v>
      </c>
      <c r="BY20" s="316">
        <v>1994</v>
      </c>
      <c r="BZ20" s="75">
        <v>31733.1</v>
      </c>
      <c r="CA20" s="75">
        <v>1520.6</v>
      </c>
      <c r="CB20" s="75">
        <v>15754</v>
      </c>
      <c r="CC20" s="75">
        <v>6625.4</v>
      </c>
      <c r="CD20" s="75">
        <v>10380.4</v>
      </c>
      <c r="CE20" s="75">
        <v>31158.400000000001</v>
      </c>
      <c r="CG20" s="316">
        <v>1994</v>
      </c>
      <c r="CH20" s="48">
        <f t="shared" si="5"/>
        <v>0.9619104342153777</v>
      </c>
      <c r="CI20" s="48">
        <f t="shared" si="5"/>
        <v>0.92259634354859932</v>
      </c>
      <c r="CJ20" s="48">
        <f t="shared" si="5"/>
        <v>0.96162244509330963</v>
      </c>
      <c r="CK20" s="48">
        <f t="shared" si="5"/>
        <v>0.80262323784224354</v>
      </c>
      <c r="CL20" s="48">
        <f t="shared" si="5"/>
        <v>0.94637971561789525</v>
      </c>
      <c r="CM20" s="48">
        <f t="shared" si="5"/>
        <v>0.90148723939611786</v>
      </c>
      <c r="CO20" s="316">
        <v>1994</v>
      </c>
      <c r="CP20" s="62">
        <v>-1.6361731280731817E-2</v>
      </c>
      <c r="CS20" s="316">
        <v>1994</v>
      </c>
      <c r="CT20" s="308">
        <f t="shared" si="40"/>
        <v>4.8468328489910117E-3</v>
      </c>
      <c r="CU20" s="308">
        <f t="shared" si="22"/>
        <v>4.6289560745238489E-4</v>
      </c>
      <c r="CV20" s="308">
        <f t="shared" si="22"/>
        <v>-7.2588358133242048E-3</v>
      </c>
      <c r="CW20" s="308">
        <f t="shared" si="22"/>
        <v>-9.4169017736294158E-3</v>
      </c>
      <c r="CX20" s="308">
        <f t="shared" si="22"/>
        <v>-1.046307340431063E-2</v>
      </c>
      <c r="CY20" s="308">
        <f t="shared" si="22"/>
        <v>-8.1444100776772999E-4</v>
      </c>
      <c r="DA20" s="316">
        <v>1994</v>
      </c>
      <c r="DB20" s="46">
        <f t="shared" si="23"/>
        <v>21157.271783910364</v>
      </c>
      <c r="DC20" s="46">
        <f t="shared" si="24"/>
        <v>963.87874978590617</v>
      </c>
      <c r="DD20" s="46">
        <f t="shared" si="25"/>
        <v>17652.933074436238</v>
      </c>
      <c r="DE20" s="46">
        <f t="shared" si="26"/>
        <v>4542.695299721976</v>
      </c>
      <c r="DF20" s="46">
        <f t="shared" si="27"/>
        <v>5432.0450203890559</v>
      </c>
      <c r="DG20" s="46">
        <f t="shared" si="28"/>
        <v>9286.2355499481564</v>
      </c>
      <c r="DI20" s="316">
        <v>1994</v>
      </c>
      <c r="DJ20" s="88">
        <f t="shared" si="29"/>
        <v>5.8231978724943657E-2</v>
      </c>
      <c r="DK20" s="88">
        <f t="shared" si="30"/>
        <v>5.2352623784869615E-2</v>
      </c>
      <c r="DL20" s="88">
        <f t="shared" si="31"/>
        <v>8.4265093060075527E-2</v>
      </c>
      <c r="DM20" s="88">
        <f t="shared" si="32"/>
        <v>9.6115671341781561E-2</v>
      </c>
      <c r="DN20" s="88">
        <f t="shared" si="33"/>
        <v>3.238712778389017E-2</v>
      </c>
      <c r="DO20" s="88">
        <f t="shared" si="34"/>
        <v>2.0933453332304591E-2</v>
      </c>
      <c r="DQ20" s="316">
        <v>1994</v>
      </c>
      <c r="DR20" s="61">
        <v>510916.1</v>
      </c>
      <c r="DS20" s="43"/>
      <c r="DT20" s="61">
        <v>446522.3</v>
      </c>
      <c r="DU20" s="43"/>
      <c r="DV20" s="89">
        <v>-2.4</v>
      </c>
      <c r="DW20" s="46">
        <f t="shared" si="6"/>
        <v>523479.61065573769</v>
      </c>
      <c r="DX20" s="43"/>
      <c r="DY20" s="46">
        <f t="shared" si="7"/>
        <v>457502.35655737703</v>
      </c>
      <c r="DZ20" s="43"/>
      <c r="EB20" s="316">
        <v>1994</v>
      </c>
      <c r="EC20" s="88">
        <f t="shared" si="8"/>
        <v>5.974444727813432E-2</v>
      </c>
      <c r="ED20" s="88">
        <f t="shared" si="9"/>
        <v>2.7458520097526778E-3</v>
      </c>
      <c r="EE20" s="88">
        <f t="shared" si="10"/>
        <v>2.9651443749766353E-2</v>
      </c>
      <c r="EF20" s="88">
        <f t="shared" si="11"/>
        <v>1.0408166820344867E-2</v>
      </c>
      <c r="EG20" s="88">
        <f t="shared" si="12"/>
        <v>1.9227814508096339E-2</v>
      </c>
      <c r="EH20" s="88">
        <f t="shared" si="13"/>
        <v>5.4977519792388616E-2</v>
      </c>
      <c r="EI20" s="140"/>
      <c r="EJ20" s="316">
        <v>1994</v>
      </c>
      <c r="EK20" s="88">
        <f t="shared" si="14"/>
        <v>0.68952905261744546</v>
      </c>
      <c r="EL20" s="88">
        <f t="shared" si="15"/>
        <v>3.3884032231515114E-2</v>
      </c>
      <c r="EM20" s="88">
        <f t="shared" si="16"/>
        <v>0.3833364202067619</v>
      </c>
      <c r="EN20" s="88">
        <f t="shared" si="17"/>
        <v>8.7775147426358266E-2</v>
      </c>
      <c r="EO20" s="88">
        <f t="shared" si="18"/>
        <v>0.31453947135351579</v>
      </c>
      <c r="EP20" s="88">
        <f t="shared" si="19"/>
        <v>0.81564284703496337</v>
      </c>
      <c r="ER20" s="316">
        <v>1994</v>
      </c>
      <c r="ES20" s="317">
        <f t="shared" si="35"/>
        <v>125034</v>
      </c>
      <c r="ET20" s="61">
        <v>20415</v>
      </c>
      <c r="EU20" s="61">
        <v>87034</v>
      </c>
      <c r="EV20" s="61">
        <v>17585</v>
      </c>
      <c r="EW20" s="88">
        <f t="shared" si="36"/>
        <v>0.16327558903978118</v>
      </c>
      <c r="EX20" s="88">
        <f t="shared" si="36"/>
        <v>0.69608266551497988</v>
      </c>
      <c r="EY20" s="88">
        <f t="shared" si="36"/>
        <v>0.14064174544523889</v>
      </c>
      <c r="EZ20" s="88">
        <f t="shared" si="41"/>
        <v>-3.7677888576892471E-3</v>
      </c>
      <c r="FA20" s="88">
        <f t="shared" si="37"/>
        <v>-1.4182161496028023E-3</v>
      </c>
      <c r="FB20" s="88">
        <f t="shared" si="37"/>
        <v>5.1860050072920494E-3</v>
      </c>
      <c r="FD20" s="316">
        <v>1994</v>
      </c>
      <c r="FE20" s="159">
        <v>4.3577651821862337E-2</v>
      </c>
      <c r="FF20" s="43"/>
      <c r="FG20" s="159">
        <v>1.7000000000000001E-2</v>
      </c>
      <c r="FH20" s="55"/>
      <c r="FI20" s="319">
        <f t="shared" si="42"/>
        <v>2.6577651821862336E-2</v>
      </c>
      <c r="FK20" s="345">
        <f t="shared" si="43"/>
        <v>-1.5735765739270491E-2</v>
      </c>
      <c r="FL20" s="345">
        <f t="shared" si="44"/>
        <v>-1.0022179011905386E-3</v>
      </c>
      <c r="FM20" s="345">
        <f t="shared" si="45"/>
        <v>5.6161024676953941E-4</v>
      </c>
      <c r="FN20" s="38"/>
      <c r="FO20" s="316">
        <v>1994</v>
      </c>
      <c r="FP20" s="61">
        <v>273139.35492519301</v>
      </c>
      <c r="FQ20" s="61">
        <v>18854.491624605209</v>
      </c>
      <c r="FR20" s="61">
        <v>134648.41893150099</v>
      </c>
      <c r="FS20" s="61">
        <v>52698.94915362668</v>
      </c>
      <c r="FT20" s="61">
        <v>92083.147856277501</v>
      </c>
      <c r="FU20" s="61">
        <v>307844.33882815018</v>
      </c>
      <c r="FV20" s="46">
        <f t="shared" si="38"/>
        <v>879268.70131935354</v>
      </c>
    </row>
    <row r="21" spans="1:178" hidden="1" outlineLevel="1">
      <c r="A21" s="316">
        <v>1995</v>
      </c>
      <c r="B21" s="61">
        <v>320686.2</v>
      </c>
      <c r="C21" s="61">
        <v>19482.5</v>
      </c>
      <c r="D21" s="61">
        <v>173589.5</v>
      </c>
      <c r="E21" s="61">
        <v>43465.599999999999</v>
      </c>
      <c r="F21" s="61">
        <v>170925.6</v>
      </c>
      <c r="G21" s="61">
        <v>428225.3</v>
      </c>
      <c r="I21" s="316">
        <v>1995</v>
      </c>
      <c r="J21" s="61">
        <v>319719.8</v>
      </c>
      <c r="K21" s="61">
        <v>19794.900000000001</v>
      </c>
      <c r="L21" s="61">
        <v>173521.2</v>
      </c>
      <c r="M21" s="61">
        <v>44388</v>
      </c>
      <c r="N21" s="61">
        <v>174180.8</v>
      </c>
      <c r="O21" s="61">
        <v>441862.2</v>
      </c>
      <c r="Q21" s="316">
        <v>1995</v>
      </c>
      <c r="R21" s="75">
        <v>362515.8</v>
      </c>
      <c r="S21" s="75">
        <v>18129.8</v>
      </c>
      <c r="T21" s="75">
        <v>198031.1</v>
      </c>
      <c r="U21" s="75">
        <v>47307.7</v>
      </c>
      <c r="V21" s="75">
        <v>169493.9</v>
      </c>
      <c r="W21" s="75">
        <v>445087.9</v>
      </c>
      <c r="Y21" s="316">
        <v>1995</v>
      </c>
      <c r="Z21" s="75">
        <v>379139</v>
      </c>
      <c r="AA21" s="75">
        <v>19457.7</v>
      </c>
      <c r="AB21" s="75">
        <v>205735</v>
      </c>
      <c r="AC21" s="75">
        <v>50848.6</v>
      </c>
      <c r="AD21" s="75">
        <v>178276</v>
      </c>
      <c r="AE21" s="75">
        <v>485919.9</v>
      </c>
      <c r="AG21" s="316">
        <v>1995</v>
      </c>
      <c r="AH21" s="48">
        <f t="shared" si="2"/>
        <v>0.9561553941957962</v>
      </c>
      <c r="AI21" s="48">
        <f t="shared" si="2"/>
        <v>0.93175452391598179</v>
      </c>
      <c r="AJ21" s="48">
        <f t="shared" si="2"/>
        <v>0.96255425668943062</v>
      </c>
      <c r="AK21" s="48">
        <f t="shared" si="2"/>
        <v>0.93036386449184438</v>
      </c>
      <c r="AL21" s="48">
        <f t="shared" si="2"/>
        <v>0.95073874217505439</v>
      </c>
      <c r="AM21" s="48">
        <f t="shared" si="2"/>
        <v>0.91596968965461179</v>
      </c>
      <c r="AO21" s="316">
        <v>1995</v>
      </c>
      <c r="AP21" s="62">
        <v>-8.4398557849852951E-3</v>
      </c>
      <c r="AS21" s="316">
        <v>1995</v>
      </c>
      <c r="AT21" s="308">
        <f t="shared" si="39"/>
        <v>-9.5436941977445899E-3</v>
      </c>
      <c r="AU21" s="308">
        <f t="shared" si="20"/>
        <v>-3.6126753541434464E-3</v>
      </c>
      <c r="AV21" s="308">
        <f t="shared" si="20"/>
        <v>-4.2279013590553749E-3</v>
      </c>
      <c r="AW21" s="308">
        <f t="shared" si="20"/>
        <v>-8.5378031312655089E-4</v>
      </c>
      <c r="AX21" s="308">
        <f t="shared" si="20"/>
        <v>-2.9775947982983997E-3</v>
      </c>
      <c r="AY21" s="308">
        <f t="shared" si="20"/>
        <v>-1.422094841369681E-3</v>
      </c>
      <c r="BA21" s="316">
        <v>1995</v>
      </c>
      <c r="BB21" s="61">
        <v>25194.3</v>
      </c>
      <c r="BC21" s="61">
        <v>1533.3</v>
      </c>
      <c r="BD21" s="61">
        <v>11353.3</v>
      </c>
      <c r="BE21" s="61">
        <v>4663</v>
      </c>
      <c r="BF21" s="61">
        <v>10716.3</v>
      </c>
      <c r="BG21" s="61">
        <v>28480.799999999999</v>
      </c>
      <c r="BI21" s="316">
        <v>1995</v>
      </c>
      <c r="BJ21" s="61">
        <v>25330.2</v>
      </c>
      <c r="BK21" s="61">
        <v>1578.4</v>
      </c>
      <c r="BL21" s="61">
        <v>11436.4</v>
      </c>
      <c r="BM21" s="61">
        <v>5486.6</v>
      </c>
      <c r="BN21" s="61">
        <v>11012.2</v>
      </c>
      <c r="BO21" s="61">
        <v>29754.799999999999</v>
      </c>
      <c r="BQ21" s="316">
        <v>1995</v>
      </c>
      <c r="BR21" s="75">
        <v>29031.8</v>
      </c>
      <c r="BS21" s="75">
        <v>1528</v>
      </c>
      <c r="BT21" s="75">
        <v>14312.3</v>
      </c>
      <c r="BU21" s="75">
        <v>5133.5</v>
      </c>
      <c r="BV21" s="75">
        <v>10821</v>
      </c>
      <c r="BW21" s="75">
        <v>28372</v>
      </c>
      <c r="BY21" s="316">
        <v>1995</v>
      </c>
      <c r="BZ21" s="75">
        <v>30403.200000000001</v>
      </c>
      <c r="CA21" s="75">
        <v>1663.5</v>
      </c>
      <c r="CB21" s="75">
        <v>14972.9</v>
      </c>
      <c r="CC21" s="75">
        <v>6267.1</v>
      </c>
      <c r="CD21" s="75">
        <v>11486.7</v>
      </c>
      <c r="CE21" s="75">
        <v>31498.1</v>
      </c>
      <c r="CG21" s="316">
        <v>1995</v>
      </c>
      <c r="CH21" s="48">
        <f t="shared" si="5"/>
        <v>0.95489290600989363</v>
      </c>
      <c r="CI21" s="48">
        <f t="shared" si="5"/>
        <v>0.91854523594830173</v>
      </c>
      <c r="CJ21" s="48">
        <f t="shared" si="5"/>
        <v>0.95588029039130695</v>
      </c>
      <c r="CK21" s="48">
        <f t="shared" si="5"/>
        <v>0.81911889071500366</v>
      </c>
      <c r="CL21" s="48">
        <f t="shared" si="5"/>
        <v>0.94204601843871605</v>
      </c>
      <c r="CM21" s="48">
        <f t="shared" si="5"/>
        <v>0.90075274381629378</v>
      </c>
      <c r="CO21" s="316">
        <v>1995</v>
      </c>
      <c r="CP21" s="62">
        <v>-8.4398557849852951E-3</v>
      </c>
      <c r="CS21" s="316">
        <v>1995</v>
      </c>
      <c r="CT21" s="308">
        <f t="shared" si="40"/>
        <v>-7.2954070939132976E-3</v>
      </c>
      <c r="CU21" s="308">
        <f t="shared" si="22"/>
        <v>-4.3909859697858211E-3</v>
      </c>
      <c r="CV21" s="308">
        <f t="shared" si="22"/>
        <v>-5.9713193377526341E-3</v>
      </c>
      <c r="CW21" s="308">
        <f t="shared" si="22"/>
        <v>2.055217453846292E-2</v>
      </c>
      <c r="CX21" s="308">
        <f t="shared" si="22"/>
        <v>-4.579237178968576E-3</v>
      </c>
      <c r="CY21" s="308">
        <f t="shared" si="22"/>
        <v>-8.1475981880352322E-4</v>
      </c>
      <c r="DA21" s="316">
        <v>1995</v>
      </c>
      <c r="DB21" s="46">
        <f t="shared" si="23"/>
        <v>25167.400000000012</v>
      </c>
      <c r="DC21" s="46">
        <f t="shared" si="24"/>
        <v>1173.7999999999993</v>
      </c>
      <c r="DD21" s="46">
        <f t="shared" si="25"/>
        <v>16831.799999999996</v>
      </c>
      <c r="DE21" s="46">
        <f t="shared" si="26"/>
        <v>4764.0000000000018</v>
      </c>
      <c r="DF21" s="46">
        <f t="shared" si="27"/>
        <v>5881.4000000000124</v>
      </c>
      <c r="DG21" s="46">
        <f t="shared" si="28"/>
        <v>11057.799999999952</v>
      </c>
      <c r="DI21" s="316">
        <v>1995</v>
      </c>
      <c r="DJ21" s="88">
        <f t="shared" si="29"/>
        <v>6.7309934763864043E-2</v>
      </c>
      <c r="DK21" s="88">
        <f t="shared" si="30"/>
        <v>6.1883171657528428E-2</v>
      </c>
      <c r="DL21" s="88">
        <f t="shared" si="31"/>
        <v>8.1080417102814661E-2</v>
      </c>
      <c r="DM21" s="88">
        <f t="shared" si="32"/>
        <v>9.6543757789464127E-2</v>
      </c>
      <c r="DN21" s="88">
        <f t="shared" si="33"/>
        <v>3.4061366520202974E-2</v>
      </c>
      <c r="DO21" s="88">
        <f t="shared" si="34"/>
        <v>2.3755713461986201E-2</v>
      </c>
      <c r="DQ21" s="316">
        <v>1995</v>
      </c>
      <c r="DR21" s="61">
        <v>521613.5</v>
      </c>
      <c r="DS21" s="43"/>
      <c r="DT21" s="61">
        <v>458270.3</v>
      </c>
      <c r="DU21" s="43"/>
      <c r="DV21" s="89">
        <v>-1.4</v>
      </c>
      <c r="DW21" s="46">
        <f t="shared" si="6"/>
        <v>529019.77687626774</v>
      </c>
      <c r="DX21" s="43"/>
      <c r="DY21" s="46">
        <f t="shared" si="7"/>
        <v>464777.18052738335</v>
      </c>
      <c r="DZ21" s="43"/>
      <c r="EB21" s="316">
        <v>1995</v>
      </c>
      <c r="EC21" s="88">
        <f t="shared" si="8"/>
        <v>5.5657685240125113E-2</v>
      </c>
      <c r="ED21" s="88">
        <f t="shared" si="9"/>
        <v>2.9293720350412711E-3</v>
      </c>
      <c r="EE21" s="88">
        <f t="shared" si="10"/>
        <v>2.7438515299163076E-2</v>
      </c>
      <c r="EF21" s="88">
        <f t="shared" si="11"/>
        <v>9.841578103327463E-3</v>
      </c>
      <c r="EG21" s="88">
        <f t="shared" si="12"/>
        <v>2.0745245282186908E-2</v>
      </c>
      <c r="EH21" s="88">
        <f t="shared" si="13"/>
        <v>5.4392763990962656E-2</v>
      </c>
      <c r="EI21" s="140"/>
      <c r="EJ21" s="316">
        <v>1995</v>
      </c>
      <c r="EK21" s="88">
        <f t="shared" si="14"/>
        <v>0.685259447464454</v>
      </c>
      <c r="EL21" s="88">
        <f t="shared" si="15"/>
        <v>3.42705524301039E-2</v>
      </c>
      <c r="EM21" s="88">
        <f t="shared" si="16"/>
        <v>0.37433591078451767</v>
      </c>
      <c r="EN21" s="88">
        <f t="shared" si="17"/>
        <v>8.9425201226578682E-2</v>
      </c>
      <c r="EO21" s="88">
        <f t="shared" si="18"/>
        <v>0.32039236982938518</v>
      </c>
      <c r="EP21" s="88">
        <f t="shared" si="19"/>
        <v>0.84134453843698453</v>
      </c>
      <c r="ER21" s="316">
        <v>1995</v>
      </c>
      <c r="ES21" s="317">
        <f t="shared" si="35"/>
        <v>125570</v>
      </c>
      <c r="ET21" s="61">
        <v>20033</v>
      </c>
      <c r="EU21" s="61">
        <v>87260</v>
      </c>
      <c r="EV21" s="61">
        <v>18277</v>
      </c>
      <c r="EW21" s="88">
        <f t="shared" si="36"/>
        <v>0.15953651349844708</v>
      </c>
      <c r="EX21" s="88">
        <f t="shared" si="36"/>
        <v>0.6949112049056303</v>
      </c>
      <c r="EY21" s="88">
        <f t="shared" si="36"/>
        <v>0.14555228159592259</v>
      </c>
      <c r="EZ21" s="88">
        <f t="shared" si="41"/>
        <v>-3.739075541334097E-3</v>
      </c>
      <c r="FA21" s="88">
        <f t="shared" si="37"/>
        <v>-1.1714606093495838E-3</v>
      </c>
      <c r="FB21" s="88">
        <f t="shared" si="37"/>
        <v>4.9105361506837086E-3</v>
      </c>
      <c r="FD21" s="316">
        <v>1995</v>
      </c>
      <c r="FE21" s="159">
        <v>3.4601927710843354E-2</v>
      </c>
      <c r="FF21" s="43"/>
      <c r="FG21" s="159">
        <v>1.4999999999999999E-2</v>
      </c>
      <c r="FH21" s="55"/>
      <c r="FI21" s="319">
        <f t="shared" si="42"/>
        <v>1.9601927710843355E-2</v>
      </c>
      <c r="FK21" s="345">
        <f t="shared" si="43"/>
        <v>-1.2797781412537734E-2</v>
      </c>
      <c r="FL21" s="345">
        <f t="shared" si="44"/>
        <v>3.7643863023613111E-3</v>
      </c>
      <c r="FM21" s="345">
        <f t="shared" si="45"/>
        <v>3.0274598680080853E-3</v>
      </c>
      <c r="FN21" s="38"/>
      <c r="FO21" s="316">
        <v>1995</v>
      </c>
      <c r="FP21" s="61">
        <v>261032.82362725239</v>
      </c>
      <c r="FQ21" s="61">
        <v>16770.87984979598</v>
      </c>
      <c r="FR21" s="61">
        <v>122844.29150569983</v>
      </c>
      <c r="FS21" s="61">
        <v>48053.394024849236</v>
      </c>
      <c r="FT21" s="61">
        <v>94882.371677233547</v>
      </c>
      <c r="FU21" s="61">
        <v>309328.09627163329</v>
      </c>
      <c r="FV21" s="46">
        <f t="shared" si="38"/>
        <v>852911.85695646424</v>
      </c>
    </row>
    <row r="22" spans="1:178" hidden="1" outlineLevel="1">
      <c r="A22" s="316">
        <v>1996</v>
      </c>
      <c r="B22" s="61">
        <v>337087.8</v>
      </c>
      <c r="C22" s="61">
        <v>20451.3</v>
      </c>
      <c r="D22" s="61">
        <v>174457.5</v>
      </c>
      <c r="E22" s="61">
        <v>44840.5</v>
      </c>
      <c r="F22" s="61">
        <v>178895.5</v>
      </c>
      <c r="G22" s="61">
        <v>450831.2</v>
      </c>
      <c r="I22" s="316">
        <v>1996</v>
      </c>
      <c r="J22" s="61">
        <v>329745.09999999998</v>
      </c>
      <c r="K22" s="61">
        <v>20457.599999999999</v>
      </c>
      <c r="L22" s="61">
        <v>171877.9</v>
      </c>
      <c r="M22" s="61">
        <v>45135.199999999997</v>
      </c>
      <c r="N22" s="61">
        <v>180876.6</v>
      </c>
      <c r="O22" s="61">
        <v>460090.2</v>
      </c>
      <c r="Q22" s="316">
        <v>1996</v>
      </c>
      <c r="R22" s="75">
        <v>379462.2</v>
      </c>
      <c r="S22" s="75">
        <v>19011.2</v>
      </c>
      <c r="T22" s="75">
        <v>201130</v>
      </c>
      <c r="U22" s="75">
        <v>48914.6</v>
      </c>
      <c r="V22" s="75">
        <v>177547.1</v>
      </c>
      <c r="W22" s="75">
        <v>468772.8</v>
      </c>
      <c r="Y22" s="316">
        <v>1996</v>
      </c>
      <c r="Z22" s="75">
        <v>390368.7</v>
      </c>
      <c r="AA22" s="75">
        <v>20096.8</v>
      </c>
      <c r="AB22" s="75">
        <v>206070.5</v>
      </c>
      <c r="AC22" s="75">
        <v>51840.7</v>
      </c>
      <c r="AD22" s="75">
        <v>185281</v>
      </c>
      <c r="AE22" s="75">
        <v>506172.6</v>
      </c>
      <c r="AG22" s="316">
        <v>1996</v>
      </c>
      <c r="AH22" s="48">
        <f t="shared" ref="AH22:AM46" si="46">R22/Z22</f>
        <v>0.97206102845848041</v>
      </c>
      <c r="AI22" s="48">
        <f t="shared" si="46"/>
        <v>0.9459814497830501</v>
      </c>
      <c r="AJ22" s="48">
        <f t="shared" si="46"/>
        <v>0.97602519526084519</v>
      </c>
      <c r="AK22" s="48">
        <f t="shared" si="46"/>
        <v>0.94355593192221554</v>
      </c>
      <c r="AL22" s="48">
        <f t="shared" si="46"/>
        <v>0.95825853703293917</v>
      </c>
      <c r="AM22" s="48">
        <f t="shared" si="46"/>
        <v>0.92611255528252623</v>
      </c>
      <c r="AO22" s="316">
        <v>1996</v>
      </c>
      <c r="AP22" s="62">
        <v>-1.6775473101399707E-2</v>
      </c>
      <c r="AS22" s="316">
        <v>1996</v>
      </c>
      <c r="AT22" s="308">
        <f t="shared" si="39"/>
        <v>1.6634988788681193E-2</v>
      </c>
      <c r="AU22" s="308">
        <f t="shared" si="20"/>
        <v>1.5268963554129433E-2</v>
      </c>
      <c r="AV22" s="308">
        <f t="shared" si="20"/>
        <v>1.3994991428063486E-2</v>
      </c>
      <c r="AW22" s="308">
        <f t="shared" si="20"/>
        <v>1.4179470993939125E-2</v>
      </c>
      <c r="AX22" s="308">
        <f t="shared" si="20"/>
        <v>7.909422982681269E-3</v>
      </c>
      <c r="AY22" s="308">
        <f t="shared" si="20"/>
        <v>1.1073363826852312E-2</v>
      </c>
      <c r="BA22" s="316">
        <v>1996</v>
      </c>
      <c r="BB22" s="61">
        <v>28157.1</v>
      </c>
      <c r="BC22" s="61">
        <v>1547</v>
      </c>
      <c r="BD22" s="61">
        <v>11551.9</v>
      </c>
      <c r="BE22" s="61">
        <v>4186.8</v>
      </c>
      <c r="BF22" s="61">
        <v>8774.2000000000007</v>
      </c>
      <c r="BG22" s="61">
        <v>30596.400000000001</v>
      </c>
      <c r="BI22" s="316">
        <v>1996</v>
      </c>
      <c r="BJ22" s="61">
        <v>28132.6</v>
      </c>
      <c r="BK22" s="61">
        <v>1582.4</v>
      </c>
      <c r="BL22" s="61">
        <v>11589</v>
      </c>
      <c r="BM22" s="61">
        <v>4898.7</v>
      </c>
      <c r="BN22" s="61">
        <v>9023.2999999999993</v>
      </c>
      <c r="BO22" s="61">
        <v>31841.4</v>
      </c>
      <c r="BQ22" s="316">
        <v>1996</v>
      </c>
      <c r="BR22" s="75">
        <v>32313.1</v>
      </c>
      <c r="BS22" s="75">
        <v>1557.4</v>
      </c>
      <c r="BT22" s="75">
        <v>15300.8</v>
      </c>
      <c r="BU22" s="75">
        <v>4671.3999999999996</v>
      </c>
      <c r="BV22" s="75">
        <v>8898.7999999999993</v>
      </c>
      <c r="BW22" s="75">
        <v>30465.3</v>
      </c>
      <c r="BY22" s="316">
        <v>1996</v>
      </c>
      <c r="BZ22" s="75">
        <v>33702.699999999997</v>
      </c>
      <c r="CA22" s="75">
        <v>1685.9</v>
      </c>
      <c r="CB22" s="75">
        <v>15954.3</v>
      </c>
      <c r="CC22" s="75">
        <v>5675.6</v>
      </c>
      <c r="CD22" s="75">
        <v>9455.9</v>
      </c>
      <c r="CE22" s="75">
        <v>33706</v>
      </c>
      <c r="CG22" s="316">
        <v>1996</v>
      </c>
      <c r="CH22" s="48">
        <f t="shared" ref="CH22:CM46" si="47">BR22/BZ22</f>
        <v>0.95876888201835464</v>
      </c>
      <c r="CI22" s="48">
        <f t="shared" si="47"/>
        <v>0.92377958360519608</v>
      </c>
      <c r="CJ22" s="48">
        <f t="shared" si="47"/>
        <v>0.95903925587459182</v>
      </c>
      <c r="CK22" s="48">
        <f t="shared" si="47"/>
        <v>0.82306716470505314</v>
      </c>
      <c r="CL22" s="48">
        <f t="shared" si="47"/>
        <v>0.94108440233081991</v>
      </c>
      <c r="CM22" s="48">
        <f t="shared" si="47"/>
        <v>0.90385391324986653</v>
      </c>
      <c r="CO22" s="316">
        <v>1996</v>
      </c>
      <c r="CP22" s="62">
        <v>-1.6775473101399707E-2</v>
      </c>
      <c r="CS22" s="316">
        <v>1996</v>
      </c>
      <c r="CT22" s="308">
        <f t="shared" si="40"/>
        <v>4.0590688066342029E-3</v>
      </c>
      <c r="CU22" s="308">
        <f t="shared" si="22"/>
        <v>5.6985191932223955E-3</v>
      </c>
      <c r="CV22" s="308">
        <f t="shared" si="22"/>
        <v>3.3047710210571957E-3</v>
      </c>
      <c r="CW22" s="308">
        <f t="shared" si="22"/>
        <v>4.8201476425517864E-3</v>
      </c>
      <c r="CX22" s="308">
        <f t="shared" si="22"/>
        <v>-1.0207740270372634E-3</v>
      </c>
      <c r="CY22" s="308">
        <f t="shared" si="22"/>
        <v>3.4428642653185904E-3</v>
      </c>
      <c r="DA22" s="316">
        <v>1996</v>
      </c>
      <c r="DB22" s="46">
        <f t="shared" si="23"/>
        <v>22472.999999999985</v>
      </c>
      <c r="DC22" s="46">
        <f t="shared" si="24"/>
        <v>1046.8000000000015</v>
      </c>
      <c r="DD22" s="46">
        <f t="shared" si="25"/>
        <v>15618.8</v>
      </c>
      <c r="DE22" s="46">
        <f t="shared" si="26"/>
        <v>4683.5000000000018</v>
      </c>
      <c r="DF22" s="46">
        <f t="shared" si="27"/>
        <v>2450.8999999999996</v>
      </c>
      <c r="DG22" s="46">
        <f t="shared" si="28"/>
        <v>13453.300000000047</v>
      </c>
      <c r="DI22" s="316">
        <v>1996</v>
      </c>
      <c r="DJ22" s="88">
        <f t="shared" si="29"/>
        <v>5.9273775580987412E-2</v>
      </c>
      <c r="DK22" s="88">
        <f t="shared" si="30"/>
        <v>5.3798753192823484E-2</v>
      </c>
      <c r="DL22" s="88">
        <f t="shared" si="31"/>
        <v>7.5917077794249888E-2</v>
      </c>
      <c r="DM22" s="88">
        <f t="shared" si="32"/>
        <v>9.2106764001368802E-2</v>
      </c>
      <c r="DN22" s="88">
        <f t="shared" si="33"/>
        <v>1.3747784334402834E-2</v>
      </c>
      <c r="DO22" s="88">
        <f t="shared" si="34"/>
        <v>2.7686250347022309E-2</v>
      </c>
      <c r="DQ22" s="316">
        <v>1996</v>
      </c>
      <c r="DR22" s="61">
        <v>535562.1</v>
      </c>
      <c r="DS22" s="43"/>
      <c r="DT22" s="61">
        <v>472631.9</v>
      </c>
      <c r="DU22" s="43"/>
      <c r="DV22" s="89">
        <v>0.4</v>
      </c>
      <c r="DW22" s="46">
        <f t="shared" si="6"/>
        <v>533428.38645418326</v>
      </c>
      <c r="DX22" s="43"/>
      <c r="DY22" s="46">
        <f t="shared" si="7"/>
        <v>470748.90438247012</v>
      </c>
      <c r="DZ22" s="43"/>
      <c r="EB22" s="316">
        <v>1996</v>
      </c>
      <c r="EC22" s="88">
        <f t="shared" si="8"/>
        <v>6.0334926612618779E-2</v>
      </c>
      <c r="ED22" s="88">
        <f t="shared" si="9"/>
        <v>2.9079727635693419E-3</v>
      </c>
      <c r="EE22" s="88">
        <f t="shared" si="10"/>
        <v>2.8569609387968268E-2</v>
      </c>
      <c r="EF22" s="88">
        <f t="shared" si="11"/>
        <v>8.7224245330280083E-3</v>
      </c>
      <c r="EG22" s="88">
        <f t="shared" si="12"/>
        <v>1.6615813553647652E-2</v>
      </c>
      <c r="EH22" s="88">
        <f t="shared" si="13"/>
        <v>5.6884719811203965E-2</v>
      </c>
      <c r="EI22" s="140"/>
      <c r="EJ22" s="316">
        <v>1996</v>
      </c>
      <c r="EK22" s="88">
        <f t="shared" si="14"/>
        <v>0.71136484228439623</v>
      </c>
      <c r="EL22" s="88">
        <f t="shared" si="15"/>
        <v>3.5639648137909687E-2</v>
      </c>
      <c r="EM22" s="88">
        <f t="shared" si="16"/>
        <v>0.37705155013769648</v>
      </c>
      <c r="EN22" s="88">
        <f t="shared" si="17"/>
        <v>9.1698532065655883E-2</v>
      </c>
      <c r="EO22" s="88">
        <f t="shared" si="18"/>
        <v>0.33284149195770202</v>
      </c>
      <c r="EP22" s="88">
        <f t="shared" si="19"/>
        <v>0.8787923775786225</v>
      </c>
      <c r="ER22" s="316">
        <v>1996</v>
      </c>
      <c r="ES22" s="317">
        <f t="shared" si="35"/>
        <v>125864</v>
      </c>
      <c r="ET22" s="61">
        <v>19686</v>
      </c>
      <c r="EU22" s="61">
        <v>87161</v>
      </c>
      <c r="EV22" s="61">
        <v>19017</v>
      </c>
      <c r="EW22" s="88">
        <f t="shared" si="36"/>
        <v>0.15640691540075002</v>
      </c>
      <c r="EX22" s="88">
        <f t="shared" si="36"/>
        <v>0.69250143011504484</v>
      </c>
      <c r="EY22" s="88">
        <f t="shared" si="36"/>
        <v>0.15109165448420517</v>
      </c>
      <c r="EZ22" s="88">
        <f t="shared" si="41"/>
        <v>-3.1295980976970561E-3</v>
      </c>
      <c r="FA22" s="88">
        <f t="shared" si="37"/>
        <v>-2.4097747905854616E-3</v>
      </c>
      <c r="FB22" s="88">
        <f t="shared" si="37"/>
        <v>5.5393728882825732E-3</v>
      </c>
      <c r="FD22" s="316">
        <v>1996</v>
      </c>
      <c r="FE22" s="159">
        <v>3.1179838056680155E-2</v>
      </c>
      <c r="FF22" s="43"/>
      <c r="FG22" s="159">
        <v>1.3999999999999999E-2</v>
      </c>
      <c r="FH22" s="55"/>
      <c r="FI22" s="319">
        <f t="shared" si="42"/>
        <v>1.7179838056680156E-2</v>
      </c>
      <c r="FK22" s="345">
        <f t="shared" si="43"/>
        <v>2.8551618152056202E-3</v>
      </c>
      <c r="FL22" s="345">
        <f t="shared" si="44"/>
        <v>8.8605573918283387E-3</v>
      </c>
      <c r="FM22" s="345">
        <f t="shared" si="45"/>
        <v>-1.1308943395255816E-5</v>
      </c>
      <c r="FN22" s="38"/>
      <c r="FO22" s="316">
        <v>1996</v>
      </c>
      <c r="FP22" s="61">
        <v>294042.70406954671</v>
      </c>
      <c r="FQ22" s="61">
        <v>16066.356323495169</v>
      </c>
      <c r="FR22" s="61">
        <v>130122.78759462836</v>
      </c>
      <c r="FS22" s="61">
        <v>46134.702004971121</v>
      </c>
      <c r="FT22" s="61">
        <v>91429.568433127468</v>
      </c>
      <c r="FU22" s="61">
        <v>335999.3103311382</v>
      </c>
      <c r="FV22" s="46">
        <f t="shared" si="38"/>
        <v>913795.428756907</v>
      </c>
    </row>
    <row r="23" spans="1:178" hidden="1" outlineLevel="1">
      <c r="A23" s="316">
        <v>1997</v>
      </c>
      <c r="B23" s="61">
        <v>342073.3</v>
      </c>
      <c r="C23" s="61">
        <v>21159.3</v>
      </c>
      <c r="D23" s="61">
        <v>171303.8</v>
      </c>
      <c r="E23" s="61">
        <v>45243</v>
      </c>
      <c r="F23" s="61">
        <v>182705</v>
      </c>
      <c r="G23" s="61">
        <v>466963.6</v>
      </c>
      <c r="I23" s="316">
        <v>1997</v>
      </c>
      <c r="J23" s="61">
        <v>336086</v>
      </c>
      <c r="K23" s="61">
        <v>21112.9</v>
      </c>
      <c r="L23" s="61">
        <v>170452.9</v>
      </c>
      <c r="M23" s="61">
        <v>45440.7</v>
      </c>
      <c r="N23" s="61">
        <v>186793</v>
      </c>
      <c r="O23" s="61">
        <v>475789.6</v>
      </c>
      <c r="Q23" s="316">
        <v>1997</v>
      </c>
      <c r="R23" s="75">
        <v>385610.1</v>
      </c>
      <c r="S23" s="75">
        <v>19651</v>
      </c>
      <c r="T23" s="75">
        <v>199331.7</v>
      </c>
      <c r="U23" s="75">
        <v>49428.5</v>
      </c>
      <c r="V23" s="75">
        <v>181383.4</v>
      </c>
      <c r="W23" s="75">
        <v>485926.3</v>
      </c>
      <c r="Y23" s="316">
        <v>1997</v>
      </c>
      <c r="Z23" s="75">
        <v>397826.5</v>
      </c>
      <c r="AA23" s="75">
        <v>20712.2</v>
      </c>
      <c r="AB23" s="75">
        <v>206274.2</v>
      </c>
      <c r="AC23" s="75">
        <v>52259.6</v>
      </c>
      <c r="AD23" s="75">
        <v>191387.1</v>
      </c>
      <c r="AE23" s="75">
        <v>523905.8</v>
      </c>
      <c r="AG23" s="316">
        <v>1997</v>
      </c>
      <c r="AH23" s="48">
        <f t="shared" si="46"/>
        <v>0.96929214117209384</v>
      </c>
      <c r="AI23" s="48">
        <f t="shared" si="46"/>
        <v>0.94876449628721238</v>
      </c>
      <c r="AJ23" s="48">
        <f t="shared" si="46"/>
        <v>0.96634334298715008</v>
      </c>
      <c r="AK23" s="48">
        <f t="shared" si="46"/>
        <v>0.94582622140238348</v>
      </c>
      <c r="AL23" s="48">
        <f t="shared" si="46"/>
        <v>0.94773054192262696</v>
      </c>
      <c r="AM23" s="48">
        <f t="shared" si="46"/>
        <v>0.92750700603047342</v>
      </c>
      <c r="AO23" s="316">
        <v>1997</v>
      </c>
      <c r="AP23" s="62">
        <v>6.8078668683813071E-3</v>
      </c>
      <c r="AS23" s="316">
        <v>1997</v>
      </c>
      <c r="AT23" s="308">
        <f t="shared" si="39"/>
        <v>-2.848470626147348E-3</v>
      </c>
      <c r="AU23" s="308">
        <f t="shared" si="39"/>
        <v>2.9419673132073942E-3</v>
      </c>
      <c r="AV23" s="308">
        <f t="shared" si="39"/>
        <v>-9.9196745337168934E-3</v>
      </c>
      <c r="AW23" s="308">
        <f t="shared" si="39"/>
        <v>2.4060995255923423E-3</v>
      </c>
      <c r="AX23" s="308">
        <f t="shared" si="39"/>
        <v>-1.0986591513090116E-2</v>
      </c>
      <c r="AY23" s="308">
        <f t="shared" si="39"/>
        <v>1.5057033186660629E-3</v>
      </c>
      <c r="BA23" s="316">
        <v>1997</v>
      </c>
      <c r="BB23" s="61">
        <v>25312.5</v>
      </c>
      <c r="BC23" s="61">
        <v>1593.2</v>
      </c>
      <c r="BD23" s="61">
        <v>11686.7</v>
      </c>
      <c r="BE23" s="61">
        <v>3923.8</v>
      </c>
      <c r="BF23" s="61">
        <v>9266.4</v>
      </c>
      <c r="BG23" s="61">
        <v>27980.5</v>
      </c>
      <c r="BI23" s="316">
        <v>1997</v>
      </c>
      <c r="BJ23" s="61">
        <v>24858</v>
      </c>
      <c r="BK23" s="61">
        <v>1599.2</v>
      </c>
      <c r="BL23" s="61">
        <v>11622.3</v>
      </c>
      <c r="BM23" s="61">
        <v>4516.2</v>
      </c>
      <c r="BN23" s="61">
        <v>9484.5</v>
      </c>
      <c r="BO23" s="61">
        <v>28694.6</v>
      </c>
      <c r="BQ23" s="316">
        <v>1997</v>
      </c>
      <c r="BR23" s="75">
        <v>29648.3</v>
      </c>
      <c r="BS23" s="75">
        <v>1593.8</v>
      </c>
      <c r="BT23" s="75">
        <v>15312.8</v>
      </c>
      <c r="BU23" s="75">
        <v>4337.6000000000004</v>
      </c>
      <c r="BV23" s="75">
        <v>9309.7999999999993</v>
      </c>
      <c r="BW23" s="75">
        <v>27928.9</v>
      </c>
      <c r="BY23" s="316">
        <v>1997</v>
      </c>
      <c r="BZ23" s="75">
        <v>30418.3</v>
      </c>
      <c r="CA23" s="75">
        <v>1693.8</v>
      </c>
      <c r="CB23" s="75">
        <v>15846.1</v>
      </c>
      <c r="CC23" s="75">
        <v>5182.5</v>
      </c>
      <c r="CD23" s="75">
        <v>9845.5</v>
      </c>
      <c r="CE23" s="75">
        <v>30450.1</v>
      </c>
      <c r="CG23" s="316">
        <v>1997</v>
      </c>
      <c r="CH23" s="48">
        <f t="shared" si="47"/>
        <v>0.974686290818356</v>
      </c>
      <c r="CI23" s="48">
        <f t="shared" si="47"/>
        <v>0.94096115243830436</v>
      </c>
      <c r="CJ23" s="48">
        <f t="shared" si="47"/>
        <v>0.96634503126952365</v>
      </c>
      <c r="CK23" s="48">
        <f t="shared" si="47"/>
        <v>0.8369705740472746</v>
      </c>
      <c r="CL23" s="48">
        <f t="shared" si="47"/>
        <v>0.9455893555431415</v>
      </c>
      <c r="CM23" s="48">
        <f t="shared" si="47"/>
        <v>0.91720224235716807</v>
      </c>
      <c r="CO23" s="316">
        <v>1997</v>
      </c>
      <c r="CP23" s="62">
        <v>6.8078668683813071E-3</v>
      </c>
      <c r="CS23" s="316">
        <v>1997</v>
      </c>
      <c r="CT23" s="308">
        <f t="shared" si="40"/>
        <v>1.6601924716718841E-2</v>
      </c>
      <c r="CU23" s="308">
        <f t="shared" si="40"/>
        <v>1.8599208228931019E-2</v>
      </c>
      <c r="CV23" s="308">
        <f t="shared" si="40"/>
        <v>7.6178064142633506E-3</v>
      </c>
      <c r="CW23" s="308">
        <f t="shared" si="40"/>
        <v>1.689219293203581E-2</v>
      </c>
      <c r="CX23" s="308">
        <f t="shared" si="40"/>
        <v>4.7869810626592901E-3</v>
      </c>
      <c r="CY23" s="308">
        <f t="shared" si="40"/>
        <v>1.4768237335286649E-2</v>
      </c>
      <c r="DA23" s="316">
        <v>1997</v>
      </c>
      <c r="DB23" s="46">
        <f t="shared" si="23"/>
        <v>22960.500000000011</v>
      </c>
      <c r="DC23" s="46">
        <f t="shared" si="24"/>
        <v>1078.3999999999985</v>
      </c>
      <c r="DD23" s="46">
        <f t="shared" si="25"/>
        <v>15642.399999999989</v>
      </c>
      <c r="DE23" s="46">
        <f t="shared" si="26"/>
        <v>4763.5999999999985</v>
      </c>
      <c r="DF23" s="46">
        <f t="shared" si="27"/>
        <v>3739.3999999999942</v>
      </c>
      <c r="DG23" s="46">
        <f t="shared" si="28"/>
        <v>12716.899999999987</v>
      </c>
      <c r="DI23" s="316">
        <v>1997</v>
      </c>
      <c r="DJ23" s="88">
        <f t="shared" si="29"/>
        <v>5.8817471790130742E-2</v>
      </c>
      <c r="DK23" s="88">
        <f t="shared" si="30"/>
        <v>5.3660284224354052E-2</v>
      </c>
      <c r="DL23" s="88">
        <f t="shared" si="31"/>
        <v>7.5908002358416118E-2</v>
      </c>
      <c r="DM23" s="88">
        <f t="shared" si="32"/>
        <v>9.1889191311074092E-2</v>
      </c>
      <c r="DN23" s="88">
        <f t="shared" si="33"/>
        <v>2.0182317668838112E-2</v>
      </c>
      <c r="DO23" s="88">
        <f t="shared" si="34"/>
        <v>2.5123643595089871E-2</v>
      </c>
      <c r="DQ23" s="316">
        <v>1997</v>
      </c>
      <c r="DR23" s="61">
        <v>543545.4</v>
      </c>
      <c r="DS23" s="43"/>
      <c r="DT23" s="61">
        <v>477269.5</v>
      </c>
      <c r="DU23" s="43"/>
      <c r="DV23" s="89">
        <v>0.3</v>
      </c>
      <c r="DW23" s="46">
        <f t="shared" si="6"/>
        <v>541919.6410767698</v>
      </c>
      <c r="DX23" s="43"/>
      <c r="DY23" s="46">
        <f t="shared" si="7"/>
        <v>475841.97407776676</v>
      </c>
      <c r="DZ23" s="43"/>
      <c r="EB23" s="316">
        <v>1997</v>
      </c>
      <c r="EC23" s="88">
        <f t="shared" si="8"/>
        <v>5.4546133588840966E-2</v>
      </c>
      <c r="ED23" s="88">
        <f t="shared" si="9"/>
        <v>2.9322297640638666E-3</v>
      </c>
      <c r="EE23" s="88">
        <f t="shared" si="10"/>
        <v>2.8172071734946149E-2</v>
      </c>
      <c r="EF23" s="88">
        <f t="shared" si="11"/>
        <v>7.9801981582403245E-3</v>
      </c>
      <c r="EG23" s="88">
        <f t="shared" si="12"/>
        <v>1.7127916085758428E-2</v>
      </c>
      <c r="EH23" s="88">
        <f t="shared" si="13"/>
        <v>5.1382828370914374E-2</v>
      </c>
      <c r="EI23" s="140"/>
      <c r="EJ23" s="316">
        <v>1997</v>
      </c>
      <c r="EK23" s="88">
        <f t="shared" si="14"/>
        <v>0.71156324807458571</v>
      </c>
      <c r="EL23" s="88">
        <f t="shared" si="15"/>
        <v>3.6261833878090032E-2</v>
      </c>
      <c r="EM23" s="88">
        <f t="shared" si="16"/>
        <v>0.36782519933017549</v>
      </c>
      <c r="EN23" s="88">
        <f t="shared" si="17"/>
        <v>9.1210017599265836E-2</v>
      </c>
      <c r="EO23" s="88">
        <f t="shared" si="18"/>
        <v>0.33470534420859777</v>
      </c>
      <c r="EP23" s="88">
        <f t="shared" si="19"/>
        <v>0.89667593341788909</v>
      </c>
      <c r="ER23" s="316">
        <v>1997</v>
      </c>
      <c r="ES23" s="317">
        <f t="shared" si="35"/>
        <v>126166</v>
      </c>
      <c r="ET23" s="61">
        <v>19366</v>
      </c>
      <c r="EU23" s="61">
        <v>87042</v>
      </c>
      <c r="EV23" s="61">
        <v>19758</v>
      </c>
      <c r="EW23" s="88">
        <f t="shared" si="36"/>
        <v>0.15349618756241776</v>
      </c>
      <c r="EX23" s="88">
        <f t="shared" si="36"/>
        <v>0.68990060713662948</v>
      </c>
      <c r="EY23" s="88">
        <f t="shared" si="36"/>
        <v>0.1566032053009527</v>
      </c>
      <c r="EZ23" s="88">
        <f t="shared" si="41"/>
        <v>-2.9107278383322666E-3</v>
      </c>
      <c r="FA23" s="88">
        <f t="shared" si="41"/>
        <v>-2.6008229784153514E-3</v>
      </c>
      <c r="FB23" s="88">
        <f t="shared" si="41"/>
        <v>5.5115508167475347E-3</v>
      </c>
      <c r="FD23" s="316">
        <v>1997</v>
      </c>
      <c r="FE23" s="159">
        <v>2.3731061224489789E-2</v>
      </c>
      <c r="FF23" s="43"/>
      <c r="FG23" s="159">
        <v>1.1000000000000001E-2</v>
      </c>
      <c r="FH23" s="55"/>
      <c r="FI23" s="319">
        <f t="shared" si="42"/>
        <v>1.2731061224489788E-2</v>
      </c>
      <c r="FK23" s="345">
        <f t="shared" si="43"/>
        <v>4.636711325274212E-3</v>
      </c>
      <c r="FL23" s="345">
        <f t="shared" si="44"/>
        <v>1.0124568630111186E-2</v>
      </c>
      <c r="FM23" s="345">
        <f t="shared" si="45"/>
        <v>1.360351609817366E-3</v>
      </c>
      <c r="FN23" s="38"/>
      <c r="FO23" s="316">
        <v>1997</v>
      </c>
      <c r="FP23" s="61">
        <v>255267.77226008195</v>
      </c>
      <c r="FQ23" s="61">
        <v>15564.097344000067</v>
      </c>
      <c r="FR23" s="61">
        <v>131622.87104308646</v>
      </c>
      <c r="FS23" s="61">
        <v>45080.024366319471</v>
      </c>
      <c r="FT23" s="61">
        <v>86974.314633486239</v>
      </c>
      <c r="FU23" s="61">
        <v>307638.1702635102</v>
      </c>
      <c r="FV23" s="46">
        <f t="shared" si="38"/>
        <v>842147.24991048442</v>
      </c>
    </row>
    <row r="24" spans="1:178" hidden="1" outlineLevel="1">
      <c r="A24" s="316">
        <v>1998</v>
      </c>
      <c r="B24" s="61">
        <v>338508.7</v>
      </c>
      <c r="C24" s="61">
        <v>21174.3</v>
      </c>
      <c r="D24" s="61">
        <v>166233.29999999999</v>
      </c>
      <c r="E24" s="61">
        <v>44510.400000000001</v>
      </c>
      <c r="F24" s="61">
        <v>183110.8</v>
      </c>
      <c r="G24" s="61">
        <v>474684.4</v>
      </c>
      <c r="I24" s="316">
        <v>1998</v>
      </c>
      <c r="J24" s="61">
        <v>338919.7</v>
      </c>
      <c r="K24" s="61">
        <v>21539.7</v>
      </c>
      <c r="L24" s="61">
        <v>168944.5</v>
      </c>
      <c r="M24" s="61">
        <v>45673.8</v>
      </c>
      <c r="N24" s="61">
        <v>191392.7</v>
      </c>
      <c r="O24" s="61">
        <v>493127.7</v>
      </c>
      <c r="Q24" s="316">
        <v>1998</v>
      </c>
      <c r="R24" s="75">
        <v>381653.1</v>
      </c>
      <c r="S24" s="75">
        <v>19631.400000000001</v>
      </c>
      <c r="T24" s="75">
        <v>195249.3</v>
      </c>
      <c r="U24" s="75">
        <v>48635.6</v>
      </c>
      <c r="V24" s="75">
        <v>181776</v>
      </c>
      <c r="W24" s="75">
        <v>494359</v>
      </c>
      <c r="Y24" s="316">
        <v>1998</v>
      </c>
      <c r="Z24" s="75">
        <v>400893.5</v>
      </c>
      <c r="AA24" s="75">
        <v>21083.8</v>
      </c>
      <c r="AB24" s="75">
        <v>206188.2</v>
      </c>
      <c r="AC24" s="75">
        <v>52490.5</v>
      </c>
      <c r="AD24" s="75">
        <v>196069.4</v>
      </c>
      <c r="AE24" s="75">
        <v>543475</v>
      </c>
      <c r="AG24" s="316">
        <v>1998</v>
      </c>
      <c r="AH24" s="48">
        <f t="shared" si="46"/>
        <v>0.95200620613704134</v>
      </c>
      <c r="AI24" s="48">
        <f t="shared" si="46"/>
        <v>0.93111298722241731</v>
      </c>
      <c r="AJ24" s="48">
        <f t="shared" si="46"/>
        <v>0.94694701248665047</v>
      </c>
      <c r="AK24" s="48">
        <f t="shared" si="46"/>
        <v>0.92656004419847393</v>
      </c>
      <c r="AL24" s="48">
        <f t="shared" si="46"/>
        <v>0.92710030223992124</v>
      </c>
      <c r="AM24" s="48">
        <f t="shared" si="46"/>
        <v>0.90962601775610652</v>
      </c>
      <c r="AO24" s="316">
        <v>1998</v>
      </c>
      <c r="AP24" s="62">
        <v>-1.5527172551965895E-2</v>
      </c>
      <c r="AS24" s="316">
        <v>1998</v>
      </c>
      <c r="AT24" s="308">
        <f t="shared" si="39"/>
        <v>-1.7833565651476202E-2</v>
      </c>
      <c r="AU24" s="308">
        <f t="shared" si="39"/>
        <v>-1.8604731873790081E-2</v>
      </c>
      <c r="AV24" s="308">
        <f t="shared" si="39"/>
        <v>-2.0071882981613887E-2</v>
      </c>
      <c r="AW24" s="308">
        <f t="shared" si="39"/>
        <v>-2.0369679723346468E-2</v>
      </c>
      <c r="AX24" s="308">
        <f t="shared" si="39"/>
        <v>-2.176804352095052E-2</v>
      </c>
      <c r="AY24" s="308">
        <f t="shared" si="39"/>
        <v>-1.9278547933447521E-2</v>
      </c>
      <c r="BA24" s="316">
        <v>1998</v>
      </c>
      <c r="BB24" s="61">
        <v>21493.599999999999</v>
      </c>
      <c r="BC24" s="61">
        <v>1363.4</v>
      </c>
      <c r="BD24" s="61">
        <v>11428.7</v>
      </c>
      <c r="BE24" s="61">
        <v>3600.8</v>
      </c>
      <c r="BF24" s="61">
        <v>9974.2999999999993</v>
      </c>
      <c r="BG24" s="61">
        <v>27357.3</v>
      </c>
      <c r="BI24" s="316">
        <v>1998</v>
      </c>
      <c r="BJ24" s="61">
        <v>21538.1</v>
      </c>
      <c r="BK24" s="61">
        <v>1393.1</v>
      </c>
      <c r="BL24" s="61">
        <v>11609.5</v>
      </c>
      <c r="BM24" s="61">
        <v>4227.2</v>
      </c>
      <c r="BN24" s="61">
        <v>10411.9</v>
      </c>
      <c r="BO24" s="61">
        <v>28528.1</v>
      </c>
      <c r="BQ24" s="316">
        <v>1998</v>
      </c>
      <c r="BR24" s="75">
        <v>25188.1</v>
      </c>
      <c r="BS24" s="75">
        <v>1367.7</v>
      </c>
      <c r="BT24" s="75">
        <v>15010.5</v>
      </c>
      <c r="BU24" s="75">
        <v>3870.5</v>
      </c>
      <c r="BV24" s="75">
        <v>9876.5</v>
      </c>
      <c r="BW24" s="75">
        <v>27454.400000000001</v>
      </c>
      <c r="BY24" s="316">
        <v>1998</v>
      </c>
      <c r="BZ24" s="75">
        <v>26324.5</v>
      </c>
      <c r="CA24" s="75">
        <v>1478.3</v>
      </c>
      <c r="CB24" s="75">
        <v>15854.3</v>
      </c>
      <c r="CC24" s="75">
        <v>4711.2</v>
      </c>
      <c r="CD24" s="75">
        <v>10652</v>
      </c>
      <c r="CE24" s="75">
        <v>30436.7</v>
      </c>
      <c r="CG24" s="316">
        <v>1998</v>
      </c>
      <c r="CH24" s="48">
        <f t="shared" si="47"/>
        <v>0.95683108890957091</v>
      </c>
      <c r="CI24" s="48">
        <f t="shared" si="47"/>
        <v>0.92518433335588179</v>
      </c>
      <c r="CJ24" s="48">
        <f t="shared" si="47"/>
        <v>0.94677784575793322</v>
      </c>
      <c r="CK24" s="48">
        <f t="shared" si="47"/>
        <v>0.82155289522839192</v>
      </c>
      <c r="CL24" s="48">
        <f t="shared" si="47"/>
        <v>0.92719677055951932</v>
      </c>
      <c r="CM24" s="48">
        <f t="shared" si="47"/>
        <v>0.90201631582924569</v>
      </c>
      <c r="CO24" s="316">
        <v>1998</v>
      </c>
      <c r="CP24" s="62">
        <v>-1.5527172551965895E-2</v>
      </c>
      <c r="CS24" s="316">
        <v>1998</v>
      </c>
      <c r="CT24" s="308">
        <f t="shared" si="40"/>
        <v>-1.8318921766914076E-2</v>
      </c>
      <c r="CU24" s="308">
        <f t="shared" si="40"/>
        <v>-1.6766706087217531E-2</v>
      </c>
      <c r="CV24" s="308">
        <f t="shared" si="40"/>
        <v>-2.0248653305418585E-2</v>
      </c>
      <c r="CW24" s="308">
        <f t="shared" si="40"/>
        <v>-1.8420813463403629E-2</v>
      </c>
      <c r="CX24" s="308">
        <f t="shared" si="40"/>
        <v>-1.9450922195562992E-2</v>
      </c>
      <c r="CY24" s="308">
        <f t="shared" si="40"/>
        <v>-1.6556791759356426E-2</v>
      </c>
      <c r="DA24" s="316">
        <v>1998</v>
      </c>
      <c r="DB24" s="46">
        <f t="shared" si="23"/>
        <v>23257.5</v>
      </c>
      <c r="DC24" s="46">
        <f t="shared" si="24"/>
        <v>1106.7000000000014</v>
      </c>
      <c r="DD24" s="46">
        <f t="shared" si="25"/>
        <v>15940.3</v>
      </c>
      <c r="DE24" s="46">
        <f t="shared" si="26"/>
        <v>4480.2999999999984</v>
      </c>
      <c r="DF24" s="46">
        <f t="shared" si="27"/>
        <v>5969.7000000000116</v>
      </c>
      <c r="DG24" s="46">
        <f t="shared" si="28"/>
        <v>10867.499999999989</v>
      </c>
      <c r="DI24" s="316">
        <v>1998</v>
      </c>
      <c r="DJ24" s="88">
        <f t="shared" si="29"/>
        <v>5.8461414712192378E-2</v>
      </c>
      <c r="DK24" s="88">
        <f t="shared" si="30"/>
        <v>5.3432276629233076E-2</v>
      </c>
      <c r="DL24" s="88">
        <f t="shared" si="31"/>
        <v>7.7277235834631752E-2</v>
      </c>
      <c r="DM24" s="88">
        <f t="shared" si="32"/>
        <v>8.5731616774716968E-2</v>
      </c>
      <c r="DN24" s="88">
        <f t="shared" si="33"/>
        <v>3.1191757438197305E-2</v>
      </c>
      <c r="DO24" s="88">
        <f t="shared" si="34"/>
        <v>2.0743232848347906E-2</v>
      </c>
      <c r="DQ24" s="316">
        <v>1998</v>
      </c>
      <c r="DR24" s="61">
        <v>536497.4</v>
      </c>
      <c r="DS24" s="43"/>
      <c r="DT24" s="61">
        <v>471206.6</v>
      </c>
      <c r="DU24" s="43"/>
      <c r="DV24" s="89">
        <v>-1.9</v>
      </c>
      <c r="DW24" s="46">
        <f t="shared" si="6"/>
        <v>546888.27726809378</v>
      </c>
      <c r="DX24" s="43"/>
      <c r="DY24" s="46">
        <f t="shared" si="7"/>
        <v>480332.92558613658</v>
      </c>
      <c r="DZ24" s="43"/>
      <c r="EB24" s="316">
        <v>1998</v>
      </c>
      <c r="EC24" s="88">
        <f t="shared" si="8"/>
        <v>4.694915576478096E-2</v>
      </c>
      <c r="ED24" s="88">
        <f t="shared" si="9"/>
        <v>2.549313379710694E-3</v>
      </c>
      <c r="EE24" s="88">
        <f t="shared" si="10"/>
        <v>2.7978700362760376E-2</v>
      </c>
      <c r="EF24" s="88">
        <f t="shared" si="11"/>
        <v>7.2143872458654973E-3</v>
      </c>
      <c r="EG24" s="88">
        <f t="shared" si="12"/>
        <v>1.8409222486446344E-2</v>
      </c>
      <c r="EH24" s="88">
        <f t="shared" si="13"/>
        <v>5.1173407364136343E-2</v>
      </c>
      <c r="EI24" s="140"/>
      <c r="EJ24" s="316">
        <v>1998</v>
      </c>
      <c r="EK24" s="88">
        <f t="shared" si="14"/>
        <v>0.69786301126529215</v>
      </c>
      <c r="EL24" s="88">
        <f t="shared" si="15"/>
        <v>3.589654563097603E-2</v>
      </c>
      <c r="EM24" s="88">
        <f t="shared" si="16"/>
        <v>0.35701862357580855</v>
      </c>
      <c r="EN24" s="88">
        <f t="shared" si="17"/>
        <v>8.8931509453727076E-2</v>
      </c>
      <c r="EO24" s="88">
        <f t="shared" si="18"/>
        <v>0.33238233027783548</v>
      </c>
      <c r="EP24" s="88">
        <f t="shared" si="19"/>
        <v>0.90394879639677661</v>
      </c>
      <c r="ER24" s="316">
        <v>1998</v>
      </c>
      <c r="ES24" s="317">
        <f t="shared" si="35"/>
        <v>126487</v>
      </c>
      <c r="ET24" s="61">
        <v>19059</v>
      </c>
      <c r="EU24" s="61">
        <v>86920</v>
      </c>
      <c r="EV24" s="61">
        <v>20508</v>
      </c>
      <c r="EW24" s="88">
        <f t="shared" si="36"/>
        <v>0.15067951647204852</v>
      </c>
      <c r="EX24" s="88">
        <f t="shared" si="36"/>
        <v>0.68718524433340977</v>
      </c>
      <c r="EY24" s="88">
        <f t="shared" si="36"/>
        <v>0.16213523919454173</v>
      </c>
      <c r="EZ24" s="88">
        <f t="shared" si="41"/>
        <v>-2.8166710903692327E-3</v>
      </c>
      <c r="FA24" s="88">
        <f t="shared" si="41"/>
        <v>-2.7153628032197119E-3</v>
      </c>
      <c r="FB24" s="88">
        <f t="shared" si="41"/>
        <v>5.5320338935890279E-3</v>
      </c>
      <c r="FD24" s="316">
        <v>1998</v>
      </c>
      <c r="FE24" s="159">
        <v>1.5285263157894748E-2</v>
      </c>
      <c r="FF24" s="43"/>
      <c r="FG24" s="159">
        <v>9.0000000000000011E-3</v>
      </c>
      <c r="FH24" s="55"/>
      <c r="FI24" s="319">
        <f t="shared" si="42"/>
        <v>6.2852631578947469E-3</v>
      </c>
      <c r="FK24" s="345">
        <f t="shared" si="43"/>
        <v>-4.6258199644364506E-3</v>
      </c>
      <c r="FL24" s="345">
        <f t="shared" si="44"/>
        <v>1.1951028978088918E-2</v>
      </c>
      <c r="FM24" s="345">
        <f t="shared" si="45"/>
        <v>3.6037823940389905E-3</v>
      </c>
      <c r="FN24" s="38"/>
      <c r="FO24" s="316">
        <v>1998</v>
      </c>
      <c r="FP24" s="61">
        <v>219038.39408450801</v>
      </c>
      <c r="FQ24" s="61">
        <v>13458.214968442178</v>
      </c>
      <c r="FR24" s="61">
        <v>118461.50946285276</v>
      </c>
      <c r="FS24" s="61">
        <v>41086.205086666465</v>
      </c>
      <c r="FT24" s="61">
        <v>84051.186621772213</v>
      </c>
      <c r="FU24" s="61">
        <v>316032.85761857359</v>
      </c>
      <c r="FV24" s="46">
        <f t="shared" si="38"/>
        <v>792128.36784281523</v>
      </c>
    </row>
    <row r="25" spans="1:178" hidden="1" outlineLevel="1">
      <c r="A25" s="316">
        <v>1999</v>
      </c>
      <c r="B25" s="61">
        <v>338387.5</v>
      </c>
      <c r="C25" s="61">
        <v>21310</v>
      </c>
      <c r="D25" s="61">
        <v>162497.60000000001</v>
      </c>
      <c r="E25" s="61">
        <v>43812.1</v>
      </c>
      <c r="F25" s="61">
        <v>183519.4</v>
      </c>
      <c r="G25" s="61">
        <v>484834.2</v>
      </c>
      <c r="I25" s="316">
        <v>1999</v>
      </c>
      <c r="J25" s="61">
        <v>341760.6</v>
      </c>
      <c r="K25" s="61">
        <v>21890.9</v>
      </c>
      <c r="L25" s="61">
        <v>167390.39999999999</v>
      </c>
      <c r="M25" s="61">
        <v>45581</v>
      </c>
      <c r="N25" s="61">
        <v>194460.2</v>
      </c>
      <c r="O25" s="61">
        <v>510149.4</v>
      </c>
      <c r="Q25" s="316">
        <v>1999</v>
      </c>
      <c r="R25" s="75">
        <v>380830.8</v>
      </c>
      <c r="S25" s="75">
        <v>19685.8</v>
      </c>
      <c r="T25" s="75">
        <v>192072.1</v>
      </c>
      <c r="U25" s="75">
        <v>48092.9</v>
      </c>
      <c r="V25" s="75">
        <v>182668.79999999999</v>
      </c>
      <c r="W25" s="75">
        <v>504783.2</v>
      </c>
      <c r="Y25" s="316">
        <v>1999</v>
      </c>
      <c r="Z25" s="75">
        <v>403933.2</v>
      </c>
      <c r="AA25" s="75">
        <v>21364.1</v>
      </c>
      <c r="AB25" s="75">
        <v>205659.5</v>
      </c>
      <c r="AC25" s="75">
        <v>52639.199999999997</v>
      </c>
      <c r="AD25" s="75">
        <v>199731.8</v>
      </c>
      <c r="AE25" s="75">
        <v>562159.5</v>
      </c>
      <c r="AG25" s="316">
        <v>1999</v>
      </c>
      <c r="AH25" s="48">
        <f t="shared" si="46"/>
        <v>0.94280638481808376</v>
      </c>
      <c r="AI25" s="48">
        <f t="shared" si="46"/>
        <v>0.92144298145018988</v>
      </c>
      <c r="AJ25" s="48">
        <f t="shared" si="46"/>
        <v>0.93393254384066871</v>
      </c>
      <c r="AK25" s="48">
        <f t="shared" si="46"/>
        <v>0.91363280596969565</v>
      </c>
      <c r="AL25" s="48">
        <f t="shared" si="46"/>
        <v>0.91457043895864354</v>
      </c>
      <c r="AM25" s="48">
        <f t="shared" si="46"/>
        <v>0.89793590609070917</v>
      </c>
      <c r="AO25" s="316">
        <v>1999</v>
      </c>
      <c r="AP25" s="62">
        <v>-1.3736962604935177E-2</v>
      </c>
      <c r="AS25" s="316">
        <v>1999</v>
      </c>
      <c r="AT25" s="308">
        <f t="shared" si="39"/>
        <v>-9.6636148584448023E-3</v>
      </c>
      <c r="AU25" s="308">
        <f t="shared" si="39"/>
        <v>-1.0385426800966213E-2</v>
      </c>
      <c r="AV25" s="308">
        <f t="shared" si="39"/>
        <v>-1.3743608115734163E-2</v>
      </c>
      <c r="AW25" s="308">
        <f t="shared" si="39"/>
        <v>-1.3951862385735647E-2</v>
      </c>
      <c r="AX25" s="308">
        <f t="shared" si="39"/>
        <v>-1.3515110771730843E-2</v>
      </c>
      <c r="AY25" s="308">
        <f t="shared" si="39"/>
        <v>-1.2851558153794795E-2</v>
      </c>
      <c r="BA25" s="316">
        <v>1999</v>
      </c>
      <c r="BB25" s="61">
        <v>21258.2</v>
      </c>
      <c r="BC25" s="61">
        <v>1283</v>
      </c>
      <c r="BD25" s="61">
        <v>10904.4</v>
      </c>
      <c r="BE25" s="61">
        <v>3384.8</v>
      </c>
      <c r="BF25" s="61">
        <v>6758.6</v>
      </c>
      <c r="BG25" s="61">
        <v>28594.1</v>
      </c>
      <c r="BI25" s="316">
        <v>1999</v>
      </c>
      <c r="BJ25" s="61">
        <v>21560.9</v>
      </c>
      <c r="BK25" s="61">
        <v>1329.9</v>
      </c>
      <c r="BL25" s="61">
        <v>11294.8</v>
      </c>
      <c r="BM25" s="61">
        <v>4043.2</v>
      </c>
      <c r="BN25" s="61">
        <v>7180.9</v>
      </c>
      <c r="BO25" s="61">
        <v>30406.5</v>
      </c>
      <c r="BQ25" s="316">
        <v>1999</v>
      </c>
      <c r="BR25" s="75">
        <v>24877</v>
      </c>
      <c r="BS25" s="75">
        <v>1277.2</v>
      </c>
      <c r="BT25" s="75">
        <v>14186</v>
      </c>
      <c r="BU25" s="75">
        <v>3890.6</v>
      </c>
      <c r="BV25" s="75">
        <v>6941.1</v>
      </c>
      <c r="BW25" s="75">
        <v>28399.4</v>
      </c>
      <c r="BY25" s="316">
        <v>1999</v>
      </c>
      <c r="BZ25" s="75">
        <v>26331.3</v>
      </c>
      <c r="CA25" s="75">
        <v>1401.4</v>
      </c>
      <c r="CB25" s="75">
        <v>15274.7</v>
      </c>
      <c r="CC25" s="75">
        <v>4823.6000000000004</v>
      </c>
      <c r="CD25" s="75">
        <v>7615.4</v>
      </c>
      <c r="CE25" s="75">
        <v>32113.8</v>
      </c>
      <c r="CG25" s="316">
        <v>1999</v>
      </c>
      <c r="CH25" s="48">
        <f t="shared" si="47"/>
        <v>0.94476915306118581</v>
      </c>
      <c r="CI25" s="48">
        <f t="shared" si="47"/>
        <v>0.91137433994576844</v>
      </c>
      <c r="CJ25" s="48">
        <f t="shared" si="47"/>
        <v>0.92872527774686242</v>
      </c>
      <c r="CK25" s="48">
        <f t="shared" si="47"/>
        <v>0.80657600132680973</v>
      </c>
      <c r="CL25" s="48">
        <f t="shared" si="47"/>
        <v>0.91145573443285988</v>
      </c>
      <c r="CM25" s="48">
        <f t="shared" si="47"/>
        <v>0.88433632893024194</v>
      </c>
      <c r="CO25" s="316">
        <v>1999</v>
      </c>
      <c r="CP25" s="62">
        <v>-1.3736962604935177E-2</v>
      </c>
      <c r="CS25" s="316">
        <v>1999</v>
      </c>
      <c r="CT25" s="308">
        <f t="shared" si="40"/>
        <v>-1.2606128697313923E-2</v>
      </c>
      <c r="CU25" s="308">
        <f t="shared" si="40"/>
        <v>-1.4926748013577962E-2</v>
      </c>
      <c r="CV25" s="308">
        <f t="shared" si="40"/>
        <v>-1.9067374772187451E-2</v>
      </c>
      <c r="CW25" s="308">
        <f t="shared" si="40"/>
        <v>-1.8229981281264407E-2</v>
      </c>
      <c r="CX25" s="308">
        <f t="shared" si="40"/>
        <v>-1.6977017852597198E-2</v>
      </c>
      <c r="CY25" s="308">
        <f t="shared" si="40"/>
        <v>-1.9600517849558075E-2</v>
      </c>
      <c r="DA25" s="316">
        <v>1999</v>
      </c>
      <c r="DB25" s="46">
        <f t="shared" si="23"/>
        <v>23291.599999999988</v>
      </c>
      <c r="DC25" s="46">
        <f t="shared" si="24"/>
        <v>1121.1000000000008</v>
      </c>
      <c r="DD25" s="46">
        <f t="shared" si="25"/>
        <v>15803.400000000012</v>
      </c>
      <c r="DE25" s="46">
        <f t="shared" si="26"/>
        <v>4674.9000000000033</v>
      </c>
      <c r="DF25" s="46">
        <f t="shared" si="27"/>
        <v>3953.0000000000055</v>
      </c>
      <c r="DG25" s="46">
        <f t="shared" si="28"/>
        <v>13429.3</v>
      </c>
      <c r="DI25" s="316">
        <v>1999</v>
      </c>
      <c r="DJ25" s="88">
        <f t="shared" si="29"/>
        <v>5.8099220865391897E-2</v>
      </c>
      <c r="DK25" s="88">
        <f t="shared" si="30"/>
        <v>5.3173526593877807E-2</v>
      </c>
      <c r="DL25" s="88">
        <f t="shared" si="31"/>
        <v>7.6645511236821562E-2</v>
      </c>
      <c r="DM25" s="88">
        <f t="shared" si="32"/>
        <v>8.906183023594752E-2</v>
      </c>
      <c r="DN25" s="88">
        <f t="shared" si="33"/>
        <v>2.0161228626190551E-2</v>
      </c>
      <c r="DO25" s="88">
        <f t="shared" si="34"/>
        <v>2.4710060260361561E-2</v>
      </c>
      <c r="DQ25" s="316">
        <v>1999</v>
      </c>
      <c r="DR25" s="61">
        <v>528069.9</v>
      </c>
      <c r="DS25" s="43"/>
      <c r="DT25" s="61">
        <v>469633.1</v>
      </c>
      <c r="DU25" s="43"/>
      <c r="DV25" s="89">
        <v>-3</v>
      </c>
      <c r="DW25" s="46">
        <f t="shared" si="6"/>
        <v>544401.95876288658</v>
      </c>
      <c r="DX25" s="43"/>
      <c r="DY25" s="46">
        <f t="shared" si="7"/>
        <v>484157.8350515464</v>
      </c>
      <c r="DZ25" s="43"/>
      <c r="EB25" s="316">
        <v>1999</v>
      </c>
      <c r="EC25" s="88">
        <f t="shared" si="8"/>
        <v>4.7109293674947199E-2</v>
      </c>
      <c r="ED25" s="88">
        <f t="shared" si="9"/>
        <v>2.4186192017382549E-3</v>
      </c>
      <c r="EE25" s="88">
        <f t="shared" si="10"/>
        <v>2.6863867832648668E-2</v>
      </c>
      <c r="EF25" s="88">
        <f t="shared" si="11"/>
        <v>7.3675852382421338E-3</v>
      </c>
      <c r="EG25" s="88">
        <f t="shared" si="12"/>
        <v>1.3144282603496241E-2</v>
      </c>
      <c r="EH25" s="88">
        <f t="shared" si="13"/>
        <v>5.3779622735550731E-2</v>
      </c>
      <c r="EI25" s="140"/>
      <c r="EJ25" s="316">
        <v>1999</v>
      </c>
      <c r="EK25" s="88">
        <f t="shared" si="14"/>
        <v>0.69953973138783332</v>
      </c>
      <c r="EL25" s="88">
        <f t="shared" si="15"/>
        <v>3.6160413611910087E-2</v>
      </c>
      <c r="EM25" s="88">
        <f t="shared" si="16"/>
        <v>0.35281302153370225</v>
      </c>
      <c r="EN25" s="88">
        <f t="shared" si="17"/>
        <v>8.8340791626260087E-2</v>
      </c>
      <c r="EO25" s="88">
        <f t="shared" si="18"/>
        <v>0.33554030631172121</v>
      </c>
      <c r="EP25" s="88">
        <f t="shared" si="19"/>
        <v>0.92722517227359491</v>
      </c>
      <c r="ER25" s="316">
        <v>1999</v>
      </c>
      <c r="ES25" s="317">
        <f t="shared" si="35"/>
        <v>126686</v>
      </c>
      <c r="ET25" s="61">
        <v>18742</v>
      </c>
      <c r="EU25" s="61">
        <v>86758</v>
      </c>
      <c r="EV25" s="61">
        <v>21186</v>
      </c>
      <c r="EW25" s="88">
        <f t="shared" si="36"/>
        <v>0.14794057749080403</v>
      </c>
      <c r="EX25" s="88">
        <f t="shared" si="36"/>
        <v>0.68482705271300692</v>
      </c>
      <c r="EY25" s="88">
        <f t="shared" si="36"/>
        <v>0.167232369796189</v>
      </c>
      <c r="EZ25" s="88">
        <f t="shared" si="41"/>
        <v>-2.7389389812444986E-3</v>
      </c>
      <c r="FA25" s="88">
        <f t="shared" si="41"/>
        <v>-2.3581916204028497E-3</v>
      </c>
      <c r="FB25" s="88">
        <f t="shared" si="41"/>
        <v>5.0971306016472651E-3</v>
      </c>
      <c r="FD25" s="316">
        <v>1999</v>
      </c>
      <c r="FE25" s="159">
        <v>1.7434979591836732E-2</v>
      </c>
      <c r="FF25" s="43"/>
      <c r="FG25" s="159">
        <v>8.0000000000000002E-3</v>
      </c>
      <c r="FH25" s="55"/>
      <c r="FI25" s="319">
        <f t="shared" si="42"/>
        <v>9.434979591836732E-3</v>
      </c>
      <c r="FK25" s="345">
        <f t="shared" si="43"/>
        <v>-6.357636274815448E-3</v>
      </c>
      <c r="FL25" s="345">
        <f t="shared" si="44"/>
        <v>4.0426859695847361E-3</v>
      </c>
      <c r="FM25" s="345">
        <f t="shared" si="45"/>
        <v>-1.9742104673980149E-3</v>
      </c>
      <c r="FN25" s="38"/>
      <c r="FO25" s="316">
        <v>1999</v>
      </c>
      <c r="FP25" s="61">
        <v>224087.45780971562</v>
      </c>
      <c r="FQ25" s="61">
        <v>12346.873871953054</v>
      </c>
      <c r="FR25" s="61">
        <v>106171.27402252714</v>
      </c>
      <c r="FS25" s="61">
        <v>39279.185919731259</v>
      </c>
      <c r="FT25" s="61">
        <v>76108.415206839811</v>
      </c>
      <c r="FU25" s="61">
        <v>321962.11012480356</v>
      </c>
      <c r="FV25" s="46">
        <f t="shared" si="38"/>
        <v>779955.31695557036</v>
      </c>
    </row>
    <row r="26" spans="1:178" hidden="1" outlineLevel="1">
      <c r="A26" s="316">
        <v>2000</v>
      </c>
      <c r="B26" s="61">
        <v>341085.8</v>
      </c>
      <c r="C26" s="61">
        <v>21494.7</v>
      </c>
      <c r="D26" s="61">
        <v>161614.5</v>
      </c>
      <c r="E26" s="61">
        <v>43573.2</v>
      </c>
      <c r="F26" s="61">
        <v>187043.5</v>
      </c>
      <c r="G26" s="61">
        <v>500109.9</v>
      </c>
      <c r="I26" s="316">
        <v>2000</v>
      </c>
      <c r="J26" s="61">
        <v>344601.2</v>
      </c>
      <c r="K26" s="61">
        <v>22043.8</v>
      </c>
      <c r="L26" s="61">
        <v>165995.29999999999</v>
      </c>
      <c r="M26" s="61">
        <v>45212.3</v>
      </c>
      <c r="N26" s="61">
        <v>197679.2</v>
      </c>
      <c r="O26" s="61">
        <v>525035.80000000005</v>
      </c>
      <c r="Q26" s="316">
        <v>2000</v>
      </c>
      <c r="R26" s="75">
        <v>383484.8</v>
      </c>
      <c r="S26" s="75">
        <v>19774.7</v>
      </c>
      <c r="T26" s="75">
        <v>192225</v>
      </c>
      <c r="U26" s="75">
        <v>47993.4</v>
      </c>
      <c r="V26" s="75">
        <v>186384.7</v>
      </c>
      <c r="W26" s="75">
        <v>520876.5</v>
      </c>
      <c r="Y26" s="316">
        <v>2000</v>
      </c>
      <c r="Z26" s="75">
        <v>407297.5</v>
      </c>
      <c r="AA26" s="75">
        <v>21427.5</v>
      </c>
      <c r="AB26" s="75">
        <v>205301.1</v>
      </c>
      <c r="AC26" s="75">
        <v>52396.3</v>
      </c>
      <c r="AD26" s="75">
        <v>203309.6</v>
      </c>
      <c r="AE26" s="75">
        <v>578866.30000000005</v>
      </c>
      <c r="AG26" s="316">
        <v>2000</v>
      </c>
      <c r="AH26" s="48">
        <f t="shared" si="46"/>
        <v>0.94153487315782691</v>
      </c>
      <c r="AI26" s="48">
        <f t="shared" si="46"/>
        <v>0.92286547660716367</v>
      </c>
      <c r="AJ26" s="48">
        <f t="shared" si="46"/>
        <v>0.93630769635428157</v>
      </c>
      <c r="AK26" s="48">
        <f t="shared" si="46"/>
        <v>0.91596925737122659</v>
      </c>
      <c r="AL26" s="48">
        <f t="shared" si="46"/>
        <v>0.91675307019442276</v>
      </c>
      <c r="AM26" s="48">
        <f t="shared" si="46"/>
        <v>0.8998217723159907</v>
      </c>
      <c r="AO26" s="316">
        <v>2000</v>
      </c>
      <c r="AP26" s="62">
        <v>8.5977130082959263E-5</v>
      </c>
      <c r="AS26" s="316">
        <v>2000</v>
      </c>
      <c r="AT26" s="308">
        <f t="shared" si="39"/>
        <v>-1.3486455763684901E-3</v>
      </c>
      <c r="AU26" s="308">
        <f t="shared" si="39"/>
        <v>1.5437690509454427E-3</v>
      </c>
      <c r="AV26" s="308">
        <f t="shared" si="39"/>
        <v>2.5431735185557081E-3</v>
      </c>
      <c r="AW26" s="308">
        <f t="shared" si="39"/>
        <v>2.557319949835879E-3</v>
      </c>
      <c r="AX26" s="308">
        <f t="shared" si="39"/>
        <v>2.386509712980045E-3</v>
      </c>
      <c r="AY26" s="308">
        <f t="shared" si="39"/>
        <v>2.1002236490261783E-3</v>
      </c>
      <c r="BA26" s="316">
        <v>2000</v>
      </c>
      <c r="BB26" s="61">
        <v>21276.1</v>
      </c>
      <c r="BC26" s="61">
        <v>1103.9000000000001</v>
      </c>
      <c r="BD26" s="61">
        <v>11092.9</v>
      </c>
      <c r="BE26" s="61">
        <v>2980.4</v>
      </c>
      <c r="BF26" s="61">
        <v>8728.4</v>
      </c>
      <c r="BG26" s="61">
        <v>25240.2</v>
      </c>
      <c r="BI26" s="316">
        <v>2000</v>
      </c>
      <c r="BJ26" s="61">
        <v>21572.799999999999</v>
      </c>
      <c r="BK26" s="61">
        <v>1141.3</v>
      </c>
      <c r="BL26" s="61">
        <v>11464</v>
      </c>
      <c r="BM26" s="61">
        <v>3551.8</v>
      </c>
      <c r="BN26" s="61">
        <v>9258.5</v>
      </c>
      <c r="BO26" s="61">
        <v>26737.3</v>
      </c>
      <c r="BQ26" s="316">
        <v>2000</v>
      </c>
      <c r="BR26" s="75">
        <v>25163.8</v>
      </c>
      <c r="BS26" s="75">
        <v>1090.9000000000001</v>
      </c>
      <c r="BT26" s="75">
        <v>14498.5</v>
      </c>
      <c r="BU26" s="75">
        <v>3413.8</v>
      </c>
      <c r="BV26" s="75">
        <v>8937.1</v>
      </c>
      <c r="BW26" s="75">
        <v>25016.1</v>
      </c>
      <c r="BY26" s="316">
        <v>2000</v>
      </c>
      <c r="BZ26" s="75">
        <v>26664.1</v>
      </c>
      <c r="CA26" s="75">
        <v>1194</v>
      </c>
      <c r="CB26" s="75">
        <v>15581.5</v>
      </c>
      <c r="CC26" s="75">
        <v>4216.7</v>
      </c>
      <c r="CD26" s="75">
        <v>9792.4</v>
      </c>
      <c r="CE26" s="75">
        <v>28184.5</v>
      </c>
      <c r="CG26" s="316">
        <v>2000</v>
      </c>
      <c r="CH26" s="48">
        <f t="shared" si="47"/>
        <v>0.94373333433342965</v>
      </c>
      <c r="CI26" s="48">
        <f t="shared" si="47"/>
        <v>0.91365159128978235</v>
      </c>
      <c r="CJ26" s="48">
        <f t="shared" si="47"/>
        <v>0.93049449667875361</v>
      </c>
      <c r="CK26" s="48">
        <f t="shared" si="47"/>
        <v>0.80959043802025288</v>
      </c>
      <c r="CL26" s="48">
        <f t="shared" si="47"/>
        <v>0.91265675421755654</v>
      </c>
      <c r="CM26" s="48">
        <f t="shared" si="47"/>
        <v>0.88758360091539668</v>
      </c>
      <c r="CO26" s="316">
        <v>2000</v>
      </c>
      <c r="CP26" s="62">
        <v>8.5977130082959263E-5</v>
      </c>
      <c r="CS26" s="316">
        <v>2000</v>
      </c>
      <c r="CT26" s="308">
        <f t="shared" si="40"/>
        <v>-1.0963722983545754E-3</v>
      </c>
      <c r="CU26" s="308">
        <f t="shared" si="40"/>
        <v>2.4987003080967352E-3</v>
      </c>
      <c r="CV26" s="308">
        <f t="shared" si="40"/>
        <v>1.9049970688678197E-3</v>
      </c>
      <c r="CW26" s="308">
        <f t="shared" si="40"/>
        <v>3.7373250487051646E-3</v>
      </c>
      <c r="CX26" s="308">
        <f t="shared" si="40"/>
        <v>1.3176940352939148E-3</v>
      </c>
      <c r="CY26" s="308">
        <f t="shared" si="40"/>
        <v>3.6719875446968864E-3</v>
      </c>
      <c r="DA26" s="316">
        <v>2000</v>
      </c>
      <c r="DB26" s="46">
        <f t="shared" si="23"/>
        <v>23299.80000000001</v>
      </c>
      <c r="DC26" s="46">
        <f t="shared" si="24"/>
        <v>1130.5999999999985</v>
      </c>
      <c r="DD26" s="46">
        <f t="shared" si="25"/>
        <v>15939.899999999994</v>
      </c>
      <c r="DE26" s="46">
        <f t="shared" si="26"/>
        <v>4459.599999999994</v>
      </c>
      <c r="DF26" s="46">
        <f t="shared" si="27"/>
        <v>6214.5999999999822</v>
      </c>
      <c r="DG26" s="46">
        <f t="shared" si="28"/>
        <v>11477.699999999953</v>
      </c>
      <c r="DI26" s="316">
        <v>2000</v>
      </c>
      <c r="DJ26" s="88">
        <f t="shared" si="29"/>
        <v>5.7682309847271802E-2</v>
      </c>
      <c r="DK26" s="88">
        <f t="shared" si="30"/>
        <v>5.2920553639048622E-2</v>
      </c>
      <c r="DL26" s="88">
        <f t="shared" si="31"/>
        <v>7.7506266425815457E-2</v>
      </c>
      <c r="DM26" s="88">
        <f t="shared" si="32"/>
        <v>8.4720132524810296E-2</v>
      </c>
      <c r="DN26" s="88">
        <f t="shared" si="33"/>
        <v>3.1114724846018422E-2</v>
      </c>
      <c r="DO26" s="88">
        <f t="shared" si="34"/>
        <v>2.0417159187027797E-2</v>
      </c>
      <c r="DQ26" s="316">
        <v>2000</v>
      </c>
      <c r="DR26" s="61">
        <v>535417.69999999995</v>
      </c>
      <c r="DS26" s="43"/>
      <c r="DT26" s="61">
        <v>482616.8</v>
      </c>
      <c r="DU26" s="43"/>
      <c r="DV26" s="89">
        <v>-1.2</v>
      </c>
      <c r="DW26" s="46">
        <f t="shared" si="6"/>
        <v>541920.74898785423</v>
      </c>
      <c r="DX26" s="43"/>
      <c r="DY26" s="46">
        <f t="shared" si="7"/>
        <v>488478.54251012148</v>
      </c>
      <c r="DZ26" s="43"/>
      <c r="EB26" s="316">
        <v>2000</v>
      </c>
      <c r="EC26" s="88">
        <f t="shared" si="8"/>
        <v>4.6998446259808001E-2</v>
      </c>
      <c r="ED26" s="88">
        <f t="shared" si="9"/>
        <v>2.0374746669749623E-3</v>
      </c>
      <c r="EE26" s="88">
        <f t="shared" si="10"/>
        <v>2.7078858244693818E-2</v>
      </c>
      <c r="EF26" s="88">
        <f t="shared" si="11"/>
        <v>6.3759565662472508E-3</v>
      </c>
      <c r="EG26" s="88">
        <f t="shared" si="12"/>
        <v>1.6691827707601001E-2</v>
      </c>
      <c r="EH26" s="88">
        <f t="shared" si="13"/>
        <v>4.6722586870026901E-2</v>
      </c>
      <c r="EI26" s="140"/>
      <c r="EJ26" s="316">
        <v>2000</v>
      </c>
      <c r="EK26" s="88">
        <f t="shared" si="14"/>
        <v>0.70764000218894518</v>
      </c>
      <c r="EL26" s="88">
        <f t="shared" si="15"/>
        <v>3.6490021902525822E-2</v>
      </c>
      <c r="EM26" s="88">
        <f t="shared" si="16"/>
        <v>0.35471053721234841</v>
      </c>
      <c r="EN26" s="88">
        <f t="shared" si="17"/>
        <v>8.8561657935477295E-2</v>
      </c>
      <c r="EO26" s="88">
        <f t="shared" si="18"/>
        <v>0.34393350014390639</v>
      </c>
      <c r="EP26" s="88">
        <f t="shared" si="19"/>
        <v>0.96116729424522207</v>
      </c>
      <c r="ER26" s="316">
        <v>2000</v>
      </c>
      <c r="ES26" s="317">
        <f t="shared" si="35"/>
        <v>126926</v>
      </c>
      <c r="ET26" s="318">
        <v>18505</v>
      </c>
      <c r="EU26" s="318">
        <v>86380</v>
      </c>
      <c r="EV26" s="318">
        <v>22041</v>
      </c>
      <c r="EW26" s="88">
        <f t="shared" si="36"/>
        <v>0.14579361202590485</v>
      </c>
      <c r="EX26" s="88">
        <f t="shared" si="36"/>
        <v>0.68055402360430484</v>
      </c>
      <c r="EY26" s="88">
        <f t="shared" si="36"/>
        <v>0.17365236436979029</v>
      </c>
      <c r="EZ26" s="88">
        <f t="shared" si="41"/>
        <v>-2.1469654648991754E-3</v>
      </c>
      <c r="FA26" s="88">
        <f t="shared" si="41"/>
        <v>-4.2730291087020866E-3</v>
      </c>
      <c r="FB26" s="88">
        <f t="shared" si="41"/>
        <v>6.4199945736012898E-3</v>
      </c>
      <c r="FD26" s="316">
        <v>2000</v>
      </c>
      <c r="FE26" s="159">
        <v>1.7461935483870965E-2</v>
      </c>
      <c r="FF26" s="43"/>
      <c r="FG26" s="159">
        <v>9.0000000000000011E-3</v>
      </c>
      <c r="FH26" s="55"/>
      <c r="FI26" s="319">
        <f t="shared" si="42"/>
        <v>8.4619354838709644E-3</v>
      </c>
      <c r="FK26" s="345">
        <f t="shared" si="43"/>
        <v>-1.221448286234017E-2</v>
      </c>
      <c r="FL26" s="345">
        <f t="shared" si="44"/>
        <v>3.0615386387319865E-3</v>
      </c>
      <c r="FM26" s="345">
        <f t="shared" si="45"/>
        <v>2.4523307746140491E-3</v>
      </c>
      <c r="FN26" s="38"/>
      <c r="FO26" s="316">
        <v>2000</v>
      </c>
      <c r="FP26" s="61">
        <v>222438.65014101149</v>
      </c>
      <c r="FQ26" s="61">
        <v>10892.9707798491</v>
      </c>
      <c r="FR26" s="61">
        <v>105896.07585302283</v>
      </c>
      <c r="FS26" s="61">
        <v>34486.799161285642</v>
      </c>
      <c r="FT26" s="61">
        <v>73298.295024147359</v>
      </c>
      <c r="FU26" s="61">
        <v>288365.18616223783</v>
      </c>
      <c r="FV26" s="46">
        <f t="shared" si="38"/>
        <v>735377.97712155432</v>
      </c>
    </row>
    <row r="27" spans="1:178" hidden="1" outlineLevel="1">
      <c r="A27" s="316">
        <v>2001</v>
      </c>
      <c r="B27" s="61">
        <v>337903</v>
      </c>
      <c r="C27" s="61">
        <v>21243.3</v>
      </c>
      <c r="D27" s="61">
        <v>156625.79999999999</v>
      </c>
      <c r="E27" s="61">
        <v>42297.7</v>
      </c>
      <c r="F27" s="61">
        <v>185914.4</v>
      </c>
      <c r="G27" s="61">
        <v>504881</v>
      </c>
      <c r="I27" s="316">
        <v>2001</v>
      </c>
      <c r="J27" s="61">
        <v>346483.6</v>
      </c>
      <c r="K27" s="61">
        <v>22129.4</v>
      </c>
      <c r="L27" s="61">
        <v>163649.1</v>
      </c>
      <c r="M27" s="61">
        <v>44619.3</v>
      </c>
      <c r="N27" s="61">
        <v>199616.9</v>
      </c>
      <c r="O27" s="61">
        <v>539312.19999999995</v>
      </c>
      <c r="Q27" s="316">
        <v>2001</v>
      </c>
      <c r="R27" s="75">
        <v>380328.1</v>
      </c>
      <c r="S27" s="75">
        <v>19504.599999999999</v>
      </c>
      <c r="T27" s="75">
        <v>188057.60000000001</v>
      </c>
      <c r="U27" s="75">
        <v>46802.2</v>
      </c>
      <c r="V27" s="75">
        <v>185254.8</v>
      </c>
      <c r="W27" s="75">
        <v>526198.4</v>
      </c>
      <c r="Y27" s="316">
        <v>2001</v>
      </c>
      <c r="Z27" s="75">
        <v>409765.9</v>
      </c>
      <c r="AA27" s="75">
        <v>21446.7</v>
      </c>
      <c r="AB27" s="75">
        <v>204072.1</v>
      </c>
      <c r="AC27" s="75">
        <v>51887.7</v>
      </c>
      <c r="AD27" s="75">
        <v>205375</v>
      </c>
      <c r="AE27" s="75">
        <v>595141.80000000005</v>
      </c>
      <c r="AG27" s="316">
        <v>2001</v>
      </c>
      <c r="AH27" s="48">
        <f t="shared" si="46"/>
        <v>0.92815946861366438</v>
      </c>
      <c r="AI27" s="48">
        <f t="shared" si="46"/>
        <v>0.90944527596320168</v>
      </c>
      <c r="AJ27" s="48">
        <f t="shared" si="46"/>
        <v>0.92152528444603643</v>
      </c>
      <c r="AK27" s="48">
        <f t="shared" si="46"/>
        <v>0.90199025973400249</v>
      </c>
      <c r="AL27" s="48">
        <f t="shared" si="46"/>
        <v>0.90203189287888008</v>
      </c>
      <c r="AM27" s="48">
        <f t="shared" si="46"/>
        <v>0.88415634727723713</v>
      </c>
      <c r="AO27" s="316">
        <v>2001</v>
      </c>
      <c r="AP27" s="62">
        <v>-2.3125859697385676E-2</v>
      </c>
      <c r="AS27" s="316">
        <v>2001</v>
      </c>
      <c r="AT27" s="308">
        <f t="shared" si="39"/>
        <v>-1.4205957660710533E-2</v>
      </c>
      <c r="AU27" s="308">
        <f t="shared" si="39"/>
        <v>-1.4541881762984765E-2</v>
      </c>
      <c r="AV27" s="308">
        <f t="shared" si="39"/>
        <v>-1.5787985045731978E-2</v>
      </c>
      <c r="AW27" s="308">
        <f t="shared" si="39"/>
        <v>-1.5261426652399823E-2</v>
      </c>
      <c r="AX27" s="308">
        <f t="shared" si="39"/>
        <v>-1.6057952565591838E-2</v>
      </c>
      <c r="AY27" s="308">
        <f t="shared" si="39"/>
        <v>-1.7409475432488608E-2</v>
      </c>
      <c r="BA27" s="316">
        <v>2001</v>
      </c>
      <c r="BB27" s="61">
        <v>20112.099999999999</v>
      </c>
      <c r="BC27" s="61">
        <v>1028.0999999999999</v>
      </c>
      <c r="BD27" s="61">
        <v>9928.1</v>
      </c>
      <c r="BE27" s="61">
        <v>2708.5</v>
      </c>
      <c r="BF27" s="61">
        <v>7565.2</v>
      </c>
      <c r="BG27" s="61">
        <v>24637.3</v>
      </c>
      <c r="BI27" s="316">
        <v>2001</v>
      </c>
      <c r="BJ27" s="61">
        <v>20615.599999999999</v>
      </c>
      <c r="BK27" s="61">
        <v>1075.2</v>
      </c>
      <c r="BL27" s="61">
        <v>10396.799999999999</v>
      </c>
      <c r="BM27" s="61">
        <v>3263.5</v>
      </c>
      <c r="BN27" s="61">
        <v>8100.8</v>
      </c>
      <c r="BO27" s="61">
        <v>26412.7</v>
      </c>
      <c r="BQ27" s="316">
        <v>2001</v>
      </c>
      <c r="BR27" s="75">
        <v>24082.799999999999</v>
      </c>
      <c r="BS27" s="75">
        <v>1039.4000000000001</v>
      </c>
      <c r="BT27" s="75">
        <v>13524.4</v>
      </c>
      <c r="BU27" s="75">
        <v>3123.2</v>
      </c>
      <c r="BV27" s="75">
        <v>7608.2</v>
      </c>
      <c r="BW27" s="75">
        <v>24589.200000000001</v>
      </c>
      <c r="BY27" s="316">
        <v>2001</v>
      </c>
      <c r="BZ27" s="75">
        <v>25798.400000000001</v>
      </c>
      <c r="CA27" s="75">
        <v>1150</v>
      </c>
      <c r="CB27" s="75">
        <v>14711.8</v>
      </c>
      <c r="CC27" s="75">
        <v>3902.6</v>
      </c>
      <c r="CD27" s="75">
        <v>8416.9</v>
      </c>
      <c r="CE27" s="75">
        <v>28035.5</v>
      </c>
      <c r="CG27" s="316">
        <v>2001</v>
      </c>
      <c r="CH27" s="48">
        <f t="shared" si="47"/>
        <v>0.93349975192259982</v>
      </c>
      <c r="CI27" s="48">
        <f t="shared" si="47"/>
        <v>0.90382608695652178</v>
      </c>
      <c r="CJ27" s="48">
        <f t="shared" si="47"/>
        <v>0.91928927799453497</v>
      </c>
      <c r="CK27" s="48">
        <f t="shared" si="47"/>
        <v>0.80028698816173827</v>
      </c>
      <c r="CL27" s="48">
        <f t="shared" si="47"/>
        <v>0.90391949530112037</v>
      </c>
      <c r="CM27" s="48">
        <f t="shared" si="47"/>
        <v>0.87707371011752955</v>
      </c>
      <c r="CO27" s="316">
        <v>2001</v>
      </c>
      <c r="CP27" s="62">
        <v>-2.3125859697385676E-2</v>
      </c>
      <c r="CS27" s="316">
        <v>2001</v>
      </c>
      <c r="CT27" s="308">
        <f t="shared" si="40"/>
        <v>-1.0843722520470167E-2</v>
      </c>
      <c r="CU27" s="308">
        <f t="shared" si="40"/>
        <v>-1.0754104110287988E-2</v>
      </c>
      <c r="CV27" s="308">
        <f t="shared" si="40"/>
        <v>-1.2042219190133707E-2</v>
      </c>
      <c r="CW27" s="308">
        <f t="shared" si="40"/>
        <v>-1.1491551062862038E-2</v>
      </c>
      <c r="CX27" s="308">
        <f t="shared" si="40"/>
        <v>-9.5734336880318738E-3</v>
      </c>
      <c r="CY27" s="308">
        <f t="shared" si="40"/>
        <v>-1.1841015073991823E-2</v>
      </c>
      <c r="DA27" s="316">
        <v>2001</v>
      </c>
      <c r="DB27" s="46">
        <f t="shared" si="23"/>
        <v>23329.999999999978</v>
      </c>
      <c r="DC27" s="46">
        <f t="shared" si="24"/>
        <v>1130.7999999999993</v>
      </c>
      <c r="DD27" s="46">
        <f t="shared" si="25"/>
        <v>15940.8</v>
      </c>
      <c r="DE27" s="46">
        <f t="shared" si="26"/>
        <v>4411.2000000000062</v>
      </c>
      <c r="DF27" s="46">
        <f t="shared" si="27"/>
        <v>6351.5000000000055</v>
      </c>
      <c r="DG27" s="46">
        <f t="shared" si="28"/>
        <v>11760</v>
      </c>
      <c r="DI27" s="316">
        <v>2001</v>
      </c>
      <c r="DJ27" s="88">
        <f t="shared" si="29"/>
        <v>5.7279998035833703E-2</v>
      </c>
      <c r="DK27" s="88">
        <f t="shared" si="30"/>
        <v>5.277330533193323E-2</v>
      </c>
      <c r="DL27" s="88">
        <f t="shared" si="31"/>
        <v>7.7645955136139061E-2</v>
      </c>
      <c r="DM27" s="88">
        <f t="shared" si="32"/>
        <v>8.4189150760645426E-2</v>
      </c>
      <c r="DN27" s="88">
        <f t="shared" si="33"/>
        <v>3.1240531681730747E-2</v>
      </c>
      <c r="DO27" s="88">
        <f t="shared" si="34"/>
        <v>2.0315572006869287E-2</v>
      </c>
      <c r="DQ27" s="316">
        <v>2001</v>
      </c>
      <c r="DR27" s="61">
        <v>531653.9</v>
      </c>
      <c r="DS27" s="43"/>
      <c r="DT27" s="61">
        <v>484480.2</v>
      </c>
      <c r="DU27" s="43"/>
      <c r="DV27" s="89">
        <v>-1.7</v>
      </c>
      <c r="DW27" s="46">
        <f t="shared" si="6"/>
        <v>540848.32146490342</v>
      </c>
      <c r="DX27" s="43"/>
      <c r="DY27" s="46">
        <f t="shared" si="7"/>
        <v>492858.7995930824</v>
      </c>
      <c r="DZ27" s="43"/>
      <c r="EB27" s="316">
        <v>2001</v>
      </c>
      <c r="EC27" s="88">
        <f t="shared" si="8"/>
        <v>4.5297890225201018E-2</v>
      </c>
      <c r="ED27" s="88">
        <f t="shared" si="9"/>
        <v>1.9550312712838182E-3</v>
      </c>
      <c r="EE27" s="88">
        <f t="shared" si="10"/>
        <v>2.5438353786175552E-2</v>
      </c>
      <c r="EF27" s="88">
        <f t="shared" si="11"/>
        <v>5.8744984283948627E-3</v>
      </c>
      <c r="EG27" s="88">
        <f t="shared" si="12"/>
        <v>1.4310437673832542E-2</v>
      </c>
      <c r="EH27" s="88">
        <f t="shared" si="13"/>
        <v>4.6250389586157459E-2</v>
      </c>
      <c r="EI27" s="140"/>
      <c r="EJ27" s="316">
        <v>2001</v>
      </c>
      <c r="EK27" s="88">
        <f t="shared" si="14"/>
        <v>0.70320658289161408</v>
      </c>
      <c r="EL27" s="88">
        <f t="shared" si="15"/>
        <v>3.6062975932274734E-2</v>
      </c>
      <c r="EM27" s="88">
        <f t="shared" si="16"/>
        <v>0.3477085765758513</v>
      </c>
      <c r="EN27" s="88">
        <f t="shared" si="17"/>
        <v>8.6534797544041323E-2</v>
      </c>
      <c r="EO27" s="88">
        <f t="shared" si="18"/>
        <v>0.34252634730978171</v>
      </c>
      <c r="EP27" s="88">
        <f t="shared" si="19"/>
        <v>0.97291306844546788</v>
      </c>
      <c r="ER27" s="316">
        <v>2001</v>
      </c>
      <c r="ES27" s="317">
        <f t="shared" si="35"/>
        <v>127291</v>
      </c>
      <c r="ET27" s="318">
        <v>18283</v>
      </c>
      <c r="EU27" s="318">
        <v>86139</v>
      </c>
      <c r="EV27" s="318">
        <v>22869</v>
      </c>
      <c r="EW27" s="88">
        <f t="shared" si="36"/>
        <v>0.14363152147441688</v>
      </c>
      <c r="EX27" s="88">
        <f t="shared" si="36"/>
        <v>0.67670927245445478</v>
      </c>
      <c r="EY27" s="88">
        <f t="shared" si="36"/>
        <v>0.17965920607112837</v>
      </c>
      <c r="EZ27" s="88">
        <f t="shared" si="41"/>
        <v>-2.1620905514879718E-3</v>
      </c>
      <c r="FA27" s="88">
        <f t="shared" si="41"/>
        <v>-3.8447511498500564E-3</v>
      </c>
      <c r="FB27" s="88">
        <f t="shared" si="41"/>
        <v>6.0068417013380837E-3</v>
      </c>
      <c r="FD27" s="316">
        <v>2001</v>
      </c>
      <c r="FE27" s="159">
        <v>1.3287439024390255E-2</v>
      </c>
      <c r="FF27" s="43"/>
      <c r="FG27" s="159">
        <v>9.0000000000000011E-3</v>
      </c>
      <c r="FH27" s="55"/>
      <c r="FI27" s="319">
        <f t="shared" si="42"/>
        <v>4.2874390243902542E-3</v>
      </c>
      <c r="FK27" s="345">
        <f t="shared" si="43"/>
        <v>-1.3216319091094997E-2</v>
      </c>
      <c r="FL27" s="345">
        <f t="shared" si="44"/>
        <v>2.5989702984959839E-3</v>
      </c>
      <c r="FM27" s="345">
        <f t="shared" si="45"/>
        <v>5.974747119530683E-4</v>
      </c>
      <c r="FN27" s="38"/>
      <c r="FO27" s="316">
        <v>2001</v>
      </c>
      <c r="FP27" s="61">
        <v>211600.13096553594</v>
      </c>
      <c r="FQ27" s="61">
        <v>10655.395056802863</v>
      </c>
      <c r="FR27" s="61">
        <v>98030.729515460524</v>
      </c>
      <c r="FS27" s="61">
        <v>31315.076687863988</v>
      </c>
      <c r="FT27" s="61">
        <v>71034.623706564613</v>
      </c>
      <c r="FU27" s="61">
        <v>289550.86796045094</v>
      </c>
      <c r="FV27" s="46">
        <f t="shared" si="38"/>
        <v>712186.82389267883</v>
      </c>
    </row>
    <row r="28" spans="1:178" hidden="1" outlineLevel="1">
      <c r="A28" s="316">
        <v>2002</v>
      </c>
      <c r="B28" s="61">
        <v>335870.4</v>
      </c>
      <c r="C28" s="61">
        <v>21063.7</v>
      </c>
      <c r="D28" s="61">
        <v>152422</v>
      </c>
      <c r="E28" s="61">
        <v>41358.300000000003</v>
      </c>
      <c r="F28" s="61">
        <v>184982.5</v>
      </c>
      <c r="G28" s="61">
        <v>511975.7</v>
      </c>
      <c r="I28" s="316">
        <v>2002</v>
      </c>
      <c r="J28" s="61">
        <v>347765.2</v>
      </c>
      <c r="K28" s="61">
        <v>22136.6</v>
      </c>
      <c r="L28" s="61">
        <v>160561.79999999999</v>
      </c>
      <c r="M28" s="61">
        <v>43996.4</v>
      </c>
      <c r="N28" s="61">
        <v>200318.3</v>
      </c>
      <c r="O28" s="61">
        <v>551853.9</v>
      </c>
      <c r="Q28" s="316">
        <v>2002</v>
      </c>
      <c r="R28" s="75">
        <v>378123</v>
      </c>
      <c r="S28" s="75">
        <v>19257.099999999999</v>
      </c>
      <c r="T28" s="75">
        <v>184406.39999999999</v>
      </c>
      <c r="U28" s="75">
        <v>45936.3</v>
      </c>
      <c r="V28" s="75">
        <v>184519.5</v>
      </c>
      <c r="W28" s="75">
        <v>533665</v>
      </c>
      <c r="Y28" s="316">
        <v>2002</v>
      </c>
      <c r="Z28" s="75">
        <v>411582.4</v>
      </c>
      <c r="AA28" s="75">
        <v>21368</v>
      </c>
      <c r="AB28" s="75">
        <v>201892</v>
      </c>
      <c r="AC28" s="75">
        <v>51390</v>
      </c>
      <c r="AD28" s="75">
        <v>206334.9</v>
      </c>
      <c r="AE28" s="75">
        <v>609422.9</v>
      </c>
      <c r="AG28" s="316">
        <v>2002</v>
      </c>
      <c r="AH28" s="48">
        <f t="shared" si="46"/>
        <v>0.91870546456796987</v>
      </c>
      <c r="AI28" s="48">
        <f t="shared" si="46"/>
        <v>0.90121209284912007</v>
      </c>
      <c r="AJ28" s="48">
        <f t="shared" si="46"/>
        <v>0.91339131813048557</v>
      </c>
      <c r="AK28" s="48">
        <f t="shared" si="46"/>
        <v>0.89387624051371872</v>
      </c>
      <c r="AL28" s="48">
        <f t="shared" si="46"/>
        <v>0.89427188517308509</v>
      </c>
      <c r="AM28" s="48">
        <f t="shared" si="46"/>
        <v>0.87568911506279135</v>
      </c>
      <c r="AO28" s="316">
        <v>2002</v>
      </c>
      <c r="AP28" s="62">
        <v>-2.0417143360028978E-2</v>
      </c>
      <c r="AS28" s="316">
        <v>2002</v>
      </c>
      <c r="AT28" s="308">
        <f t="shared" si="39"/>
        <v>-1.0185754027608462E-2</v>
      </c>
      <c r="AU28" s="308">
        <f t="shared" si="39"/>
        <v>-9.0529725445676057E-3</v>
      </c>
      <c r="AV28" s="308">
        <f t="shared" si="39"/>
        <v>-8.8266339001652483E-3</v>
      </c>
      <c r="AW28" s="308">
        <f t="shared" si="39"/>
        <v>-8.9956838587997856E-3</v>
      </c>
      <c r="AX28" s="308">
        <f t="shared" si="39"/>
        <v>-8.6028085781185704E-3</v>
      </c>
      <c r="AY28" s="308">
        <f t="shared" si="39"/>
        <v>-9.5766232301793819E-3</v>
      </c>
      <c r="BA28" s="316">
        <v>2002</v>
      </c>
      <c r="BB28" s="61">
        <v>19249.900000000001</v>
      </c>
      <c r="BC28" s="61">
        <v>940.5</v>
      </c>
      <c r="BD28" s="61">
        <v>8945.1</v>
      </c>
      <c r="BE28" s="61">
        <v>2604.6</v>
      </c>
      <c r="BF28" s="61">
        <v>6371.4</v>
      </c>
      <c r="BG28" s="61">
        <v>22963.1</v>
      </c>
      <c r="BI28" s="316">
        <v>2002</v>
      </c>
      <c r="BJ28" s="61">
        <v>19986.3</v>
      </c>
      <c r="BK28" s="61">
        <v>995.3</v>
      </c>
      <c r="BL28" s="61">
        <v>9468</v>
      </c>
      <c r="BM28" s="61">
        <v>3176.7</v>
      </c>
      <c r="BN28" s="61">
        <v>6902.8</v>
      </c>
      <c r="BO28" s="61">
        <v>24954.799999999999</v>
      </c>
      <c r="BQ28" s="316">
        <v>2002</v>
      </c>
      <c r="BR28" s="75">
        <v>23184.6</v>
      </c>
      <c r="BS28" s="75">
        <v>940.8</v>
      </c>
      <c r="BT28" s="75">
        <v>12459.8</v>
      </c>
      <c r="BU28" s="75">
        <v>3065.5</v>
      </c>
      <c r="BV28" s="75">
        <v>6567</v>
      </c>
      <c r="BW28" s="75">
        <v>22757.7</v>
      </c>
      <c r="BY28" s="316">
        <v>2002</v>
      </c>
      <c r="BZ28" s="75">
        <v>25157.1</v>
      </c>
      <c r="CA28" s="75">
        <v>1053</v>
      </c>
      <c r="CB28" s="75">
        <v>13697</v>
      </c>
      <c r="CC28" s="75">
        <v>3875.6</v>
      </c>
      <c r="CD28" s="75">
        <v>7351.6</v>
      </c>
      <c r="CE28" s="75">
        <v>26311.7</v>
      </c>
      <c r="CG28" s="316">
        <v>2002</v>
      </c>
      <c r="CH28" s="48">
        <f t="shared" si="47"/>
        <v>0.92159271140155263</v>
      </c>
      <c r="CI28" s="48">
        <f t="shared" si="47"/>
        <v>0.89344729344729346</v>
      </c>
      <c r="CJ28" s="48">
        <f t="shared" si="47"/>
        <v>0.90967365116448851</v>
      </c>
      <c r="CK28" s="48">
        <f t="shared" si="47"/>
        <v>0.79097430075343178</v>
      </c>
      <c r="CL28" s="48">
        <f t="shared" si="47"/>
        <v>0.89327493334784258</v>
      </c>
      <c r="CM28" s="48">
        <f t="shared" si="47"/>
        <v>0.86492700965730074</v>
      </c>
      <c r="CO28" s="316">
        <v>2002</v>
      </c>
      <c r="CP28" s="62">
        <v>-2.0417143360028978E-2</v>
      </c>
      <c r="CS28" s="316">
        <v>2002</v>
      </c>
      <c r="CT28" s="308">
        <f t="shared" si="40"/>
        <v>-1.2755269079101406E-2</v>
      </c>
      <c r="CU28" s="308">
        <f t="shared" si="40"/>
        <v>-1.148317542391053E-2</v>
      </c>
      <c r="CV28" s="308">
        <f t="shared" si="40"/>
        <v>-1.0459848776897873E-2</v>
      </c>
      <c r="CW28" s="308">
        <f t="shared" si="40"/>
        <v>-1.1636684771918815E-2</v>
      </c>
      <c r="CX28" s="308">
        <f t="shared" si="40"/>
        <v>-1.1776006611885048E-2</v>
      </c>
      <c r="CY28" s="308">
        <f t="shared" si="40"/>
        <v>-1.3849121596178238E-2</v>
      </c>
      <c r="DA28" s="316">
        <v>2002</v>
      </c>
      <c r="DB28" s="46">
        <f t="shared" si="23"/>
        <v>23340.6</v>
      </c>
      <c r="DC28" s="46">
        <f t="shared" si="24"/>
        <v>1131.7000000000007</v>
      </c>
      <c r="DD28" s="46">
        <f t="shared" si="25"/>
        <v>15877.100000000006</v>
      </c>
      <c r="DE28" s="46">
        <f t="shared" si="26"/>
        <v>4373.2999999999975</v>
      </c>
      <c r="DF28" s="46">
        <f t="shared" si="27"/>
        <v>6391.7000000000062</v>
      </c>
      <c r="DG28" s="46">
        <f t="shared" si="28"/>
        <v>12030.600000000024</v>
      </c>
      <c r="DI28" s="316">
        <v>2002</v>
      </c>
      <c r="DJ28" s="88">
        <f t="shared" si="29"/>
        <v>5.696081591952868E-2</v>
      </c>
      <c r="DK28" s="88">
        <f t="shared" si="30"/>
        <v>5.276802491758642E-2</v>
      </c>
      <c r="DL28" s="88">
        <f t="shared" si="31"/>
        <v>7.7801424104519942E-2</v>
      </c>
      <c r="DM28" s="88">
        <f t="shared" si="32"/>
        <v>8.4283943979016174E-2</v>
      </c>
      <c r="DN28" s="88">
        <f t="shared" si="33"/>
        <v>3.1122093730979943E-2</v>
      </c>
      <c r="DO28" s="88">
        <f t="shared" si="34"/>
        <v>2.0214678249788575E-2</v>
      </c>
      <c r="DQ28" s="316">
        <v>2002</v>
      </c>
      <c r="DR28" s="61">
        <v>524478.69999999995</v>
      </c>
      <c r="DS28" s="61">
        <v>523.46600000000001</v>
      </c>
      <c r="DT28" s="61">
        <v>484683.5</v>
      </c>
      <c r="DU28" s="61">
        <v>486.54559999999998</v>
      </c>
      <c r="DV28" s="89">
        <v>-2.7</v>
      </c>
      <c r="DW28" s="46">
        <f t="shared" si="6"/>
        <v>539032.57965056528</v>
      </c>
      <c r="DX28" s="61">
        <v>537.43942505133475</v>
      </c>
      <c r="DY28" s="46">
        <f t="shared" si="7"/>
        <v>498133.09352517989</v>
      </c>
      <c r="DZ28" s="61">
        <v>499.53347022587269</v>
      </c>
      <c r="EB28" s="316">
        <v>2002</v>
      </c>
      <c r="EC28" s="88">
        <f t="shared" si="8"/>
        <v>4.4205036353239892E-2</v>
      </c>
      <c r="ED28" s="88">
        <f t="shared" si="9"/>
        <v>1.7937811392531289E-3</v>
      </c>
      <c r="EE28" s="88">
        <f t="shared" si="10"/>
        <v>2.3756541495393427E-2</v>
      </c>
      <c r="EF28" s="88">
        <f t="shared" si="11"/>
        <v>5.844851278040462E-3</v>
      </c>
      <c r="EG28" s="88">
        <f t="shared" si="12"/>
        <v>1.2521004189493302E-2</v>
      </c>
      <c r="EH28" s="88">
        <f t="shared" si="13"/>
        <v>4.3391085281442324E-2</v>
      </c>
      <c r="EI28" s="140"/>
      <c r="EJ28" s="316">
        <v>2002</v>
      </c>
      <c r="EK28" s="88">
        <f t="shared" si="14"/>
        <v>0.70148450070517632</v>
      </c>
      <c r="EL28" s="88">
        <f t="shared" si="15"/>
        <v>3.5725298853890537E-2</v>
      </c>
      <c r="EM28" s="88">
        <f t="shared" si="16"/>
        <v>0.34210622318885398</v>
      </c>
      <c r="EN28" s="88">
        <f t="shared" si="17"/>
        <v>8.5219895297940607E-2</v>
      </c>
      <c r="EO28" s="88">
        <f t="shared" si="18"/>
        <v>0.34231604353046174</v>
      </c>
      <c r="EP28" s="88">
        <f t="shared" si="19"/>
        <v>0.99004219809117122</v>
      </c>
      <c r="ER28" s="316">
        <v>2002</v>
      </c>
      <c r="ES28" s="317">
        <f t="shared" si="35"/>
        <v>127436</v>
      </c>
      <c r="ET28" s="318">
        <v>18102</v>
      </c>
      <c r="EU28" s="318">
        <v>85706</v>
      </c>
      <c r="EV28" s="318">
        <v>23628</v>
      </c>
      <c r="EW28" s="88">
        <f t="shared" si="36"/>
        <v>0.14204777299978028</v>
      </c>
      <c r="EX28" s="88">
        <f t="shared" si="36"/>
        <v>0.67254151103298909</v>
      </c>
      <c r="EY28" s="88">
        <f t="shared" si="36"/>
        <v>0.1854107159672306</v>
      </c>
      <c r="EZ28" s="88">
        <f t="shared" si="41"/>
        <v>-1.5837484746366037E-3</v>
      </c>
      <c r="FA28" s="88">
        <f t="shared" si="41"/>
        <v>-4.1677614214656877E-3</v>
      </c>
      <c r="FB28" s="88">
        <f t="shared" si="41"/>
        <v>5.751509896102236E-3</v>
      </c>
      <c r="FD28" s="316">
        <v>2002</v>
      </c>
      <c r="FE28" s="159">
        <v>1.2699065040650411E-2</v>
      </c>
      <c r="FF28" s="159">
        <v>1.1000000000000001E-2</v>
      </c>
      <c r="FG28" s="159">
        <v>0.01</v>
      </c>
      <c r="FH28" s="159">
        <v>-1.6E-2</v>
      </c>
      <c r="FI28" s="319">
        <f t="shared" si="42"/>
        <v>2.6990650406504106E-3</v>
      </c>
      <c r="FK28" s="345">
        <f t="shared" si="43"/>
        <v>-2.871929246403282E-2</v>
      </c>
      <c r="FL28" s="345">
        <f t="shared" si="44"/>
        <v>-4.8634839656602757E-3</v>
      </c>
      <c r="FM28" s="345">
        <f t="shared" si="45"/>
        <v>-2.4983051950003277E-4</v>
      </c>
      <c r="FN28" s="38"/>
      <c r="FO28" s="316">
        <v>2002</v>
      </c>
      <c r="FP28" s="61">
        <v>202702.63081743242</v>
      </c>
      <c r="FQ28" s="61">
        <v>10173.553061078926</v>
      </c>
      <c r="FR28" s="61">
        <v>90025.963727167808</v>
      </c>
      <c r="FS28" s="61">
        <v>29690.450854777802</v>
      </c>
      <c r="FT28" s="61">
        <v>62842.394694031776</v>
      </c>
      <c r="FU28" s="61">
        <v>270958.53636404313</v>
      </c>
      <c r="FV28" s="46">
        <f t="shared" si="38"/>
        <v>666393.52951853187</v>
      </c>
    </row>
    <row r="29" spans="1:178" hidden="1" outlineLevel="1">
      <c r="A29" s="316">
        <v>2003</v>
      </c>
      <c r="B29" s="61">
        <v>338468.8</v>
      </c>
      <c r="C29" s="61">
        <v>21090.799999999999</v>
      </c>
      <c r="D29" s="61">
        <v>150556.9</v>
      </c>
      <c r="E29" s="61">
        <v>40955.800000000003</v>
      </c>
      <c r="F29" s="61">
        <v>186665.3</v>
      </c>
      <c r="G29" s="61">
        <v>526334.4</v>
      </c>
      <c r="I29" s="316">
        <v>2003</v>
      </c>
      <c r="J29" s="61">
        <v>348845.8</v>
      </c>
      <c r="K29" s="61">
        <v>22020</v>
      </c>
      <c r="L29" s="61">
        <v>157663.1</v>
      </c>
      <c r="M29" s="61">
        <v>43297.8</v>
      </c>
      <c r="N29" s="61">
        <v>200675</v>
      </c>
      <c r="O29" s="61">
        <v>562040.19999999995</v>
      </c>
      <c r="Q29" s="316">
        <v>2003</v>
      </c>
      <c r="R29" s="75">
        <v>380660</v>
      </c>
      <c r="S29" s="75">
        <v>19201.400000000001</v>
      </c>
      <c r="T29" s="75">
        <v>183528.8</v>
      </c>
      <c r="U29" s="75">
        <v>45683</v>
      </c>
      <c r="V29" s="75">
        <v>186334.4</v>
      </c>
      <c r="W29" s="75">
        <v>548938.30000000005</v>
      </c>
      <c r="Y29" s="316">
        <v>2003</v>
      </c>
      <c r="Z29" s="75">
        <v>413311.2</v>
      </c>
      <c r="AA29" s="75">
        <v>21163.200000000001</v>
      </c>
      <c r="AB29" s="75">
        <v>199719.8</v>
      </c>
      <c r="AC29" s="75">
        <v>50780.800000000003</v>
      </c>
      <c r="AD29" s="75">
        <v>206947.7</v>
      </c>
      <c r="AE29" s="75">
        <v>621223.19999999995</v>
      </c>
      <c r="AG29" s="316">
        <v>2003</v>
      </c>
      <c r="AH29" s="48">
        <f t="shared" si="46"/>
        <v>0.92100093101759639</v>
      </c>
      <c r="AI29" s="48">
        <f t="shared" si="46"/>
        <v>0.90730135329250783</v>
      </c>
      <c r="AJ29" s="48">
        <f t="shared" si="46"/>
        <v>0.91893142292351582</v>
      </c>
      <c r="AK29" s="48">
        <f t="shared" si="46"/>
        <v>0.89961166425105543</v>
      </c>
      <c r="AL29" s="48">
        <f t="shared" si="46"/>
        <v>0.90039367434380757</v>
      </c>
      <c r="AM29" s="48">
        <f t="shared" si="46"/>
        <v>0.88364101662655237</v>
      </c>
      <c r="AO29" s="316">
        <v>2003</v>
      </c>
      <c r="AP29" s="62">
        <v>-8.8042404096658755E-3</v>
      </c>
      <c r="AS29" s="316">
        <v>2003</v>
      </c>
      <c r="AT29" s="308">
        <f t="shared" si="39"/>
        <v>2.4985880003511873E-3</v>
      </c>
      <c r="AU29" s="308">
        <f t="shared" si="39"/>
        <v>6.7567451565557768E-3</v>
      </c>
      <c r="AV29" s="308">
        <f t="shared" si="39"/>
        <v>6.0654230920100805E-3</v>
      </c>
      <c r="AW29" s="308">
        <f t="shared" si="39"/>
        <v>6.416351030921863E-3</v>
      </c>
      <c r="AX29" s="308">
        <f t="shared" si="39"/>
        <v>6.8455570081324968E-3</v>
      </c>
      <c r="AY29" s="308">
        <f t="shared" si="39"/>
        <v>9.0807358764426471E-3</v>
      </c>
      <c r="BA29" s="316">
        <v>2003</v>
      </c>
      <c r="BB29" s="61">
        <v>18975.099999999999</v>
      </c>
      <c r="BC29" s="61">
        <v>820.5</v>
      </c>
      <c r="BD29" s="61">
        <v>8894.2000000000007</v>
      </c>
      <c r="BE29" s="61">
        <v>2492.5</v>
      </c>
      <c r="BF29" s="61">
        <v>6089.4</v>
      </c>
      <c r="BG29" s="61">
        <v>21077</v>
      </c>
      <c r="BI29" s="316">
        <v>2003</v>
      </c>
      <c r="BJ29" s="61">
        <v>19720.099999999999</v>
      </c>
      <c r="BK29" s="61">
        <v>867.1</v>
      </c>
      <c r="BL29" s="61">
        <v>9411</v>
      </c>
      <c r="BM29" s="61">
        <v>3035.4</v>
      </c>
      <c r="BN29" s="61">
        <v>6596.4</v>
      </c>
      <c r="BO29" s="61">
        <v>22838.5</v>
      </c>
      <c r="BQ29" s="316">
        <v>2003</v>
      </c>
      <c r="BR29" s="75">
        <v>23019.200000000001</v>
      </c>
      <c r="BS29" s="75">
        <v>826</v>
      </c>
      <c r="BT29" s="75">
        <v>12348.1</v>
      </c>
      <c r="BU29" s="75">
        <v>2944.7</v>
      </c>
      <c r="BV29" s="75">
        <v>6296</v>
      </c>
      <c r="BW29" s="75">
        <v>20861.2</v>
      </c>
      <c r="BY29" s="316">
        <v>2003</v>
      </c>
      <c r="BZ29" s="75">
        <v>25042.3</v>
      </c>
      <c r="CA29" s="75">
        <v>922.7</v>
      </c>
      <c r="CB29" s="75">
        <v>13565</v>
      </c>
      <c r="CC29" s="75">
        <v>3717.9</v>
      </c>
      <c r="CD29" s="75">
        <v>7052</v>
      </c>
      <c r="CE29" s="75">
        <v>24061.9</v>
      </c>
      <c r="CG29" s="316">
        <v>2003</v>
      </c>
      <c r="CH29" s="48">
        <f t="shared" si="47"/>
        <v>0.91921269212492474</v>
      </c>
      <c r="CI29" s="48">
        <f t="shared" si="47"/>
        <v>0.89519887287308975</v>
      </c>
      <c r="CJ29" s="48">
        <f t="shared" si="47"/>
        <v>0.91029119056395136</v>
      </c>
      <c r="CK29" s="48">
        <f t="shared" si="47"/>
        <v>0.79203313698593281</v>
      </c>
      <c r="CL29" s="48">
        <f t="shared" si="47"/>
        <v>0.89279636982416333</v>
      </c>
      <c r="CM29" s="48">
        <f t="shared" si="47"/>
        <v>0.86698057925600225</v>
      </c>
      <c r="CO29" s="316">
        <v>2003</v>
      </c>
      <c r="CP29" s="62">
        <v>-8.8042404096658755E-3</v>
      </c>
      <c r="CS29" s="316">
        <v>2003</v>
      </c>
      <c r="CT29" s="308">
        <f t="shared" si="40"/>
        <v>-2.5825066183611245E-3</v>
      </c>
      <c r="CU29" s="308">
        <f t="shared" si="40"/>
        <v>1.960473145582009E-3</v>
      </c>
      <c r="CV29" s="308">
        <f t="shared" si="40"/>
        <v>6.7885818026303113E-4</v>
      </c>
      <c r="CW29" s="308">
        <f t="shared" si="40"/>
        <v>1.3386480843846638E-3</v>
      </c>
      <c r="CX29" s="308">
        <f t="shared" si="40"/>
        <v>-5.3574045997872854E-4</v>
      </c>
      <c r="CY29" s="308">
        <f t="shared" si="40"/>
        <v>2.3742692455808179E-3</v>
      </c>
      <c r="DA29" s="316">
        <v>2003</v>
      </c>
      <c r="DB29" s="46">
        <f t="shared" si="23"/>
        <v>23313.500000000011</v>
      </c>
      <c r="DC29" s="46">
        <f t="shared" si="24"/>
        <v>1127.4999999999993</v>
      </c>
      <c r="DD29" s="46">
        <f t="shared" si="25"/>
        <v>15737.200000000012</v>
      </c>
      <c r="DE29" s="46">
        <f t="shared" si="26"/>
        <v>4327.0999999999967</v>
      </c>
      <c r="DF29" s="46">
        <f t="shared" si="27"/>
        <v>6439.1999999999825</v>
      </c>
      <c r="DG29" s="46">
        <f t="shared" si="28"/>
        <v>12261.600000000071</v>
      </c>
      <c r="DI29" s="316">
        <v>2003</v>
      </c>
      <c r="DJ29" s="88">
        <f t="shared" si="29"/>
        <v>5.664357853980153E-2</v>
      </c>
      <c r="DK29" s="88">
        <f t="shared" si="30"/>
        <v>5.2765818045675747E-2</v>
      </c>
      <c r="DL29" s="88">
        <f t="shared" si="31"/>
        <v>7.7948606185485367E-2</v>
      </c>
      <c r="DM29" s="88">
        <f t="shared" si="32"/>
        <v>8.4201206460400788E-2</v>
      </c>
      <c r="DN29" s="88">
        <f t="shared" si="33"/>
        <v>3.1207517487346941E-2</v>
      </c>
      <c r="DO29" s="88">
        <f t="shared" si="34"/>
        <v>2.0120018463369315E-2</v>
      </c>
      <c r="DQ29" s="316">
        <v>2003</v>
      </c>
      <c r="DR29" s="61">
        <v>523968.6</v>
      </c>
      <c r="DS29" s="61">
        <v>526.22259999999994</v>
      </c>
      <c r="DT29" s="61">
        <v>492124</v>
      </c>
      <c r="DU29" s="61">
        <v>495.92520000000002</v>
      </c>
      <c r="DV29" s="89">
        <v>-2.2000000000000002</v>
      </c>
      <c r="DW29" s="46">
        <f t="shared" si="6"/>
        <v>535755.21472392639</v>
      </c>
      <c r="DX29" s="61">
        <v>535.86822810590627</v>
      </c>
      <c r="DY29" s="46">
        <f t="shared" si="7"/>
        <v>503194.27402862988</v>
      </c>
      <c r="DZ29" s="61">
        <v>505.01547861507129</v>
      </c>
      <c r="EB29" s="316">
        <v>2003</v>
      </c>
      <c r="EC29" s="88">
        <f t="shared" si="8"/>
        <v>4.3932403582962798E-2</v>
      </c>
      <c r="ED29" s="88">
        <f t="shared" si="9"/>
        <v>1.5764303433450021E-3</v>
      </c>
      <c r="EE29" s="88">
        <f t="shared" si="10"/>
        <v>2.3566488526220848E-2</v>
      </c>
      <c r="EF29" s="88">
        <f t="shared" si="11"/>
        <v>5.6199932591380472E-3</v>
      </c>
      <c r="EG29" s="88">
        <f t="shared" si="12"/>
        <v>1.201598721755464E-2</v>
      </c>
      <c r="EH29" s="88">
        <f t="shared" si="13"/>
        <v>3.9813836172625613E-2</v>
      </c>
      <c r="EI29" s="140"/>
      <c r="EJ29" s="316">
        <v>2003</v>
      </c>
      <c r="EK29" s="88">
        <f t="shared" si="14"/>
        <v>0.71051104970794055</v>
      </c>
      <c r="EL29" s="88">
        <f t="shared" si="15"/>
        <v>3.5839875137555953E-2</v>
      </c>
      <c r="EM29" s="88">
        <f t="shared" si="16"/>
        <v>0.34256092139872502</v>
      </c>
      <c r="EN29" s="88">
        <f t="shared" si="17"/>
        <v>8.5268418756391129E-2</v>
      </c>
      <c r="EO29" s="88">
        <f t="shared" si="18"/>
        <v>0.34779764130904028</v>
      </c>
      <c r="EP29" s="88">
        <f t="shared" si="19"/>
        <v>1.0246065458884368</v>
      </c>
      <c r="ER29" s="316">
        <v>2003</v>
      </c>
      <c r="ES29" s="317">
        <f t="shared" si="35"/>
        <v>127620</v>
      </c>
      <c r="ET29" s="318">
        <v>17905</v>
      </c>
      <c r="EU29" s="318">
        <v>85404</v>
      </c>
      <c r="EV29" s="318">
        <v>24311</v>
      </c>
      <c r="EW29" s="88">
        <f t="shared" si="36"/>
        <v>0.14029932612443191</v>
      </c>
      <c r="EX29" s="88">
        <f t="shared" si="36"/>
        <v>0.6692054536906441</v>
      </c>
      <c r="EY29" s="88">
        <f t="shared" si="36"/>
        <v>0.19049522018492399</v>
      </c>
      <c r="EZ29" s="88">
        <f t="shared" si="41"/>
        <v>-1.748446875348364E-3</v>
      </c>
      <c r="FA29" s="88">
        <f t="shared" si="41"/>
        <v>-3.3360573423449891E-3</v>
      </c>
      <c r="FB29" s="88">
        <f t="shared" si="41"/>
        <v>5.0845042176933808E-3</v>
      </c>
      <c r="FD29" s="316">
        <v>2003</v>
      </c>
      <c r="FE29" s="159">
        <v>9.9291020408163264E-3</v>
      </c>
      <c r="FF29" s="159">
        <v>1.1000000000000001E-2</v>
      </c>
      <c r="FG29" s="159">
        <v>1.1000000000000001E-2</v>
      </c>
      <c r="FH29" s="159">
        <v>-5.0000000000000001E-3</v>
      </c>
      <c r="FI29" s="319">
        <f t="shared" si="42"/>
        <v>-1.0708979591836747E-3</v>
      </c>
      <c r="FK29" s="345">
        <f t="shared" si="43"/>
        <v>-1.3291063028479488E-2</v>
      </c>
      <c r="FL29" s="345">
        <f t="shared" si="44"/>
        <v>6.7157535286727077E-4</v>
      </c>
      <c r="FM29" s="345">
        <f t="shared" si="45"/>
        <v>-4.7115257044416138E-4</v>
      </c>
      <c r="FN29" s="38"/>
      <c r="FO29" s="316">
        <v>2003</v>
      </c>
      <c r="FP29" s="61">
        <v>201541.57704602586</v>
      </c>
      <c r="FQ29" s="61">
        <v>9360.8434453524096</v>
      </c>
      <c r="FR29" s="61">
        <v>86942.955019569912</v>
      </c>
      <c r="FS29" s="61">
        <v>28165.556551721071</v>
      </c>
      <c r="FT29" s="61">
        <v>57583.46796415031</v>
      </c>
      <c r="FU29" s="61">
        <v>241013.9918968468</v>
      </c>
      <c r="FV29" s="46">
        <f t="shared" si="38"/>
        <v>624608.39192366635</v>
      </c>
    </row>
    <row r="30" spans="1:178" hidden="1" outlineLevel="1">
      <c r="A30" s="316">
        <v>2004</v>
      </c>
      <c r="B30" s="61">
        <v>342265.59999999998</v>
      </c>
      <c r="C30" s="61">
        <v>21178.5</v>
      </c>
      <c r="D30" s="61">
        <v>149319.1</v>
      </c>
      <c r="E30" s="61">
        <v>40601.800000000003</v>
      </c>
      <c r="F30" s="61">
        <v>190483.7</v>
      </c>
      <c r="G30" s="61">
        <v>540276.5</v>
      </c>
      <c r="I30" s="316">
        <v>2004</v>
      </c>
      <c r="J30" s="61">
        <v>350322.4</v>
      </c>
      <c r="K30" s="61">
        <v>21856.7</v>
      </c>
      <c r="L30" s="61">
        <v>154749.20000000001</v>
      </c>
      <c r="M30" s="61">
        <v>42405.4</v>
      </c>
      <c r="N30" s="61">
        <v>202095</v>
      </c>
      <c r="O30" s="61">
        <v>568771.5</v>
      </c>
      <c r="Q30" s="316">
        <v>2004</v>
      </c>
      <c r="R30" s="75">
        <v>384698.7</v>
      </c>
      <c r="S30" s="75">
        <v>19171.2</v>
      </c>
      <c r="T30" s="75">
        <v>182984.9</v>
      </c>
      <c r="U30" s="75">
        <v>45355.4</v>
      </c>
      <c r="V30" s="75">
        <v>190237.4</v>
      </c>
      <c r="W30" s="75">
        <v>563249.19999999995</v>
      </c>
      <c r="Y30" s="316">
        <v>2004</v>
      </c>
      <c r="Z30" s="75">
        <v>415787</v>
      </c>
      <c r="AA30" s="75">
        <v>20905.7</v>
      </c>
      <c r="AB30" s="75">
        <v>197309.9</v>
      </c>
      <c r="AC30" s="75">
        <v>49861.3</v>
      </c>
      <c r="AD30" s="75">
        <v>208751.6</v>
      </c>
      <c r="AE30" s="75">
        <v>629255.9</v>
      </c>
      <c r="AG30" s="316">
        <v>2004</v>
      </c>
      <c r="AH30" s="48">
        <f t="shared" si="46"/>
        <v>0.92523022605324368</v>
      </c>
      <c r="AI30" s="48">
        <f t="shared" si="46"/>
        <v>0.91703219696063754</v>
      </c>
      <c r="AJ30" s="48">
        <f t="shared" si="46"/>
        <v>0.92739847316328272</v>
      </c>
      <c r="AK30" s="48">
        <f t="shared" si="46"/>
        <v>0.90963131727411839</v>
      </c>
      <c r="AL30" s="48">
        <f t="shared" si="46"/>
        <v>0.91130990133728307</v>
      </c>
      <c r="AM30" s="48">
        <f t="shared" si="46"/>
        <v>0.89510356597371588</v>
      </c>
      <c r="AO30" s="316">
        <v>2004</v>
      </c>
      <c r="AP30" s="62">
        <v>1.3051753829420809E-2</v>
      </c>
      <c r="AS30" s="316">
        <v>2004</v>
      </c>
      <c r="AT30" s="308">
        <f t="shared" si="39"/>
        <v>4.5920638006027303E-3</v>
      </c>
      <c r="AU30" s="308">
        <f t="shared" si="39"/>
        <v>1.0725040399000241E-2</v>
      </c>
      <c r="AV30" s="308">
        <f t="shared" si="39"/>
        <v>9.2140175300889915E-3</v>
      </c>
      <c r="AW30" s="308">
        <f t="shared" si="39"/>
        <v>1.1137753567706854E-2</v>
      </c>
      <c r="AX30" s="308">
        <f t="shared" si="39"/>
        <v>1.2123837943920579E-2</v>
      </c>
      <c r="AY30" s="308">
        <f t="shared" si="39"/>
        <v>1.2971952559336586E-2</v>
      </c>
      <c r="BA30" s="316">
        <v>2004</v>
      </c>
      <c r="BB30" s="61">
        <v>19381.5</v>
      </c>
      <c r="BC30" s="61">
        <v>774</v>
      </c>
      <c r="BD30" s="61">
        <v>8703.2000000000007</v>
      </c>
      <c r="BE30" s="61">
        <v>2288.6999999999998</v>
      </c>
      <c r="BF30" s="61">
        <v>6453.9</v>
      </c>
      <c r="BG30" s="61">
        <v>18924.400000000001</v>
      </c>
      <c r="BI30" s="316">
        <v>2004</v>
      </c>
      <c r="BJ30" s="61">
        <v>20056.8</v>
      </c>
      <c r="BK30" s="61">
        <v>811.4</v>
      </c>
      <c r="BL30" s="61">
        <v>9154.9</v>
      </c>
      <c r="BM30" s="61">
        <v>2766.6</v>
      </c>
      <c r="BN30" s="61">
        <v>6941.2</v>
      </c>
      <c r="BO30" s="61">
        <v>20318.599999999999</v>
      </c>
      <c r="BQ30" s="316">
        <v>2004</v>
      </c>
      <c r="BR30" s="75">
        <v>23727.8</v>
      </c>
      <c r="BS30" s="75">
        <v>775.2</v>
      </c>
      <c r="BT30" s="75">
        <v>12049.8</v>
      </c>
      <c r="BU30" s="75">
        <v>2670</v>
      </c>
      <c r="BV30" s="75">
        <v>6682.5</v>
      </c>
      <c r="BW30" s="75">
        <v>18684.2</v>
      </c>
      <c r="BY30" s="316">
        <v>2004</v>
      </c>
      <c r="BZ30" s="75">
        <v>25771.7</v>
      </c>
      <c r="CA30" s="75">
        <v>859.1</v>
      </c>
      <c r="CB30" s="75">
        <v>13165.1</v>
      </c>
      <c r="CC30" s="75">
        <v>3325.6</v>
      </c>
      <c r="CD30" s="75">
        <v>7434.8</v>
      </c>
      <c r="CE30" s="75">
        <v>21355.5</v>
      </c>
      <c r="CG30" s="316">
        <v>2004</v>
      </c>
      <c r="CH30" s="48">
        <f t="shared" si="47"/>
        <v>0.92069207696814714</v>
      </c>
      <c r="CI30" s="48">
        <f t="shared" si="47"/>
        <v>0.90233965778139913</v>
      </c>
      <c r="CJ30" s="48">
        <f t="shared" si="47"/>
        <v>0.91528359070572951</v>
      </c>
      <c r="CK30" s="48">
        <f t="shared" si="47"/>
        <v>0.80286264132788066</v>
      </c>
      <c r="CL30" s="48">
        <f t="shared" si="47"/>
        <v>0.89881368698552755</v>
      </c>
      <c r="CM30" s="48">
        <f t="shared" si="47"/>
        <v>0.87491278593336619</v>
      </c>
      <c r="CO30" s="316">
        <v>2004</v>
      </c>
      <c r="CP30" s="62">
        <v>1.3051753829420809E-2</v>
      </c>
      <c r="CS30" s="316">
        <v>2004</v>
      </c>
      <c r="CT30" s="308">
        <f t="shared" si="40"/>
        <v>1.6094042824872368E-3</v>
      </c>
      <c r="CU30" s="308">
        <f t="shared" si="40"/>
        <v>7.976758153628305E-3</v>
      </c>
      <c r="CV30" s="308">
        <f t="shared" si="40"/>
        <v>5.4843990511268537E-3</v>
      </c>
      <c r="CW30" s="308">
        <f t="shared" si="40"/>
        <v>1.3673044518262678E-2</v>
      </c>
      <c r="CX30" s="308">
        <f t="shared" si="40"/>
        <v>6.7398539742600239E-3</v>
      </c>
      <c r="CY30" s="308">
        <f t="shared" si="40"/>
        <v>9.1492322517430225E-3</v>
      </c>
      <c r="DA30" s="316">
        <v>2004</v>
      </c>
      <c r="DB30" s="46">
        <f t="shared" si="23"/>
        <v>23295.900000000012</v>
      </c>
      <c r="DC30" s="46">
        <f t="shared" si="24"/>
        <v>1116.5999999999999</v>
      </c>
      <c r="DD30" s="46">
        <f t="shared" si="25"/>
        <v>15574.999999999995</v>
      </c>
      <c r="DE30" s="46">
        <f t="shared" si="26"/>
        <v>4245.1000000000004</v>
      </c>
      <c r="DF30" s="46">
        <f t="shared" si="27"/>
        <v>5630.900000000006</v>
      </c>
      <c r="DG30" s="46">
        <f t="shared" si="28"/>
        <v>13322.79999999993</v>
      </c>
      <c r="DI30" s="316">
        <v>2004</v>
      </c>
      <c r="DJ30" s="88">
        <f t="shared" si="29"/>
        <v>5.6364066591953019E-2</v>
      </c>
      <c r="DK30" s="88">
        <f t="shared" si="30"/>
        <v>5.2761397142209114E-2</v>
      </c>
      <c r="DL30" s="88">
        <f t="shared" si="31"/>
        <v>7.798425594257552E-2</v>
      </c>
      <c r="DM30" s="88">
        <f t="shared" si="32"/>
        <v>8.3596556178713213E-2</v>
      </c>
      <c r="DN30" s="88">
        <f t="shared" si="33"/>
        <v>2.7209290076671572E-2</v>
      </c>
      <c r="DO30" s="88">
        <f t="shared" si="34"/>
        <v>2.1446076064126279E-2</v>
      </c>
      <c r="DQ30" s="316">
        <v>2004</v>
      </c>
      <c r="DR30" s="61">
        <v>529400.9</v>
      </c>
      <c r="DS30" s="61">
        <v>529.6336</v>
      </c>
      <c r="DT30" s="61">
        <v>502882.4</v>
      </c>
      <c r="DU30" s="61">
        <v>504.26499999999999</v>
      </c>
      <c r="DV30" s="89">
        <v>-1.2</v>
      </c>
      <c r="DW30" s="46">
        <f t="shared" si="6"/>
        <v>535830.87044534413</v>
      </c>
      <c r="DX30" s="61">
        <v>536.60952380952381</v>
      </c>
      <c r="DY30" s="46">
        <f t="shared" si="7"/>
        <v>508990.28340080974</v>
      </c>
      <c r="DZ30" s="61">
        <v>510.9067882472138</v>
      </c>
      <c r="EB30" s="316">
        <v>2004</v>
      </c>
      <c r="EC30" s="88">
        <f t="shared" si="8"/>
        <v>4.4820097585780448E-2</v>
      </c>
      <c r="ED30" s="88">
        <f t="shared" si="9"/>
        <v>1.4642967172892982E-3</v>
      </c>
      <c r="EE30" s="88">
        <f t="shared" si="10"/>
        <v>2.2761200443746882E-2</v>
      </c>
      <c r="EF30" s="88">
        <f t="shared" si="11"/>
        <v>5.0434368358648427E-3</v>
      </c>
      <c r="EG30" s="88">
        <f t="shared" si="12"/>
        <v>1.2622759047066221E-2</v>
      </c>
      <c r="EH30" s="88">
        <f t="shared" si="13"/>
        <v>3.5293102070661386E-2</v>
      </c>
      <c r="EI30" s="140"/>
      <c r="EJ30" s="316">
        <v>2004</v>
      </c>
      <c r="EK30" s="88">
        <f t="shared" si="14"/>
        <v>0.71794799668833209</v>
      </c>
      <c r="EL30" s="88">
        <f t="shared" si="15"/>
        <v>3.5778453720044678E-2</v>
      </c>
      <c r="EM30" s="88">
        <f t="shared" si="16"/>
        <v>0.34149749499859178</v>
      </c>
      <c r="EN30" s="88">
        <f t="shared" si="17"/>
        <v>8.4644992481123477E-2</v>
      </c>
      <c r="EO30" s="88">
        <f t="shared" si="18"/>
        <v>0.3550325494346534</v>
      </c>
      <c r="EP30" s="88">
        <f t="shared" si="19"/>
        <v>1.0511697460280101</v>
      </c>
      <c r="ER30" s="316">
        <v>2004</v>
      </c>
      <c r="ES30" s="317">
        <f t="shared" si="35"/>
        <v>127687</v>
      </c>
      <c r="ET30" s="318">
        <v>17734</v>
      </c>
      <c r="EU30" s="318">
        <v>85077</v>
      </c>
      <c r="EV30" s="318">
        <v>24876</v>
      </c>
      <c r="EW30" s="88">
        <f t="shared" si="36"/>
        <v>0.1388864958844675</v>
      </c>
      <c r="EX30" s="88">
        <f t="shared" si="36"/>
        <v>0.6662933579769279</v>
      </c>
      <c r="EY30" s="88">
        <f t="shared" si="36"/>
        <v>0.19482014613860454</v>
      </c>
      <c r="EZ30" s="88">
        <f t="shared" si="41"/>
        <v>-1.4128302399644133E-3</v>
      </c>
      <c r="FA30" s="88">
        <f t="shared" si="41"/>
        <v>-2.9120957137162007E-3</v>
      </c>
      <c r="FB30" s="88">
        <f t="shared" si="41"/>
        <v>4.3249259536805584E-3</v>
      </c>
      <c r="FD30" s="316">
        <v>2004</v>
      </c>
      <c r="FE30" s="159">
        <v>1.5047926829268294E-2</v>
      </c>
      <c r="FF30" s="159">
        <v>1.4999999999999999E-2</v>
      </c>
      <c r="FG30" s="159">
        <v>1.1000000000000001E-2</v>
      </c>
      <c r="FH30" s="159">
        <v>1.4999999999999999E-2</v>
      </c>
      <c r="FI30" s="319">
        <f t="shared" si="42"/>
        <v>4.0479268292682932E-3</v>
      </c>
      <c r="FK30" s="345">
        <f t="shared" si="43"/>
        <v>-1.8287144515227949E-2</v>
      </c>
      <c r="FL30" s="345">
        <f t="shared" si="44"/>
        <v>-9.9300327944668032E-3</v>
      </c>
      <c r="FM30" s="345">
        <f t="shared" si="45"/>
        <v>-1.0735497952702421E-4</v>
      </c>
      <c r="FN30" s="38"/>
      <c r="FO30" s="316">
        <v>2004</v>
      </c>
      <c r="FP30" s="61">
        <v>202900.01836176991</v>
      </c>
      <c r="FQ30" s="61">
        <v>7832.0515599617529</v>
      </c>
      <c r="FR30" s="61">
        <v>97161.654479727003</v>
      </c>
      <c r="FS30" s="61">
        <v>20962.026390163614</v>
      </c>
      <c r="FT30" s="61">
        <v>53719.721920954609</v>
      </c>
      <c r="FU30" s="61">
        <v>215353.05639483486</v>
      </c>
      <c r="FV30" s="46">
        <f t="shared" si="38"/>
        <v>597928.52910741174</v>
      </c>
    </row>
    <row r="31" spans="1:178" hidden="1" outlineLevel="1">
      <c r="A31" s="316">
        <v>2005</v>
      </c>
      <c r="B31" s="61">
        <v>344289</v>
      </c>
      <c r="C31" s="61">
        <v>21015.3</v>
      </c>
      <c r="D31" s="61">
        <v>148386.20000000001</v>
      </c>
      <c r="E31" s="61">
        <v>40009.1</v>
      </c>
      <c r="F31" s="61">
        <v>194135.4</v>
      </c>
      <c r="G31" s="61">
        <v>550721.5</v>
      </c>
      <c r="I31" s="316">
        <v>2005</v>
      </c>
      <c r="J31" s="61">
        <v>351749.2</v>
      </c>
      <c r="K31" s="61">
        <v>21599.599999999999</v>
      </c>
      <c r="L31" s="61">
        <v>152389.9</v>
      </c>
      <c r="M31" s="61">
        <v>41537.9</v>
      </c>
      <c r="N31" s="61">
        <v>203389.7</v>
      </c>
      <c r="O31" s="61">
        <v>573998.30000000005</v>
      </c>
      <c r="Q31" s="316">
        <v>2005</v>
      </c>
      <c r="R31" s="75">
        <v>388113.7</v>
      </c>
      <c r="S31" s="75">
        <v>18962.8</v>
      </c>
      <c r="T31" s="75">
        <v>183492.3</v>
      </c>
      <c r="U31" s="75">
        <v>44786.400000000001</v>
      </c>
      <c r="V31" s="75">
        <v>194431.4</v>
      </c>
      <c r="W31" s="75">
        <v>576320.6</v>
      </c>
      <c r="Y31" s="316">
        <v>2005</v>
      </c>
      <c r="Z31" s="75">
        <v>418194.3</v>
      </c>
      <c r="AA31" s="75">
        <v>20548</v>
      </c>
      <c r="AB31" s="75">
        <v>195633.3</v>
      </c>
      <c r="AC31" s="75">
        <v>48834.1</v>
      </c>
      <c r="AD31" s="75">
        <v>210334.2</v>
      </c>
      <c r="AE31" s="75">
        <v>635788.19999999995</v>
      </c>
      <c r="AG31" s="316">
        <v>2005</v>
      </c>
      <c r="AH31" s="48">
        <f t="shared" si="46"/>
        <v>0.92807027738063386</v>
      </c>
      <c r="AI31" s="48">
        <f t="shared" si="46"/>
        <v>0.92285380572318465</v>
      </c>
      <c r="AJ31" s="48">
        <f t="shared" si="46"/>
        <v>0.93794001327994769</v>
      </c>
      <c r="AK31" s="48">
        <f t="shared" si="46"/>
        <v>0.91711324668622951</v>
      </c>
      <c r="AL31" s="48">
        <f t="shared" si="46"/>
        <v>0.92439270456254852</v>
      </c>
      <c r="AM31" s="48">
        <f t="shared" si="46"/>
        <v>0.9064663358017655</v>
      </c>
      <c r="AO31" s="316">
        <v>2005</v>
      </c>
      <c r="AP31" s="62">
        <v>1.6104500313143033E-2</v>
      </c>
      <c r="AS31" s="316">
        <v>2005</v>
      </c>
      <c r="AT31" s="308">
        <f t="shared" si="39"/>
        <v>3.0695617668101693E-3</v>
      </c>
      <c r="AU31" s="308">
        <f t="shared" si="39"/>
        <v>6.3483144668659008E-3</v>
      </c>
      <c r="AV31" s="308">
        <f t="shared" si="39"/>
        <v>1.1366786146098207E-2</v>
      </c>
      <c r="AW31" s="308">
        <f t="shared" si="39"/>
        <v>8.2252328718541712E-3</v>
      </c>
      <c r="AX31" s="308">
        <f t="shared" si="39"/>
        <v>1.4356042007299008E-2</v>
      </c>
      <c r="AY31" s="308">
        <f t="shared" si="39"/>
        <v>1.269436326699136E-2</v>
      </c>
      <c r="BA31" s="316">
        <v>2005</v>
      </c>
      <c r="BB31" s="61">
        <v>19366.099999999999</v>
      </c>
      <c r="BC31" s="61">
        <v>680.5</v>
      </c>
      <c r="BD31" s="61">
        <v>9086.2000000000007</v>
      </c>
      <c r="BE31" s="61">
        <v>2318.6999999999998</v>
      </c>
      <c r="BF31" s="61">
        <v>7226.1</v>
      </c>
      <c r="BG31" s="61">
        <v>17180.3</v>
      </c>
      <c r="BI31" s="316">
        <v>2005</v>
      </c>
      <c r="BJ31" s="61">
        <v>19956.599999999999</v>
      </c>
      <c r="BK31" s="61">
        <v>707.2</v>
      </c>
      <c r="BL31" s="61">
        <v>9431.1</v>
      </c>
      <c r="BM31" s="61">
        <v>2772.6</v>
      </c>
      <c r="BN31" s="61">
        <v>7647.5</v>
      </c>
      <c r="BO31" s="61">
        <v>18160.7</v>
      </c>
      <c r="BQ31" s="316">
        <v>2005</v>
      </c>
      <c r="BR31" s="75">
        <v>23758</v>
      </c>
      <c r="BS31" s="75">
        <v>678.3</v>
      </c>
      <c r="BT31" s="75">
        <v>12695.3</v>
      </c>
      <c r="BU31" s="75">
        <v>2593</v>
      </c>
      <c r="BV31" s="75">
        <v>7446.9</v>
      </c>
      <c r="BW31" s="75">
        <v>16949.900000000001</v>
      </c>
      <c r="BY31" s="316">
        <v>2005</v>
      </c>
      <c r="BZ31" s="75">
        <v>25738.7</v>
      </c>
      <c r="CA31" s="75">
        <v>744.5</v>
      </c>
      <c r="CB31" s="75">
        <v>13677.1</v>
      </c>
      <c r="CC31" s="75">
        <v>3192.1</v>
      </c>
      <c r="CD31" s="75">
        <v>8155.5</v>
      </c>
      <c r="CE31" s="75">
        <v>19075.8</v>
      </c>
      <c r="CG31" s="316">
        <v>2005</v>
      </c>
      <c r="CH31" s="48">
        <f t="shared" si="47"/>
        <v>0.92304584147606517</v>
      </c>
      <c r="CI31" s="48">
        <f t="shared" si="47"/>
        <v>0.91108126259234379</v>
      </c>
      <c r="CJ31" s="48">
        <f t="shared" si="47"/>
        <v>0.92821577673629641</v>
      </c>
      <c r="CK31" s="48">
        <f t="shared" si="47"/>
        <v>0.81231790983991736</v>
      </c>
      <c r="CL31" s="48">
        <f t="shared" si="47"/>
        <v>0.91311384954938379</v>
      </c>
      <c r="CM31" s="48">
        <f t="shared" si="47"/>
        <v>0.88855513268119823</v>
      </c>
      <c r="CO31" s="316">
        <v>2005</v>
      </c>
      <c r="CP31" s="62">
        <v>1.6104500313143033E-2</v>
      </c>
      <c r="CS31" s="316">
        <v>2005</v>
      </c>
      <c r="CT31" s="308">
        <f t="shared" si="40"/>
        <v>2.5565165236014487E-3</v>
      </c>
      <c r="CU31" s="308">
        <f t="shared" si="40"/>
        <v>9.6877098723975319E-3</v>
      </c>
      <c r="CV31" s="308">
        <f t="shared" si="40"/>
        <v>1.4129157522200897E-2</v>
      </c>
      <c r="CW31" s="308">
        <f t="shared" si="40"/>
        <v>1.1776944181134619E-2</v>
      </c>
      <c r="CX31" s="308">
        <f t="shared" si="40"/>
        <v>1.5910040947214155E-2</v>
      </c>
      <c r="CY31" s="308">
        <f t="shared" si="40"/>
        <v>1.5592807611421788E-2</v>
      </c>
      <c r="DA31" s="316">
        <v>2005</v>
      </c>
      <c r="DB31" s="46">
        <f t="shared" si="23"/>
        <v>23331.400000000012</v>
      </c>
      <c r="DC31" s="46">
        <f t="shared" si="24"/>
        <v>1102.2000000000007</v>
      </c>
      <c r="DD31" s="46">
        <f t="shared" si="25"/>
        <v>15353.700000000006</v>
      </c>
      <c r="DE31" s="46">
        <f t="shared" si="26"/>
        <v>4219.3000000000047</v>
      </c>
      <c r="DF31" s="46">
        <f t="shared" si="27"/>
        <v>6572.8999999999942</v>
      </c>
      <c r="DG31" s="46">
        <f t="shared" si="28"/>
        <v>12543.500000000069</v>
      </c>
      <c r="DI31" s="316">
        <v>2005</v>
      </c>
      <c r="DJ31" s="88">
        <f t="shared" si="29"/>
        <v>5.6113827512644723E-2</v>
      </c>
      <c r="DK31" s="88">
        <f t="shared" si="30"/>
        <v>5.2722463251649102E-2</v>
      </c>
      <c r="DL31" s="88">
        <f t="shared" si="31"/>
        <v>7.7815152711546695E-2</v>
      </c>
      <c r="DM31" s="88">
        <f t="shared" si="32"/>
        <v>8.4620737927009609E-2</v>
      </c>
      <c r="DN31" s="88">
        <f t="shared" si="33"/>
        <v>3.1486704772562192E-2</v>
      </c>
      <c r="DO31" s="88">
        <f t="shared" si="34"/>
        <v>1.9933861565700168E-2</v>
      </c>
      <c r="DQ31" s="316">
        <v>2005</v>
      </c>
      <c r="DR31" s="61">
        <v>532515.6</v>
      </c>
      <c r="DS31" s="61">
        <v>534.10969999999998</v>
      </c>
      <c r="DT31" s="61">
        <v>511953.9</v>
      </c>
      <c r="DU31" s="61">
        <v>515.13760000000002</v>
      </c>
      <c r="DV31" s="89">
        <v>-0.4</v>
      </c>
      <c r="DW31" s="46">
        <f t="shared" si="6"/>
        <v>534654.21686746983</v>
      </c>
      <c r="DX31" s="61">
        <v>534.10969999999998</v>
      </c>
      <c r="DY31" s="46">
        <f t="shared" si="7"/>
        <v>514009.93975903618</v>
      </c>
      <c r="DZ31" s="61">
        <v>515.13760000000002</v>
      </c>
      <c r="EB31" s="316">
        <v>2005</v>
      </c>
      <c r="EC31" s="88">
        <f t="shared" si="8"/>
        <v>4.4614655420423366E-2</v>
      </c>
      <c r="ED31" s="88">
        <f t="shared" si="9"/>
        <v>1.2737655009543382E-3</v>
      </c>
      <c r="EE31" s="88">
        <f t="shared" si="10"/>
        <v>2.384024054882148E-2</v>
      </c>
      <c r="EF31" s="88">
        <f t="shared" si="11"/>
        <v>4.8693409169609306E-3</v>
      </c>
      <c r="EG31" s="88">
        <f t="shared" si="12"/>
        <v>1.398437904917715E-2</v>
      </c>
      <c r="EH31" s="88">
        <f t="shared" si="13"/>
        <v>3.1829865641494828E-2</v>
      </c>
      <c r="EI31" s="140"/>
      <c r="EJ31" s="316">
        <v>2005</v>
      </c>
      <c r="EK31" s="88">
        <f t="shared" si="14"/>
        <v>0.72591534445188088</v>
      </c>
      <c r="EL31" s="88">
        <f t="shared" si="15"/>
        <v>3.546740940547094E-2</v>
      </c>
      <c r="EM31" s="88">
        <f t="shared" si="16"/>
        <v>0.34319807870417318</v>
      </c>
      <c r="EN31" s="88">
        <f t="shared" si="17"/>
        <v>8.3767037810723297E-2</v>
      </c>
      <c r="EO31" s="88">
        <f t="shared" si="18"/>
        <v>0.36365821846345914</v>
      </c>
      <c r="EP31" s="88">
        <f t="shared" si="19"/>
        <v>1.0779314589093729</v>
      </c>
      <c r="ER31" s="316">
        <v>2005</v>
      </c>
      <c r="ES31" s="317">
        <f t="shared" si="35"/>
        <v>127768</v>
      </c>
      <c r="ET31" s="318">
        <v>17585</v>
      </c>
      <c r="EU31" s="318">
        <v>84422</v>
      </c>
      <c r="EV31" s="318">
        <v>25761</v>
      </c>
      <c r="EW31" s="88">
        <f t="shared" si="36"/>
        <v>0.13763227099117151</v>
      </c>
      <c r="EX31" s="88">
        <f t="shared" si="36"/>
        <v>0.66074447435977712</v>
      </c>
      <c r="EY31" s="88">
        <f t="shared" si="36"/>
        <v>0.2016232546490514</v>
      </c>
      <c r="EZ31" s="88">
        <f t="shared" si="41"/>
        <v>-1.254224893295991E-3</v>
      </c>
      <c r="FA31" s="88">
        <f t="shared" si="41"/>
        <v>-5.5488836171507794E-3</v>
      </c>
      <c r="FB31" s="88">
        <f t="shared" si="41"/>
        <v>6.8031085104468536E-3</v>
      </c>
      <c r="FD31" s="316">
        <v>2005</v>
      </c>
      <c r="FE31" s="159">
        <v>1.3845183673469395E-2</v>
      </c>
      <c r="FF31" s="159">
        <v>1.3999999999999999E-2</v>
      </c>
      <c r="FG31" s="159">
        <v>0.01</v>
      </c>
      <c r="FH31" s="159">
        <v>2.1000000000000001E-2</v>
      </c>
      <c r="FI31" s="319">
        <f t="shared" si="42"/>
        <v>3.8451836734693951E-3</v>
      </c>
      <c r="FK31" s="345">
        <f t="shared" si="43"/>
        <v>-1.3445855950908303E-2</v>
      </c>
      <c r="FL31" s="345">
        <f t="shared" si="44"/>
        <v>-7.1263047944779001E-3</v>
      </c>
      <c r="FM31" s="345">
        <f t="shared" si="45"/>
        <v>1.4821939178472372E-3</v>
      </c>
      <c r="FN31" s="38"/>
      <c r="FO31" s="316">
        <v>2005</v>
      </c>
      <c r="FP31" s="61">
        <v>201316.05242418451</v>
      </c>
      <c r="FQ31" s="61">
        <v>6258.6123983698853</v>
      </c>
      <c r="FR31" s="61">
        <v>103304.50755456537</v>
      </c>
      <c r="FS31" s="61">
        <v>17301.983807989003</v>
      </c>
      <c r="FT31" s="61">
        <v>54181.746940259531</v>
      </c>
      <c r="FU31" s="61">
        <v>196635.03038323642</v>
      </c>
      <c r="FV31" s="46">
        <f t="shared" si="38"/>
        <v>578997.93350860476</v>
      </c>
    </row>
    <row r="32" spans="1:178" hidden="1" outlineLevel="1">
      <c r="A32" s="316">
        <v>2006</v>
      </c>
      <c r="B32" s="61">
        <v>352916.6</v>
      </c>
      <c r="C32" s="61">
        <v>21083.9</v>
      </c>
      <c r="D32" s="61">
        <v>149747.6</v>
      </c>
      <c r="E32" s="61">
        <v>39708.9</v>
      </c>
      <c r="F32" s="61">
        <v>198094.2</v>
      </c>
      <c r="G32" s="61">
        <v>561557.6</v>
      </c>
      <c r="I32" s="316">
        <v>2006</v>
      </c>
      <c r="J32" s="61">
        <v>353367.2</v>
      </c>
      <c r="K32" s="61">
        <v>21276.2</v>
      </c>
      <c r="L32" s="61">
        <v>150985.29999999999</v>
      </c>
      <c r="M32" s="61">
        <v>40478.300000000003</v>
      </c>
      <c r="N32" s="61">
        <v>203323.9</v>
      </c>
      <c r="O32" s="61">
        <v>578317.1</v>
      </c>
      <c r="Q32" s="316">
        <v>2006</v>
      </c>
      <c r="R32" s="75">
        <v>397962.8</v>
      </c>
      <c r="S32" s="75">
        <v>18909.3</v>
      </c>
      <c r="T32" s="75">
        <v>185962.4</v>
      </c>
      <c r="U32" s="75">
        <v>44498.5</v>
      </c>
      <c r="V32" s="75">
        <v>198541.4</v>
      </c>
      <c r="W32" s="75">
        <v>588222.4</v>
      </c>
      <c r="Y32" s="316">
        <v>2006</v>
      </c>
      <c r="Z32" s="75">
        <v>420672.9</v>
      </c>
      <c r="AA32" s="75">
        <v>20124</v>
      </c>
      <c r="AB32" s="75">
        <v>194934.6</v>
      </c>
      <c r="AC32" s="75">
        <v>47708.2</v>
      </c>
      <c r="AD32" s="75">
        <v>210484.9</v>
      </c>
      <c r="AE32" s="75">
        <v>641353.1</v>
      </c>
      <c r="AG32" s="316">
        <v>2006</v>
      </c>
      <c r="AH32" s="48">
        <f t="shared" si="46"/>
        <v>0.94601482529537784</v>
      </c>
      <c r="AI32" s="48">
        <f t="shared" si="46"/>
        <v>0.93963923673225991</v>
      </c>
      <c r="AJ32" s="48">
        <f t="shared" si="46"/>
        <v>0.95397328129536774</v>
      </c>
      <c r="AK32" s="48">
        <f t="shared" si="46"/>
        <v>0.93272225738971504</v>
      </c>
      <c r="AL32" s="48">
        <f t="shared" si="46"/>
        <v>0.94325721227508486</v>
      </c>
      <c r="AM32" s="48">
        <f t="shared" si="46"/>
        <v>0.91715842645806189</v>
      </c>
      <c r="AO32" s="316">
        <v>2006</v>
      </c>
      <c r="AP32" s="62">
        <v>2.210090692964628E-2</v>
      </c>
      <c r="AS32" s="316">
        <v>2006</v>
      </c>
      <c r="AT32" s="308">
        <f t="shared" si="39"/>
        <v>1.933533305838675E-2</v>
      </c>
      <c r="AU32" s="308">
        <f t="shared" si="39"/>
        <v>1.8188613304706003E-2</v>
      </c>
      <c r="AV32" s="308">
        <f t="shared" si="39"/>
        <v>1.7094129462877028E-2</v>
      </c>
      <c r="AW32" s="308">
        <f t="shared" si="39"/>
        <v>1.7019720039902264E-2</v>
      </c>
      <c r="AX32" s="308">
        <f t="shared" si="39"/>
        <v>2.0407460616495898E-2</v>
      </c>
      <c r="AY32" s="308">
        <f t="shared" si="39"/>
        <v>1.179535326796155E-2</v>
      </c>
      <c r="BA32" s="316">
        <v>2006</v>
      </c>
      <c r="BB32" s="61">
        <v>19809.3</v>
      </c>
      <c r="BC32" s="61">
        <v>612.5</v>
      </c>
      <c r="BD32" s="61">
        <v>10036</v>
      </c>
      <c r="BE32" s="61">
        <v>2050.5</v>
      </c>
      <c r="BF32" s="61">
        <v>6113.6</v>
      </c>
      <c r="BG32" s="61">
        <v>16664.599999999999</v>
      </c>
      <c r="BI32" s="316">
        <v>2006</v>
      </c>
      <c r="BJ32" s="61">
        <v>20103.900000000001</v>
      </c>
      <c r="BK32" s="61">
        <v>626.4</v>
      </c>
      <c r="BL32" s="61">
        <v>10253</v>
      </c>
      <c r="BM32" s="61">
        <v>2410.6999999999998</v>
      </c>
      <c r="BN32" s="61">
        <v>6350.9</v>
      </c>
      <c r="BO32" s="61">
        <v>17324.900000000001</v>
      </c>
      <c r="BQ32" s="316">
        <v>2006</v>
      </c>
      <c r="BR32" s="75">
        <v>24180.799999999999</v>
      </c>
      <c r="BS32" s="75">
        <v>609.20000000000005</v>
      </c>
      <c r="BT32" s="75">
        <v>13757.7</v>
      </c>
      <c r="BU32" s="75">
        <v>2414.6</v>
      </c>
      <c r="BV32" s="75">
        <v>6327.7</v>
      </c>
      <c r="BW32" s="75">
        <v>16434.5</v>
      </c>
      <c r="BY32" s="316">
        <v>2006</v>
      </c>
      <c r="BZ32" s="75">
        <v>25846.5</v>
      </c>
      <c r="CA32" s="75">
        <v>658.5</v>
      </c>
      <c r="CB32" s="75">
        <v>14600.6</v>
      </c>
      <c r="CC32" s="75">
        <v>2928.2</v>
      </c>
      <c r="CD32" s="75">
        <v>6800.1</v>
      </c>
      <c r="CE32" s="75">
        <v>18187.900000000001</v>
      </c>
      <c r="CG32" s="316">
        <v>2006</v>
      </c>
      <c r="CH32" s="48">
        <f t="shared" si="47"/>
        <v>0.93555413692376144</v>
      </c>
      <c r="CI32" s="48">
        <f t="shared" si="47"/>
        <v>0.92513287775246777</v>
      </c>
      <c r="CJ32" s="48">
        <f t="shared" si="47"/>
        <v>0.94226949577414632</v>
      </c>
      <c r="CK32" s="48">
        <f t="shared" si="47"/>
        <v>0.8246021446622499</v>
      </c>
      <c r="CL32" s="48">
        <f t="shared" si="47"/>
        <v>0.93053043337597974</v>
      </c>
      <c r="CM32" s="48">
        <f t="shared" si="47"/>
        <v>0.90359524738974806</v>
      </c>
      <c r="CO32" s="316">
        <v>2006</v>
      </c>
      <c r="CP32" s="62">
        <v>2.210090692964628E-2</v>
      </c>
      <c r="CS32" s="316">
        <v>2006</v>
      </c>
      <c r="CT32" s="308">
        <f t="shared" si="40"/>
        <v>1.3551109691035457E-2</v>
      </c>
      <c r="CU32" s="308">
        <f t="shared" si="40"/>
        <v>1.5423009710618274E-2</v>
      </c>
      <c r="CV32" s="308">
        <f t="shared" si="40"/>
        <v>1.5140573334428975E-2</v>
      </c>
      <c r="CW32" s="308">
        <f t="shared" si="40"/>
        <v>1.5122447349158463E-2</v>
      </c>
      <c r="CX32" s="308">
        <f t="shared" si="40"/>
        <v>1.9073836012005518E-2</v>
      </c>
      <c r="CY32" s="308">
        <f t="shared" si="40"/>
        <v>1.6926484531316177E-2</v>
      </c>
      <c r="DA32" s="316">
        <v>2006</v>
      </c>
      <c r="DB32" s="46">
        <f t="shared" si="23"/>
        <v>23367.899999999965</v>
      </c>
      <c r="DC32" s="46">
        <f t="shared" si="24"/>
        <v>1082.5</v>
      </c>
      <c r="DD32" s="46">
        <f t="shared" si="25"/>
        <v>15299.299999999983</v>
      </c>
      <c r="DE32" s="46">
        <f t="shared" si="26"/>
        <v>4054.1000000000013</v>
      </c>
      <c r="DF32" s="46">
        <f t="shared" si="27"/>
        <v>6649.4000000000178</v>
      </c>
      <c r="DG32" s="46">
        <f t="shared" si="28"/>
        <v>12622.999999999978</v>
      </c>
      <c r="DI32" s="316">
        <v>2006</v>
      </c>
      <c r="DJ32" s="88">
        <f t="shared" si="29"/>
        <v>5.5878093029962307E-2</v>
      </c>
      <c r="DK32" s="88">
        <f t="shared" si="30"/>
        <v>5.2681526182596847E-2</v>
      </c>
      <c r="DL32" s="88">
        <f t="shared" si="31"/>
        <v>7.8203966298171043E-2</v>
      </c>
      <c r="DM32" s="88">
        <f t="shared" si="32"/>
        <v>8.3017809276714455E-2</v>
      </c>
      <c r="DN32" s="88">
        <f t="shared" si="33"/>
        <v>3.1613498898419835E-2</v>
      </c>
      <c r="DO32" s="88">
        <f t="shared" si="34"/>
        <v>1.9854096065324865E-2</v>
      </c>
      <c r="DQ32" s="316">
        <v>2006</v>
      </c>
      <c r="DR32" s="61">
        <v>535170.19999999995</v>
      </c>
      <c r="DS32" s="61">
        <v>537.26099999999997</v>
      </c>
      <c r="DT32" s="61">
        <v>518979.7</v>
      </c>
      <c r="DU32" s="61">
        <v>521.7876</v>
      </c>
      <c r="DV32" s="89">
        <v>0.3</v>
      </c>
      <c r="DW32" s="46">
        <f t="shared" si="6"/>
        <v>533569.49152542371</v>
      </c>
      <c r="DX32" s="61">
        <v>533.52631578947376</v>
      </c>
      <c r="DY32" s="46">
        <f t="shared" si="7"/>
        <v>517427.41774675978</v>
      </c>
      <c r="DZ32" s="61">
        <v>518.16047666335658</v>
      </c>
      <c r="EB32" s="316">
        <v>2006</v>
      </c>
      <c r="EC32" s="88">
        <f t="shared" si="8"/>
        <v>4.5183382781776714E-2</v>
      </c>
      <c r="ED32" s="88">
        <f t="shared" si="9"/>
        <v>1.1383294510793017E-3</v>
      </c>
      <c r="EE32" s="88">
        <f t="shared" si="10"/>
        <v>2.5707148865912195E-2</v>
      </c>
      <c r="EF32" s="88">
        <f t="shared" si="11"/>
        <v>4.5118356739594244E-3</v>
      </c>
      <c r="EG32" s="88">
        <f t="shared" si="12"/>
        <v>1.1823715147069102E-2</v>
      </c>
      <c r="EH32" s="88">
        <f t="shared" si="13"/>
        <v>3.0708922133556766E-2</v>
      </c>
      <c r="EI32" s="140"/>
      <c r="EJ32" s="316">
        <v>2006</v>
      </c>
      <c r="EK32" s="88">
        <f t="shared" si="14"/>
        <v>0.7458499901526654</v>
      </c>
      <c r="EL32" s="88">
        <f t="shared" si="15"/>
        <v>3.543924512239284E-2</v>
      </c>
      <c r="EM32" s="88">
        <f t="shared" si="16"/>
        <v>0.3485251742342903</v>
      </c>
      <c r="EN32" s="88">
        <f t="shared" si="17"/>
        <v>8.3397759254906195E-2</v>
      </c>
      <c r="EO32" s="88">
        <f t="shared" si="18"/>
        <v>0.37210036022185095</v>
      </c>
      <c r="EP32" s="88">
        <f t="shared" si="19"/>
        <v>1.1024288482430451</v>
      </c>
      <c r="ER32" s="316">
        <v>2006</v>
      </c>
      <c r="ES32" s="317">
        <f t="shared" si="35"/>
        <v>127770</v>
      </c>
      <c r="ET32" s="318">
        <v>17435</v>
      </c>
      <c r="EU32" s="318">
        <v>83731</v>
      </c>
      <c r="EV32" s="318">
        <v>26604</v>
      </c>
      <c r="EW32" s="88">
        <f t="shared" si="36"/>
        <v>0.13645613211238944</v>
      </c>
      <c r="EX32" s="88">
        <f t="shared" si="36"/>
        <v>0.65532597636377865</v>
      </c>
      <c r="EY32" s="88">
        <f t="shared" si="36"/>
        <v>0.20821789152383188</v>
      </c>
      <c r="EZ32" s="88">
        <f t="shared" si="41"/>
        <v>-1.1761388787820681E-3</v>
      </c>
      <c r="FA32" s="88">
        <f t="shared" si="41"/>
        <v>-5.4184979959984725E-3</v>
      </c>
      <c r="FB32" s="88">
        <f t="shared" si="41"/>
        <v>6.5946368747804851E-3</v>
      </c>
      <c r="FD32" s="316">
        <v>2006</v>
      </c>
      <c r="FE32" s="159">
        <v>1.7417016129032258E-2</v>
      </c>
      <c r="FF32" s="159">
        <v>1.7000000000000001E-2</v>
      </c>
      <c r="FG32" s="159">
        <v>6.0000000000000001E-3</v>
      </c>
      <c r="FH32" s="159">
        <v>0.02</v>
      </c>
      <c r="FI32" s="319">
        <f t="shared" si="42"/>
        <v>1.1417016129032257E-2</v>
      </c>
      <c r="FK32" s="345">
        <f t="shared" si="43"/>
        <v>1.5893406245198749E-3</v>
      </c>
      <c r="FL32" s="345">
        <f t="shared" si="44"/>
        <v>-7.7067129936855272E-3</v>
      </c>
      <c r="FM32" s="345">
        <f t="shared" si="45"/>
        <v>-1.5691877910648921E-3</v>
      </c>
      <c r="FN32" s="38"/>
      <c r="FO32" s="316">
        <v>2006</v>
      </c>
      <c r="FP32" s="61">
        <v>203157.5818433786</v>
      </c>
      <c r="FQ32" s="61">
        <v>6371.8726568111861</v>
      </c>
      <c r="FR32" s="61">
        <v>106796.92237607279</v>
      </c>
      <c r="FS32" s="61">
        <v>16224.427528678531</v>
      </c>
      <c r="FT32" s="61">
        <v>54666.049505975912</v>
      </c>
      <c r="FU32" s="61">
        <v>177831.62141183708</v>
      </c>
      <c r="FV32" s="46">
        <f t="shared" si="38"/>
        <v>565048.47532275412</v>
      </c>
    </row>
    <row r="33" spans="1:178" hidden="1" outlineLevel="1">
      <c r="A33" s="316">
        <v>2007</v>
      </c>
      <c r="B33" s="61">
        <v>357722.7</v>
      </c>
      <c r="C33" s="61">
        <v>21039.9</v>
      </c>
      <c r="D33" s="61">
        <v>149919</v>
      </c>
      <c r="E33" s="61">
        <v>39257.300000000003</v>
      </c>
      <c r="F33" s="61">
        <v>202086.5</v>
      </c>
      <c r="G33" s="61">
        <v>578772.30000000005</v>
      </c>
      <c r="I33" s="316">
        <v>2007</v>
      </c>
      <c r="J33" s="61">
        <v>353066.7</v>
      </c>
      <c r="K33" s="61">
        <v>20900.400000000001</v>
      </c>
      <c r="L33" s="61">
        <v>149031.29999999999</v>
      </c>
      <c r="M33" s="61">
        <v>39349.300000000003</v>
      </c>
      <c r="N33" s="61">
        <v>202792</v>
      </c>
      <c r="O33" s="61">
        <v>581291.1</v>
      </c>
      <c r="Q33" s="316">
        <v>2007</v>
      </c>
      <c r="R33" s="75">
        <v>403714.8</v>
      </c>
      <c r="S33" s="75">
        <v>18765.5</v>
      </c>
      <c r="T33" s="75">
        <v>187429</v>
      </c>
      <c r="U33" s="75">
        <v>44088.2</v>
      </c>
      <c r="V33" s="75">
        <v>202436.4</v>
      </c>
      <c r="W33" s="75">
        <v>606659.1</v>
      </c>
      <c r="Y33" s="316">
        <v>2007</v>
      </c>
      <c r="Z33" s="75">
        <v>420606.4</v>
      </c>
      <c r="AA33" s="75">
        <v>19658.7</v>
      </c>
      <c r="AB33" s="75">
        <v>193626.9</v>
      </c>
      <c r="AC33" s="75">
        <v>46462.2</v>
      </c>
      <c r="AD33" s="75">
        <v>209997.3</v>
      </c>
      <c r="AE33" s="75">
        <v>645609.80000000005</v>
      </c>
      <c r="AG33" s="316">
        <v>2007</v>
      </c>
      <c r="AH33" s="48">
        <f t="shared" si="46"/>
        <v>0.95983988831363476</v>
      </c>
      <c r="AI33" s="48">
        <f t="shared" si="46"/>
        <v>0.95456464567850363</v>
      </c>
      <c r="AJ33" s="48">
        <f t="shared" si="46"/>
        <v>0.96799050131980635</v>
      </c>
      <c r="AK33" s="48">
        <f t="shared" si="46"/>
        <v>0.94890470102578006</v>
      </c>
      <c r="AL33" s="48">
        <f t="shared" si="46"/>
        <v>0.96399525136751762</v>
      </c>
      <c r="AM33" s="48">
        <f t="shared" si="46"/>
        <v>0.93966835695492845</v>
      </c>
      <c r="AO33" s="316">
        <v>2007</v>
      </c>
      <c r="AP33" s="62">
        <v>1.7315644383183892E-2</v>
      </c>
      <c r="AS33" s="316">
        <v>2007</v>
      </c>
      <c r="AT33" s="308">
        <f t="shared" si="39"/>
        <v>1.4614002496145195E-2</v>
      </c>
      <c r="AU33" s="308">
        <f t="shared" si="39"/>
        <v>1.5884190828545197E-2</v>
      </c>
      <c r="AV33" s="308">
        <f t="shared" si="39"/>
        <v>1.4693514272648311E-2</v>
      </c>
      <c r="AW33" s="308">
        <f t="shared" si="39"/>
        <v>1.734969173069012E-2</v>
      </c>
      <c r="AX33" s="308">
        <f t="shared" si="39"/>
        <v>2.1985561120082764E-2</v>
      </c>
      <c r="AY33" s="308">
        <f t="shared" si="39"/>
        <v>2.454312128363334E-2</v>
      </c>
      <c r="BA33" s="316">
        <v>2007</v>
      </c>
      <c r="BB33" s="61">
        <v>18279.8</v>
      </c>
      <c r="BC33" s="61">
        <v>555.6</v>
      </c>
      <c r="BD33" s="61">
        <v>9540.6</v>
      </c>
      <c r="BE33" s="61">
        <v>1937.4</v>
      </c>
      <c r="BF33" s="61">
        <v>5763.2</v>
      </c>
      <c r="BG33" s="61">
        <v>15652.7</v>
      </c>
      <c r="BI33" s="316">
        <v>2007</v>
      </c>
      <c r="BJ33" s="61">
        <v>18184.3</v>
      </c>
      <c r="BK33" s="61">
        <v>557.6</v>
      </c>
      <c r="BL33" s="61">
        <v>9593.2000000000007</v>
      </c>
      <c r="BM33" s="61">
        <v>2236.8000000000002</v>
      </c>
      <c r="BN33" s="61">
        <v>5880.5</v>
      </c>
      <c r="BO33" s="61">
        <v>16007.2</v>
      </c>
      <c r="BQ33" s="316">
        <v>2007</v>
      </c>
      <c r="BR33" s="75">
        <v>22294.1</v>
      </c>
      <c r="BS33" s="75">
        <v>560.20000000000005</v>
      </c>
      <c r="BT33" s="75">
        <v>13354.7</v>
      </c>
      <c r="BU33" s="75">
        <v>2265.1</v>
      </c>
      <c r="BV33" s="75">
        <v>5838.4</v>
      </c>
      <c r="BW33" s="75">
        <v>15557.3</v>
      </c>
      <c r="BY33" s="316">
        <v>2007</v>
      </c>
      <c r="BZ33" s="75">
        <v>23377.7</v>
      </c>
      <c r="CA33" s="75">
        <v>594.5</v>
      </c>
      <c r="CB33" s="75">
        <v>13962.9</v>
      </c>
      <c r="CC33" s="75">
        <v>2700</v>
      </c>
      <c r="CD33" s="75">
        <v>6165.3</v>
      </c>
      <c r="CE33" s="75">
        <v>16941.3</v>
      </c>
      <c r="CG33" s="316">
        <v>2007</v>
      </c>
      <c r="CH33" s="48">
        <f t="shared" si="47"/>
        <v>0.95364813476090449</v>
      </c>
      <c r="CI33" s="48">
        <f t="shared" si="47"/>
        <v>0.94230445752733394</v>
      </c>
      <c r="CJ33" s="48">
        <f t="shared" si="47"/>
        <v>0.95644171339764672</v>
      </c>
      <c r="CK33" s="48">
        <f t="shared" si="47"/>
        <v>0.83892592592592585</v>
      </c>
      <c r="CL33" s="48">
        <f t="shared" si="47"/>
        <v>0.94697743824307001</v>
      </c>
      <c r="CM33" s="48">
        <f t="shared" si="47"/>
        <v>0.91830615123986947</v>
      </c>
      <c r="CO33" s="316">
        <v>2007</v>
      </c>
      <c r="CP33" s="62">
        <v>1.7315644383183892E-2</v>
      </c>
      <c r="CS33" s="316">
        <v>2007</v>
      </c>
      <c r="CT33" s="308">
        <f t="shared" si="40"/>
        <v>1.9340407062533815E-2</v>
      </c>
      <c r="CU33" s="308">
        <f t="shared" si="40"/>
        <v>1.8561203679825056E-2</v>
      </c>
      <c r="CV33" s="308">
        <f t="shared" si="40"/>
        <v>1.504051408547058E-2</v>
      </c>
      <c r="CW33" s="308">
        <f t="shared" si="40"/>
        <v>1.7370536029278627E-2</v>
      </c>
      <c r="CX33" s="308">
        <f t="shared" si="40"/>
        <v>1.7674870457939029E-2</v>
      </c>
      <c r="CY33" s="308">
        <f t="shared" si="40"/>
        <v>1.6280413041809716E-2</v>
      </c>
      <c r="DA33" s="316">
        <v>2007</v>
      </c>
      <c r="DB33" s="46">
        <f t="shared" si="23"/>
        <v>23444.2</v>
      </c>
      <c r="DC33" s="46">
        <f t="shared" si="24"/>
        <v>1059.7999999999993</v>
      </c>
      <c r="DD33" s="46">
        <f t="shared" si="25"/>
        <v>15270.600000000011</v>
      </c>
      <c r="DE33" s="46">
        <f t="shared" si="26"/>
        <v>3946</v>
      </c>
      <c r="DF33" s="46">
        <f t="shared" si="27"/>
        <v>6652.900000000006</v>
      </c>
      <c r="DG33" s="46">
        <f t="shared" si="28"/>
        <v>12684.599999999929</v>
      </c>
      <c r="DI33" s="316">
        <v>2007</v>
      </c>
      <c r="DJ33" s="88">
        <f t="shared" si="29"/>
        <v>5.5730236009973545E-2</v>
      </c>
      <c r="DK33" s="88">
        <f t="shared" si="30"/>
        <v>5.2663486384416577E-2</v>
      </c>
      <c r="DL33" s="88">
        <f t="shared" si="31"/>
        <v>7.833704226956123E-2</v>
      </c>
      <c r="DM33" s="88">
        <f t="shared" si="32"/>
        <v>8.2711148188361755E-2</v>
      </c>
      <c r="DN33" s="88">
        <f t="shared" si="33"/>
        <v>3.1607492984057316E-2</v>
      </c>
      <c r="DO33" s="88">
        <f t="shared" si="34"/>
        <v>1.9777872750595466E-2</v>
      </c>
      <c r="DQ33" s="316">
        <v>2007</v>
      </c>
      <c r="DR33" s="61">
        <v>539281.69999999995</v>
      </c>
      <c r="DS33" s="61">
        <v>538.48400000000004</v>
      </c>
      <c r="DT33" s="61">
        <v>526681.19999999995</v>
      </c>
      <c r="DU33" s="61">
        <v>527.27</v>
      </c>
      <c r="DV33" s="89">
        <v>1.6</v>
      </c>
      <c r="DW33" s="46">
        <f t="shared" si="6"/>
        <v>530789.07480314956</v>
      </c>
      <c r="DX33" s="61">
        <v>530.00393700787401</v>
      </c>
      <c r="DY33" s="46">
        <f t="shared" si="7"/>
        <v>518387.00787401572</v>
      </c>
      <c r="DZ33" s="61">
        <v>518.96653543307082</v>
      </c>
      <c r="EB33" s="316">
        <v>2007</v>
      </c>
      <c r="EC33" s="88">
        <f t="shared" si="8"/>
        <v>4.1340360705731348E-2</v>
      </c>
      <c r="ED33" s="88">
        <f t="shared" si="9"/>
        <v>1.0387891893976749E-3</v>
      </c>
      <c r="EE33" s="88">
        <f t="shared" si="10"/>
        <v>2.4763866454211227E-2</v>
      </c>
      <c r="EF33" s="88">
        <f t="shared" si="11"/>
        <v>4.2002166956527547E-3</v>
      </c>
      <c r="EG33" s="88">
        <f t="shared" si="12"/>
        <v>1.0826252772901435E-2</v>
      </c>
      <c r="EH33" s="88">
        <f t="shared" si="13"/>
        <v>2.8848188247440995E-2</v>
      </c>
      <c r="EI33" s="140"/>
      <c r="EJ33" s="316">
        <v>2007</v>
      </c>
      <c r="EK33" s="88">
        <f t="shared" si="14"/>
        <v>0.76059365040571569</v>
      </c>
      <c r="EL33" s="88">
        <f t="shared" si="15"/>
        <v>3.5353968065298717E-2</v>
      </c>
      <c r="EM33" s="88">
        <f t="shared" si="16"/>
        <v>0.35311389947035104</v>
      </c>
      <c r="EN33" s="88">
        <f t="shared" si="17"/>
        <v>8.3061619187152103E-2</v>
      </c>
      <c r="EO33" s="88">
        <f t="shared" si="18"/>
        <v>0.38138765398492108</v>
      </c>
      <c r="EP33" s="88">
        <f t="shared" si="19"/>
        <v>1.1429381816590476</v>
      </c>
      <c r="ER33" s="316">
        <v>2007</v>
      </c>
      <c r="ES33" s="317">
        <f t="shared" si="35"/>
        <v>127772</v>
      </c>
      <c r="ET33" s="318">
        <v>17293</v>
      </c>
      <c r="EU33" s="318">
        <v>83015</v>
      </c>
      <c r="EV33" s="318">
        <v>27464</v>
      </c>
      <c r="EW33" s="88">
        <f t="shared" si="36"/>
        <v>0.13534264158031495</v>
      </c>
      <c r="EX33" s="88">
        <f t="shared" si="36"/>
        <v>0.64971198697680244</v>
      </c>
      <c r="EY33" s="88">
        <f t="shared" si="36"/>
        <v>0.21494537144288264</v>
      </c>
      <c r="EZ33" s="88">
        <f t="shared" si="41"/>
        <v>-1.1134905320744903E-3</v>
      </c>
      <c r="FA33" s="88">
        <f t="shared" si="41"/>
        <v>-5.6139893869762147E-3</v>
      </c>
      <c r="FB33" s="88">
        <f t="shared" si="41"/>
        <v>6.7274799190507606E-3</v>
      </c>
      <c r="FD33" s="316">
        <v>2007</v>
      </c>
      <c r="FE33" s="159">
        <v>1.6812734693877545E-2</v>
      </c>
      <c r="FF33" s="159">
        <v>1.6E-2</v>
      </c>
      <c r="FG33" s="159">
        <v>2E-3</v>
      </c>
      <c r="FH33" s="159">
        <v>2.3E-2</v>
      </c>
      <c r="FI33" s="319">
        <f t="shared" si="42"/>
        <v>1.4812734693877545E-2</v>
      </c>
      <c r="FK33" s="345">
        <f t="shared" si="43"/>
        <v>1.524395379494814E-2</v>
      </c>
      <c r="FL33" s="345">
        <f t="shared" si="44"/>
        <v>-2.4820955744392359E-3</v>
      </c>
      <c r="FM33" s="345">
        <f t="shared" si="45"/>
        <v>-2.9310195183660584E-3</v>
      </c>
      <c r="FN33" s="38"/>
      <c r="FO33" s="316">
        <v>2007</v>
      </c>
      <c r="FP33" s="61">
        <v>182368.08658647974</v>
      </c>
      <c r="FQ33" s="61">
        <v>5931.8477660247218</v>
      </c>
      <c r="FR33" s="61">
        <v>100901.01828428419</v>
      </c>
      <c r="FS33" s="61">
        <v>14760.282435585716</v>
      </c>
      <c r="FT33" s="61">
        <v>53797.225260160587</v>
      </c>
      <c r="FU33" s="61">
        <v>165996.1534714429</v>
      </c>
      <c r="FV33" s="46">
        <f t="shared" si="38"/>
        <v>523754.61380397785</v>
      </c>
    </row>
    <row r="34" spans="1:178" hidden="1" outlineLevel="1">
      <c r="A34" s="316">
        <v>2008</v>
      </c>
      <c r="B34" s="61">
        <v>361115.8</v>
      </c>
      <c r="C34" s="61">
        <v>20982.2</v>
      </c>
      <c r="D34" s="61">
        <v>149603.6</v>
      </c>
      <c r="E34" s="61">
        <v>38737.599999999999</v>
      </c>
      <c r="F34" s="61">
        <v>206649.2</v>
      </c>
      <c r="G34" s="61">
        <v>590549.1</v>
      </c>
      <c r="I34" s="316">
        <v>2008</v>
      </c>
      <c r="J34" s="61">
        <v>351685.4</v>
      </c>
      <c r="K34" s="61">
        <v>20483</v>
      </c>
      <c r="L34" s="61">
        <v>146544.20000000001</v>
      </c>
      <c r="M34" s="61">
        <v>38254.5</v>
      </c>
      <c r="N34" s="61">
        <v>202134.7</v>
      </c>
      <c r="O34" s="61">
        <v>582700.1</v>
      </c>
      <c r="Q34" s="316">
        <v>2008</v>
      </c>
      <c r="R34" s="75">
        <v>408286.1</v>
      </c>
      <c r="S34" s="75">
        <v>18612.8</v>
      </c>
      <c r="T34" s="75">
        <v>188355.20000000001</v>
      </c>
      <c r="U34" s="75">
        <v>43608.3</v>
      </c>
      <c r="V34" s="75">
        <v>207094.8</v>
      </c>
      <c r="W34" s="75">
        <v>621474.5</v>
      </c>
      <c r="Y34" s="316">
        <v>2008</v>
      </c>
      <c r="Z34" s="75">
        <v>419186.9</v>
      </c>
      <c r="AA34" s="75">
        <v>19156.5</v>
      </c>
      <c r="AB34" s="75">
        <v>191547</v>
      </c>
      <c r="AC34" s="75">
        <v>45238.6</v>
      </c>
      <c r="AD34" s="75">
        <v>209264.3</v>
      </c>
      <c r="AE34" s="75">
        <v>648272.4</v>
      </c>
      <c r="AG34" s="316">
        <v>2008</v>
      </c>
      <c r="AH34" s="48">
        <f t="shared" si="46"/>
        <v>0.97399537056143681</v>
      </c>
      <c r="AI34" s="48">
        <f t="shared" si="46"/>
        <v>0.97161798867225224</v>
      </c>
      <c r="AJ34" s="48">
        <f t="shared" si="46"/>
        <v>0.98333672675635753</v>
      </c>
      <c r="AK34" s="48">
        <f t="shared" si="46"/>
        <v>0.96396219157975715</v>
      </c>
      <c r="AL34" s="48">
        <f t="shared" si="46"/>
        <v>0.98963272760810128</v>
      </c>
      <c r="AM34" s="48">
        <f t="shared" si="46"/>
        <v>0.95866259307044377</v>
      </c>
      <c r="AO34" s="316">
        <v>2008</v>
      </c>
      <c r="AP34" s="62">
        <v>4.5727834702342651E-2</v>
      </c>
      <c r="AS34" s="316">
        <v>2008</v>
      </c>
      <c r="AT34" s="308">
        <f t="shared" si="39"/>
        <v>1.4747753682827325E-2</v>
      </c>
      <c r="AU34" s="308">
        <f t="shared" si="39"/>
        <v>1.7865047769108466E-2</v>
      </c>
      <c r="AV34" s="308">
        <f t="shared" si="39"/>
        <v>1.5853694241449112E-2</v>
      </c>
      <c r="AW34" s="308">
        <f t="shared" si="39"/>
        <v>1.5868285337505172E-2</v>
      </c>
      <c r="AX34" s="308">
        <f t="shared" si="39"/>
        <v>2.6595023371966287E-2</v>
      </c>
      <c r="AY34" s="308">
        <f t="shared" si="39"/>
        <v>2.0213765819536267E-2</v>
      </c>
      <c r="BA34" s="316">
        <v>2008</v>
      </c>
      <c r="BB34" s="61">
        <v>17492.3</v>
      </c>
      <c r="BC34" s="61">
        <v>510.5</v>
      </c>
      <c r="BD34" s="61">
        <v>9142.2000000000007</v>
      </c>
      <c r="BE34" s="61">
        <v>1946.2</v>
      </c>
      <c r="BF34" s="61">
        <v>5911.5</v>
      </c>
      <c r="BG34" s="61">
        <v>14744.2</v>
      </c>
      <c r="BI34" s="316">
        <v>2008</v>
      </c>
      <c r="BJ34" s="61">
        <v>16986.8</v>
      </c>
      <c r="BK34" s="61">
        <v>497.5</v>
      </c>
      <c r="BL34" s="61">
        <v>8906.9</v>
      </c>
      <c r="BM34" s="61">
        <v>2176.9</v>
      </c>
      <c r="BN34" s="61">
        <v>5736.1</v>
      </c>
      <c r="BO34" s="61">
        <v>14443.6</v>
      </c>
      <c r="BQ34" s="316">
        <v>2008</v>
      </c>
      <c r="BR34" s="75">
        <v>21446.6</v>
      </c>
      <c r="BS34" s="75">
        <v>518</v>
      </c>
      <c r="BT34" s="75">
        <v>12953.1</v>
      </c>
      <c r="BU34" s="75">
        <v>2272.1999999999998</v>
      </c>
      <c r="BV34" s="75">
        <v>5877.8</v>
      </c>
      <c r="BW34" s="75">
        <v>14751.2</v>
      </c>
      <c r="BY34" s="316">
        <v>2008</v>
      </c>
      <c r="BZ34" s="75">
        <v>21929</v>
      </c>
      <c r="CA34" s="75">
        <v>533</v>
      </c>
      <c r="CB34" s="75">
        <v>13113.3</v>
      </c>
      <c r="CC34" s="75">
        <v>2621.8</v>
      </c>
      <c r="CD34" s="75">
        <v>5900.3</v>
      </c>
      <c r="CE34" s="75">
        <v>15384.2</v>
      </c>
      <c r="CG34" s="316">
        <v>2008</v>
      </c>
      <c r="CH34" s="48">
        <f t="shared" si="47"/>
        <v>0.97800173286515568</v>
      </c>
      <c r="CI34" s="48">
        <f t="shared" si="47"/>
        <v>0.97185741088180111</v>
      </c>
      <c r="CJ34" s="48">
        <f t="shared" si="47"/>
        <v>0.98778339548397431</v>
      </c>
      <c r="CK34" s="48">
        <f t="shared" si="47"/>
        <v>0.86665649553741686</v>
      </c>
      <c r="CL34" s="48">
        <f t="shared" si="47"/>
        <v>0.9961866345779028</v>
      </c>
      <c r="CM34" s="48">
        <f t="shared" si="47"/>
        <v>0.95885388905500446</v>
      </c>
      <c r="CO34" s="316">
        <v>2008</v>
      </c>
      <c r="CP34" s="62">
        <v>4.5727834702342651E-2</v>
      </c>
      <c r="CS34" s="316">
        <v>2008</v>
      </c>
      <c r="CT34" s="308">
        <f t="shared" si="40"/>
        <v>2.5537299572611305E-2</v>
      </c>
      <c r="CU34" s="308">
        <f t="shared" si="40"/>
        <v>3.136242550737367E-2</v>
      </c>
      <c r="CV34" s="308">
        <f t="shared" si="40"/>
        <v>3.2769045564721377E-2</v>
      </c>
      <c r="CW34" s="308">
        <f t="shared" si="40"/>
        <v>3.305484877092657E-2</v>
      </c>
      <c r="CX34" s="308">
        <f t="shared" si="40"/>
        <v>5.1964486531094867E-2</v>
      </c>
      <c r="CY34" s="308">
        <f t="shared" si="40"/>
        <v>4.4154923453783468E-2</v>
      </c>
      <c r="DA34" s="316">
        <v>2008</v>
      </c>
      <c r="DB34" s="46">
        <f t="shared" si="23"/>
        <v>23348.5</v>
      </c>
      <c r="DC34" s="46">
        <f t="shared" si="24"/>
        <v>1035.2000000000007</v>
      </c>
      <c r="DD34" s="46">
        <f t="shared" si="25"/>
        <v>15193.199999999993</v>
      </c>
      <c r="DE34" s="46">
        <f t="shared" si="26"/>
        <v>3845.3999999999987</v>
      </c>
      <c r="DF34" s="46">
        <f t="shared" si="27"/>
        <v>6633.3</v>
      </c>
      <c r="DG34" s="46">
        <f t="shared" si="28"/>
        <v>12721.600000000024</v>
      </c>
      <c r="DI34" s="316">
        <v>2008</v>
      </c>
      <c r="DJ34" s="88">
        <f t="shared" si="29"/>
        <v>5.5511518607420138E-2</v>
      </c>
      <c r="DK34" s="88">
        <f t="shared" si="30"/>
        <v>5.265861933902042E-2</v>
      </c>
      <c r="DL34" s="88">
        <f t="shared" si="31"/>
        <v>7.8466370116962017E-2</v>
      </c>
      <c r="DM34" s="88">
        <f t="shared" si="32"/>
        <v>8.2764053359505124E-2</v>
      </c>
      <c r="DN34" s="88">
        <f t="shared" si="33"/>
        <v>3.1587548982772641E-2</v>
      </c>
      <c r="DO34" s="88">
        <f t="shared" si="34"/>
        <v>1.970478143299563E-2</v>
      </c>
      <c r="DQ34" s="316">
        <v>2008</v>
      </c>
      <c r="DR34" s="61">
        <v>527823.80000000005</v>
      </c>
      <c r="DS34" s="61">
        <v>516.17399999999998</v>
      </c>
      <c r="DT34" s="61">
        <v>520233.1</v>
      </c>
      <c r="DU34" s="61">
        <v>508.26190000000003</v>
      </c>
      <c r="DV34" s="89">
        <v>0.4</v>
      </c>
      <c r="DW34" s="46">
        <f t="shared" si="6"/>
        <v>525720.91633466142</v>
      </c>
      <c r="DX34" s="61">
        <v>525.63543788187371</v>
      </c>
      <c r="DY34" s="46">
        <f t="shared" si="7"/>
        <v>518160.45816733065</v>
      </c>
      <c r="DZ34" s="61">
        <v>517.57830957230146</v>
      </c>
      <c r="EB34" s="316">
        <v>2008</v>
      </c>
      <c r="EC34" s="88">
        <f t="shared" si="8"/>
        <v>4.06321200370275E-2</v>
      </c>
      <c r="ED34" s="88">
        <f t="shared" si="9"/>
        <v>9.8138810716758115E-4</v>
      </c>
      <c r="EE34" s="88">
        <f t="shared" si="10"/>
        <v>2.4540575851259454E-2</v>
      </c>
      <c r="EF34" s="88">
        <f t="shared" si="11"/>
        <v>4.3048456700891463E-3</v>
      </c>
      <c r="EG34" s="88">
        <f t="shared" si="12"/>
        <v>1.1135913158898858E-2</v>
      </c>
      <c r="EH34" s="88">
        <f t="shared" si="13"/>
        <v>2.7947205108977653E-2</v>
      </c>
      <c r="EI34" s="140"/>
      <c r="EJ34" s="316">
        <v>2008</v>
      </c>
      <c r="EK34" s="88">
        <f t="shared" si="14"/>
        <v>0.77662137326888236</v>
      </c>
      <c r="EL34" s="88">
        <f t="shared" si="15"/>
        <v>3.5404336068210633E-2</v>
      </c>
      <c r="EM34" s="88">
        <f t="shared" si="16"/>
        <v>0.3582798289883859</v>
      </c>
      <c r="EN34" s="88">
        <f t="shared" si="17"/>
        <v>8.2949524443573772E-2</v>
      </c>
      <c r="EO34" s="88">
        <f t="shared" si="18"/>
        <v>0.39392535766670611</v>
      </c>
      <c r="EP34" s="88">
        <f t="shared" si="19"/>
        <v>1.1821376717002907</v>
      </c>
      <c r="ER34" s="316">
        <v>2008</v>
      </c>
      <c r="ES34" s="317">
        <f t="shared" si="35"/>
        <v>127692</v>
      </c>
      <c r="ET34" s="318">
        <v>17176</v>
      </c>
      <c r="EU34" s="318">
        <v>82300</v>
      </c>
      <c r="EV34" s="318">
        <v>28216</v>
      </c>
      <c r="EW34" s="88">
        <f t="shared" si="36"/>
        <v>0.13451116749678915</v>
      </c>
      <c r="EX34" s="88">
        <f t="shared" si="36"/>
        <v>0.64451962534849483</v>
      </c>
      <c r="EY34" s="88">
        <f t="shared" si="36"/>
        <v>0.22096920715471605</v>
      </c>
      <c r="EZ34" s="88">
        <f t="shared" si="41"/>
        <v>-8.314740835257961E-4</v>
      </c>
      <c r="FA34" s="88">
        <f t="shared" si="41"/>
        <v>-5.1923616283076068E-3</v>
      </c>
      <c r="FB34" s="88">
        <f t="shared" si="41"/>
        <v>6.0238357118334029E-3</v>
      </c>
      <c r="FD34" s="316">
        <v>2008</v>
      </c>
      <c r="FE34" s="159">
        <v>1.4929469387755117E-2</v>
      </c>
      <c r="FF34" s="159">
        <v>1.3999999999999999E-2</v>
      </c>
      <c r="FG34" s="159">
        <v>-1E-3</v>
      </c>
      <c r="FH34" s="159">
        <v>3.1E-2</v>
      </c>
      <c r="FI34" s="319">
        <f t="shared" si="42"/>
        <v>1.5929469387755118E-2</v>
      </c>
      <c r="FK34" s="345">
        <f t="shared" si="43"/>
        <v>2.6102939298977557E-2</v>
      </c>
      <c r="FL34" s="345">
        <f t="shared" si="44"/>
        <v>4.2497862021163568E-3</v>
      </c>
      <c r="FM34" s="345">
        <f t="shared" si="45"/>
        <v>-2.4092006756402089E-3</v>
      </c>
      <c r="FN34" s="38"/>
      <c r="FO34" s="316">
        <v>2008</v>
      </c>
      <c r="FP34" s="61">
        <v>170607.51258486437</v>
      </c>
      <c r="FQ34" s="61">
        <v>5355.6623268122285</v>
      </c>
      <c r="FR34" s="61">
        <v>100729.71987110993</v>
      </c>
      <c r="FS34" s="61">
        <v>15590.329151572929</v>
      </c>
      <c r="FT34" s="61">
        <v>52495.54100616405</v>
      </c>
      <c r="FU34" s="61">
        <v>154155.20868274386</v>
      </c>
      <c r="FV34" s="46">
        <f t="shared" si="38"/>
        <v>498933.97362326737</v>
      </c>
    </row>
    <row r="35" spans="1:178" hidden="1" outlineLevel="1">
      <c r="A35" s="316">
        <v>2009</v>
      </c>
      <c r="B35" s="61">
        <v>345605.5</v>
      </c>
      <c r="C35" s="61">
        <v>19889.7</v>
      </c>
      <c r="D35" s="61">
        <v>141311.6</v>
      </c>
      <c r="E35" s="61">
        <v>37002.5</v>
      </c>
      <c r="F35" s="61">
        <v>199035.4</v>
      </c>
      <c r="G35" s="61">
        <v>575743.80000000005</v>
      </c>
      <c r="I35" s="316">
        <v>2009</v>
      </c>
      <c r="J35" s="61">
        <v>347672.9</v>
      </c>
      <c r="K35" s="61">
        <v>20141.5</v>
      </c>
      <c r="L35" s="61">
        <v>143296.20000000001</v>
      </c>
      <c r="M35" s="61">
        <v>37835.4</v>
      </c>
      <c r="N35" s="61">
        <v>201225.7</v>
      </c>
      <c r="O35" s="61">
        <v>584939.80000000005</v>
      </c>
      <c r="Q35" s="316">
        <v>2009</v>
      </c>
      <c r="R35" s="75">
        <v>390828</v>
      </c>
      <c r="S35" s="75">
        <v>17545.5</v>
      </c>
      <c r="T35" s="75">
        <v>179002.9</v>
      </c>
      <c r="U35" s="75">
        <v>41787.699999999997</v>
      </c>
      <c r="V35" s="75">
        <v>199450.4</v>
      </c>
      <c r="W35" s="75">
        <v>606961.6</v>
      </c>
      <c r="Y35" s="316">
        <v>2009</v>
      </c>
      <c r="Z35" s="75">
        <v>414018.4</v>
      </c>
      <c r="AA35" s="75">
        <v>18714.099999999999</v>
      </c>
      <c r="AB35" s="75">
        <v>188267.7</v>
      </c>
      <c r="AC35" s="75">
        <v>44850.6</v>
      </c>
      <c r="AD35" s="75">
        <v>208329.3</v>
      </c>
      <c r="AE35" s="75">
        <v>651658</v>
      </c>
      <c r="AG35" s="316">
        <v>2009</v>
      </c>
      <c r="AH35" s="48">
        <f t="shared" si="46"/>
        <v>0.94398703052811173</v>
      </c>
      <c r="AI35" s="48">
        <f t="shared" si="46"/>
        <v>0.93755510550868071</v>
      </c>
      <c r="AJ35" s="48">
        <f t="shared" si="46"/>
        <v>0.95078922194300974</v>
      </c>
      <c r="AK35" s="48">
        <f t="shared" si="46"/>
        <v>0.93170882886739526</v>
      </c>
      <c r="AL35" s="48">
        <f t="shared" si="46"/>
        <v>0.95738045488560664</v>
      </c>
      <c r="AM35" s="48">
        <f t="shared" si="46"/>
        <v>0.93141126173545019</v>
      </c>
      <c r="AO35" s="316">
        <v>2009</v>
      </c>
      <c r="AP35" s="62">
        <v>-5.2473884525060077E-2</v>
      </c>
      <c r="AS35" s="316">
        <v>2009</v>
      </c>
      <c r="AT35" s="308">
        <f t="shared" si="39"/>
        <v>-3.0809530456009759E-2</v>
      </c>
      <c r="AU35" s="308">
        <f t="shared" si="39"/>
        <v>-3.505789678731619E-2</v>
      </c>
      <c r="AV35" s="308">
        <f t="shared" si="39"/>
        <v>-3.3099043214534718E-2</v>
      </c>
      <c r="AW35" s="308">
        <f t="shared" si="39"/>
        <v>-3.3459157417268126E-2</v>
      </c>
      <c r="AX35" s="308">
        <f t="shared" si="39"/>
        <v>-3.2590143618680623E-2</v>
      </c>
      <c r="AY35" s="308">
        <f t="shared" si="39"/>
        <v>-2.842640521490658E-2</v>
      </c>
      <c r="BA35" s="316">
        <v>2009</v>
      </c>
      <c r="BB35" s="61">
        <v>14273.9</v>
      </c>
      <c r="BC35" s="61">
        <v>552.6</v>
      </c>
      <c r="BD35" s="61">
        <v>7940.8</v>
      </c>
      <c r="BE35" s="61">
        <v>2478.1</v>
      </c>
      <c r="BF35" s="61">
        <v>5446.1</v>
      </c>
      <c r="BG35" s="61">
        <v>15126.8</v>
      </c>
      <c r="BI35" s="316">
        <v>2009</v>
      </c>
      <c r="BJ35" s="61">
        <v>14196.2</v>
      </c>
      <c r="BK35" s="61">
        <v>553.70000000000005</v>
      </c>
      <c r="BL35" s="61">
        <v>7953.7</v>
      </c>
      <c r="BM35" s="61">
        <v>2851.5</v>
      </c>
      <c r="BN35" s="61">
        <v>5444.9</v>
      </c>
      <c r="BO35" s="61">
        <v>15220.8</v>
      </c>
      <c r="BQ35" s="316">
        <v>2009</v>
      </c>
      <c r="BR35" s="75">
        <v>17262.400000000001</v>
      </c>
      <c r="BS35" s="75">
        <v>535.1</v>
      </c>
      <c r="BT35" s="75">
        <v>11338.5</v>
      </c>
      <c r="BU35" s="75">
        <v>2913.6</v>
      </c>
      <c r="BV35" s="75">
        <v>5473.4</v>
      </c>
      <c r="BW35" s="75">
        <v>15060.6</v>
      </c>
      <c r="BY35" s="316">
        <v>2009</v>
      </c>
      <c r="BZ35" s="75">
        <v>18034.7</v>
      </c>
      <c r="CA35" s="75">
        <v>565.20000000000005</v>
      </c>
      <c r="CB35" s="75">
        <v>11777.4</v>
      </c>
      <c r="CC35" s="75">
        <v>3451.1</v>
      </c>
      <c r="CD35" s="75">
        <v>5655.2</v>
      </c>
      <c r="CE35" s="75">
        <v>16105.8</v>
      </c>
      <c r="CG35" s="316">
        <v>2009</v>
      </c>
      <c r="CH35" s="48">
        <f t="shared" si="47"/>
        <v>0.95717699767670106</v>
      </c>
      <c r="CI35" s="48">
        <f t="shared" si="47"/>
        <v>0.94674451521585279</v>
      </c>
      <c r="CJ35" s="48">
        <f t="shared" si="47"/>
        <v>0.96273371032655763</v>
      </c>
      <c r="CK35" s="48">
        <f t="shared" si="47"/>
        <v>0.84425255715568948</v>
      </c>
      <c r="CL35" s="48">
        <f t="shared" si="47"/>
        <v>0.96785259584099581</v>
      </c>
      <c r="CM35" s="48">
        <f t="shared" si="47"/>
        <v>0.93510412398018117</v>
      </c>
      <c r="CO35" s="316">
        <v>2009</v>
      </c>
      <c r="CP35" s="62">
        <v>-5.2473884525060077E-2</v>
      </c>
      <c r="CS35" s="316">
        <v>2009</v>
      </c>
      <c r="CT35" s="308">
        <f t="shared" si="40"/>
        <v>-2.1293147536095347E-2</v>
      </c>
      <c r="CU35" s="308">
        <f t="shared" si="40"/>
        <v>-2.5840103069402431E-2</v>
      </c>
      <c r="CV35" s="308">
        <f t="shared" si="40"/>
        <v>-2.5359492042426268E-2</v>
      </c>
      <c r="CW35" s="308">
        <f t="shared" si="40"/>
        <v>-2.5851001518005789E-2</v>
      </c>
      <c r="CX35" s="308">
        <f t="shared" si="40"/>
        <v>-2.8442500384390779E-2</v>
      </c>
      <c r="CY35" s="308">
        <f t="shared" si="40"/>
        <v>-2.4768909367651193E-2</v>
      </c>
      <c r="DA35" s="316">
        <v>2009</v>
      </c>
      <c r="DB35" s="46">
        <f t="shared" si="23"/>
        <v>23203.200000000001</v>
      </c>
      <c r="DC35" s="46">
        <f t="shared" si="24"/>
        <v>1007.6000000000015</v>
      </c>
      <c r="DD35" s="46">
        <f t="shared" si="25"/>
        <v>15056.699999999988</v>
      </c>
      <c r="DE35" s="46">
        <f t="shared" si="26"/>
        <v>3839.1</v>
      </c>
      <c r="DF35" s="46">
        <f t="shared" si="27"/>
        <v>6590.2</v>
      </c>
      <c r="DG35" s="46">
        <f t="shared" si="28"/>
        <v>12720.200000000023</v>
      </c>
      <c r="DI35" s="316">
        <v>2009</v>
      </c>
      <c r="DJ35" s="88">
        <f t="shared" si="29"/>
        <v>5.5352874815505923E-2</v>
      </c>
      <c r="DK35" s="88">
        <f t="shared" si="30"/>
        <v>5.2598334768877486E-2</v>
      </c>
      <c r="DL35" s="88">
        <f t="shared" si="31"/>
        <v>7.8605772995661571E-2</v>
      </c>
      <c r="DM35" s="88">
        <f t="shared" si="32"/>
        <v>8.4863368892936566E-2</v>
      </c>
      <c r="DN35" s="88">
        <f t="shared" si="33"/>
        <v>3.1492232549938048E-2</v>
      </c>
      <c r="DO35" s="88">
        <f t="shared" si="34"/>
        <v>1.9621689894556704E-2</v>
      </c>
      <c r="DQ35" s="316">
        <v>2009</v>
      </c>
      <c r="DR35" s="61">
        <v>494938.4</v>
      </c>
      <c r="DS35" s="61">
        <v>497.36680000000001</v>
      </c>
      <c r="DT35" s="61">
        <v>490615</v>
      </c>
      <c r="DU35" s="61">
        <v>495.8775</v>
      </c>
      <c r="DV35" s="89">
        <v>-5.2</v>
      </c>
      <c r="DW35" s="46">
        <f t="shared" si="6"/>
        <v>522086.91983122367</v>
      </c>
      <c r="DX35" s="61">
        <v>519.17202505219211</v>
      </c>
      <c r="DY35" s="46">
        <f t="shared" si="7"/>
        <v>517526.37130801688</v>
      </c>
      <c r="DZ35" s="61">
        <v>517.61743215031322</v>
      </c>
      <c r="EB35" s="316">
        <v>2009</v>
      </c>
      <c r="EC35" s="88">
        <f t="shared" si="8"/>
        <v>3.4877875711401662E-2</v>
      </c>
      <c r="ED35" s="88">
        <f t="shared" si="9"/>
        <v>1.0811446434546199E-3</v>
      </c>
      <c r="EE35" s="88">
        <f t="shared" si="10"/>
        <v>2.2908911492824157E-2</v>
      </c>
      <c r="EF35" s="88">
        <f t="shared" si="11"/>
        <v>5.8867931847680433E-3</v>
      </c>
      <c r="EG35" s="88">
        <f t="shared" si="12"/>
        <v>1.1058749937365941E-2</v>
      </c>
      <c r="EH35" s="88">
        <f t="shared" si="13"/>
        <v>3.0429241295482426E-2</v>
      </c>
      <c r="EI35" s="140"/>
      <c r="EJ35" s="316">
        <v>2009</v>
      </c>
      <c r="EK35" s="88">
        <f t="shared" si="14"/>
        <v>0.748587993980665</v>
      </c>
      <c r="EL35" s="88">
        <f t="shared" si="15"/>
        <v>3.36064730479591E-2</v>
      </c>
      <c r="EM35" s="88">
        <f t="shared" si="16"/>
        <v>0.34286034221632428</v>
      </c>
      <c r="EN35" s="88">
        <f t="shared" si="17"/>
        <v>8.0039737470359931E-2</v>
      </c>
      <c r="EO35" s="88">
        <f t="shared" si="18"/>
        <v>0.38202527668089603</v>
      </c>
      <c r="EP35" s="88">
        <f t="shared" si="19"/>
        <v>1.1625681030204971</v>
      </c>
      <c r="ER35" s="316">
        <v>2009</v>
      </c>
      <c r="ES35" s="317">
        <f t="shared" si="35"/>
        <v>127509</v>
      </c>
      <c r="ET35" s="318">
        <v>17011</v>
      </c>
      <c r="EU35" s="318">
        <v>81493</v>
      </c>
      <c r="EV35" s="318">
        <v>29005</v>
      </c>
      <c r="EW35" s="88">
        <f t="shared" si="36"/>
        <v>0.1334101906532088</v>
      </c>
      <c r="EX35" s="88">
        <f t="shared" si="36"/>
        <v>0.63911567026641258</v>
      </c>
      <c r="EY35" s="88">
        <f t="shared" si="36"/>
        <v>0.22747413908037864</v>
      </c>
      <c r="EZ35" s="88">
        <f t="shared" si="41"/>
        <v>-1.100976843580348E-3</v>
      </c>
      <c r="FA35" s="88">
        <f t="shared" si="41"/>
        <v>-5.4039550820822457E-3</v>
      </c>
      <c r="FB35" s="88">
        <f t="shared" si="41"/>
        <v>6.5049319256625937E-3</v>
      </c>
      <c r="FD35" s="316">
        <v>2009</v>
      </c>
      <c r="FE35" s="159">
        <v>1.3538395061728397E-2</v>
      </c>
      <c r="FF35" s="159">
        <v>1.3000000000000001E-2</v>
      </c>
      <c r="FG35" s="159">
        <v>-1E-3</v>
      </c>
      <c r="FH35" s="159">
        <v>-5.2000000000000005E-2</v>
      </c>
      <c r="FI35" s="319">
        <f t="shared" si="42"/>
        <v>1.4538395061728396E-2</v>
      </c>
      <c r="FK35" s="345">
        <f t="shared" si="43"/>
        <v>3.9299912996018094E-3</v>
      </c>
      <c r="FL35" s="345">
        <f t="shared" si="44"/>
        <v>-7.7231885883581874E-3</v>
      </c>
      <c r="FM35" s="345">
        <f t="shared" si="45"/>
        <v>-2.6467652595392483E-3</v>
      </c>
      <c r="FN35" s="38"/>
      <c r="FO35" s="316">
        <v>2009</v>
      </c>
      <c r="FP35" s="61">
        <v>141081.20068738353</v>
      </c>
      <c r="FQ35" s="61">
        <v>5921.2084719150071</v>
      </c>
      <c r="FR35" s="61">
        <v>87946.994892914488</v>
      </c>
      <c r="FS35" s="61">
        <v>17290.817538634466</v>
      </c>
      <c r="FT35" s="61">
        <v>49375.167110910472</v>
      </c>
      <c r="FU35" s="61">
        <v>161129.789063484</v>
      </c>
      <c r="FV35" s="46">
        <f t="shared" si="38"/>
        <v>462745.177765242</v>
      </c>
    </row>
    <row r="36" spans="1:178" hidden="1" outlineLevel="1">
      <c r="A36" s="316">
        <v>2010</v>
      </c>
      <c r="B36" s="61">
        <v>343403.1</v>
      </c>
      <c r="C36" s="61">
        <v>19682.5</v>
      </c>
      <c r="D36" s="61">
        <v>138546.79999999999</v>
      </c>
      <c r="E36" s="61">
        <v>36871.199999999997</v>
      </c>
      <c r="F36" s="61">
        <v>199121.3</v>
      </c>
      <c r="G36" s="61">
        <v>581758.4</v>
      </c>
      <c r="I36" s="316">
        <v>2010</v>
      </c>
      <c r="J36" s="61">
        <v>343407.2</v>
      </c>
      <c r="K36" s="61">
        <v>19769.400000000001</v>
      </c>
      <c r="L36" s="61">
        <v>139530.70000000001</v>
      </c>
      <c r="M36" s="61">
        <v>37456.699999999997</v>
      </c>
      <c r="N36" s="61">
        <v>200569.4</v>
      </c>
      <c r="O36" s="61">
        <v>586387.80000000005</v>
      </c>
      <c r="Q36" s="316">
        <v>2010</v>
      </c>
      <c r="R36" s="75">
        <v>387549.7</v>
      </c>
      <c r="S36" s="75">
        <v>17260</v>
      </c>
      <c r="T36" s="75">
        <v>176439.6</v>
      </c>
      <c r="U36" s="75">
        <v>41754</v>
      </c>
      <c r="V36" s="75">
        <v>199453</v>
      </c>
      <c r="W36" s="75">
        <v>614506.5</v>
      </c>
      <c r="Y36" s="316">
        <v>2010</v>
      </c>
      <c r="Z36" s="75">
        <v>408955.9</v>
      </c>
      <c r="AA36" s="75">
        <v>18265.7</v>
      </c>
      <c r="AB36" s="75">
        <v>184359.4</v>
      </c>
      <c r="AC36" s="75">
        <v>44531.9</v>
      </c>
      <c r="AD36" s="75">
        <v>207534</v>
      </c>
      <c r="AE36" s="75">
        <v>654273.6</v>
      </c>
      <c r="AG36" s="316">
        <v>2010</v>
      </c>
      <c r="AH36" s="48">
        <f t="shared" si="46"/>
        <v>0.94765645880154803</v>
      </c>
      <c r="AI36" s="48">
        <f t="shared" si="46"/>
        <v>0.94494051692516567</v>
      </c>
      <c r="AJ36" s="48">
        <f t="shared" si="46"/>
        <v>0.95704151781791447</v>
      </c>
      <c r="AK36" s="48">
        <f t="shared" si="46"/>
        <v>0.93761999824844655</v>
      </c>
      <c r="AL36" s="48">
        <f t="shared" si="46"/>
        <v>0.96106180192161283</v>
      </c>
      <c r="AM36" s="48">
        <f t="shared" si="46"/>
        <v>0.93921946415077728</v>
      </c>
      <c r="AO36" s="316">
        <v>2010</v>
      </c>
      <c r="AP36" s="62">
        <v>-1.0255533715066711E-3</v>
      </c>
      <c r="AS36" s="316">
        <v>2010</v>
      </c>
      <c r="AT36" s="308">
        <f t="shared" si="39"/>
        <v>3.887159626953185E-3</v>
      </c>
      <c r="AU36" s="308">
        <f t="shared" si="39"/>
        <v>7.877309155580603E-3</v>
      </c>
      <c r="AV36" s="308">
        <f t="shared" si="39"/>
        <v>6.5759010836572429E-3</v>
      </c>
      <c r="AW36" s="308">
        <f t="shared" si="39"/>
        <v>6.3444385175968065E-3</v>
      </c>
      <c r="AX36" s="308">
        <f t="shared" si="39"/>
        <v>3.8452289444805832E-3</v>
      </c>
      <c r="AY36" s="308">
        <f t="shared" si="39"/>
        <v>8.3831951964790097E-3</v>
      </c>
      <c r="BA36" s="316">
        <v>2010</v>
      </c>
      <c r="BB36" s="61">
        <v>13636.8</v>
      </c>
      <c r="BC36" s="61">
        <v>501.8</v>
      </c>
      <c r="BD36" s="61">
        <v>7133.7</v>
      </c>
      <c r="BE36" s="61">
        <v>2470.4</v>
      </c>
      <c r="BF36" s="61">
        <v>5680</v>
      </c>
      <c r="BG36" s="61">
        <v>14280.3</v>
      </c>
      <c r="BI36" s="316">
        <v>2010</v>
      </c>
      <c r="BJ36" s="61">
        <v>13673.6</v>
      </c>
      <c r="BK36" s="61">
        <v>505.4</v>
      </c>
      <c r="BL36" s="61">
        <v>7184.2</v>
      </c>
      <c r="BM36" s="61">
        <v>2859.9</v>
      </c>
      <c r="BN36" s="61">
        <v>5719.4</v>
      </c>
      <c r="BO36" s="61">
        <v>14391.9</v>
      </c>
      <c r="BQ36" s="316">
        <v>2010</v>
      </c>
      <c r="BR36" s="75">
        <v>16867.8</v>
      </c>
      <c r="BS36" s="75">
        <v>500.8</v>
      </c>
      <c r="BT36" s="75">
        <v>10433.200000000001</v>
      </c>
      <c r="BU36" s="75">
        <v>2936.5</v>
      </c>
      <c r="BV36" s="75">
        <v>5582</v>
      </c>
      <c r="BW36" s="75">
        <v>14334.6</v>
      </c>
      <c r="BY36" s="316">
        <v>2010</v>
      </c>
      <c r="BZ36" s="75">
        <v>17794.8</v>
      </c>
      <c r="CA36" s="75">
        <v>532</v>
      </c>
      <c r="CB36" s="75">
        <v>10905.9</v>
      </c>
      <c r="CC36" s="75">
        <v>3501.4</v>
      </c>
      <c r="CD36" s="75">
        <v>5812.6</v>
      </c>
      <c r="CE36" s="75">
        <v>15350.9</v>
      </c>
      <c r="CG36" s="316">
        <v>2010</v>
      </c>
      <c r="CH36" s="48">
        <f t="shared" si="47"/>
        <v>0.94790612988063927</v>
      </c>
      <c r="CI36" s="48">
        <f t="shared" si="47"/>
        <v>0.94135338345864661</v>
      </c>
      <c r="CJ36" s="48">
        <f t="shared" si="47"/>
        <v>0.95665648868960851</v>
      </c>
      <c r="CK36" s="48">
        <f t="shared" si="47"/>
        <v>0.83866453418632547</v>
      </c>
      <c r="CL36" s="48">
        <f t="shared" si="47"/>
        <v>0.96032756425695898</v>
      </c>
      <c r="CM36" s="48">
        <f t="shared" si="47"/>
        <v>0.93379541264681554</v>
      </c>
      <c r="CO36" s="316">
        <v>2010</v>
      </c>
      <c r="CP36" s="62">
        <v>-1.0255533715066711E-3</v>
      </c>
      <c r="CS36" s="316">
        <v>2010</v>
      </c>
      <c r="CT36" s="308">
        <f t="shared" si="40"/>
        <v>-9.6856358004469012E-3</v>
      </c>
      <c r="CU36" s="308">
        <f t="shared" si="40"/>
        <v>-5.6943892154232012E-3</v>
      </c>
      <c r="CV36" s="308">
        <f t="shared" si="40"/>
        <v>-6.3124637392075744E-3</v>
      </c>
      <c r="CW36" s="308">
        <f t="shared" si="40"/>
        <v>-6.6188996669316325E-3</v>
      </c>
      <c r="CX36" s="308">
        <f t="shared" si="40"/>
        <v>-7.7749769090592613E-3</v>
      </c>
      <c r="CY36" s="308">
        <f t="shared" si="40"/>
        <v>-1.3995354098057522E-3</v>
      </c>
      <c r="DA36" s="316">
        <v>2010</v>
      </c>
      <c r="DB36" s="46">
        <f t="shared" si="23"/>
        <v>22857.3</v>
      </c>
      <c r="DC36" s="46">
        <f t="shared" si="24"/>
        <v>980.39999999999782</v>
      </c>
      <c r="DD36" s="46">
        <f t="shared" si="25"/>
        <v>14814.200000000017</v>
      </c>
      <c r="DE36" s="46">
        <f t="shared" si="26"/>
        <v>3820.0999999999972</v>
      </c>
      <c r="DF36" s="46">
        <f t="shared" si="27"/>
        <v>6607.8999999999887</v>
      </c>
      <c r="DG36" s="46">
        <f t="shared" si="28"/>
        <v>12735.300000000023</v>
      </c>
      <c r="DI36" s="316">
        <v>2010</v>
      </c>
      <c r="DJ36" s="88">
        <f t="shared" si="29"/>
        <v>5.520841585784593E-2</v>
      </c>
      <c r="DK36" s="88">
        <f t="shared" si="30"/>
        <v>5.2388306143495968E-2</v>
      </c>
      <c r="DL36" s="88">
        <f t="shared" si="31"/>
        <v>7.8686891059911057E-2</v>
      </c>
      <c r="DM36" s="88">
        <f t="shared" si="32"/>
        <v>8.5173888420667671E-2</v>
      </c>
      <c r="DN36" s="88">
        <f t="shared" si="33"/>
        <v>3.1718534070819558E-2</v>
      </c>
      <c r="DO36" s="88">
        <f t="shared" si="34"/>
        <v>1.954291975238549E-2</v>
      </c>
      <c r="DQ36" s="316">
        <v>2010</v>
      </c>
      <c r="DR36" s="61">
        <v>505530.6</v>
      </c>
      <c r="DS36" s="61">
        <v>504.87209999999999</v>
      </c>
      <c r="DT36" s="61">
        <v>510720</v>
      </c>
      <c r="DU36" s="61">
        <v>512.06370000000004</v>
      </c>
      <c r="DV36" s="89">
        <v>-1.5</v>
      </c>
      <c r="DW36" s="46">
        <f t="shared" si="6"/>
        <v>513229.03553299489</v>
      </c>
      <c r="DX36" s="61">
        <v>511.52188449848023</v>
      </c>
      <c r="DY36" s="46">
        <f t="shared" si="7"/>
        <v>518497.46192893403</v>
      </c>
      <c r="DZ36" s="61">
        <v>518.80820668693013</v>
      </c>
      <c r="EB36" s="316">
        <v>2010</v>
      </c>
      <c r="EC36" s="88">
        <f t="shared" si="8"/>
        <v>3.3366526180611027E-2</v>
      </c>
      <c r="ED36" s="88">
        <f t="shared" si="9"/>
        <v>9.9064230731037844E-4</v>
      </c>
      <c r="EE36" s="88">
        <f t="shared" si="10"/>
        <v>2.0638117653016458E-2</v>
      </c>
      <c r="EF36" s="88">
        <f t="shared" si="11"/>
        <v>5.8087482735960988E-3</v>
      </c>
      <c r="EG36" s="88">
        <f t="shared" si="12"/>
        <v>1.1041863736834131E-2</v>
      </c>
      <c r="EH36" s="88">
        <f t="shared" si="13"/>
        <v>2.8355553551061004E-2</v>
      </c>
      <c r="EI36" s="140"/>
      <c r="EJ36" s="316">
        <v>2010</v>
      </c>
      <c r="EK36" s="88">
        <f t="shared" si="14"/>
        <v>0.75512037154625267</v>
      </c>
      <c r="EL36" s="88">
        <f t="shared" si="15"/>
        <v>3.3630209526386734E-2</v>
      </c>
      <c r="EM36" s="88">
        <f t="shared" si="16"/>
        <v>0.34378335554761674</v>
      </c>
      <c r="EN36" s="88">
        <f t="shared" si="17"/>
        <v>8.1355490646856987E-2</v>
      </c>
      <c r="EO36" s="88">
        <f t="shared" si="18"/>
        <v>0.38862376481265432</v>
      </c>
      <c r="EP36" s="88">
        <f t="shared" si="19"/>
        <v>1.197333855754726</v>
      </c>
      <c r="ER36" s="316">
        <v>2010</v>
      </c>
      <c r="ES36" s="317">
        <f t="shared" si="35"/>
        <v>128058</v>
      </c>
      <c r="ET36" s="318">
        <v>16839</v>
      </c>
      <c r="EU36" s="318">
        <v>81735</v>
      </c>
      <c r="EV36" s="318">
        <v>29484</v>
      </c>
      <c r="EW36" s="88">
        <f t="shared" si="36"/>
        <v>0.13149510378109919</v>
      </c>
      <c r="EX36" s="88">
        <f t="shared" si="36"/>
        <v>0.63826547345733964</v>
      </c>
      <c r="EY36" s="88">
        <f t="shared" si="36"/>
        <v>0.23023942276156117</v>
      </c>
      <c r="EZ36" s="88">
        <f t="shared" si="41"/>
        <v>-1.915086872109617E-3</v>
      </c>
      <c r="FA36" s="88">
        <f t="shared" si="41"/>
        <v>-8.5019680907294504E-4</v>
      </c>
      <c r="FB36" s="88">
        <f t="shared" si="41"/>
        <v>2.7652836811825343E-3</v>
      </c>
      <c r="FD36" s="316">
        <v>2010</v>
      </c>
      <c r="FE36" s="159">
        <v>1.1816040816326539E-2</v>
      </c>
      <c r="FF36" s="159">
        <v>1.1000000000000001E-2</v>
      </c>
      <c r="FG36" s="159">
        <v>2E-3</v>
      </c>
      <c r="FH36" s="159">
        <v>6.9999999999999993E-3</v>
      </c>
      <c r="FI36" s="319">
        <f t="shared" si="42"/>
        <v>9.8160408163265392E-3</v>
      </c>
      <c r="FK36" s="345">
        <f t="shared" si="43"/>
        <v>3.1544518827030132E-2</v>
      </c>
      <c r="FL36" s="345">
        <f t="shared" si="44"/>
        <v>-2.3055006091282637E-4</v>
      </c>
      <c r="FM36" s="345">
        <f t="shared" si="45"/>
        <v>-3.0801802878109297E-3</v>
      </c>
      <c r="FN36" s="38"/>
      <c r="FO36" s="316">
        <v>2010</v>
      </c>
      <c r="FP36" s="61">
        <v>136204.04053941541</v>
      </c>
      <c r="FQ36" s="61">
        <v>5480.6566541579678</v>
      </c>
      <c r="FR36" s="61">
        <v>73649.344303493388</v>
      </c>
      <c r="FS36" s="61">
        <v>18339.251129248478</v>
      </c>
      <c r="FT36" s="61">
        <v>42897.044274349406</v>
      </c>
      <c r="FU36" s="61">
        <v>170407.43092706206</v>
      </c>
      <c r="FV36" s="46">
        <f t="shared" si="38"/>
        <v>446977.76782772667</v>
      </c>
    </row>
    <row r="37" spans="1:178" hidden="1" outlineLevel="1">
      <c r="A37" s="316">
        <v>2011</v>
      </c>
      <c r="B37" s="61">
        <v>337595</v>
      </c>
      <c r="C37" s="61">
        <v>19271</v>
      </c>
      <c r="D37" s="61">
        <v>135232.20000000001</v>
      </c>
      <c r="E37" s="61">
        <v>36440</v>
      </c>
      <c r="F37" s="61">
        <v>199756.2</v>
      </c>
      <c r="G37" s="61">
        <v>584157.4</v>
      </c>
      <c r="I37" s="316">
        <v>2011</v>
      </c>
      <c r="J37" s="61">
        <v>337595</v>
      </c>
      <c r="K37" s="61">
        <v>19271</v>
      </c>
      <c r="L37" s="61">
        <v>135232.20000000001</v>
      </c>
      <c r="M37" s="61">
        <v>36440</v>
      </c>
      <c r="N37" s="61">
        <v>199756.2</v>
      </c>
      <c r="O37" s="61">
        <v>584157.4</v>
      </c>
      <c r="Q37" s="316">
        <v>2011</v>
      </c>
      <c r="R37" s="75">
        <v>381362.3</v>
      </c>
      <c r="S37" s="75">
        <v>16810.099999999999</v>
      </c>
      <c r="T37" s="75">
        <v>173821.6</v>
      </c>
      <c r="U37" s="75">
        <v>41475.9</v>
      </c>
      <c r="V37" s="75">
        <v>200335.3</v>
      </c>
      <c r="W37" s="75">
        <v>619486.6</v>
      </c>
      <c r="Y37" s="316">
        <v>2011</v>
      </c>
      <c r="Z37" s="75">
        <v>402622.6</v>
      </c>
      <c r="AA37" s="75">
        <v>17698.2</v>
      </c>
      <c r="AB37" s="75">
        <v>180336.6</v>
      </c>
      <c r="AC37" s="75">
        <v>43794.1</v>
      </c>
      <c r="AD37" s="75">
        <v>206634.7</v>
      </c>
      <c r="AE37" s="75">
        <v>652863.5</v>
      </c>
      <c r="AG37" s="316">
        <v>2011</v>
      </c>
      <c r="AH37" s="48">
        <f t="shared" si="46"/>
        <v>0.94719546294718682</v>
      </c>
      <c r="AI37" s="48">
        <f t="shared" si="46"/>
        <v>0.94981975568136856</v>
      </c>
      <c r="AJ37" s="48">
        <f t="shared" si="46"/>
        <v>0.9638731128345549</v>
      </c>
      <c r="AK37" s="48">
        <f t="shared" si="46"/>
        <v>0.94706592897216757</v>
      </c>
      <c r="AL37" s="48">
        <f t="shared" si="46"/>
        <v>0.96951431681126155</v>
      </c>
      <c r="AM37" s="48">
        <f t="shared" si="46"/>
        <v>0.94887614332858239</v>
      </c>
      <c r="AO37" s="316">
        <v>2011</v>
      </c>
      <c r="AP37" s="62">
        <v>1.428693643596568E-2</v>
      </c>
      <c r="AS37" s="316">
        <v>2011</v>
      </c>
      <c r="AT37" s="308">
        <f t="shared" si="39"/>
        <v>-4.8645883229059272E-4</v>
      </c>
      <c r="AU37" s="308">
        <f t="shared" si="39"/>
        <v>5.1635406343670809E-3</v>
      </c>
      <c r="AV37" s="308">
        <f t="shared" si="39"/>
        <v>7.1382431059174856E-3</v>
      </c>
      <c r="AW37" s="308">
        <f t="shared" si="39"/>
        <v>1.0074369938105843E-2</v>
      </c>
      <c r="AX37" s="308">
        <f t="shared" si="39"/>
        <v>8.7949753832148314E-3</v>
      </c>
      <c r="AY37" s="308">
        <f t="shared" si="39"/>
        <v>1.0281600356883969E-2</v>
      </c>
      <c r="BA37" s="316">
        <v>2011</v>
      </c>
      <c r="BB37" s="61">
        <v>14337.9</v>
      </c>
      <c r="BC37" s="61">
        <v>462.2</v>
      </c>
      <c r="BD37" s="61">
        <v>7119.2</v>
      </c>
      <c r="BE37" s="61">
        <v>2326.6</v>
      </c>
      <c r="BF37" s="61">
        <v>6753.8</v>
      </c>
      <c r="BG37" s="61">
        <v>13567.5</v>
      </c>
      <c r="BI37" s="316">
        <v>2011</v>
      </c>
      <c r="BJ37" s="61">
        <v>14337.9</v>
      </c>
      <c r="BK37" s="61">
        <v>462.2</v>
      </c>
      <c r="BL37" s="61">
        <v>7119.2</v>
      </c>
      <c r="BM37" s="61">
        <v>2326.6</v>
      </c>
      <c r="BN37" s="61">
        <v>6753.8</v>
      </c>
      <c r="BO37" s="61">
        <v>13567.5</v>
      </c>
      <c r="BQ37" s="316">
        <v>2011</v>
      </c>
      <c r="BR37" s="75">
        <v>18034.099999999999</v>
      </c>
      <c r="BS37" s="75">
        <v>469.1</v>
      </c>
      <c r="BT37" s="75">
        <v>11060.3</v>
      </c>
      <c r="BU37" s="75">
        <v>2869.2</v>
      </c>
      <c r="BV37" s="75">
        <v>6715.6</v>
      </c>
      <c r="BW37" s="75">
        <v>13606.7</v>
      </c>
      <c r="BY37" s="316">
        <v>2011</v>
      </c>
      <c r="BZ37" s="75">
        <v>19017.5</v>
      </c>
      <c r="CA37" s="75">
        <v>495.2</v>
      </c>
      <c r="CB37" s="75">
        <v>11488.7</v>
      </c>
      <c r="CC37" s="75">
        <v>3041.8</v>
      </c>
      <c r="CD37" s="75">
        <v>6944.3</v>
      </c>
      <c r="CE37" s="75">
        <v>14443.8</v>
      </c>
      <c r="CG37" s="316">
        <v>2011</v>
      </c>
      <c r="CH37" s="48">
        <f t="shared" si="47"/>
        <v>0.94828973314052833</v>
      </c>
      <c r="CI37" s="48">
        <f t="shared" si="47"/>
        <v>0.94729402261712448</v>
      </c>
      <c r="CJ37" s="48">
        <f t="shared" si="47"/>
        <v>0.96271118577384718</v>
      </c>
      <c r="CK37" s="48">
        <f t="shared" si="47"/>
        <v>0.94325728187257529</v>
      </c>
      <c r="CL37" s="48">
        <f t="shared" si="47"/>
        <v>0.9670665149835117</v>
      </c>
      <c r="CM37" s="48">
        <f t="shared" si="47"/>
        <v>0.94204433736274396</v>
      </c>
      <c r="CO37" s="316">
        <v>2011</v>
      </c>
      <c r="CP37" s="62">
        <v>1.428693643596568E-2</v>
      </c>
      <c r="CS37" s="316">
        <v>2011</v>
      </c>
      <c r="CT37" s="308">
        <f t="shared" si="40"/>
        <v>4.0468486044864527E-4</v>
      </c>
      <c r="CU37" s="308">
        <f t="shared" si="40"/>
        <v>6.3107428760187378E-3</v>
      </c>
      <c r="CV37" s="308">
        <f t="shared" si="40"/>
        <v>6.3290189904341432E-3</v>
      </c>
      <c r="CW37" s="308">
        <f t="shared" si="40"/>
        <v>0.12471345028048186</v>
      </c>
      <c r="CX37" s="308">
        <f t="shared" si="40"/>
        <v>7.0173459321318798E-3</v>
      </c>
      <c r="CY37" s="308">
        <f t="shared" si="40"/>
        <v>8.8337601622470174E-3</v>
      </c>
      <c r="DA37" s="316">
        <v>2011</v>
      </c>
      <c r="DB37" s="46">
        <f t="shared" si="23"/>
        <v>25350.800000000047</v>
      </c>
      <c r="DC37" s="46">
        <f t="shared" si="24"/>
        <v>1062.7</v>
      </c>
      <c r="DD37" s="46">
        <f t="shared" si="25"/>
        <v>15511.499999999989</v>
      </c>
      <c r="DE37" s="46">
        <f t="shared" si="26"/>
        <v>3779.6000000000031</v>
      </c>
      <c r="DF37" s="46">
        <f t="shared" si="27"/>
        <v>7843.5999999999885</v>
      </c>
      <c r="DG37" s="46">
        <f t="shared" si="28"/>
        <v>15853.899999999976</v>
      </c>
      <c r="DI37" s="316">
        <v>2011</v>
      </c>
      <c r="DJ37" s="88">
        <f t="shared" si="29"/>
        <v>6.1989079996156174E-2</v>
      </c>
      <c r="DK37" s="88">
        <f t="shared" si="30"/>
        <v>5.8180086172443433E-2</v>
      </c>
      <c r="DL37" s="88">
        <f t="shared" si="31"/>
        <v>8.4137288361754214E-2</v>
      </c>
      <c r="DM37" s="88">
        <f t="shared" si="32"/>
        <v>8.4873989207736547E-2</v>
      </c>
      <c r="DN37" s="88">
        <f t="shared" si="33"/>
        <v>3.779428912852828E-2</v>
      </c>
      <c r="DO37" s="88">
        <f t="shared" si="34"/>
        <v>2.4231300177784916E-2</v>
      </c>
      <c r="DQ37" s="316">
        <v>2011</v>
      </c>
      <c r="DR37" s="61">
        <v>497448.9</v>
      </c>
      <c r="DS37" s="61">
        <v>500.04050000000001</v>
      </c>
      <c r="DT37" s="61">
        <v>510841.59999999998</v>
      </c>
      <c r="DU37" s="61">
        <v>514.67989999999998</v>
      </c>
      <c r="DV37" s="89">
        <v>-1.9</v>
      </c>
      <c r="DW37" s="46">
        <f t="shared" si="6"/>
        <v>507083.48623853212</v>
      </c>
      <c r="DX37" s="61">
        <v>507.14046653144015</v>
      </c>
      <c r="DY37" s="46">
        <f t="shared" si="7"/>
        <v>520735.5759429154</v>
      </c>
      <c r="DZ37" s="61">
        <v>521.98772819472617</v>
      </c>
      <c r="EB37" s="316">
        <v>2011</v>
      </c>
      <c r="EC37" s="88">
        <f t="shared" si="8"/>
        <v>3.6253170928712469E-2</v>
      </c>
      <c r="ED37" s="88">
        <f t="shared" si="9"/>
        <v>9.4301143293311135E-4</v>
      </c>
      <c r="EE37" s="88">
        <f t="shared" si="10"/>
        <v>2.2234042531805775E-2</v>
      </c>
      <c r="EF37" s="88">
        <f t="shared" si="11"/>
        <v>5.76782861516027E-3</v>
      </c>
      <c r="EG37" s="88">
        <f t="shared" si="12"/>
        <v>1.3500080108730767E-2</v>
      </c>
      <c r="EH37" s="88">
        <f t="shared" si="13"/>
        <v>2.735296027390954E-2</v>
      </c>
      <c r="EI37" s="140"/>
      <c r="EJ37" s="316">
        <v>2011</v>
      </c>
      <c r="EK37" s="88">
        <f t="shared" si="14"/>
        <v>0.75207004438043779</v>
      </c>
      <c r="EL37" s="88">
        <f t="shared" si="15"/>
        <v>3.3150556971781417E-2</v>
      </c>
      <c r="EM37" s="88">
        <f t="shared" si="16"/>
        <v>0.34278694675975763</v>
      </c>
      <c r="EN37" s="88">
        <f t="shared" si="17"/>
        <v>8.1793040249963367E-2</v>
      </c>
      <c r="EO37" s="88">
        <f t="shared" si="18"/>
        <v>0.39507360313793033</v>
      </c>
      <c r="EP37" s="88">
        <f t="shared" si="19"/>
        <v>1.2216658929188504</v>
      </c>
      <c r="ER37" s="316">
        <v>2011</v>
      </c>
      <c r="ES37" s="317">
        <f t="shared" si="35"/>
        <v>127799</v>
      </c>
      <c r="ET37" s="318">
        <v>16705</v>
      </c>
      <c r="EU37" s="318">
        <v>81342</v>
      </c>
      <c r="EV37" s="318">
        <v>29752</v>
      </c>
      <c r="EW37" s="88">
        <f t="shared" si="36"/>
        <v>0.13071307287224471</v>
      </c>
      <c r="EX37" s="88">
        <f t="shared" si="36"/>
        <v>0.63648385355127979</v>
      </c>
      <c r="EY37" s="88">
        <f t="shared" si="36"/>
        <v>0.23280307357647556</v>
      </c>
      <c r="EZ37" s="88">
        <f t="shared" si="41"/>
        <v>-7.8203090885448079E-4</v>
      </c>
      <c r="FA37" s="88">
        <f t="shared" si="41"/>
        <v>-1.7816199060598503E-3</v>
      </c>
      <c r="FB37" s="88">
        <f t="shared" si="41"/>
        <v>2.5636508149143866E-3</v>
      </c>
      <c r="FD37" s="316">
        <v>2011</v>
      </c>
      <c r="FE37" s="159">
        <v>1.1244775510204095E-2</v>
      </c>
      <c r="FF37" s="159">
        <v>0.01</v>
      </c>
      <c r="FG37" s="159">
        <v>5.0000000000000001E-3</v>
      </c>
      <c r="FH37" s="159">
        <v>1.3999999999999999E-2</v>
      </c>
      <c r="FI37" s="319">
        <f t="shared" si="42"/>
        <v>6.2447755102040944E-3</v>
      </c>
      <c r="FK37" s="345">
        <f t="shared" si="43"/>
        <v>1.1906478152717836E-3</v>
      </c>
      <c r="FL37" s="345">
        <f t="shared" si="44"/>
        <v>-5.7719092773662051E-3</v>
      </c>
      <c r="FM37" s="345">
        <f t="shared" si="45"/>
        <v>1.2838617724561605E-3</v>
      </c>
      <c r="FN37" s="38"/>
      <c r="FO37" s="316">
        <v>2011</v>
      </c>
      <c r="FP37" s="61">
        <v>145492.26736758795</v>
      </c>
      <c r="FQ37" s="61">
        <v>4839.9591412334576</v>
      </c>
      <c r="FR37" s="61">
        <v>77777.500353590454</v>
      </c>
      <c r="FS37" s="61">
        <v>19275.757944687764</v>
      </c>
      <c r="FT37" s="61">
        <v>45876.393961105088</v>
      </c>
      <c r="FU37" s="61">
        <v>152808.06984018526</v>
      </c>
      <c r="FV37" s="46">
        <f t="shared" si="38"/>
        <v>446069.94860838994</v>
      </c>
    </row>
    <row r="38" spans="1:178" hidden="1" outlineLevel="1">
      <c r="A38" s="316">
        <v>2012</v>
      </c>
      <c r="B38" s="61">
        <v>332459.8</v>
      </c>
      <c r="C38" s="61">
        <v>18697.2</v>
      </c>
      <c r="D38" s="61">
        <v>131539.70000000001</v>
      </c>
      <c r="E38" s="61">
        <v>35591.1</v>
      </c>
      <c r="F38" s="61">
        <v>199055.7</v>
      </c>
      <c r="G38" s="61">
        <v>582221.5</v>
      </c>
      <c r="I38" s="316">
        <v>2012</v>
      </c>
      <c r="J38" s="61">
        <v>334970.59999999998</v>
      </c>
      <c r="K38" s="61">
        <v>18873.400000000001</v>
      </c>
      <c r="L38" s="61">
        <v>132376.5</v>
      </c>
      <c r="M38" s="61">
        <v>35822.300000000003</v>
      </c>
      <c r="N38" s="61">
        <v>200289</v>
      </c>
      <c r="O38" s="61">
        <v>585535.30000000005</v>
      </c>
      <c r="Q38" s="316">
        <v>2012</v>
      </c>
      <c r="R38" s="75">
        <v>376279.6</v>
      </c>
      <c r="S38" s="75">
        <v>16258</v>
      </c>
      <c r="T38" s="75">
        <v>171280.5</v>
      </c>
      <c r="U38" s="75">
        <v>40765</v>
      </c>
      <c r="V38" s="75">
        <v>197991.2</v>
      </c>
      <c r="W38" s="75">
        <v>619843.9</v>
      </c>
      <c r="Y38" s="316">
        <v>2012</v>
      </c>
      <c r="Z38" s="75">
        <v>399953.6</v>
      </c>
      <c r="AA38" s="75">
        <v>17247.3</v>
      </c>
      <c r="AB38" s="75">
        <v>178609.8</v>
      </c>
      <c r="AC38" s="75">
        <v>43262.400000000001</v>
      </c>
      <c r="AD38" s="75">
        <v>205059.9</v>
      </c>
      <c r="AE38" s="75">
        <v>655443.5</v>
      </c>
      <c r="AG38" s="316">
        <v>2012</v>
      </c>
      <c r="AH38" s="48">
        <f t="shared" si="46"/>
        <v>0.94080813374351424</v>
      </c>
      <c r="AI38" s="48">
        <f t="shared" si="46"/>
        <v>0.94264029732189969</v>
      </c>
      <c r="AJ38" s="48">
        <f t="shared" si="46"/>
        <v>0.95896473765717227</v>
      </c>
      <c r="AK38" s="48">
        <f t="shared" si="46"/>
        <v>0.94227319797329778</v>
      </c>
      <c r="AL38" s="48">
        <f t="shared" si="46"/>
        <v>0.96552860895767534</v>
      </c>
      <c r="AM38" s="48">
        <f t="shared" si="46"/>
        <v>0.94568624145330604</v>
      </c>
      <c r="AO38" s="316">
        <v>2012</v>
      </c>
      <c r="AP38" s="62">
        <v>-8.6032388663966897E-3</v>
      </c>
      <c r="AS38" s="316">
        <v>2012</v>
      </c>
      <c r="AT38" s="308">
        <f t="shared" si="39"/>
        <v>-6.7434119498402945E-3</v>
      </c>
      <c r="AU38" s="308">
        <f t="shared" si="39"/>
        <v>-7.5587587187198046E-3</v>
      </c>
      <c r="AV38" s="308">
        <f t="shared" si="39"/>
        <v>-5.0923457787385162E-3</v>
      </c>
      <c r="AW38" s="308">
        <f t="shared" si="39"/>
        <v>-5.0606096706183878E-3</v>
      </c>
      <c r="AX38" s="308">
        <f t="shared" si="39"/>
        <v>-4.1110355819140576E-3</v>
      </c>
      <c r="AY38" s="308">
        <f t="shared" si="39"/>
        <v>-3.3617684433359107E-3</v>
      </c>
      <c r="BA38" s="316">
        <v>2012</v>
      </c>
      <c r="BB38" s="61">
        <v>14573.7</v>
      </c>
      <c r="BC38" s="61">
        <v>435.6</v>
      </c>
      <c r="BD38" s="61">
        <v>7445.4</v>
      </c>
      <c r="BE38" s="61">
        <v>2169.8000000000002</v>
      </c>
      <c r="BF38" s="61">
        <v>6835</v>
      </c>
      <c r="BG38" s="61">
        <v>14186.1</v>
      </c>
      <c r="BI38" s="316">
        <v>2012</v>
      </c>
      <c r="BJ38" s="61">
        <v>14698</v>
      </c>
      <c r="BK38" s="61">
        <v>438.8</v>
      </c>
      <c r="BL38" s="61">
        <v>7471.4</v>
      </c>
      <c r="BM38" s="61">
        <v>2180.8000000000002</v>
      </c>
      <c r="BN38" s="61">
        <v>6853.9</v>
      </c>
      <c r="BO38" s="61">
        <v>14222.2</v>
      </c>
      <c r="BQ38" s="316">
        <v>2012</v>
      </c>
      <c r="BR38" s="75">
        <v>18316.900000000001</v>
      </c>
      <c r="BS38" s="75">
        <v>449.6</v>
      </c>
      <c r="BT38" s="75">
        <v>12007.3</v>
      </c>
      <c r="BU38" s="75">
        <v>2710.4</v>
      </c>
      <c r="BV38" s="75">
        <v>4813.3999999999996</v>
      </c>
      <c r="BW38" s="75">
        <v>14384.2</v>
      </c>
      <c r="BY38" s="316">
        <v>2012</v>
      </c>
      <c r="BZ38" s="75">
        <v>19457.2</v>
      </c>
      <c r="CA38" s="75">
        <v>476.6</v>
      </c>
      <c r="CB38" s="75">
        <v>12497.2</v>
      </c>
      <c r="CC38" s="75">
        <v>2882.3</v>
      </c>
      <c r="CD38" s="75">
        <v>4981.1000000000004</v>
      </c>
      <c r="CE38" s="75">
        <v>15250.2</v>
      </c>
      <c r="CG38" s="316">
        <v>2012</v>
      </c>
      <c r="CH38" s="48">
        <f t="shared" si="47"/>
        <v>0.94139444524392002</v>
      </c>
      <c r="CI38" s="48">
        <f t="shared" si="47"/>
        <v>0.94334872010071336</v>
      </c>
      <c r="CJ38" s="48">
        <f t="shared" si="47"/>
        <v>0.96079921902506149</v>
      </c>
      <c r="CK38" s="48">
        <f t="shared" si="47"/>
        <v>0.94036012906359501</v>
      </c>
      <c r="CL38" s="48">
        <f t="shared" si="47"/>
        <v>0.96633273774868989</v>
      </c>
      <c r="CM38" s="48">
        <f t="shared" si="47"/>
        <v>0.94321385949036729</v>
      </c>
      <c r="CO38" s="316">
        <v>2012</v>
      </c>
      <c r="CP38" s="62">
        <v>-8.6032388663966897E-3</v>
      </c>
      <c r="CS38" s="316">
        <v>2012</v>
      </c>
      <c r="CT38" s="308">
        <f t="shared" si="40"/>
        <v>-7.2712881471073132E-3</v>
      </c>
      <c r="CU38" s="308">
        <f t="shared" si="40"/>
        <v>-4.1648130593194832E-3</v>
      </c>
      <c r="CV38" s="308">
        <f t="shared" si="40"/>
        <v>-1.9860231988981791E-3</v>
      </c>
      <c r="CW38" s="308">
        <f t="shared" si="40"/>
        <v>-3.0714343421009982E-3</v>
      </c>
      <c r="CX38" s="308">
        <f t="shared" si="40"/>
        <v>-7.5876604499569567E-4</v>
      </c>
      <c r="CY38" s="308">
        <f t="shared" si="40"/>
        <v>1.2414724883305084E-3</v>
      </c>
      <c r="DA38" s="316">
        <v>2012</v>
      </c>
      <c r="DB38" s="46">
        <f t="shared" si="23"/>
        <v>22126.2</v>
      </c>
      <c r="DC38" s="46">
        <f t="shared" si="24"/>
        <v>927.50000000000148</v>
      </c>
      <c r="DD38" s="46">
        <f t="shared" si="25"/>
        <v>14224.000000000018</v>
      </c>
      <c r="DE38" s="46">
        <f t="shared" si="26"/>
        <v>3413.9999999999973</v>
      </c>
      <c r="DF38" s="46">
        <f t="shared" si="27"/>
        <v>6555.9000000000178</v>
      </c>
      <c r="DG38" s="46">
        <f t="shared" si="28"/>
        <v>12670.2</v>
      </c>
      <c r="DI38" s="316">
        <v>2012</v>
      </c>
      <c r="DJ38" s="88">
        <f t="shared" si="29"/>
        <v>5.4955186320887112E-2</v>
      </c>
      <c r="DK38" s="88">
        <f t="shared" si="30"/>
        <v>5.2406459413951785E-2</v>
      </c>
      <c r="DL38" s="88">
        <f t="shared" si="31"/>
        <v>7.887472648369781E-2</v>
      </c>
      <c r="DM38" s="88">
        <f t="shared" si="32"/>
        <v>7.7955706362272489E-2</v>
      </c>
      <c r="DN38" s="88">
        <f t="shared" si="33"/>
        <v>3.1727004225331069E-2</v>
      </c>
      <c r="DO38" s="88">
        <f t="shared" si="34"/>
        <v>1.9407119558682635E-2</v>
      </c>
      <c r="DQ38" s="316">
        <v>2012</v>
      </c>
      <c r="DR38" s="61">
        <v>500474.7</v>
      </c>
      <c r="DS38" s="61">
        <v>499.4239</v>
      </c>
      <c r="DT38" s="61">
        <v>517864.4</v>
      </c>
      <c r="DU38" s="61">
        <v>517.92279999999994</v>
      </c>
      <c r="DV38" s="89">
        <v>-1.2</v>
      </c>
      <c r="DW38" s="46">
        <f t="shared" si="6"/>
        <v>506553.34008097165</v>
      </c>
      <c r="DX38" s="61">
        <v>506.51511156186615</v>
      </c>
      <c r="DY38" s="46">
        <f t="shared" si="7"/>
        <v>524154.25101214577</v>
      </c>
      <c r="DZ38" s="61">
        <v>525.2766734279918</v>
      </c>
      <c r="EB38" s="316">
        <v>2012</v>
      </c>
      <c r="EC38" s="88">
        <f t="shared" si="8"/>
        <v>3.6599052859215463E-2</v>
      </c>
      <c r="ED38" s="88">
        <f t="shared" si="9"/>
        <v>8.9834710925447382E-4</v>
      </c>
      <c r="EE38" s="88">
        <f t="shared" si="10"/>
        <v>2.399182216403746E-2</v>
      </c>
      <c r="EF38" s="88">
        <f t="shared" si="11"/>
        <v>5.4156583739397813E-3</v>
      </c>
      <c r="EG38" s="88">
        <f t="shared" si="12"/>
        <v>9.6176689850655771E-3</v>
      </c>
      <c r="EH38" s="88">
        <f t="shared" si="13"/>
        <v>2.8741113187140128E-2</v>
      </c>
      <c r="EI38" s="140"/>
      <c r="EJ38" s="316">
        <v>2012</v>
      </c>
      <c r="EK38" s="88">
        <f t="shared" si="14"/>
        <v>0.7428232532034087</v>
      </c>
      <c r="EL38" s="88">
        <f t="shared" si="15"/>
        <v>3.2095336687349034E-2</v>
      </c>
      <c r="EM38" s="88">
        <f t="shared" si="16"/>
        <v>0.33812924809186157</v>
      </c>
      <c r="EN38" s="88">
        <f t="shared" si="17"/>
        <v>8.0475236810172421E-2</v>
      </c>
      <c r="EO38" s="88">
        <f t="shared" si="18"/>
        <v>0.39085952916301264</v>
      </c>
      <c r="EP38" s="88">
        <f t="shared" si="19"/>
        <v>1.2236498132672842</v>
      </c>
      <c r="ER38" s="316">
        <v>2012</v>
      </c>
      <c r="ES38" s="317">
        <f t="shared" si="35"/>
        <v>127515</v>
      </c>
      <c r="ET38" s="318">
        <v>16547</v>
      </c>
      <c r="EU38" s="318">
        <v>80175</v>
      </c>
      <c r="EV38" s="318">
        <v>30793</v>
      </c>
      <c r="EW38" s="88">
        <f t="shared" si="36"/>
        <v>0.12976512567148962</v>
      </c>
      <c r="EX38" s="88">
        <f t="shared" si="36"/>
        <v>0.62874955887542638</v>
      </c>
      <c r="EY38" s="88">
        <f t="shared" si="36"/>
        <v>0.24148531545308394</v>
      </c>
      <c r="EZ38" s="88">
        <f t="shared" si="41"/>
        <v>-9.4794720075508376E-4</v>
      </c>
      <c r="FA38" s="88">
        <f t="shared" si="41"/>
        <v>-7.7342946758534037E-3</v>
      </c>
      <c r="FB38" s="88">
        <f t="shared" si="41"/>
        <v>8.6822418766083764E-3</v>
      </c>
      <c r="FD38" s="316">
        <v>2012</v>
      </c>
      <c r="FE38" s="159">
        <v>8.5788709677419289E-3</v>
      </c>
      <c r="FF38" s="159">
        <v>8.0000000000000002E-3</v>
      </c>
      <c r="FG38" s="159">
        <v>6.9999999999999993E-3</v>
      </c>
      <c r="FH38" s="159">
        <v>-1.1000000000000001E-2</v>
      </c>
      <c r="FI38" s="319">
        <f t="shared" si="42"/>
        <v>1.5788709677419296E-3</v>
      </c>
      <c r="FK38" s="345">
        <f t="shared" si="43"/>
        <v>-2.882013229986935E-3</v>
      </c>
      <c r="FL38" s="345">
        <f t="shared" si="44"/>
        <v>-5.5046122034568823E-3</v>
      </c>
      <c r="FM38" s="345">
        <f t="shared" si="45"/>
        <v>-2.1992724369786724E-3</v>
      </c>
      <c r="FN38" s="38"/>
      <c r="FO38" s="316">
        <v>2012</v>
      </c>
      <c r="FP38" s="61">
        <v>153098.23786510248</v>
      </c>
      <c r="FQ38" s="61">
        <v>4617.7711114312888</v>
      </c>
      <c r="FR38" s="61">
        <v>78691.499109982498</v>
      </c>
      <c r="FS38" s="61">
        <v>23079.182682844104</v>
      </c>
      <c r="FT38" s="61">
        <v>44841.031680183332</v>
      </c>
      <c r="FU38" s="61">
        <v>145353.89553726726</v>
      </c>
      <c r="FV38" s="46">
        <f t="shared" si="38"/>
        <v>449681.61798681098</v>
      </c>
    </row>
    <row r="39" spans="1:178" hidden="1" outlineLevel="1">
      <c r="A39" s="316">
        <v>2013</v>
      </c>
      <c r="B39" s="61">
        <v>343061.9</v>
      </c>
      <c r="C39" s="61">
        <v>19063.8</v>
      </c>
      <c r="D39" s="61">
        <v>132805.29999999999</v>
      </c>
      <c r="E39" s="61">
        <v>36256.400000000001</v>
      </c>
      <c r="F39" s="61">
        <v>205214.1</v>
      </c>
      <c r="G39" s="61">
        <v>597632.19999999995</v>
      </c>
      <c r="I39" s="316">
        <v>2013</v>
      </c>
      <c r="J39" s="61">
        <v>333719.2</v>
      </c>
      <c r="K39" s="61">
        <v>18652</v>
      </c>
      <c r="L39" s="61">
        <v>130168.8</v>
      </c>
      <c r="M39" s="61">
        <v>35554.699999999997</v>
      </c>
      <c r="N39" s="61">
        <v>202400.8</v>
      </c>
      <c r="O39" s="61">
        <v>588149.5</v>
      </c>
      <c r="Q39" s="316">
        <v>2013</v>
      </c>
      <c r="R39" s="75">
        <v>387618.7</v>
      </c>
      <c r="S39" s="75">
        <v>16462.5</v>
      </c>
      <c r="T39" s="75">
        <v>174727.8</v>
      </c>
      <c r="U39" s="75">
        <v>42010.9</v>
      </c>
      <c r="V39" s="75">
        <v>201142.6</v>
      </c>
      <c r="W39" s="75">
        <v>637446</v>
      </c>
      <c r="Y39" s="316">
        <v>2013</v>
      </c>
      <c r="Z39" s="75">
        <v>399062.1</v>
      </c>
      <c r="AA39" s="75">
        <v>16956.599999999999</v>
      </c>
      <c r="AB39" s="75">
        <v>177701.1</v>
      </c>
      <c r="AC39" s="75">
        <v>43476.2</v>
      </c>
      <c r="AD39" s="75">
        <v>204182.6</v>
      </c>
      <c r="AE39" s="75">
        <v>658469.30000000005</v>
      </c>
      <c r="AG39" s="316">
        <v>2013</v>
      </c>
      <c r="AH39" s="48">
        <f t="shared" si="46"/>
        <v>0.97132426256464854</v>
      </c>
      <c r="AI39" s="48">
        <f t="shared" si="46"/>
        <v>0.97086090371890599</v>
      </c>
      <c r="AJ39" s="48">
        <f t="shared" si="46"/>
        <v>0.98326797076664119</v>
      </c>
      <c r="AK39" s="48">
        <f t="shared" si="46"/>
        <v>0.96629650245421639</v>
      </c>
      <c r="AL39" s="48">
        <f t="shared" si="46"/>
        <v>0.98511136600278382</v>
      </c>
      <c r="AM39" s="48">
        <f t="shared" si="46"/>
        <v>0.96807246746355513</v>
      </c>
      <c r="AO39" s="316">
        <v>2013</v>
      </c>
      <c r="AP39" s="62">
        <v>1.2421303386081606E-2</v>
      </c>
      <c r="AS39" s="316">
        <v>2013</v>
      </c>
      <c r="AT39" s="308">
        <f t="shared" si="39"/>
        <v>3.2436080988914595E-2</v>
      </c>
      <c r="AU39" s="308">
        <f t="shared" si="39"/>
        <v>2.9937831511322788E-2</v>
      </c>
      <c r="AV39" s="308">
        <f t="shared" si="39"/>
        <v>2.534319788321282E-2</v>
      </c>
      <c r="AW39" s="308">
        <f t="shared" si="39"/>
        <v>2.5495052318785572E-2</v>
      </c>
      <c r="AX39" s="308">
        <f t="shared" si="39"/>
        <v>2.0281902435028698E-2</v>
      </c>
      <c r="AY39" s="308">
        <f t="shared" si="39"/>
        <v>2.3671937931386777E-2</v>
      </c>
      <c r="BA39" s="316">
        <v>2013</v>
      </c>
      <c r="BB39" s="61">
        <v>16101.7</v>
      </c>
      <c r="BC39" s="61">
        <v>602.1</v>
      </c>
      <c r="BD39" s="61">
        <v>7985.6</v>
      </c>
      <c r="BE39" s="61">
        <v>2503.1</v>
      </c>
      <c r="BF39" s="61">
        <v>8494.9</v>
      </c>
      <c r="BG39" s="61">
        <v>15585.2</v>
      </c>
      <c r="BI39" s="316">
        <v>2013</v>
      </c>
      <c r="BJ39" s="61">
        <v>15877.2</v>
      </c>
      <c r="BK39" s="61">
        <v>595.20000000000005</v>
      </c>
      <c r="BL39" s="61">
        <v>7896.2</v>
      </c>
      <c r="BM39" s="61">
        <v>2481.1999999999998</v>
      </c>
      <c r="BN39" s="61">
        <v>8443.5</v>
      </c>
      <c r="BO39" s="61">
        <v>15456.5</v>
      </c>
      <c r="BQ39" s="316">
        <v>2013</v>
      </c>
      <c r="BR39" s="75">
        <v>20171.5</v>
      </c>
      <c r="BS39" s="75">
        <v>588.6</v>
      </c>
      <c r="BT39" s="75">
        <v>12848.8</v>
      </c>
      <c r="BU39" s="75">
        <v>3424.4</v>
      </c>
      <c r="BV39" s="75">
        <v>5485.5</v>
      </c>
      <c r="BW39" s="75">
        <v>15008.2</v>
      </c>
      <c r="BY39" s="316">
        <v>2013</v>
      </c>
      <c r="BZ39" s="75">
        <v>21046.5</v>
      </c>
      <c r="CA39" s="75">
        <v>614.70000000000005</v>
      </c>
      <c r="CB39" s="75">
        <v>13202.3</v>
      </c>
      <c r="CC39" s="75">
        <v>3591</v>
      </c>
      <c r="CD39" s="75">
        <v>5630.4</v>
      </c>
      <c r="CE39" s="75">
        <v>15717.6</v>
      </c>
      <c r="CG39" s="316">
        <v>2013</v>
      </c>
      <c r="CH39" s="48">
        <f t="shared" si="47"/>
        <v>0.95842539139524385</v>
      </c>
      <c r="CI39" s="48">
        <f t="shared" si="47"/>
        <v>0.95754026354319177</v>
      </c>
      <c r="CJ39" s="48">
        <f t="shared" si="47"/>
        <v>0.9732243624216993</v>
      </c>
      <c r="CK39" s="48">
        <f t="shared" si="47"/>
        <v>0.95360623781676412</v>
      </c>
      <c r="CL39" s="48">
        <f t="shared" si="47"/>
        <v>0.97426470588235303</v>
      </c>
      <c r="CM39" s="48">
        <f t="shared" si="47"/>
        <v>0.95486588283198459</v>
      </c>
      <c r="CO39" s="316">
        <v>2013</v>
      </c>
      <c r="CP39" s="62">
        <v>1.2421303386081606E-2</v>
      </c>
      <c r="CS39" s="316">
        <v>2013</v>
      </c>
      <c r="CT39" s="308">
        <f t="shared" si="40"/>
        <v>1.8091190400970625E-2</v>
      </c>
      <c r="CU39" s="308">
        <f t="shared" si="40"/>
        <v>1.5043793604726963E-2</v>
      </c>
      <c r="CV39" s="308">
        <f t="shared" si="40"/>
        <v>1.2932091482386721E-2</v>
      </c>
      <c r="CW39" s="308">
        <f t="shared" si="40"/>
        <v>1.4086208404390232E-2</v>
      </c>
      <c r="CX39" s="308">
        <f t="shared" si="40"/>
        <v>8.20831978862957E-3</v>
      </c>
      <c r="CY39" s="308">
        <f t="shared" si="40"/>
        <v>1.235353279044582E-2</v>
      </c>
      <c r="DA39" s="316">
        <v>2013</v>
      </c>
      <c r="DB39" s="46">
        <f t="shared" si="23"/>
        <v>21938</v>
      </c>
      <c r="DC39" s="46">
        <f t="shared" si="24"/>
        <v>905.40000000000077</v>
      </c>
      <c r="DD39" s="46">
        <f t="shared" si="25"/>
        <v>14110.999999999982</v>
      </c>
      <c r="DE39" s="46">
        <f t="shared" si="26"/>
        <v>3377.2000000000044</v>
      </c>
      <c r="DF39" s="46">
        <f t="shared" si="27"/>
        <v>6507.699999999988</v>
      </c>
      <c r="DG39" s="46">
        <f t="shared" si="28"/>
        <v>12691.799999999954</v>
      </c>
      <c r="DI39" s="316">
        <v>2013</v>
      </c>
      <c r="DJ39" s="88">
        <f t="shared" si="29"/>
        <v>5.485136275807994E-2</v>
      </c>
      <c r="DK39" s="88">
        <f t="shared" si="30"/>
        <v>5.2495173157537746E-2</v>
      </c>
      <c r="DL39" s="88">
        <f t="shared" si="31"/>
        <v>7.9004623486505124E-2</v>
      </c>
      <c r="DM39" s="88">
        <f t="shared" si="32"/>
        <v>7.8063168016568762E-2</v>
      </c>
      <c r="DN39" s="88">
        <f t="shared" si="33"/>
        <v>3.1735605059789791E-2</v>
      </c>
      <c r="DO39" s="88">
        <f t="shared" si="34"/>
        <v>1.9363682758315483E-2</v>
      </c>
      <c r="DQ39" s="316">
        <v>2013</v>
      </c>
      <c r="DR39" s="61">
        <v>508700.6</v>
      </c>
      <c r="DS39" s="61">
        <v>512.68560000000002</v>
      </c>
      <c r="DT39" s="61">
        <v>528248.1</v>
      </c>
      <c r="DU39" s="61">
        <v>532.08040000000005</v>
      </c>
      <c r="DV39" s="89">
        <v>-0.1</v>
      </c>
      <c r="DW39" s="46">
        <f t="shared" si="6"/>
        <v>509209.80980980978</v>
      </c>
      <c r="DX39" s="61">
        <v>510.64302788844623</v>
      </c>
      <c r="DY39" s="46">
        <f t="shared" si="7"/>
        <v>528776.87687687681</v>
      </c>
      <c r="DZ39" s="61">
        <v>529.96055776892433</v>
      </c>
      <c r="EB39" s="316">
        <v>2013</v>
      </c>
      <c r="EC39" s="88">
        <f t="shared" si="8"/>
        <v>3.9652990383734557E-2</v>
      </c>
      <c r="ED39" s="88">
        <f t="shared" si="9"/>
        <v>1.1570656688826395E-3</v>
      </c>
      <c r="EE39" s="88">
        <f t="shared" si="10"/>
        <v>2.5258079113726226E-2</v>
      </c>
      <c r="EF39" s="88">
        <f t="shared" si="11"/>
        <v>6.7316610202543502E-3</v>
      </c>
      <c r="EG39" s="88">
        <f t="shared" si="12"/>
        <v>1.0783356654189124E-2</v>
      </c>
      <c r="EH39" s="88">
        <f t="shared" si="13"/>
        <v>2.9503012184377217E-2</v>
      </c>
      <c r="EI39" s="140"/>
      <c r="EJ39" s="316">
        <v>2013</v>
      </c>
      <c r="EK39" s="88">
        <f t="shared" si="14"/>
        <v>0.76121608918880779</v>
      </c>
      <c r="EL39" s="88">
        <f t="shared" si="15"/>
        <v>3.232950285492095E-2</v>
      </c>
      <c r="EM39" s="88">
        <f t="shared" si="16"/>
        <v>0.34313518049713326</v>
      </c>
      <c r="EN39" s="88">
        <f t="shared" si="17"/>
        <v>8.2502141927884506E-2</v>
      </c>
      <c r="EO39" s="88">
        <f t="shared" si="18"/>
        <v>0.39500927932854812</v>
      </c>
      <c r="EP39" s="88">
        <f t="shared" si="19"/>
        <v>1.2518336994294876</v>
      </c>
      <c r="ER39" s="316">
        <v>2013</v>
      </c>
      <c r="ES39" s="317">
        <f t="shared" si="35"/>
        <v>127298</v>
      </c>
      <c r="ET39" s="318">
        <v>16390</v>
      </c>
      <c r="EU39" s="318">
        <v>79010</v>
      </c>
      <c r="EV39" s="318">
        <v>31898</v>
      </c>
      <c r="EW39" s="88">
        <f t="shared" si="36"/>
        <v>0.12875300476048326</v>
      </c>
      <c r="EX39" s="88">
        <f t="shared" si="36"/>
        <v>0.62066960989175002</v>
      </c>
      <c r="EY39" s="88">
        <f t="shared" si="36"/>
        <v>0.25057738534776663</v>
      </c>
      <c r="EZ39" s="88">
        <f t="shared" si="41"/>
        <v>-1.0121209110063589E-3</v>
      </c>
      <c r="FA39" s="88">
        <f t="shared" si="41"/>
        <v>-8.079948983676366E-3</v>
      </c>
      <c r="FB39" s="88">
        <f t="shared" si="41"/>
        <v>9.0920698946826972E-3</v>
      </c>
      <c r="FD39" s="316">
        <v>2013</v>
      </c>
      <c r="FE39" s="159">
        <v>7.1467755102040823E-3</v>
      </c>
      <c r="FF39" s="159">
        <v>6.9999999999999993E-3</v>
      </c>
      <c r="FG39" s="159">
        <v>8.0000000000000002E-3</v>
      </c>
      <c r="FH39" s="159">
        <v>1.9E-2</v>
      </c>
      <c r="FI39" s="319">
        <f t="shared" si="42"/>
        <v>-8.5322448979591788E-4</v>
      </c>
      <c r="FK39" s="345">
        <f t="shared" si="43"/>
        <v>1.849002110285114E-2</v>
      </c>
      <c r="FL39" s="345">
        <f t="shared" si="44"/>
        <v>2.0273851169549939E-3</v>
      </c>
      <c r="FM39" s="345">
        <f t="shared" si="45"/>
        <v>-7.9712943480428691E-4</v>
      </c>
      <c r="FN39" s="38"/>
      <c r="FO39" s="316">
        <v>2013</v>
      </c>
      <c r="FP39" s="61">
        <v>166942.5286374909</v>
      </c>
      <c r="FQ39" s="61">
        <v>6117.756593055351</v>
      </c>
      <c r="FR39" s="61">
        <v>88786.384070218832</v>
      </c>
      <c r="FS39" s="61">
        <v>26871.151702076073</v>
      </c>
      <c r="FT39" s="61">
        <v>46865.217622593802</v>
      </c>
      <c r="FU39" s="61">
        <v>152615.44266419049</v>
      </c>
      <c r="FV39" s="46">
        <f t="shared" si="38"/>
        <v>488198.48128962546</v>
      </c>
    </row>
    <row r="40" spans="1:178" hidden="1" outlineLevel="1">
      <c r="A40" s="316">
        <v>2014</v>
      </c>
      <c r="B40" s="61">
        <v>350860.1</v>
      </c>
      <c r="C40" s="61">
        <v>19527.7</v>
      </c>
      <c r="D40" s="61">
        <v>132975.4</v>
      </c>
      <c r="E40" s="61">
        <v>36709.199999999997</v>
      </c>
      <c r="F40" s="61">
        <v>208916.2</v>
      </c>
      <c r="G40" s="61">
        <v>615366.5</v>
      </c>
      <c r="I40" s="316">
        <v>2014</v>
      </c>
      <c r="J40" s="61">
        <v>331888.3</v>
      </c>
      <c r="K40" s="61">
        <v>18560.8</v>
      </c>
      <c r="L40" s="61">
        <v>128935.8</v>
      </c>
      <c r="M40" s="61">
        <v>35053.9</v>
      </c>
      <c r="N40" s="61">
        <v>204492.5</v>
      </c>
      <c r="O40" s="61">
        <v>591121.5</v>
      </c>
      <c r="Q40" s="316">
        <v>2014</v>
      </c>
      <c r="R40" s="75">
        <v>397074.1</v>
      </c>
      <c r="S40" s="75">
        <v>16811.900000000001</v>
      </c>
      <c r="T40" s="75">
        <v>175450.4</v>
      </c>
      <c r="U40" s="75">
        <v>43468.6</v>
      </c>
      <c r="V40" s="75">
        <v>201805</v>
      </c>
      <c r="W40" s="75">
        <v>656684.1</v>
      </c>
      <c r="Y40" s="316">
        <v>2014</v>
      </c>
      <c r="Z40" s="75">
        <v>397563.9</v>
      </c>
      <c r="AA40" s="75">
        <v>16824.7</v>
      </c>
      <c r="AB40" s="75">
        <v>176737.1</v>
      </c>
      <c r="AC40" s="75">
        <v>43806.1</v>
      </c>
      <c r="AD40" s="75">
        <v>203210.7</v>
      </c>
      <c r="AE40" s="75">
        <v>661075.9</v>
      </c>
      <c r="AG40" s="316">
        <v>2014</v>
      </c>
      <c r="AH40" s="48">
        <f t="shared" si="46"/>
        <v>0.9987679967924652</v>
      </c>
      <c r="AI40" s="48">
        <f t="shared" si="46"/>
        <v>0.99923921377498559</v>
      </c>
      <c r="AJ40" s="48">
        <f t="shared" si="46"/>
        <v>0.9927196949593492</v>
      </c>
      <c r="AK40" s="48">
        <f t="shared" si="46"/>
        <v>0.99229559353606001</v>
      </c>
      <c r="AL40" s="48">
        <f t="shared" si="46"/>
        <v>0.99308254929489437</v>
      </c>
      <c r="AM40" s="48">
        <f t="shared" si="46"/>
        <v>0.9933565873449629</v>
      </c>
      <c r="AO40" s="316">
        <v>2014</v>
      </c>
      <c r="AP40" s="62">
        <v>3.2100840336134029E-2</v>
      </c>
      <c r="AS40" s="316">
        <v>2014</v>
      </c>
      <c r="AT40" s="308">
        <f t="shared" si="39"/>
        <v>2.8253936698086068E-2</v>
      </c>
      <c r="AU40" s="308">
        <f t="shared" si="39"/>
        <v>2.9230047216213695E-2</v>
      </c>
      <c r="AV40" s="308">
        <f t="shared" si="39"/>
        <v>9.6125618587359352E-3</v>
      </c>
      <c r="AW40" s="308">
        <f t="shared" si="39"/>
        <v>2.6905914505341411E-2</v>
      </c>
      <c r="AX40" s="308">
        <f t="shared" si="39"/>
        <v>8.0916570117901543E-3</v>
      </c>
      <c r="AY40" s="308">
        <f t="shared" si="39"/>
        <v>2.6118003280947155E-2</v>
      </c>
      <c r="BA40" s="316">
        <v>2014</v>
      </c>
      <c r="BB40" s="61">
        <v>15959</v>
      </c>
      <c r="BC40" s="61">
        <v>749.2</v>
      </c>
      <c r="BD40" s="61">
        <v>8989.5</v>
      </c>
      <c r="BE40" s="61">
        <v>2323.6</v>
      </c>
      <c r="BF40" s="61">
        <v>8694.5</v>
      </c>
      <c r="BG40" s="61">
        <v>16533.8</v>
      </c>
      <c r="BI40" s="316">
        <v>2014</v>
      </c>
      <c r="BJ40" s="61">
        <v>15200.9</v>
      </c>
      <c r="BK40" s="61">
        <v>717.4</v>
      </c>
      <c r="BL40" s="61">
        <v>8696</v>
      </c>
      <c r="BM40" s="61">
        <v>2225.1999999999998</v>
      </c>
      <c r="BN40" s="61">
        <v>8477.2000000000007</v>
      </c>
      <c r="BO40" s="61">
        <v>15858.4</v>
      </c>
      <c r="BQ40" s="316">
        <v>2014</v>
      </c>
      <c r="BR40" s="75">
        <v>20204.5</v>
      </c>
      <c r="BS40" s="75">
        <v>753.9</v>
      </c>
      <c r="BT40" s="75">
        <v>13007.2</v>
      </c>
      <c r="BU40" s="75">
        <v>3685.9</v>
      </c>
      <c r="BV40" s="75">
        <v>5466.7</v>
      </c>
      <c r="BW40" s="75">
        <v>15181.2</v>
      </c>
      <c r="BY40" s="316">
        <v>2014</v>
      </c>
      <c r="BZ40" s="75">
        <v>20396.3</v>
      </c>
      <c r="CA40" s="75">
        <v>760.5</v>
      </c>
      <c r="CB40" s="75">
        <v>13097.3</v>
      </c>
      <c r="CC40" s="75">
        <v>3729.7</v>
      </c>
      <c r="CD40" s="75">
        <v>5519</v>
      </c>
      <c r="CE40" s="75">
        <v>15350.3</v>
      </c>
      <c r="CG40" s="316">
        <v>2014</v>
      </c>
      <c r="CH40" s="48">
        <f t="shared" si="47"/>
        <v>0.9905963336487501</v>
      </c>
      <c r="CI40" s="48">
        <f t="shared" si="47"/>
        <v>0.99132149901380673</v>
      </c>
      <c r="CJ40" s="48">
        <f t="shared" si="47"/>
        <v>0.99312071953761472</v>
      </c>
      <c r="CK40" s="48">
        <f t="shared" si="47"/>
        <v>0.98825642813094894</v>
      </c>
      <c r="CL40" s="48">
        <f t="shared" si="47"/>
        <v>0.99052364558796879</v>
      </c>
      <c r="CM40" s="48">
        <f t="shared" si="47"/>
        <v>0.98898392865286033</v>
      </c>
      <c r="CO40" s="316">
        <v>2014</v>
      </c>
      <c r="CP40" s="62">
        <v>3.2100840336134029E-2</v>
      </c>
      <c r="CS40" s="316">
        <v>2014</v>
      </c>
      <c r="CT40" s="308">
        <f t="shared" si="40"/>
        <v>3.3566454459927009E-2</v>
      </c>
      <c r="CU40" s="308">
        <f t="shared" si="40"/>
        <v>3.5279180162737012E-2</v>
      </c>
      <c r="CV40" s="308">
        <f t="shared" si="40"/>
        <v>2.0443751599483972E-2</v>
      </c>
      <c r="CW40" s="308">
        <f t="shared" si="40"/>
        <v>3.633595182170235E-2</v>
      </c>
      <c r="CX40" s="308">
        <f t="shared" si="40"/>
        <v>1.6688421131801912E-2</v>
      </c>
      <c r="CY40" s="308">
        <f t="shared" si="40"/>
        <v>3.5730720339161026E-2</v>
      </c>
      <c r="DA40" s="316">
        <v>2014</v>
      </c>
      <c r="DB40" s="46">
        <f t="shared" si="23"/>
        <v>21894.499999999953</v>
      </c>
      <c r="DC40" s="46">
        <f t="shared" si="24"/>
        <v>892.39999999999782</v>
      </c>
      <c r="DD40" s="46">
        <f t="shared" si="25"/>
        <v>14061.3</v>
      </c>
      <c r="DE40" s="46">
        <f t="shared" si="26"/>
        <v>3399.7999999999984</v>
      </c>
      <c r="DF40" s="46">
        <f t="shared" si="27"/>
        <v>6490.8999999999942</v>
      </c>
      <c r="DG40" s="46">
        <f t="shared" si="28"/>
        <v>12743.700000000023</v>
      </c>
      <c r="DI40" s="316">
        <v>2014</v>
      </c>
      <c r="DJ40" s="88">
        <f t="shared" si="29"/>
        <v>5.4864894461287991E-2</v>
      </c>
      <c r="DK40" s="88">
        <f t="shared" si="30"/>
        <v>5.2628475048063755E-2</v>
      </c>
      <c r="DL40" s="88">
        <f t="shared" si="31"/>
        <v>7.9128941801710845E-2</v>
      </c>
      <c r="DM40" s="88">
        <f t="shared" si="32"/>
        <v>7.8199106637654586E-2</v>
      </c>
      <c r="DN40" s="88">
        <f t="shared" si="33"/>
        <v>3.1789682372542975E-2</v>
      </c>
      <c r="DO40" s="88">
        <f t="shared" si="34"/>
        <v>1.9353521872621886E-2</v>
      </c>
      <c r="DQ40" s="316">
        <v>2014</v>
      </c>
      <c r="DR40" s="61">
        <v>518811</v>
      </c>
      <c r="DS40" s="61">
        <v>523.41830000000004</v>
      </c>
      <c r="DT40" s="61">
        <v>529812.80000000005</v>
      </c>
      <c r="DU40" s="61">
        <v>530.19159999999999</v>
      </c>
      <c r="DV40" s="89">
        <v>-0.7</v>
      </c>
      <c r="DW40" s="46">
        <f t="shared" si="6"/>
        <v>522468.27794561937</v>
      </c>
      <c r="DX40" s="61">
        <v>528.17184661957629</v>
      </c>
      <c r="DY40" s="46">
        <f t="shared" si="7"/>
        <v>533547.63343403826</v>
      </c>
      <c r="DZ40" s="61">
        <v>535.00665993945506</v>
      </c>
      <c r="EB40" s="316">
        <v>2014</v>
      </c>
      <c r="EC40" s="88">
        <f t="shared" si="8"/>
        <v>3.8943854313035001E-2</v>
      </c>
      <c r="ED40" s="88">
        <f t="shared" si="9"/>
        <v>1.4531303306984625E-3</v>
      </c>
      <c r="EE40" s="88">
        <f t="shared" si="10"/>
        <v>2.507117235370877E-2</v>
      </c>
      <c r="EF40" s="88">
        <f t="shared" si="11"/>
        <v>7.1045139752241183E-3</v>
      </c>
      <c r="EG40" s="88">
        <f t="shared" si="12"/>
        <v>1.0536977820439428E-2</v>
      </c>
      <c r="EH40" s="88">
        <f t="shared" si="13"/>
        <v>2.9261522982357738E-2</v>
      </c>
      <c r="EI40" s="140"/>
      <c r="EJ40" s="316">
        <v>2014</v>
      </c>
      <c r="EK40" s="88">
        <f t="shared" si="14"/>
        <v>0.75999657158387146</v>
      </c>
      <c r="EL40" s="88">
        <f t="shared" si="15"/>
        <v>3.2177838750527647E-2</v>
      </c>
      <c r="EM40" s="88">
        <f t="shared" si="16"/>
        <v>0.33581062699133207</v>
      </c>
      <c r="EN40" s="88">
        <f t="shared" si="17"/>
        <v>8.3198543978443007E-2</v>
      </c>
      <c r="EO40" s="88">
        <f t="shared" si="18"/>
        <v>0.38625311529632178</v>
      </c>
      <c r="EP40" s="88">
        <f t="shared" si="19"/>
        <v>1.25688798290707</v>
      </c>
      <c r="ER40" s="316">
        <v>2014</v>
      </c>
      <c r="ES40" s="317">
        <f t="shared" si="35"/>
        <v>127083</v>
      </c>
      <c r="ET40" s="318">
        <v>16233</v>
      </c>
      <c r="EU40" s="318">
        <v>77850</v>
      </c>
      <c r="EV40" s="318">
        <v>33000</v>
      </c>
      <c r="EW40" s="88">
        <f t="shared" si="36"/>
        <v>0.12773541701092986</v>
      </c>
      <c r="EX40" s="88">
        <f t="shared" si="36"/>
        <v>0.61259177073251336</v>
      </c>
      <c r="EY40" s="88">
        <f t="shared" si="36"/>
        <v>0.25967281225655675</v>
      </c>
      <c r="EZ40" s="88">
        <f t="shared" si="41"/>
        <v>-1.0175877495534058E-3</v>
      </c>
      <c r="FA40" s="88">
        <f t="shared" si="41"/>
        <v>-8.077839159236655E-3</v>
      </c>
      <c r="FB40" s="88">
        <f t="shared" si="41"/>
        <v>9.0954269087901163E-3</v>
      </c>
      <c r="FD40" s="316">
        <v>2014</v>
      </c>
      <c r="FE40" s="159">
        <v>5.5259426229508192E-3</v>
      </c>
      <c r="FF40" s="159">
        <v>4.0000000000000001E-3</v>
      </c>
      <c r="FG40" s="159">
        <v>9.0000000000000011E-3</v>
      </c>
      <c r="FH40" s="159">
        <v>2.7000000000000003E-2</v>
      </c>
      <c r="FI40" s="319">
        <f t="shared" si="42"/>
        <v>-3.4740573770491818E-3</v>
      </c>
      <c r="FK40" s="345">
        <f t="shared" si="43"/>
        <v>1.8607252625205462E-2</v>
      </c>
      <c r="FL40" s="345">
        <f t="shared" si="44"/>
        <v>-2.7600613719967471E-3</v>
      </c>
      <c r="FM40" s="345">
        <f t="shared" si="45"/>
        <v>-7.0782294869184761E-4</v>
      </c>
      <c r="FN40" s="38"/>
      <c r="FO40" s="316">
        <v>2014</v>
      </c>
      <c r="FP40" s="61">
        <v>155428.16920263518</v>
      </c>
      <c r="FQ40" s="61">
        <v>7380.2958422805068</v>
      </c>
      <c r="FR40" s="61">
        <v>92341.114644232031</v>
      </c>
      <c r="FS40" s="61">
        <v>32867.215961007081</v>
      </c>
      <c r="FT40" s="61">
        <v>47380.301256210405</v>
      </c>
      <c r="FU40" s="61">
        <v>150196.69366653039</v>
      </c>
      <c r="FV40" s="46">
        <f t="shared" si="38"/>
        <v>485593.79057289567</v>
      </c>
    </row>
    <row r="41" spans="1:178" hidden="1" outlineLevel="1">
      <c r="A41" s="316">
        <v>2015</v>
      </c>
      <c r="B41" s="61">
        <v>349077.8</v>
      </c>
      <c r="C41" s="61">
        <v>19489.3</v>
      </c>
      <c r="D41" s="61">
        <v>133365.1</v>
      </c>
      <c r="E41" s="61">
        <v>36489.300000000003</v>
      </c>
      <c r="F41" s="61">
        <v>213062.9</v>
      </c>
      <c r="G41" s="61">
        <v>621213</v>
      </c>
      <c r="I41" s="316">
        <v>2015</v>
      </c>
      <c r="J41" s="61">
        <v>330041.59999999998</v>
      </c>
      <c r="K41" s="61">
        <v>18524.2</v>
      </c>
      <c r="L41" s="61">
        <v>128390.3</v>
      </c>
      <c r="M41" s="61">
        <v>34591</v>
      </c>
      <c r="N41" s="61">
        <v>206533.7</v>
      </c>
      <c r="O41" s="61">
        <v>593676.4</v>
      </c>
      <c r="Q41" s="316">
        <v>2015</v>
      </c>
      <c r="R41" s="75">
        <v>396088.2</v>
      </c>
      <c r="S41" s="75">
        <v>16738.099999999999</v>
      </c>
      <c r="T41" s="75">
        <v>176466.6</v>
      </c>
      <c r="U41" s="75">
        <v>44223.1</v>
      </c>
      <c r="V41" s="75">
        <v>203187.6</v>
      </c>
      <c r="W41" s="75">
        <v>662351.19999999995</v>
      </c>
      <c r="Y41" s="316">
        <v>2015</v>
      </c>
      <c r="Z41" s="75">
        <v>396088.2</v>
      </c>
      <c r="AA41" s="75">
        <v>16738.099999999999</v>
      </c>
      <c r="AB41" s="75">
        <v>176466.6</v>
      </c>
      <c r="AC41" s="75">
        <v>44223.1</v>
      </c>
      <c r="AD41" s="75">
        <v>203187.6</v>
      </c>
      <c r="AE41" s="75">
        <v>662351.19999999995</v>
      </c>
      <c r="AG41" s="316">
        <v>2015</v>
      </c>
      <c r="AH41" s="48">
        <f t="shared" si="46"/>
        <v>1</v>
      </c>
      <c r="AI41" s="48">
        <f t="shared" si="46"/>
        <v>1</v>
      </c>
      <c r="AJ41" s="48">
        <f t="shared" si="46"/>
        <v>1</v>
      </c>
      <c r="AK41" s="48">
        <f t="shared" si="46"/>
        <v>1</v>
      </c>
      <c r="AL41" s="48">
        <f t="shared" si="46"/>
        <v>1</v>
      </c>
      <c r="AM41" s="48">
        <f t="shared" si="46"/>
        <v>1</v>
      </c>
      <c r="AO41" s="316">
        <v>2015</v>
      </c>
      <c r="AP41" s="62">
        <v>-2.2879009933238881E-2</v>
      </c>
      <c r="AS41" s="316">
        <v>2015</v>
      </c>
      <c r="AT41" s="308">
        <f t="shared" si="39"/>
        <v>1.2335229117186319E-3</v>
      </c>
      <c r="AU41" s="308">
        <f t="shared" si="39"/>
        <v>7.6136546136962302E-4</v>
      </c>
      <c r="AV41" s="308">
        <f t="shared" si="39"/>
        <v>7.3336965888934902E-3</v>
      </c>
      <c r="AW41" s="308">
        <f t="shared" si="39"/>
        <v>7.7642252108418575E-3</v>
      </c>
      <c r="AX41" s="308">
        <f t="shared" si="39"/>
        <v>6.9656351428359908E-3</v>
      </c>
      <c r="AY41" s="308">
        <f t="shared" si="39"/>
        <v>6.6878427542254038E-3</v>
      </c>
      <c r="BA41" s="316">
        <v>2015</v>
      </c>
      <c r="BB41" s="61">
        <v>15926.1</v>
      </c>
      <c r="BC41" s="61">
        <v>806.6</v>
      </c>
      <c r="BD41" s="61">
        <v>9665.1</v>
      </c>
      <c r="BE41" s="61">
        <v>2345.1</v>
      </c>
      <c r="BF41" s="61">
        <v>8771.7000000000007</v>
      </c>
      <c r="BG41" s="61">
        <v>16332.2</v>
      </c>
      <c r="BI41" s="316">
        <v>2015</v>
      </c>
      <c r="BJ41" s="61">
        <v>15041.1</v>
      </c>
      <c r="BK41" s="61">
        <v>763.5</v>
      </c>
      <c r="BL41" s="61">
        <v>9285</v>
      </c>
      <c r="BM41" s="61">
        <v>2222.9</v>
      </c>
      <c r="BN41" s="61">
        <v>8480.4</v>
      </c>
      <c r="BO41" s="61">
        <v>15511</v>
      </c>
      <c r="BQ41" s="316">
        <v>2015</v>
      </c>
      <c r="BR41" s="75">
        <v>20306.099999999999</v>
      </c>
      <c r="BS41" s="75">
        <v>799.2</v>
      </c>
      <c r="BT41" s="75">
        <v>13733.5</v>
      </c>
      <c r="BU41" s="75">
        <v>3845.7</v>
      </c>
      <c r="BV41" s="75">
        <v>6435.7</v>
      </c>
      <c r="BW41" s="75">
        <v>14036.3</v>
      </c>
      <c r="BY41" s="316">
        <v>2015</v>
      </c>
      <c r="BZ41" s="75">
        <v>20306.099999999999</v>
      </c>
      <c r="CA41" s="75">
        <v>799.2</v>
      </c>
      <c r="CB41" s="75">
        <v>13733.5</v>
      </c>
      <c r="CC41" s="75">
        <v>3845.7</v>
      </c>
      <c r="CD41" s="75">
        <v>6435.7</v>
      </c>
      <c r="CE41" s="75">
        <v>14036.3</v>
      </c>
      <c r="CG41" s="316">
        <v>2015</v>
      </c>
      <c r="CH41" s="48">
        <f t="shared" si="47"/>
        <v>1</v>
      </c>
      <c r="CI41" s="48">
        <f t="shared" si="47"/>
        <v>1</v>
      </c>
      <c r="CJ41" s="48">
        <f t="shared" si="47"/>
        <v>1</v>
      </c>
      <c r="CK41" s="48">
        <f t="shared" si="47"/>
        <v>1</v>
      </c>
      <c r="CL41" s="48">
        <f t="shared" si="47"/>
        <v>1</v>
      </c>
      <c r="CM41" s="48">
        <f t="shared" si="47"/>
        <v>1</v>
      </c>
      <c r="CO41" s="316">
        <v>2015</v>
      </c>
      <c r="CP41" s="62">
        <v>-2.2879009933238881E-2</v>
      </c>
      <c r="CS41" s="316">
        <v>2015</v>
      </c>
      <c r="CT41" s="308">
        <f t="shared" si="40"/>
        <v>9.4929347422603172E-3</v>
      </c>
      <c r="CU41" s="308">
        <f t="shared" si="40"/>
        <v>8.7544767210505636E-3</v>
      </c>
      <c r="CV41" s="308">
        <f t="shared" si="40"/>
        <v>6.9269327756933397E-3</v>
      </c>
      <c r="CW41" s="308">
        <f t="shared" si="40"/>
        <v>1.1883122168262705E-2</v>
      </c>
      <c r="CX41" s="308">
        <f t="shared" si="40"/>
        <v>9.5670148352753337E-3</v>
      </c>
      <c r="CY41" s="308">
        <f t="shared" si="40"/>
        <v>1.1138776908281134E-2</v>
      </c>
      <c r="DA41" s="316">
        <v>2015</v>
      </c>
      <c r="DB41" s="46">
        <f t="shared" si="23"/>
        <v>21781.80000000001</v>
      </c>
      <c r="DC41" s="46">
        <f t="shared" si="24"/>
        <v>885.80000000000223</v>
      </c>
      <c r="DD41" s="46">
        <f t="shared" si="25"/>
        <v>14004</v>
      </c>
      <c r="DE41" s="46">
        <f t="shared" si="26"/>
        <v>3428.7</v>
      </c>
      <c r="DF41" s="46">
        <f t="shared" si="27"/>
        <v>6458.8000000000056</v>
      </c>
      <c r="DG41" s="46">
        <f t="shared" si="28"/>
        <v>12761.000000000069</v>
      </c>
      <c r="DI41" s="316">
        <v>2015</v>
      </c>
      <c r="DJ41" s="88">
        <f t="shared" si="29"/>
        <v>5.4788173674722503E-2</v>
      </c>
      <c r="DK41" s="88">
        <f t="shared" si="30"/>
        <v>5.2648784227950704E-2</v>
      </c>
      <c r="DL41" s="88">
        <f t="shared" si="31"/>
        <v>7.9236334646206136E-2</v>
      </c>
      <c r="DM41" s="88">
        <f t="shared" si="32"/>
        <v>7.8269921312328641E-2</v>
      </c>
      <c r="DN41" s="88">
        <f t="shared" si="33"/>
        <v>3.178375941818027E-2</v>
      </c>
      <c r="DO41" s="88">
        <f t="shared" si="34"/>
        <v>1.930338104898404E-2</v>
      </c>
      <c r="DQ41" s="316">
        <v>2015</v>
      </c>
      <c r="DR41" s="61">
        <v>538032.30000000005</v>
      </c>
      <c r="DS41" s="61">
        <v>540.73940000000005</v>
      </c>
      <c r="DT41" s="61">
        <v>538081.19999999995</v>
      </c>
      <c r="DU41" s="61">
        <v>539.40930000000003</v>
      </c>
      <c r="DV41" s="89">
        <v>0</v>
      </c>
      <c r="DW41" s="46">
        <f t="shared" si="6"/>
        <v>538032.30000000005</v>
      </c>
      <c r="DX41" s="61">
        <v>541.28068068068069</v>
      </c>
      <c r="DY41" s="46">
        <f t="shared" si="7"/>
        <v>538081.19999999995</v>
      </c>
      <c r="DZ41" s="61">
        <v>539.94924924924931</v>
      </c>
      <c r="EB41" s="316">
        <v>2015</v>
      </c>
      <c r="EC41" s="88">
        <f t="shared" si="8"/>
        <v>3.7741414409506638E-2</v>
      </c>
      <c r="ED41" s="88">
        <f t="shared" si="9"/>
        <v>1.485412678755532E-3</v>
      </c>
      <c r="EE41" s="88">
        <f t="shared" si="10"/>
        <v>2.5525419198810181E-2</v>
      </c>
      <c r="EF41" s="88">
        <f t="shared" si="11"/>
        <v>7.1477121354981835E-3</v>
      </c>
      <c r="EG41" s="88">
        <f t="shared" si="12"/>
        <v>1.1961549520354074E-2</v>
      </c>
      <c r="EH41" s="88">
        <f t="shared" si="13"/>
        <v>2.6088210689209548E-2</v>
      </c>
      <c r="EI41" s="140"/>
      <c r="EJ41" s="316">
        <v>2015</v>
      </c>
      <c r="EK41" s="88">
        <f t="shared" si="14"/>
        <v>0.73617922195377483</v>
      </c>
      <c r="EL41" s="88">
        <f t="shared" si="15"/>
        <v>3.1109842290137593E-2</v>
      </c>
      <c r="EM41" s="88">
        <f t="shared" si="16"/>
        <v>0.32798514141251367</v>
      </c>
      <c r="EN41" s="88">
        <f t="shared" si="17"/>
        <v>8.2194135928270462E-2</v>
      </c>
      <c r="EO41" s="88">
        <f t="shared" si="18"/>
        <v>0.37764944595333771</v>
      </c>
      <c r="EP41" s="88">
        <f t="shared" si="19"/>
        <v>1.2310621499861623</v>
      </c>
      <c r="ER41" s="316">
        <v>2015</v>
      </c>
      <c r="ES41" s="317">
        <f t="shared" si="35"/>
        <v>127095</v>
      </c>
      <c r="ET41" s="318">
        <v>15945</v>
      </c>
      <c r="EU41" s="318">
        <v>77282</v>
      </c>
      <c r="EV41" s="318">
        <v>33868</v>
      </c>
      <c r="EW41" s="88">
        <f t="shared" si="36"/>
        <v>0.12545733506432197</v>
      </c>
      <c r="EX41" s="88">
        <f t="shared" si="36"/>
        <v>0.60806483339234429</v>
      </c>
      <c r="EY41" s="88">
        <f t="shared" si="36"/>
        <v>0.26647783154333371</v>
      </c>
      <c r="EZ41" s="88">
        <f t="shared" si="41"/>
        <v>-2.2780819466078905E-3</v>
      </c>
      <c r="FA41" s="88">
        <f t="shared" si="41"/>
        <v>-4.5269373401690682E-3</v>
      </c>
      <c r="FB41" s="88">
        <f t="shared" si="41"/>
        <v>6.8050192867769588E-3</v>
      </c>
      <c r="FD41" s="316">
        <v>2015</v>
      </c>
      <c r="FE41" s="159">
        <v>3.637786885245897E-3</v>
      </c>
      <c r="FF41" s="159">
        <v>3.0000000000000001E-3</v>
      </c>
      <c r="FG41" s="159">
        <v>9.0000000000000011E-3</v>
      </c>
      <c r="FH41" s="159">
        <v>-3.2000000000000001E-2</v>
      </c>
      <c r="FI41" s="319">
        <f t="shared" si="42"/>
        <v>-5.362213114754104E-3</v>
      </c>
      <c r="FK41" s="345">
        <f t="shared" si="43"/>
        <v>2.5675150238741451E-2</v>
      </c>
      <c r="FL41" s="345">
        <f t="shared" si="44"/>
        <v>-1.6198717975116628E-3</v>
      </c>
      <c r="FM41" s="345">
        <f t="shared" si="45"/>
        <v>-6.3719571065400452E-4</v>
      </c>
      <c r="FN41" s="38"/>
      <c r="FO41" s="316">
        <v>2015</v>
      </c>
      <c r="FP41" s="61">
        <v>172758.35708535835</v>
      </c>
      <c r="FQ41" s="61">
        <v>9479.4237761110289</v>
      </c>
      <c r="FR41" s="61">
        <v>123036.59479117366</v>
      </c>
      <c r="FS41" s="61">
        <v>42911.002668863453</v>
      </c>
      <c r="FT41" s="61">
        <v>49537.703405259403</v>
      </c>
      <c r="FU41" s="61">
        <v>141850.29847867921</v>
      </c>
      <c r="FV41" s="46">
        <f t="shared" si="38"/>
        <v>539573.38020544511</v>
      </c>
    </row>
    <row r="42" spans="1:178" hidden="1" outlineLevel="1">
      <c r="A42" s="316">
        <v>2016</v>
      </c>
      <c r="B42" s="61">
        <v>348254.1</v>
      </c>
      <c r="C42" s="61">
        <v>19489.2</v>
      </c>
      <c r="D42" s="61">
        <v>133526.39999999999</v>
      </c>
      <c r="E42" s="61">
        <v>35981.5</v>
      </c>
      <c r="F42" s="61">
        <v>214934.3</v>
      </c>
      <c r="G42" s="61">
        <v>626883.30000000005</v>
      </c>
      <c r="I42" s="316">
        <v>2016</v>
      </c>
      <c r="J42" s="61">
        <v>328929.3</v>
      </c>
      <c r="K42" s="61">
        <v>18486.599999999999</v>
      </c>
      <c r="L42" s="61">
        <v>128300.7</v>
      </c>
      <c r="M42" s="61">
        <v>34012.6</v>
      </c>
      <c r="N42" s="61">
        <v>208858.5</v>
      </c>
      <c r="O42" s="61">
        <v>595391.1</v>
      </c>
      <c r="Q42" s="316">
        <v>2016</v>
      </c>
      <c r="R42" s="75">
        <v>395649.9</v>
      </c>
      <c r="S42" s="75">
        <v>16677.599999999999</v>
      </c>
      <c r="T42" s="75">
        <v>176968.4</v>
      </c>
      <c r="U42" s="75">
        <v>44790.6</v>
      </c>
      <c r="V42" s="75">
        <v>203913.5</v>
      </c>
      <c r="W42" s="75">
        <v>667259.69999999995</v>
      </c>
      <c r="Y42" s="316">
        <v>2016</v>
      </c>
      <c r="Z42" s="75">
        <v>395142.6</v>
      </c>
      <c r="AA42" s="75">
        <v>16656.8</v>
      </c>
      <c r="AB42" s="75">
        <v>177048.3</v>
      </c>
      <c r="AC42" s="75">
        <v>44746.400000000001</v>
      </c>
      <c r="AD42" s="75">
        <v>204271.2</v>
      </c>
      <c r="AE42" s="75">
        <v>663206.30000000005</v>
      </c>
      <c r="AG42" s="316">
        <v>2016</v>
      </c>
      <c r="AH42" s="48">
        <f t="shared" si="46"/>
        <v>1.0012838403148636</v>
      </c>
      <c r="AI42" s="48">
        <f t="shared" si="46"/>
        <v>1.0012487392536382</v>
      </c>
      <c r="AJ42" s="48">
        <f t="shared" si="46"/>
        <v>0.99954871071905238</v>
      </c>
      <c r="AK42" s="48">
        <f t="shared" si="46"/>
        <v>1.0009877889617935</v>
      </c>
      <c r="AL42" s="48">
        <f t="shared" si="46"/>
        <v>0.99824889656495863</v>
      </c>
      <c r="AM42" s="48">
        <f t="shared" si="46"/>
        <v>1.0061118237266442</v>
      </c>
      <c r="AO42" s="316">
        <v>2016</v>
      </c>
      <c r="AP42" s="62">
        <v>-3.5080409965832948E-2</v>
      </c>
      <c r="AS42" s="316">
        <v>2016</v>
      </c>
      <c r="AT42" s="308">
        <f t="shared" si="39"/>
        <v>1.2838403148636157E-3</v>
      </c>
      <c r="AU42" s="308">
        <f t="shared" si="39"/>
        <v>1.2487392536382202E-3</v>
      </c>
      <c r="AV42" s="308">
        <f t="shared" si="39"/>
        <v>-4.5128928094761989E-4</v>
      </c>
      <c r="AW42" s="308">
        <f t="shared" si="39"/>
        <v>9.8778896179352316E-4</v>
      </c>
      <c r="AX42" s="308">
        <f t="shared" si="39"/>
        <v>-1.7511034350413679E-3</v>
      </c>
      <c r="AY42" s="308">
        <f t="shared" si="39"/>
        <v>6.1118237266442055E-3</v>
      </c>
      <c r="BA42" s="316">
        <v>2016</v>
      </c>
      <c r="BB42" s="61">
        <v>16753.400000000001</v>
      </c>
      <c r="BC42" s="61">
        <v>805.8</v>
      </c>
      <c r="BD42" s="61">
        <v>9970</v>
      </c>
      <c r="BE42" s="61">
        <v>2259.5</v>
      </c>
      <c r="BF42" s="61">
        <v>8156.9</v>
      </c>
      <c r="BG42" s="61">
        <v>16498.2</v>
      </c>
      <c r="BI42" s="316">
        <v>2016</v>
      </c>
      <c r="BJ42" s="61">
        <v>15932.3</v>
      </c>
      <c r="BK42" s="61">
        <v>769</v>
      </c>
      <c r="BL42" s="61">
        <v>9631.9</v>
      </c>
      <c r="BM42" s="61">
        <v>2128.8000000000002</v>
      </c>
      <c r="BN42" s="61">
        <v>7951.1</v>
      </c>
      <c r="BO42" s="61">
        <v>15765.9</v>
      </c>
      <c r="BQ42" s="316">
        <v>2016</v>
      </c>
      <c r="BR42" s="75">
        <v>20990.2</v>
      </c>
      <c r="BS42" s="75">
        <v>803.9</v>
      </c>
      <c r="BT42" s="75">
        <v>14394.1</v>
      </c>
      <c r="BU42" s="75">
        <v>4070.2</v>
      </c>
      <c r="BV42" s="75">
        <v>6604.7</v>
      </c>
      <c r="BW42" s="75">
        <v>14600.8</v>
      </c>
      <c r="BY42" s="316">
        <v>2016</v>
      </c>
      <c r="BZ42" s="75">
        <v>21092.400000000001</v>
      </c>
      <c r="CA42" s="75">
        <v>810.5</v>
      </c>
      <c r="CB42" s="75">
        <v>14496.8</v>
      </c>
      <c r="CC42" s="75">
        <v>4065</v>
      </c>
      <c r="CD42" s="75">
        <v>6674.8</v>
      </c>
      <c r="CE42" s="75">
        <v>14672.5</v>
      </c>
      <c r="CG42" s="316">
        <v>2016</v>
      </c>
      <c r="CH42" s="48">
        <f t="shared" si="47"/>
        <v>0.995154652860746</v>
      </c>
      <c r="CI42" s="48">
        <f t="shared" si="47"/>
        <v>0.99185687847008019</v>
      </c>
      <c r="CJ42" s="48">
        <f t="shared" si="47"/>
        <v>0.99291567794271851</v>
      </c>
      <c r="CK42" s="48">
        <f t="shared" si="47"/>
        <v>1.0012792127921279</v>
      </c>
      <c r="CL42" s="48">
        <f t="shared" si="47"/>
        <v>0.98949781266854431</v>
      </c>
      <c r="CM42" s="48">
        <f t="shared" si="47"/>
        <v>0.99511330720736069</v>
      </c>
      <c r="CO42" s="316">
        <v>2016</v>
      </c>
      <c r="CP42" s="62">
        <v>-3.5080409965832948E-2</v>
      </c>
      <c r="CR42" s="45"/>
      <c r="CS42" s="316">
        <v>2016</v>
      </c>
      <c r="CT42" s="308">
        <f t="shared" si="40"/>
        <v>-4.8453471392539971E-3</v>
      </c>
      <c r="CU42" s="308">
        <f t="shared" si="40"/>
        <v>-8.1431215299198056E-3</v>
      </c>
      <c r="CV42" s="308">
        <f t="shared" si="40"/>
        <v>-7.0843220572814891E-3</v>
      </c>
      <c r="CW42" s="308">
        <f t="shared" si="40"/>
        <v>1.2792127921279484E-3</v>
      </c>
      <c r="CX42" s="308">
        <f t="shared" si="40"/>
        <v>-1.0502187331455692E-2</v>
      </c>
      <c r="CY42" s="308">
        <f t="shared" si="40"/>
        <v>-4.8866927926393133E-3</v>
      </c>
      <c r="DA42" s="316">
        <v>2016</v>
      </c>
      <c r="DB42" s="46">
        <f t="shared" si="23"/>
        <v>22038.000000000036</v>
      </c>
      <c r="DC42" s="46">
        <f t="shared" si="24"/>
        <v>891.79999999999927</v>
      </c>
      <c r="DD42" s="46">
        <f t="shared" si="25"/>
        <v>13915.100000000017</v>
      </c>
      <c r="DE42" s="46">
        <f t="shared" si="26"/>
        <v>3541.6999999999971</v>
      </c>
      <c r="DF42" s="46">
        <f t="shared" si="27"/>
        <v>5591.1999999999944</v>
      </c>
      <c r="DG42" s="46">
        <f t="shared" si="28"/>
        <v>13817.399999999907</v>
      </c>
      <c r="DI42" s="316">
        <v>2016</v>
      </c>
      <c r="DJ42" s="88">
        <f t="shared" si="29"/>
        <v>5.5639122801436743E-2</v>
      </c>
      <c r="DK42" s="88">
        <f t="shared" si="30"/>
        <v>5.3279643448181056E-2</v>
      </c>
      <c r="DL42" s="88">
        <f t="shared" si="31"/>
        <v>7.8854015434082242E-2</v>
      </c>
      <c r="DM42" s="88">
        <f t="shared" si="32"/>
        <v>8.0087103798693382E-2</v>
      </c>
      <c r="DN42" s="88">
        <f t="shared" si="33"/>
        <v>2.7517427244575919E-2</v>
      </c>
      <c r="DO42" s="88">
        <f t="shared" si="34"/>
        <v>2.0861138320576619E-2</v>
      </c>
      <c r="DQ42" s="316">
        <v>2016</v>
      </c>
      <c r="DR42" s="61">
        <v>544364.6</v>
      </c>
      <c r="DS42" s="61">
        <v>544.82719999999995</v>
      </c>
      <c r="DT42" s="61">
        <v>542137.4</v>
      </c>
      <c r="DU42" s="61">
        <v>543.46249999999998</v>
      </c>
      <c r="DV42" s="89">
        <v>-0.2</v>
      </c>
      <c r="DW42" s="46">
        <f t="shared" si="6"/>
        <v>545455.51102204411</v>
      </c>
      <c r="DX42" s="61">
        <v>545.91903807615222</v>
      </c>
      <c r="DY42" s="46">
        <f t="shared" si="7"/>
        <v>543223.84769539081</v>
      </c>
      <c r="DZ42" s="61">
        <v>544.55160320641278</v>
      </c>
      <c r="EB42" s="316">
        <v>2016</v>
      </c>
      <c r="EC42" s="88">
        <f t="shared" si="8"/>
        <v>3.8559083379044123E-2</v>
      </c>
      <c r="ED42" s="88">
        <f t="shared" si="9"/>
        <v>1.4767675928963786E-3</v>
      </c>
      <c r="EE42" s="88">
        <f t="shared" si="10"/>
        <v>2.6442020660417672E-2</v>
      </c>
      <c r="EF42" s="88">
        <f t="shared" si="11"/>
        <v>7.4769740721567857E-3</v>
      </c>
      <c r="EG42" s="88">
        <f t="shared" si="12"/>
        <v>1.2132860953853354E-2</v>
      </c>
      <c r="EH42" s="88">
        <f t="shared" si="13"/>
        <v>2.682172940709223E-2</v>
      </c>
      <c r="EI42" s="140"/>
      <c r="EJ42" s="316">
        <v>2016</v>
      </c>
      <c r="EK42" s="88">
        <f t="shared" si="14"/>
        <v>0.72535686596813975</v>
      </c>
      <c r="EL42" s="88">
        <f t="shared" si="15"/>
        <v>3.0575545874952186E-2</v>
      </c>
      <c r="EM42" s="88">
        <f t="shared" si="16"/>
        <v>0.32444149233803959</v>
      </c>
      <c r="EN42" s="88">
        <f t="shared" si="17"/>
        <v>8.2115954637755645E-2</v>
      </c>
      <c r="EO42" s="88">
        <f t="shared" si="18"/>
        <v>0.37384075489111523</v>
      </c>
      <c r="EP42" s="88">
        <f t="shared" si="19"/>
        <v>1.2233072844927828</v>
      </c>
      <c r="ER42" s="316">
        <v>2016</v>
      </c>
      <c r="ES42" s="317">
        <f t="shared" si="35"/>
        <v>126933</v>
      </c>
      <c r="ET42" s="318">
        <v>15780</v>
      </c>
      <c r="EU42" s="318">
        <v>76562</v>
      </c>
      <c r="EV42" s="318">
        <v>34591</v>
      </c>
      <c r="EW42" s="88">
        <f t="shared" si="36"/>
        <v>0.12431755335491952</v>
      </c>
      <c r="EX42" s="88">
        <f t="shared" si="36"/>
        <v>0.60316860075788015</v>
      </c>
      <c r="EY42" s="88">
        <f t="shared" si="36"/>
        <v>0.27251384588720035</v>
      </c>
      <c r="EZ42" s="88">
        <f t="shared" si="41"/>
        <v>-1.1397817094024459E-3</v>
      </c>
      <c r="FA42" s="88">
        <f t="shared" si="41"/>
        <v>-4.8962326344641482E-3</v>
      </c>
      <c r="FB42" s="88">
        <f t="shared" si="41"/>
        <v>6.0360143438666358E-3</v>
      </c>
      <c r="FD42" s="316">
        <v>2016</v>
      </c>
      <c r="FE42" s="159">
        <v>-4.9832653061224468E-4</v>
      </c>
      <c r="FF42" s="159">
        <v>-1E-3</v>
      </c>
      <c r="FG42" s="159">
        <v>9.0000000000000011E-3</v>
      </c>
      <c r="FH42" s="159">
        <v>-2.4E-2</v>
      </c>
      <c r="FI42" s="319">
        <f t="shared" si="42"/>
        <v>-9.4983265306122465E-3</v>
      </c>
      <c r="FK42" s="345">
        <f t="shared" si="43"/>
        <v>-9.6478769742992521E-3</v>
      </c>
      <c r="FL42" s="345">
        <f t="shared" si="44"/>
        <v>-4.2111296393911868E-3</v>
      </c>
      <c r="FM42" s="345">
        <f t="shared" si="45"/>
        <v>1.5204454780954977E-3</v>
      </c>
      <c r="FN42" s="38"/>
      <c r="FO42" s="316">
        <v>2016</v>
      </c>
      <c r="FP42" s="61">
        <v>184859.32104184831</v>
      </c>
      <c r="FQ42" s="61">
        <v>10376.665837614433</v>
      </c>
      <c r="FR42" s="61">
        <v>138150.67098517879</v>
      </c>
      <c r="FS42" s="61">
        <v>46329.036287384544</v>
      </c>
      <c r="FT42" s="61">
        <v>50138.464741578318</v>
      </c>
      <c r="FU42" s="61">
        <v>151234.07808652165</v>
      </c>
      <c r="FV42" s="46">
        <f t="shared" si="38"/>
        <v>581088.23698012601</v>
      </c>
    </row>
    <row r="43" spans="1:178" hidden="1" outlineLevel="1">
      <c r="A43" s="316">
        <v>2017</v>
      </c>
      <c r="B43" s="61">
        <v>353533.6</v>
      </c>
      <c r="C43" s="61">
        <v>19652.900000000001</v>
      </c>
      <c r="D43" s="61">
        <v>136327.9</v>
      </c>
      <c r="E43" s="61">
        <v>36002.6</v>
      </c>
      <c r="F43" s="61">
        <v>219924.7</v>
      </c>
      <c r="G43" s="61">
        <v>640013.1</v>
      </c>
      <c r="I43" s="316">
        <v>2017</v>
      </c>
      <c r="J43" s="61">
        <v>328469.59999999998</v>
      </c>
      <c r="K43" s="61">
        <v>18311.400000000001</v>
      </c>
      <c r="L43" s="61">
        <v>128980.7</v>
      </c>
      <c r="M43" s="61">
        <v>33500.699999999997</v>
      </c>
      <c r="N43" s="61">
        <v>210770.8</v>
      </c>
      <c r="O43" s="61">
        <v>598352</v>
      </c>
      <c r="Q43" s="316">
        <v>2017</v>
      </c>
      <c r="R43" s="75">
        <v>402402.8</v>
      </c>
      <c r="S43" s="75">
        <v>16761.7</v>
      </c>
      <c r="T43" s="75">
        <v>181151.3</v>
      </c>
      <c r="U43" s="75">
        <v>45781.3</v>
      </c>
      <c r="V43" s="75">
        <v>206241.2</v>
      </c>
      <c r="W43" s="75">
        <v>680584.1</v>
      </c>
      <c r="Y43" s="316">
        <v>2017</v>
      </c>
      <c r="Z43" s="75">
        <v>394739.20000000001</v>
      </c>
      <c r="AA43" s="75">
        <v>16447.599999999999</v>
      </c>
      <c r="AB43" s="75">
        <v>178437.9</v>
      </c>
      <c r="AC43" s="75">
        <v>45007.4</v>
      </c>
      <c r="AD43" s="75">
        <v>204073.8</v>
      </c>
      <c r="AE43" s="75">
        <v>665578.1</v>
      </c>
      <c r="AG43" s="316">
        <v>2017</v>
      </c>
      <c r="AH43" s="48">
        <f t="shared" si="46"/>
        <v>1.0194143373650248</v>
      </c>
      <c r="AI43" s="48">
        <f t="shared" si="46"/>
        <v>1.0190970111140836</v>
      </c>
      <c r="AJ43" s="48">
        <f t="shared" si="46"/>
        <v>1.0152064107456991</v>
      </c>
      <c r="AK43" s="48">
        <f t="shared" si="46"/>
        <v>1.0171949501637509</v>
      </c>
      <c r="AL43" s="48">
        <f t="shared" si="46"/>
        <v>1.0106206676212235</v>
      </c>
      <c r="AM43" s="48">
        <f t="shared" si="46"/>
        <v>1.0225458139322794</v>
      </c>
      <c r="AO43" s="316">
        <v>2017</v>
      </c>
      <c r="AP43" s="62">
        <v>2.3056994818652754E-2</v>
      </c>
      <c r="AS43" s="316">
        <v>2017</v>
      </c>
      <c r="AT43" s="308">
        <f t="shared" si="39"/>
        <v>1.8107250232321626E-2</v>
      </c>
      <c r="AU43" s="308">
        <f t="shared" si="39"/>
        <v>1.7826011819750187E-2</v>
      </c>
      <c r="AV43" s="308">
        <f t="shared" si="39"/>
        <v>1.5664769369151399E-2</v>
      </c>
      <c r="AW43" s="308">
        <f t="shared" si="39"/>
        <v>1.6191167745180257E-2</v>
      </c>
      <c r="AX43" s="308">
        <f t="shared" si="39"/>
        <v>1.2393473309949998E-2</v>
      </c>
      <c r="AY43" s="308">
        <f t="shared" si="39"/>
        <v>1.6334158706895696E-2</v>
      </c>
      <c r="BA43" s="316">
        <v>2017</v>
      </c>
      <c r="BB43" s="61">
        <v>17310.900000000001</v>
      </c>
      <c r="BC43" s="61">
        <v>658.8</v>
      </c>
      <c r="BD43" s="61">
        <v>11006.4</v>
      </c>
      <c r="BE43" s="61">
        <v>2232.3000000000002</v>
      </c>
      <c r="BF43" s="61">
        <v>8835.2999999999993</v>
      </c>
      <c r="BG43" s="61">
        <v>17015.3</v>
      </c>
      <c r="BI43" s="316">
        <v>2017</v>
      </c>
      <c r="BJ43" s="61">
        <v>16196.3</v>
      </c>
      <c r="BK43" s="61">
        <v>617.29999999999995</v>
      </c>
      <c r="BL43" s="61">
        <v>10454.799999999999</v>
      </c>
      <c r="BM43" s="61">
        <v>2067</v>
      </c>
      <c r="BN43" s="61">
        <v>8490.5</v>
      </c>
      <c r="BO43" s="61">
        <v>15967.8</v>
      </c>
      <c r="BQ43" s="316">
        <v>2017</v>
      </c>
      <c r="BR43" s="75">
        <v>21455.7</v>
      </c>
      <c r="BS43" s="75">
        <v>673</v>
      </c>
      <c r="BT43" s="75">
        <v>15586.2</v>
      </c>
      <c r="BU43" s="75">
        <v>3803.7</v>
      </c>
      <c r="BV43" s="75">
        <v>6326.3</v>
      </c>
      <c r="BW43" s="75">
        <v>15256.2</v>
      </c>
      <c r="BY43" s="316">
        <v>2017</v>
      </c>
      <c r="BZ43" s="75">
        <v>21194.400000000001</v>
      </c>
      <c r="CA43" s="75">
        <v>667.8</v>
      </c>
      <c r="CB43" s="75">
        <v>15455.5</v>
      </c>
      <c r="CC43" s="75">
        <v>3741.6</v>
      </c>
      <c r="CD43" s="75">
        <v>6309.6</v>
      </c>
      <c r="CE43" s="75">
        <v>15064.4</v>
      </c>
      <c r="CG43" s="316">
        <v>2017</v>
      </c>
      <c r="CH43" s="48">
        <f t="shared" si="47"/>
        <v>1.012328728343336</v>
      </c>
      <c r="CI43" s="48">
        <f t="shared" si="47"/>
        <v>1.0077867625037438</v>
      </c>
      <c r="CJ43" s="48">
        <f t="shared" si="47"/>
        <v>1.0084565365080393</v>
      </c>
      <c r="CK43" s="48">
        <f t="shared" si="47"/>
        <v>1.0165971776779987</v>
      </c>
      <c r="CL43" s="48">
        <f t="shared" si="47"/>
        <v>1.0026467604919487</v>
      </c>
      <c r="CM43" s="48">
        <f t="shared" si="47"/>
        <v>1.0127320039297949</v>
      </c>
      <c r="CO43" s="316">
        <v>2017</v>
      </c>
      <c r="CP43" s="62">
        <v>2.3056994818652754E-2</v>
      </c>
      <c r="CR43" s="45"/>
      <c r="CS43" s="316">
        <v>2017</v>
      </c>
      <c r="CT43" s="308">
        <f t="shared" si="40"/>
        <v>1.7257695005715945E-2</v>
      </c>
      <c r="CU43" s="308">
        <f t="shared" si="40"/>
        <v>1.6060668005080547E-2</v>
      </c>
      <c r="CV43" s="308">
        <f t="shared" si="40"/>
        <v>1.5651740536035019E-2</v>
      </c>
      <c r="CW43" s="308">
        <f t="shared" si="40"/>
        <v>1.5298394983309205E-2</v>
      </c>
      <c r="CX43" s="308">
        <f t="shared" si="40"/>
        <v>1.3288506204923722E-2</v>
      </c>
      <c r="CY43" s="308">
        <f t="shared" si="40"/>
        <v>1.7705216677162516E-2</v>
      </c>
      <c r="DA43" s="316">
        <v>2017</v>
      </c>
      <c r="DB43" s="46">
        <f t="shared" si="23"/>
        <v>21597.799999999967</v>
      </c>
      <c r="DC43" s="46">
        <f t="shared" si="24"/>
        <v>877.00000000000068</v>
      </c>
      <c r="DD43" s="46">
        <f t="shared" si="25"/>
        <v>14065.899999999994</v>
      </c>
      <c r="DE43" s="46">
        <f t="shared" si="26"/>
        <v>3480.6</v>
      </c>
      <c r="DF43" s="46">
        <f t="shared" si="27"/>
        <v>6507.0000000000236</v>
      </c>
      <c r="DG43" s="46">
        <f t="shared" si="28"/>
        <v>12692.600000000069</v>
      </c>
      <c r="DI43" s="316">
        <v>2017</v>
      </c>
      <c r="DJ43" s="88">
        <f t="shared" si="29"/>
        <v>5.4658242366173546E-2</v>
      </c>
      <c r="DK43" s="88">
        <f t="shared" si="30"/>
        <v>5.2651169492339507E-2</v>
      </c>
      <c r="DL43" s="88">
        <f t="shared" si="31"/>
        <v>7.944668206359505E-2</v>
      </c>
      <c r="DM43" s="88">
        <f t="shared" si="32"/>
        <v>7.7785028516260526E-2</v>
      </c>
      <c r="DN43" s="88">
        <f t="shared" si="33"/>
        <v>3.1854710796235704E-2</v>
      </c>
      <c r="DO43" s="88">
        <f t="shared" si="34"/>
        <v>1.9138237981153178E-2</v>
      </c>
      <c r="DQ43" s="316">
        <v>2017</v>
      </c>
      <c r="DR43" s="61">
        <v>553073</v>
      </c>
      <c r="DS43" s="61">
        <v>555.72190000000001</v>
      </c>
      <c r="DT43" s="61">
        <v>551220</v>
      </c>
      <c r="DU43" s="61">
        <v>553.21480000000008</v>
      </c>
      <c r="DV43" s="89">
        <v>0.7</v>
      </c>
      <c r="DW43" s="46">
        <f t="shared" si="6"/>
        <v>549228.40119165846</v>
      </c>
      <c r="DX43" s="61">
        <v>551.31140873015875</v>
      </c>
      <c r="DY43" s="46">
        <f t="shared" si="7"/>
        <v>547388.2820258193</v>
      </c>
      <c r="DZ43" s="61">
        <v>548.82420634920641</v>
      </c>
      <c r="EB43" s="316">
        <v>2017</v>
      </c>
      <c r="EC43" s="88">
        <f t="shared" si="8"/>
        <v>3.8793613139675956E-2</v>
      </c>
      <c r="ED43" s="88">
        <f t="shared" si="9"/>
        <v>1.2168375603220552E-3</v>
      </c>
      <c r="EE43" s="88">
        <f t="shared" si="10"/>
        <v>2.8181090018858272E-2</v>
      </c>
      <c r="EF43" s="88">
        <f t="shared" si="11"/>
        <v>6.8773923153001501E-3</v>
      </c>
      <c r="EG43" s="88">
        <f t="shared" si="12"/>
        <v>1.1438453874985762E-2</v>
      </c>
      <c r="EH43" s="88">
        <f t="shared" si="13"/>
        <v>2.7584423755996044E-2</v>
      </c>
      <c r="EI43" s="140"/>
      <c r="EJ43" s="316">
        <v>2017</v>
      </c>
      <c r="EK43" s="88">
        <f t="shared" si="14"/>
        <v>0.73266932140965102</v>
      </c>
      <c r="EL43" s="88">
        <f t="shared" si="15"/>
        <v>3.0518632983349392E-2</v>
      </c>
      <c r="EM43" s="88">
        <f t="shared" si="16"/>
        <v>0.32982871899369515</v>
      </c>
      <c r="EN43" s="88">
        <f t="shared" si="17"/>
        <v>8.3355667515861376E-2</v>
      </c>
      <c r="EO43" s="88">
        <f t="shared" si="18"/>
        <v>0.37551080671086817</v>
      </c>
      <c r="EP43" s="88">
        <f t="shared" si="19"/>
        <v>1.2391640682152263</v>
      </c>
      <c r="ER43" s="316">
        <v>2017</v>
      </c>
      <c r="ES43" s="317">
        <f t="shared" si="35"/>
        <v>126706</v>
      </c>
      <c r="ET43" s="318">
        <v>15592</v>
      </c>
      <c r="EU43" s="318">
        <v>75962</v>
      </c>
      <c r="EV43" s="318">
        <v>35152</v>
      </c>
      <c r="EW43" s="88">
        <f t="shared" si="36"/>
        <v>0.12305652455290199</v>
      </c>
      <c r="EX43" s="88">
        <f t="shared" si="36"/>
        <v>0.59951383517749757</v>
      </c>
      <c r="EY43" s="88">
        <f t="shared" si="36"/>
        <v>0.27742964026960049</v>
      </c>
      <c r="EZ43" s="88">
        <f t="shared" si="41"/>
        <v>-1.2610288020175331E-3</v>
      </c>
      <c r="FA43" s="88">
        <f t="shared" si="41"/>
        <v>-3.6547655803825796E-3</v>
      </c>
      <c r="FB43" s="88">
        <f t="shared" si="41"/>
        <v>4.9157943824001404E-3</v>
      </c>
      <c r="FD43" s="316">
        <v>2017</v>
      </c>
      <c r="FE43" s="159">
        <v>5.3663967611336061E-4</v>
      </c>
      <c r="FF43" s="159">
        <v>0</v>
      </c>
      <c r="FG43" s="159">
        <v>8.0000000000000002E-3</v>
      </c>
      <c r="FH43" s="159">
        <v>2.7000000000000003E-2</v>
      </c>
      <c r="FI43" s="319">
        <f t="shared" si="42"/>
        <v>-7.4633603238866393E-3</v>
      </c>
      <c r="FK43" s="345">
        <f t="shared" si="43"/>
        <v>-3.3706785237996861E-4</v>
      </c>
      <c r="FL43" s="345">
        <f t="shared" si="44"/>
        <v>1.5383256664930345E-4</v>
      </c>
      <c r="FM43" s="345">
        <f t="shared" si="45"/>
        <v>4.060222079280331E-4</v>
      </c>
      <c r="FN43" s="38"/>
      <c r="FO43" s="316">
        <v>2017</v>
      </c>
      <c r="FP43" s="61">
        <v>187208.12066984747</v>
      </c>
      <c r="FQ43" s="61">
        <v>9383.8519358478716</v>
      </c>
      <c r="FR43" s="61">
        <v>150587.12336080143</v>
      </c>
      <c r="FS43" s="61">
        <v>49594.870071955353</v>
      </c>
      <c r="FT43" s="61">
        <v>48275.565276246984</v>
      </c>
      <c r="FU43" s="61">
        <v>154123.39811104312</v>
      </c>
      <c r="FV43" s="46">
        <f t="shared" si="38"/>
        <v>599172.92942574224</v>
      </c>
    </row>
    <row r="44" spans="1:178" hidden="1" outlineLevel="1">
      <c r="A44" s="316">
        <v>2018</v>
      </c>
      <c r="B44" s="61">
        <v>356235</v>
      </c>
      <c r="C44" s="61">
        <v>19711.5</v>
      </c>
      <c r="D44" s="61">
        <v>139813.5</v>
      </c>
      <c r="E44" s="61">
        <v>36239.4</v>
      </c>
      <c r="F44" s="61">
        <v>226245.4</v>
      </c>
      <c r="G44" s="61">
        <v>653013.69999999995</v>
      </c>
      <c r="I44" s="316">
        <v>2018</v>
      </c>
      <c r="J44" s="61">
        <v>326995.90000000002</v>
      </c>
      <c r="K44" s="61">
        <v>18108.599999999999</v>
      </c>
      <c r="L44" s="61">
        <v>130508.6</v>
      </c>
      <c r="M44" s="61">
        <v>33190.400000000001</v>
      </c>
      <c r="N44" s="61">
        <v>213297.6</v>
      </c>
      <c r="O44" s="61">
        <v>599993.30000000005</v>
      </c>
      <c r="Q44" s="316">
        <v>2018</v>
      </c>
      <c r="R44" s="75">
        <v>405214.7</v>
      </c>
      <c r="S44" s="75">
        <v>16738.099999999999</v>
      </c>
      <c r="T44" s="75">
        <v>185494.39999999999</v>
      </c>
      <c r="U44" s="75">
        <v>46707.4</v>
      </c>
      <c r="V44" s="75">
        <v>209695.9</v>
      </c>
      <c r="W44" s="75">
        <v>693402.8</v>
      </c>
      <c r="Y44" s="316">
        <v>2018</v>
      </c>
      <c r="Z44" s="75">
        <v>393033.3</v>
      </c>
      <c r="AA44" s="75">
        <v>16202.6</v>
      </c>
      <c r="AB44" s="75">
        <v>180182.5</v>
      </c>
      <c r="AC44" s="75">
        <v>45212</v>
      </c>
      <c r="AD44" s="75">
        <v>204681.7</v>
      </c>
      <c r="AE44" s="75">
        <v>666935</v>
      </c>
      <c r="AG44" s="316">
        <v>2018</v>
      </c>
      <c r="AH44" s="48">
        <f t="shared" si="46"/>
        <v>1.0309933026031128</v>
      </c>
      <c r="AI44" s="48">
        <f t="shared" si="46"/>
        <v>1.0330502511942528</v>
      </c>
      <c r="AJ44" s="48">
        <f t="shared" si="46"/>
        <v>1.0294806654364326</v>
      </c>
      <c r="AK44" s="48">
        <f t="shared" si="46"/>
        <v>1.0330752897460851</v>
      </c>
      <c r="AL44" s="48">
        <f t="shared" si="46"/>
        <v>1.0244975491213919</v>
      </c>
      <c r="AM44" s="48">
        <f t="shared" si="46"/>
        <v>1.0396857264950858</v>
      </c>
      <c r="AO44" s="316">
        <v>2018</v>
      </c>
      <c r="AP44" s="62">
        <v>2.5829323879463351E-2</v>
      </c>
      <c r="AS44" s="316">
        <v>2018</v>
      </c>
      <c r="AT44" s="308">
        <f t="shared" si="39"/>
        <v>1.1358448487214012E-2</v>
      </c>
      <c r="AU44" s="308">
        <f t="shared" si="39"/>
        <v>1.3691768230107426E-2</v>
      </c>
      <c r="AV44" s="308">
        <f t="shared" si="39"/>
        <v>1.4060445776981068E-2</v>
      </c>
      <c r="AW44" s="308">
        <f t="shared" si="39"/>
        <v>1.5611893845695723E-2</v>
      </c>
      <c r="AX44" s="308">
        <f t="shared" si="39"/>
        <v>1.3731048596929529E-2</v>
      </c>
      <c r="AY44" s="308">
        <f t="shared" si="39"/>
        <v>1.6761999637838754E-2</v>
      </c>
      <c r="BA44" s="316">
        <v>2018</v>
      </c>
      <c r="BB44" s="61">
        <v>16440.900000000001</v>
      </c>
      <c r="BC44" s="61">
        <v>631.29999999999995</v>
      </c>
      <c r="BD44" s="61">
        <v>12106.2</v>
      </c>
      <c r="BE44" s="61">
        <v>2483.4</v>
      </c>
      <c r="BF44" s="61">
        <v>8798.5</v>
      </c>
      <c r="BG44" s="61">
        <v>16959.8</v>
      </c>
      <c r="BI44" s="316">
        <v>2018</v>
      </c>
      <c r="BJ44" s="61">
        <v>15117.5</v>
      </c>
      <c r="BK44" s="61">
        <v>580.5</v>
      </c>
      <c r="BL44" s="61">
        <v>11325.1</v>
      </c>
      <c r="BM44" s="61">
        <v>2251.4</v>
      </c>
      <c r="BN44" s="61">
        <v>8309.7000000000007</v>
      </c>
      <c r="BO44" s="61">
        <v>15574.4</v>
      </c>
      <c r="BQ44" s="316">
        <v>2018</v>
      </c>
      <c r="BR44" s="75">
        <v>20411.8</v>
      </c>
      <c r="BS44" s="75">
        <v>638.4</v>
      </c>
      <c r="BT44" s="75">
        <v>16256.8</v>
      </c>
      <c r="BU44" s="75">
        <v>3896.1</v>
      </c>
      <c r="BV44" s="75">
        <v>6333.8</v>
      </c>
      <c r="BW44" s="75">
        <v>15458.7</v>
      </c>
      <c r="BY44" s="316">
        <v>2018</v>
      </c>
      <c r="BZ44" s="75">
        <v>19834.5</v>
      </c>
      <c r="CA44" s="75">
        <v>622.4</v>
      </c>
      <c r="CB44" s="75">
        <v>15876.4</v>
      </c>
      <c r="CC44" s="75">
        <v>3758</v>
      </c>
      <c r="CD44" s="75">
        <v>6229.4</v>
      </c>
      <c r="CE44" s="75">
        <v>14963</v>
      </c>
      <c r="CG44" s="316">
        <v>2018</v>
      </c>
      <c r="CH44" s="48">
        <f t="shared" si="47"/>
        <v>1.0291058509163327</v>
      </c>
      <c r="CI44" s="48">
        <f t="shared" si="47"/>
        <v>1.025706940874036</v>
      </c>
      <c r="CJ44" s="48">
        <f t="shared" si="47"/>
        <v>1.0239600917084477</v>
      </c>
      <c r="CK44" s="48">
        <f t="shared" si="47"/>
        <v>1.0367482703565727</v>
      </c>
      <c r="CL44" s="48">
        <f t="shared" si="47"/>
        <v>1.0167592384499311</v>
      </c>
      <c r="CM44" s="48">
        <f t="shared" si="47"/>
        <v>1.0331283833455858</v>
      </c>
      <c r="CO44" s="316">
        <v>2018</v>
      </c>
      <c r="CP44" s="62">
        <v>2.5829323879463351E-2</v>
      </c>
      <c r="CR44" s="45"/>
      <c r="CS44" s="316">
        <v>2018</v>
      </c>
      <c r="CT44" s="308">
        <f t="shared" si="40"/>
        <v>1.6572801011438543E-2</v>
      </c>
      <c r="CU44" s="308">
        <f t="shared" si="40"/>
        <v>1.7781716368025613E-2</v>
      </c>
      <c r="CV44" s="308">
        <f t="shared" si="40"/>
        <v>1.5373548228555522E-2</v>
      </c>
      <c r="CW44" s="308">
        <f t="shared" si="40"/>
        <v>1.9822101734141118E-2</v>
      </c>
      <c r="CX44" s="308">
        <f t="shared" si="40"/>
        <v>1.4075224210626347E-2</v>
      </c>
      <c r="CY44" s="308">
        <f t="shared" si="40"/>
        <v>2.0139957399040398E-2</v>
      </c>
      <c r="DA44" s="316">
        <v>2018</v>
      </c>
      <c r="DB44" s="46">
        <f t="shared" si="23"/>
        <v>21540.400000000023</v>
      </c>
      <c r="DC44" s="46">
        <f t="shared" si="24"/>
        <v>867.39999999999816</v>
      </c>
      <c r="DD44" s="46">
        <f t="shared" si="25"/>
        <v>14131.799999999994</v>
      </c>
      <c r="DE44" s="46">
        <f t="shared" si="26"/>
        <v>3553.4000000000015</v>
      </c>
      <c r="DF44" s="46">
        <f t="shared" si="27"/>
        <v>5621.4999999999764</v>
      </c>
      <c r="DG44" s="46">
        <f t="shared" si="28"/>
        <v>13606.099999999977</v>
      </c>
      <c r="DI44" s="316">
        <v>2018</v>
      </c>
      <c r="DJ44" s="88">
        <f t="shared" si="29"/>
        <v>5.4568687376374131E-2</v>
      </c>
      <c r="DK44" s="88">
        <f t="shared" si="30"/>
        <v>5.2737177460541247E-2</v>
      </c>
      <c r="DL44" s="88">
        <f t="shared" si="31"/>
        <v>7.9197300573476792E-2</v>
      </c>
      <c r="DM44" s="88">
        <f t="shared" si="32"/>
        <v>7.895146131525041E-2</v>
      </c>
      <c r="DN44" s="88">
        <f t="shared" si="33"/>
        <v>2.7546407231109415E-2</v>
      </c>
      <c r="DO44" s="88">
        <f t="shared" si="34"/>
        <v>2.0442529584431907E-2</v>
      </c>
      <c r="DQ44" s="316">
        <v>2018</v>
      </c>
      <c r="DR44" s="61">
        <v>556293.80000000005</v>
      </c>
      <c r="DS44" s="61">
        <v>556.30369999999994</v>
      </c>
      <c r="DT44" s="61">
        <v>554439.5</v>
      </c>
      <c r="DU44" s="61">
        <v>554.25930000000005</v>
      </c>
      <c r="DV44" s="89">
        <v>0.5</v>
      </c>
      <c r="DW44" s="46">
        <f t="shared" si="6"/>
        <v>553526.16915422899</v>
      </c>
      <c r="DX44" s="61">
        <v>554.63978065802587</v>
      </c>
      <c r="DY44" s="46">
        <f t="shared" si="7"/>
        <v>551681.0945273632</v>
      </c>
      <c r="DZ44" s="61">
        <v>552.60149551345978</v>
      </c>
      <c r="EB44" s="316">
        <v>2018</v>
      </c>
      <c r="EC44" s="88">
        <f t="shared" si="8"/>
        <v>3.6692481562800083E-2</v>
      </c>
      <c r="ED44" s="88">
        <f t="shared" si="9"/>
        <v>1.147595029820573E-3</v>
      </c>
      <c r="EE44" s="88">
        <f t="shared" si="10"/>
        <v>2.9223406768150207E-2</v>
      </c>
      <c r="EF44" s="88">
        <f t="shared" si="11"/>
        <v>7.0036732388532811E-3</v>
      </c>
      <c r="EG44" s="88">
        <f t="shared" si="12"/>
        <v>1.1385710212840768E-2</v>
      </c>
      <c r="EH44" s="88">
        <f t="shared" si="13"/>
        <v>2.7788733219748268E-2</v>
      </c>
      <c r="EI44" s="140"/>
      <c r="EJ44" s="316">
        <v>2018</v>
      </c>
      <c r="EK44" s="88">
        <f t="shared" si="14"/>
        <v>0.73206060089111169</v>
      </c>
      <c r="EL44" s="88">
        <f t="shared" si="15"/>
        <v>3.0239040054014614E-2</v>
      </c>
      <c r="EM44" s="88">
        <f t="shared" si="16"/>
        <v>0.33511405663697841</v>
      </c>
      <c r="EN44" s="88">
        <f t="shared" si="17"/>
        <v>8.4381557011780448E-2</v>
      </c>
      <c r="EO44" s="88">
        <f t="shared" si="18"/>
        <v>0.37883647004514509</v>
      </c>
      <c r="EP44" s="88">
        <f t="shared" si="19"/>
        <v>1.2527010259686515</v>
      </c>
      <c r="ER44" s="316">
        <v>2018</v>
      </c>
      <c r="ES44" s="317">
        <f t="shared" si="35"/>
        <v>126444</v>
      </c>
      <c r="ET44" s="318">
        <v>15415</v>
      </c>
      <c r="EU44" s="318">
        <v>75451</v>
      </c>
      <c r="EV44" s="318">
        <v>35578</v>
      </c>
      <c r="EW44" s="88">
        <f t="shared" si="36"/>
        <v>0.12191167631520673</v>
      </c>
      <c r="EX44" s="88">
        <f t="shared" si="36"/>
        <v>0.59671475119420458</v>
      </c>
      <c r="EY44" s="88">
        <f t="shared" si="36"/>
        <v>0.2813735724905887</v>
      </c>
      <c r="EZ44" s="88">
        <f t="shared" si="41"/>
        <v>-1.1448482376952562E-3</v>
      </c>
      <c r="FA44" s="88">
        <f t="shared" si="41"/>
        <v>-2.7990839832929826E-3</v>
      </c>
      <c r="FB44" s="88">
        <f t="shared" si="41"/>
        <v>3.9439322209882111E-3</v>
      </c>
      <c r="FD44" s="316">
        <v>2018</v>
      </c>
      <c r="FE44" s="159">
        <v>7.6175510204081647E-4</v>
      </c>
      <c r="FF44" s="159">
        <v>0</v>
      </c>
      <c r="FG44" s="159">
        <v>6.9999999999999993E-3</v>
      </c>
      <c r="FH44" s="159">
        <v>2.2000000000000002E-2</v>
      </c>
      <c r="FI44" s="319">
        <f t="shared" si="42"/>
        <v>-6.2382448979591831E-3</v>
      </c>
      <c r="FK44" s="345">
        <f t="shared" si="43"/>
        <v>-4.2132902877758394E-3</v>
      </c>
      <c r="FL44" s="345">
        <f t="shared" si="44"/>
        <v>4.5336632317937164E-3</v>
      </c>
      <c r="FM44" s="345">
        <f t="shared" si="45"/>
        <v>3.4066178858351351E-4</v>
      </c>
      <c r="FN44" s="38"/>
      <c r="FO44" s="316">
        <v>2018</v>
      </c>
      <c r="FP44" s="61">
        <v>182967.56891843522</v>
      </c>
      <c r="FQ44" s="61">
        <v>7673.9030530869059</v>
      </c>
      <c r="FR44" s="61">
        <v>149683.82619579177</v>
      </c>
      <c r="FS44" s="61">
        <v>47997.470870965437</v>
      </c>
      <c r="FT44" s="61">
        <v>50306.421033825078</v>
      </c>
      <c r="FU44" s="61">
        <v>149699.28775416251</v>
      </c>
      <c r="FV44" s="46">
        <f t="shared" si="38"/>
        <v>588328.47782626702</v>
      </c>
    </row>
    <row r="45" spans="1:178" hidden="1" outlineLevel="1">
      <c r="A45" s="316">
        <v>2019</v>
      </c>
      <c r="I45" s="316">
        <v>2019</v>
      </c>
      <c r="Q45" s="316">
        <v>2019</v>
      </c>
      <c r="R45" s="75">
        <v>414491.5</v>
      </c>
      <c r="S45" s="75">
        <v>16878.099999999999</v>
      </c>
      <c r="T45" s="75">
        <v>189073.6</v>
      </c>
      <c r="U45" s="75">
        <v>48166.7</v>
      </c>
      <c r="V45" s="75">
        <v>212358.5</v>
      </c>
      <c r="W45" s="75">
        <v>717992.6</v>
      </c>
      <c r="Y45" s="316">
        <v>2019</v>
      </c>
      <c r="Z45" s="75">
        <v>392264</v>
      </c>
      <c r="AA45" s="75">
        <v>15902.7</v>
      </c>
      <c r="AB45" s="75">
        <v>180999.5</v>
      </c>
      <c r="AC45" s="75">
        <v>45387.9</v>
      </c>
      <c r="AD45" s="75">
        <v>205143</v>
      </c>
      <c r="AE45" s="75">
        <v>669795.30000000005</v>
      </c>
      <c r="AG45" s="316">
        <v>2019</v>
      </c>
      <c r="AH45" s="48">
        <f t="shared" si="46"/>
        <v>1.0566646442191994</v>
      </c>
      <c r="AI45" s="48">
        <f t="shared" si="46"/>
        <v>1.0613354964880177</v>
      </c>
      <c r="AJ45" s="48">
        <f t="shared" si="46"/>
        <v>1.0446084105204712</v>
      </c>
      <c r="AK45" s="48">
        <f t="shared" si="46"/>
        <v>1.0612233656987875</v>
      </c>
      <c r="AL45" s="48">
        <f t="shared" si="46"/>
        <v>1.0351730256455254</v>
      </c>
      <c r="AM45" s="48">
        <f t="shared" si="46"/>
        <v>1.0719582535141705</v>
      </c>
      <c r="AO45" s="316">
        <v>2019</v>
      </c>
      <c r="AP45" s="62">
        <v>1.8925368221869299E-3</v>
      </c>
      <c r="AS45" s="316">
        <v>2019</v>
      </c>
      <c r="AT45" s="308">
        <f t="shared" si="39"/>
        <v>2.4899620153952418E-2</v>
      </c>
      <c r="AU45" s="308">
        <f t="shared" si="39"/>
        <v>2.7380318877098242E-2</v>
      </c>
      <c r="AV45" s="308">
        <f t="shared" si="39"/>
        <v>1.4694540258923139E-2</v>
      </c>
      <c r="AW45" s="308">
        <f t="shared" si="39"/>
        <v>2.7246877582001616E-2</v>
      </c>
      <c r="AX45" s="308">
        <f t="shared" si="39"/>
        <v>1.0420206991504033E-2</v>
      </c>
      <c r="AY45" s="308">
        <f t="shared" si="39"/>
        <v>3.1040656033510805E-2</v>
      </c>
      <c r="BA45" s="316">
        <v>2019</v>
      </c>
      <c r="BI45" s="316">
        <v>2019</v>
      </c>
      <c r="BQ45" s="316">
        <v>2019</v>
      </c>
      <c r="BR45" s="75">
        <v>21511.4</v>
      </c>
      <c r="BS45" s="75">
        <v>579.79999999999995</v>
      </c>
      <c r="BT45" s="75">
        <v>15757.3</v>
      </c>
      <c r="BU45" s="75">
        <v>3901.6</v>
      </c>
      <c r="BV45" s="75">
        <v>7234.1</v>
      </c>
      <c r="BW45" s="75">
        <v>16389.400000000001</v>
      </c>
      <c r="BY45" s="316">
        <v>2019</v>
      </c>
      <c r="BZ45" s="75">
        <v>20645.7</v>
      </c>
      <c r="CA45" s="75">
        <v>555.70000000000005</v>
      </c>
      <c r="CB45" s="75">
        <v>15149.7</v>
      </c>
      <c r="CC45" s="75">
        <v>3685.5</v>
      </c>
      <c r="CD45" s="75">
        <v>7024</v>
      </c>
      <c r="CE45" s="75">
        <v>15534.1</v>
      </c>
      <c r="CG45" s="316">
        <v>2019</v>
      </c>
      <c r="CH45" s="48">
        <f t="shared" si="47"/>
        <v>1.0419312496064557</v>
      </c>
      <c r="CI45" s="48">
        <f t="shared" si="47"/>
        <v>1.0433687241317255</v>
      </c>
      <c r="CJ45" s="48">
        <f t="shared" si="47"/>
        <v>1.0401064047472885</v>
      </c>
      <c r="CK45" s="48">
        <f t="shared" si="47"/>
        <v>1.0586351919685253</v>
      </c>
      <c r="CL45" s="48">
        <f t="shared" si="47"/>
        <v>1.0299117312072894</v>
      </c>
      <c r="CM45" s="48">
        <f t="shared" si="47"/>
        <v>1.0550595142299843</v>
      </c>
      <c r="CO45" s="316">
        <v>2019</v>
      </c>
      <c r="CP45" s="62">
        <v>1.8925368221869299E-3</v>
      </c>
      <c r="CR45" s="45"/>
      <c r="CS45" s="316">
        <v>2019</v>
      </c>
      <c r="CT45" s="308">
        <f t="shared" si="40"/>
        <v>1.2462662299221217E-2</v>
      </c>
      <c r="CU45" s="308">
        <f t="shared" si="40"/>
        <v>1.7219132048223562E-2</v>
      </c>
      <c r="CV45" s="308">
        <f t="shared" si="40"/>
        <v>1.5768498371749207E-2</v>
      </c>
      <c r="CW45" s="308">
        <f t="shared" si="40"/>
        <v>2.1111124308338614E-2</v>
      </c>
      <c r="CX45" s="308">
        <f t="shared" si="40"/>
        <v>1.2935700271983208E-2</v>
      </c>
      <c r="CY45" s="308">
        <f t="shared" si="40"/>
        <v>2.1227885360557863E-2</v>
      </c>
      <c r="DA45" s="316">
        <v>2019</v>
      </c>
      <c r="DB45" s="46">
        <f t="shared" si="23"/>
        <v>21414.999999999989</v>
      </c>
      <c r="DC45" s="46">
        <f t="shared" si="24"/>
        <v>855.59999999999968</v>
      </c>
      <c r="DD45" s="46">
        <f t="shared" si="25"/>
        <v>14332.7</v>
      </c>
      <c r="DE45" s="46">
        <f t="shared" si="26"/>
        <v>3509.5999999999985</v>
      </c>
      <c r="DF45" s="46">
        <f t="shared" si="27"/>
        <v>6562.7000000000116</v>
      </c>
      <c r="DG45" s="46">
        <f t="shared" si="28"/>
        <v>12673.799999999954</v>
      </c>
      <c r="DI45" s="316">
        <v>2019</v>
      </c>
      <c r="DJ45" s="88">
        <f t="shared" si="29"/>
        <v>5.4486477354463325E-2</v>
      </c>
      <c r="DK45" s="88">
        <f t="shared" si="30"/>
        <v>5.280633972325427E-2</v>
      </c>
      <c r="DL45" s="88">
        <f t="shared" si="31"/>
        <v>7.9545460852191538E-2</v>
      </c>
      <c r="DM45" s="88">
        <f t="shared" si="32"/>
        <v>7.7625409183402605E-2</v>
      </c>
      <c r="DN45" s="88">
        <f t="shared" si="33"/>
        <v>3.2062954333484682E-2</v>
      </c>
      <c r="DO45" s="88">
        <f t="shared" si="34"/>
        <v>1.9003051271863004E-2</v>
      </c>
      <c r="DQ45" s="316">
        <v>2019</v>
      </c>
      <c r="DR45" s="61">
        <v>558491.19999999995</v>
      </c>
      <c r="DS45" s="61">
        <v>557.30650000000003</v>
      </c>
      <c r="DT45" s="61">
        <v>553106.9</v>
      </c>
      <c r="DU45" s="61">
        <v>550.62819999999999</v>
      </c>
      <c r="DV45" s="89">
        <v>-0.2</v>
      </c>
      <c r="DW45" s="46">
        <f t="shared" si="6"/>
        <v>559610.42084168328</v>
      </c>
      <c r="DX45" s="61">
        <v>562.36781029263375</v>
      </c>
      <c r="DY45" s="46">
        <f t="shared" si="7"/>
        <v>554215.33066132269</v>
      </c>
      <c r="DZ45" s="61">
        <v>555.62885973763878</v>
      </c>
      <c r="EB45" s="316">
        <v>2019</v>
      </c>
      <c r="EC45" s="88">
        <f t="shared" si="8"/>
        <v>3.851699006179507E-2</v>
      </c>
      <c r="ED45" s="88">
        <f t="shared" si="9"/>
        <v>1.0381542269600667E-3</v>
      </c>
      <c r="EE45" s="88">
        <f t="shared" si="10"/>
        <v>2.8214052432697239E-2</v>
      </c>
      <c r="EF45" s="88">
        <f t="shared" si="11"/>
        <v>6.9859650429586004E-3</v>
      </c>
      <c r="EG45" s="88">
        <f t="shared" si="12"/>
        <v>1.2952934620993135E-2</v>
      </c>
      <c r="EH45" s="88">
        <f t="shared" si="13"/>
        <v>2.9345851823627665E-2</v>
      </c>
      <c r="EI45" s="140"/>
      <c r="EJ45" s="316">
        <v>2019</v>
      </c>
      <c r="EK45" s="88">
        <f t="shared" si="14"/>
        <v>0.74067866602016297</v>
      </c>
      <c r="EL45" s="88">
        <f t="shared" si="15"/>
        <v>3.0160446216520514E-2</v>
      </c>
      <c r="EM45" s="88">
        <f t="shared" si="16"/>
        <v>0.33786647452994789</v>
      </c>
      <c r="EN45" s="88">
        <f t="shared" si="17"/>
        <v>8.6071842492773387E-2</v>
      </c>
      <c r="EO45" s="88">
        <f t="shared" si="18"/>
        <v>0.37947559961553562</v>
      </c>
      <c r="EP45" s="88">
        <f t="shared" si="19"/>
        <v>1.2830222119883001</v>
      </c>
      <c r="ER45" s="316">
        <v>2019</v>
      </c>
      <c r="ES45" s="317">
        <f t="shared" si="35"/>
        <v>126167</v>
      </c>
      <c r="ET45" s="318">
        <v>15210</v>
      </c>
      <c r="EU45" s="318">
        <v>75072</v>
      </c>
      <c r="EV45" s="318">
        <v>35885</v>
      </c>
      <c r="EW45" s="88">
        <f t="shared" si="36"/>
        <v>0.12055450315851213</v>
      </c>
      <c r="EX45" s="88">
        <f t="shared" si="36"/>
        <v>0.59502088501747685</v>
      </c>
      <c r="EY45" s="88">
        <f t="shared" si="36"/>
        <v>0.28442461182401102</v>
      </c>
      <c r="EZ45" s="88">
        <f t="shared" si="41"/>
        <v>-1.3571731566946049E-3</v>
      </c>
      <c r="FA45" s="88">
        <f t="shared" si="41"/>
        <v>-1.6938661767277319E-3</v>
      </c>
      <c r="FB45" s="88">
        <f t="shared" si="41"/>
        <v>3.0510393334223229E-3</v>
      </c>
      <c r="FD45" s="316">
        <v>2019</v>
      </c>
      <c r="FE45" s="159">
        <v>-9.4958506224066344E-4</v>
      </c>
      <c r="FF45" s="159">
        <v>-1E-3</v>
      </c>
      <c r="FG45" s="159">
        <v>6.9999999999999993E-3</v>
      </c>
      <c r="FH45" s="159">
        <v>1E-3</v>
      </c>
      <c r="FI45" s="319">
        <f t="shared" si="42"/>
        <v>-7.9495850622406626E-3</v>
      </c>
      <c r="FK45" s="345">
        <f t="shared" si="43"/>
        <v>1.0874792935490873E-2</v>
      </c>
      <c r="FL45" s="345">
        <f t="shared" si="44"/>
        <v>1.0954719592634832E-2</v>
      </c>
      <c r="FM45" s="345">
        <f t="shared" si="45"/>
        <v>1.8619680380936882E-3</v>
      </c>
      <c r="FN45" s="38"/>
      <c r="FO45" s="316">
        <v>2019</v>
      </c>
      <c r="FP45" s="61">
        <v>174440.6345081343</v>
      </c>
      <c r="FQ45" s="61">
        <v>6510.6686873951267</v>
      </c>
      <c r="FR45" s="61">
        <v>150126.10182525002</v>
      </c>
      <c r="FS45" s="61">
        <v>47761.132496565646</v>
      </c>
      <c r="FT45" s="61">
        <v>50764.635452699134</v>
      </c>
      <c r="FU45" s="61">
        <v>153667.14719482133</v>
      </c>
      <c r="FV45" s="46">
        <f t="shared" si="38"/>
        <v>583270.32016486558</v>
      </c>
    </row>
    <row r="46" spans="1:178" collapsed="1">
      <c r="A46" s="316">
        <v>2020</v>
      </c>
      <c r="I46" s="316">
        <v>2020</v>
      </c>
      <c r="Q46" s="316">
        <v>2020</v>
      </c>
      <c r="R46" s="75">
        <v>409718.4</v>
      </c>
      <c r="S46" s="75">
        <v>16441.900000000001</v>
      </c>
      <c r="T46" s="75">
        <v>187890.6</v>
      </c>
      <c r="U46" s="75">
        <v>48187</v>
      </c>
      <c r="V46" s="75">
        <v>212032.9</v>
      </c>
      <c r="W46" s="75">
        <v>718087</v>
      </c>
      <c r="Y46" s="316">
        <v>2020</v>
      </c>
      <c r="Z46" s="75">
        <v>389929.7</v>
      </c>
      <c r="AA46" s="75">
        <v>15595.4</v>
      </c>
      <c r="AB46" s="75">
        <v>181090.8</v>
      </c>
      <c r="AC46" s="75">
        <v>45691.8</v>
      </c>
      <c r="AD46" s="75">
        <v>205698.1</v>
      </c>
      <c r="AE46" s="75">
        <v>673581.3</v>
      </c>
      <c r="AG46" s="316">
        <v>2020</v>
      </c>
      <c r="AH46" s="48">
        <f t="shared" si="46"/>
        <v>1.0507494043157011</v>
      </c>
      <c r="AI46" s="48">
        <f t="shared" si="46"/>
        <v>1.0542788258076101</v>
      </c>
      <c r="AJ46" s="48">
        <f t="shared" si="46"/>
        <v>1.0375491190054935</v>
      </c>
      <c r="AK46" s="48">
        <f t="shared" si="46"/>
        <v>1.0546093609794316</v>
      </c>
      <c r="AL46" s="48">
        <f t="shared" si="46"/>
        <v>1.0307965897594582</v>
      </c>
      <c r="AM46" s="48">
        <f t="shared" si="46"/>
        <v>1.0660732416413579</v>
      </c>
      <c r="AO46" s="316">
        <v>2020</v>
      </c>
      <c r="AP46" s="62">
        <v>-1.1415900131412582E-2</v>
      </c>
      <c r="AS46" s="316">
        <v>2020</v>
      </c>
      <c r="AT46" s="308">
        <f t="shared" si="39"/>
        <v>-5.5980295506804501E-3</v>
      </c>
      <c r="AU46" s="308">
        <f t="shared" si="39"/>
        <v>-6.6488595771632131E-3</v>
      </c>
      <c r="AV46" s="308">
        <f t="shared" si="39"/>
        <v>-6.7578352269443975E-3</v>
      </c>
      <c r="AW46" s="308">
        <f t="shared" si="39"/>
        <v>-6.2324341256854154E-3</v>
      </c>
      <c r="AX46" s="308">
        <f t="shared" si="39"/>
        <v>-4.2277337002073478E-3</v>
      </c>
      <c r="AY46" s="308">
        <f t="shared" si="39"/>
        <v>-5.4899636749099479E-3</v>
      </c>
      <c r="BA46" s="316">
        <v>2020</v>
      </c>
      <c r="BI46" s="316">
        <v>2020</v>
      </c>
      <c r="BQ46" s="316">
        <v>2020</v>
      </c>
      <c r="BR46" s="75">
        <v>20021.3</v>
      </c>
      <c r="BS46" s="75">
        <v>564.20000000000005</v>
      </c>
      <c r="BT46" s="75">
        <v>15025.3</v>
      </c>
      <c r="BU46" s="75">
        <v>4089.3</v>
      </c>
      <c r="BV46" s="75">
        <v>7292.9</v>
      </c>
      <c r="BW46" s="75">
        <v>17562.5</v>
      </c>
      <c r="BY46" s="316">
        <v>2020</v>
      </c>
      <c r="BZ46" s="75">
        <v>19015.900000000001</v>
      </c>
      <c r="CA46" s="75">
        <v>534.9</v>
      </c>
      <c r="CB46" s="75">
        <v>14502.2</v>
      </c>
      <c r="CC46" s="75">
        <v>3823.2</v>
      </c>
      <c r="CD46" s="75">
        <v>7136.7</v>
      </c>
      <c r="CE46" s="75">
        <v>16496.5</v>
      </c>
      <c r="CG46" s="316">
        <v>2020</v>
      </c>
      <c r="CH46" s="48">
        <f t="shared" si="47"/>
        <v>1.0528715443392107</v>
      </c>
      <c r="CI46" s="48">
        <f t="shared" si="47"/>
        <v>1.0547765937558424</v>
      </c>
      <c r="CJ46" s="48">
        <f t="shared" si="47"/>
        <v>1.036070389320241</v>
      </c>
      <c r="CK46" s="48">
        <f t="shared" si="47"/>
        <v>1.069601381042059</v>
      </c>
      <c r="CL46" s="48">
        <f t="shared" si="47"/>
        <v>1.0218868664789047</v>
      </c>
      <c r="CM46" s="48">
        <f t="shared" si="47"/>
        <v>1.0646197678295397</v>
      </c>
      <c r="CO46" s="316">
        <v>2020</v>
      </c>
      <c r="CP46" s="62">
        <v>-1.1415900131412582E-2</v>
      </c>
      <c r="CR46" s="45"/>
      <c r="CS46" s="316">
        <v>2020</v>
      </c>
      <c r="CT46" s="308">
        <f>CH46/CH45-1</f>
        <v>1.050001594336214E-2</v>
      </c>
      <c r="CU46" s="308">
        <f t="shared" ref="CU46:CY46" si="48">CI46/CI45-1</f>
        <v>1.0933689462093499E-2</v>
      </c>
      <c r="CV46" s="308">
        <f t="shared" si="48"/>
        <v>-3.880387053311285E-3</v>
      </c>
      <c r="CW46" s="308">
        <f t="shared" si="48"/>
        <v>1.0358798910833578E-2</v>
      </c>
      <c r="CX46" s="308">
        <f t="shared" si="48"/>
        <v>-7.7917985446944726E-3</v>
      </c>
      <c r="CY46" s="308">
        <f t="shared" si="48"/>
        <v>9.0613405884811815E-3</v>
      </c>
      <c r="DA46" s="316">
        <v>2020</v>
      </c>
      <c r="DB46" s="46">
        <f t="shared" si="23"/>
        <v>21350.19999999999</v>
      </c>
      <c r="DC46" s="46">
        <f t="shared" si="24"/>
        <v>842.20000000000107</v>
      </c>
      <c r="DD46" s="46">
        <f t="shared" si="25"/>
        <v>14410.900000000012</v>
      </c>
      <c r="DE46" s="46">
        <f t="shared" si="26"/>
        <v>3519.2999999999984</v>
      </c>
      <c r="DF46" s="46">
        <f t="shared" si="27"/>
        <v>6581.599999999994</v>
      </c>
      <c r="DG46" s="46">
        <f t="shared" si="28"/>
        <v>12710.5</v>
      </c>
      <c r="DI46" s="316">
        <v>2020</v>
      </c>
      <c r="DJ46" s="88">
        <f t="shared" si="29"/>
        <v>5.442814023208857E-2</v>
      </c>
      <c r="DK46" s="88">
        <f t="shared" si="30"/>
        <v>5.2959560326233973E-2</v>
      </c>
      <c r="DL46" s="88">
        <f t="shared" si="31"/>
        <v>7.9618451984674057E-2</v>
      </c>
      <c r="DM46" s="88">
        <f t="shared" si="32"/>
        <v>7.7538286635865469E-2</v>
      </c>
      <c r="DN46" s="88">
        <f t="shared" si="33"/>
        <v>3.2082986014633663E-2</v>
      </c>
      <c r="DO46" s="88">
        <f t="shared" si="34"/>
        <v>1.8976693327050816E-2</v>
      </c>
      <c r="DQ46" s="316">
        <v>2020</v>
      </c>
      <c r="DR46" s="61">
        <v>538155.4</v>
      </c>
      <c r="DS46" s="61">
        <v>535.50990000000002</v>
      </c>
      <c r="DT46" s="61">
        <v>528178.9</v>
      </c>
      <c r="DU46" s="61">
        <v>525.65830000000005</v>
      </c>
      <c r="DV46" s="89">
        <v>-5.4</v>
      </c>
      <c r="DW46" s="46">
        <f t="shared" si="6"/>
        <v>568874.63002114173</v>
      </c>
      <c r="DX46" s="61">
        <v>568.48184713375804</v>
      </c>
      <c r="DY46" s="46">
        <f t="shared" si="7"/>
        <v>558328.64693446096</v>
      </c>
      <c r="DZ46" s="61">
        <v>558.02367303609356</v>
      </c>
      <c r="EB46" s="316">
        <v>2020</v>
      </c>
      <c r="EC46" s="88">
        <f t="shared" si="8"/>
        <v>3.7203566107484938E-2</v>
      </c>
      <c r="ED46" s="88">
        <f t="shared" si="9"/>
        <v>1.0483960580902839E-3</v>
      </c>
      <c r="EE46" s="88">
        <f t="shared" si="10"/>
        <v>2.7920002289301565E-2</v>
      </c>
      <c r="EF46" s="88">
        <f t="shared" si="11"/>
        <v>7.5987344919329989E-3</v>
      </c>
      <c r="EG46" s="88">
        <f t="shared" si="12"/>
        <v>1.3551661843400623E-2</v>
      </c>
      <c r="EH46" s="88">
        <f t="shared" si="13"/>
        <v>3.2634625611858578E-2</v>
      </c>
      <c r="EJ46" s="316">
        <v>2020</v>
      </c>
      <c r="EK46" s="88">
        <f t="shared" si="14"/>
        <v>0.72022617704848813</v>
      </c>
      <c r="EL46" s="88">
        <f t="shared" si="15"/>
        <v>2.8902501768076655E-2</v>
      </c>
      <c r="EM46" s="88">
        <f t="shared" si="16"/>
        <v>0.33028472370620082</v>
      </c>
      <c r="EN46" s="88">
        <f t="shared" si="17"/>
        <v>8.4705834039758759E-2</v>
      </c>
      <c r="EO46" s="88">
        <f t="shared" si="18"/>
        <v>0.37272342412619097</v>
      </c>
      <c r="EP46" s="88">
        <f t="shared" si="19"/>
        <v>1.2622939433479621</v>
      </c>
      <c r="ER46" s="316">
        <v>2020</v>
      </c>
      <c r="ES46" s="317">
        <f>SUM(ET46:EV46)</f>
        <v>126146</v>
      </c>
      <c r="ET46" s="318">
        <v>15032</v>
      </c>
      <c r="EU46" s="318">
        <v>75087</v>
      </c>
      <c r="EV46" s="318">
        <v>36027</v>
      </c>
      <c r="EW46" s="88">
        <f t="shared" ref="EW46:EY61" si="49">ET46/$ES46</f>
        <v>0.11916350894994689</v>
      </c>
      <c r="EX46" s="88">
        <f t="shared" si="49"/>
        <v>0.59523885022117229</v>
      </c>
      <c r="EY46" s="88">
        <f t="shared" si="49"/>
        <v>0.28559764082888084</v>
      </c>
      <c r="EZ46" s="88">
        <f t="shared" ref="EZ46:FB61" si="50">EW46-EW45</f>
        <v>-1.390994208565241E-3</v>
      </c>
      <c r="FA46" s="88">
        <f t="shared" si="50"/>
        <v>2.1796520369543604E-4</v>
      </c>
      <c r="FB46" s="88">
        <f t="shared" si="50"/>
        <v>1.1730290048698189E-3</v>
      </c>
      <c r="FD46" s="316">
        <v>2020</v>
      </c>
      <c r="FE46" s="159">
        <v>1.0518518518518499E-4</v>
      </c>
      <c r="FF46" s="159">
        <v>0</v>
      </c>
      <c r="FG46" s="159">
        <v>6.0000000000000001E-3</v>
      </c>
      <c r="FH46" s="159">
        <v>-1.3999999999999999E-2</v>
      </c>
      <c r="FI46" s="319">
        <f t="shared" si="42"/>
        <v>-5.8948148148148154E-3</v>
      </c>
      <c r="FK46" s="345">
        <f t="shared" si="43"/>
        <v>-1.090356376785917E-2</v>
      </c>
      <c r="FL46" s="345">
        <f t="shared" si="44"/>
        <v>1.9010546571585629E-3</v>
      </c>
      <c r="FM46" s="345">
        <f t="shared" si="45"/>
        <v>2.1491183452223665E-3</v>
      </c>
      <c r="FN46" s="38"/>
      <c r="FO46" s="316">
        <v>2020</v>
      </c>
      <c r="FP46" s="61">
        <v>159976.95678144213</v>
      </c>
      <c r="FQ46" s="61">
        <v>6440.6826029201129</v>
      </c>
      <c r="FR46" s="61">
        <v>136901.25910171188</v>
      </c>
      <c r="FS46" s="61">
        <v>49539.440422019507</v>
      </c>
      <c r="FT46" s="61">
        <v>50646.256352396464</v>
      </c>
      <c r="FU46" s="61">
        <v>162156.55899855541</v>
      </c>
      <c r="FV46" s="46">
        <f t="shared" si="38"/>
        <v>565661.15425904549</v>
      </c>
    </row>
    <row r="47" spans="1:178">
      <c r="Q47" s="316">
        <v>2021</v>
      </c>
      <c r="R47" s="46">
        <f>DW47*EK47</f>
        <v>420274.77206736058</v>
      </c>
      <c r="S47" s="46">
        <f>AA47*AI47</f>
        <v>17045.492448061614</v>
      </c>
      <c r="T47" s="46">
        <f>DW47*EM47</f>
        <v>190123.95209392346</v>
      </c>
      <c r="U47" s="46">
        <f>AC47*AK47</f>
        <v>50735.435906822182</v>
      </c>
      <c r="V47" s="46">
        <f>AD47*AL47</f>
        <v>222028.83923973065</v>
      </c>
      <c r="W47" s="46">
        <f>AE47*AM47</f>
        <v>754237.73181485478</v>
      </c>
      <c r="Y47" s="316">
        <v>2021</v>
      </c>
      <c r="Z47" s="46">
        <f>R47/AH47</f>
        <v>381861.81215322844</v>
      </c>
      <c r="AA47" s="46">
        <f>AA46*(1-DK47)+CA47</f>
        <v>15435.692874306833</v>
      </c>
      <c r="AB47" s="46">
        <f>T47/AJ47</f>
        <v>174944.47354656694</v>
      </c>
      <c r="AC47" s="46">
        <f>AC46*(1-DM47)+CC47</f>
        <v>45929.512366919858</v>
      </c>
      <c r="AD47" s="46">
        <f>AD46*(1-DN47)+CD47</f>
        <v>205640.41694953901</v>
      </c>
      <c r="AE47" s="46">
        <f>AE46*(1-DO47)+CE47</f>
        <v>675450.10334362357</v>
      </c>
      <c r="AG47" s="316">
        <v>2021</v>
      </c>
      <c r="AH47" s="48">
        <f>(AT47+1)*AH46</f>
        <v>1.1005938763489613</v>
      </c>
      <c r="AI47" s="48">
        <f t="shared" ref="AI47:AM66" si="51">(AU47+1)*AI46</f>
        <v>1.1042907232518431</v>
      </c>
      <c r="AJ47" s="48">
        <f t="shared" si="51"/>
        <v>1.0867674081931833</v>
      </c>
      <c r="AK47" s="48">
        <f t="shared" si="51"/>
        <v>1.1046369380434296</v>
      </c>
      <c r="AL47" s="48">
        <f t="shared" si="51"/>
        <v>1.0796945587511286</v>
      </c>
      <c r="AM47" s="48">
        <f t="shared" si="51"/>
        <v>1.116644631603749</v>
      </c>
      <c r="AO47" s="316">
        <v>2021</v>
      </c>
      <c r="AP47" s="62">
        <v>4.7437069037142399E-2</v>
      </c>
      <c r="AQ47" s="62">
        <v>6.5000000000000002E-2</v>
      </c>
      <c r="AR47" s="44"/>
      <c r="AS47" s="316">
        <v>2021</v>
      </c>
      <c r="AT47" s="345">
        <f>AP47</f>
        <v>4.7437069037142399E-2</v>
      </c>
      <c r="AU47" s="345">
        <f>AT47</f>
        <v>4.7437069037142399E-2</v>
      </c>
      <c r="AV47" s="345">
        <f t="shared" ref="AV47:AY47" si="52">AU47</f>
        <v>4.7437069037142399E-2</v>
      </c>
      <c r="AW47" s="345">
        <f t="shared" si="52"/>
        <v>4.7437069037142399E-2</v>
      </c>
      <c r="AX47" s="345">
        <f t="shared" si="52"/>
        <v>4.7437069037142399E-2</v>
      </c>
      <c r="AY47" s="345">
        <f t="shared" si="52"/>
        <v>4.7437069037142399E-2</v>
      </c>
      <c r="BQ47" s="316">
        <v>2021</v>
      </c>
      <c r="BR47" s="346">
        <f>BZ47*CH47</f>
        <v>14648.885030567406</v>
      </c>
      <c r="BS47" s="346">
        <f>CA47*CI47</f>
        <v>734.79211673730026</v>
      </c>
      <c r="BT47" s="346">
        <f>CB47*CJ47</f>
        <v>8920.5376809790105</v>
      </c>
      <c r="BU47" s="346">
        <f>CC47*CK47</f>
        <v>4279.5125946237449</v>
      </c>
      <c r="BV47" s="346">
        <f>DR47*EG47</f>
        <v>6590.2761451028655</v>
      </c>
      <c r="BW47" s="346">
        <f>CE47*CM47</f>
        <v>16869.345757158349</v>
      </c>
      <c r="BY47" s="316">
        <v>2021</v>
      </c>
      <c r="BZ47" s="46">
        <f>Z47-Z46*(1-DJ47)</f>
        <v>13283.1550671882</v>
      </c>
      <c r="CA47" s="300">
        <f>AVERAGE(CA41:CA46)</f>
        <v>665.08333333333337</v>
      </c>
      <c r="CB47" s="46">
        <f>AB47-AB46*(1-DL47)</f>
        <v>8220.0381017393374</v>
      </c>
      <c r="CC47" s="300">
        <f>AVERAGE(CC41:CC46)</f>
        <v>3819.8333333333335</v>
      </c>
      <c r="CD47" s="46">
        <f>BV47/CL47</f>
        <v>6157.0524834428852</v>
      </c>
      <c r="CE47" s="300">
        <f>AVERAGE(CE41:CE46)</f>
        <v>15127.800000000001</v>
      </c>
      <c r="CG47" s="316">
        <v>2021</v>
      </c>
      <c r="CH47" s="48">
        <f>(CT47+1)*CH46</f>
        <v>1.1028166844752725</v>
      </c>
      <c r="CI47" s="48">
        <f t="shared" ref="CI47:CM62" si="53">(CU47+1)*CI46</f>
        <v>1.1048121038526002</v>
      </c>
      <c r="CJ47" s="48">
        <f t="shared" si="53"/>
        <v>1.0852185319057643</v>
      </c>
      <c r="CK47" s="48">
        <f t="shared" si="53"/>
        <v>1.1203401355967741</v>
      </c>
      <c r="CL47" s="48">
        <f t="shared" si="53"/>
        <v>1.0703621843122135</v>
      </c>
      <c r="CM47" s="48">
        <f t="shared" si="53"/>
        <v>1.115122209254376</v>
      </c>
      <c r="CO47" s="316">
        <v>2021</v>
      </c>
      <c r="CP47" s="62">
        <v>4.7437069037142399E-2</v>
      </c>
      <c r="CQ47" s="62">
        <v>6.5000000000000002E-2</v>
      </c>
      <c r="CR47" s="45"/>
      <c r="CS47" s="316">
        <v>2021</v>
      </c>
      <c r="CT47" s="345">
        <f>CP47</f>
        <v>4.7437069037142399E-2</v>
      </c>
      <c r="CU47" s="345">
        <f>CT47</f>
        <v>4.7437069037142399E-2</v>
      </c>
      <c r="CV47" s="345">
        <f t="shared" ref="CV47:CY47" si="54">CU47</f>
        <v>4.7437069037142399E-2</v>
      </c>
      <c r="CW47" s="345">
        <f t="shared" si="54"/>
        <v>4.7437069037142399E-2</v>
      </c>
      <c r="CX47" s="345">
        <f t="shared" si="54"/>
        <v>4.7437069037142399E-2</v>
      </c>
      <c r="CY47" s="345">
        <f t="shared" si="54"/>
        <v>4.7437069037142399E-2</v>
      </c>
      <c r="DA47" s="316">
        <v>2021</v>
      </c>
      <c r="DI47" s="316">
        <v>2021</v>
      </c>
      <c r="DJ47" s="342">
        <f>AVERAGE(DJ42:DJ46)</f>
        <v>5.475613402610726E-2</v>
      </c>
      <c r="DK47" s="342">
        <f t="shared" ref="DK47:DO47" si="55">AVERAGE(DK42:DK46)</f>
        <v>5.2886778090110012E-2</v>
      </c>
      <c r="DL47" s="342">
        <f t="shared" si="55"/>
        <v>7.9332382181603933E-2</v>
      </c>
      <c r="DM47" s="342">
        <f t="shared" si="55"/>
        <v>7.8397457889894467E-2</v>
      </c>
      <c r="DN47" s="342">
        <f t="shared" si="55"/>
        <v>3.0212897124007876E-2</v>
      </c>
      <c r="DO47" s="342">
        <f t="shared" si="55"/>
        <v>1.9684330097015108E-2</v>
      </c>
      <c r="DQ47" s="316">
        <v>2021</v>
      </c>
      <c r="DR47" s="46">
        <f>(DS46/4+DS47*3/4)*1000</f>
        <v>542552.47499999998</v>
      </c>
      <c r="DS47" s="61">
        <v>544.9</v>
      </c>
      <c r="DT47" s="46">
        <f>(DU46/4+DU47*3/4)*1000</f>
        <v>535908.63685000013</v>
      </c>
      <c r="DU47" s="61">
        <v>539.32541580000009</v>
      </c>
      <c r="DW47" s="46">
        <f>(DX46/4+DX47*3/4)*1000</f>
        <v>567501.16850424011</v>
      </c>
      <c r="DX47" s="61">
        <v>567.17427562773412</v>
      </c>
      <c r="DY47" s="46">
        <f>(DZ46/4+DZ47*3/4)*1000</f>
        <v>560534.77956475597</v>
      </c>
      <c r="DZ47" s="61">
        <v>561.37181507431012</v>
      </c>
      <c r="EB47" s="316">
        <v>2021</v>
      </c>
      <c r="EC47" s="88">
        <f t="shared" ref="EC47:EF66" si="56">BR47/$DR47</f>
        <v>2.6999941398419401E-2</v>
      </c>
      <c r="ED47" s="88">
        <f t="shared" si="56"/>
        <v>1.3543245134718081E-3</v>
      </c>
      <c r="EE47" s="88">
        <f t="shared" si="56"/>
        <v>1.6441797046412902E-2</v>
      </c>
      <c r="EF47" s="88">
        <f t="shared" si="56"/>
        <v>7.8877395124291802E-3</v>
      </c>
      <c r="EG47" s="302">
        <f>-0.000337487976634 - 0.336351055557*FM46 -0.575414155043*(EG46-EG45)+EG46</f>
        <v>1.2146799524051319E-2</v>
      </c>
      <c r="EH47" s="88">
        <f t="shared" ref="EH47:EH66" si="57">BW47/$DR47</f>
        <v>3.1092560691310736E-2</v>
      </c>
      <c r="EJ47" s="316">
        <v>2021</v>
      </c>
      <c r="EK47" s="302">
        <f>0.00310101035706 + 8.00320485051*((EW47-EW46)-(EW46-EW45)) - 0.508660861996*FK46+ 1.12119985655*(FE47-FE46)+EK46+EL46-EL47</f>
        <v>0.74057076071768557</v>
      </c>
      <c r="EL47" s="88">
        <f t="shared" ref="EL47:EL66" si="58">S47/$DW47</f>
        <v>3.0036048195263332E-2</v>
      </c>
      <c r="EM47" s="302">
        <f>-0.00084172706378 + 4.18246738319*((EW47-EW46)-(EW46-EW45))  - 0.587575259043*FL46 + 0.69918699035*(FE47-FE46)+EM46</f>
        <v>0.33501949008322252</v>
      </c>
      <c r="EN47" s="88">
        <f t="shared" ref="EN47:EP66" si="59">U47/$DW47</f>
        <v>8.9401465093975591E-2</v>
      </c>
      <c r="EO47" s="88">
        <f t="shared" si="59"/>
        <v>0.39123943977935921</v>
      </c>
      <c r="EP47" s="88">
        <f t="shared" si="59"/>
        <v>1.3290505353544826</v>
      </c>
      <c r="ER47" s="316">
        <v>2021</v>
      </c>
      <c r="ES47" s="317">
        <f t="shared" ref="ES47:ES66" si="60">SUM(ET47:EV47)</f>
        <v>122849</v>
      </c>
      <c r="ET47" s="61">
        <v>14667</v>
      </c>
      <c r="EU47" s="61">
        <v>72033</v>
      </c>
      <c r="EV47" s="61">
        <v>36149</v>
      </c>
      <c r="EW47" s="88">
        <f t="shared" si="49"/>
        <v>0.11939047122890703</v>
      </c>
      <c r="EX47" s="88">
        <f t="shared" si="49"/>
        <v>0.58635397927537058</v>
      </c>
      <c r="EY47" s="88">
        <f t="shared" si="49"/>
        <v>0.29425554949572241</v>
      </c>
      <c r="EZ47" s="88">
        <f t="shared" si="50"/>
        <v>2.2696227896014387E-4</v>
      </c>
      <c r="FA47" s="88">
        <f t="shared" si="50"/>
        <v>-8.8848709458017039E-3</v>
      </c>
      <c r="FB47" s="88">
        <f t="shared" si="50"/>
        <v>8.6579086668415739E-3</v>
      </c>
      <c r="FD47" s="316">
        <v>2021</v>
      </c>
      <c r="FE47" s="308">
        <f>(FF46/4+FF47*3/4)</f>
        <v>0</v>
      </c>
      <c r="FF47" s="159">
        <v>0</v>
      </c>
      <c r="FG47" s="308">
        <f>(FH46/4+FH47*3/4)</f>
        <v>4.5249999999999999E-2</v>
      </c>
      <c r="FH47" s="159">
        <v>6.5000000000000002E-2</v>
      </c>
      <c r="FI47" s="319">
        <f>FE47-FG47</f>
        <v>-4.5249999999999999E-2</v>
      </c>
      <c r="FK47" s="345">
        <f t="shared" ref="FK47:FK65" si="61">SUM(EK47:EL47)-(24.0959475629*(EW47-EW46)+0.793461523015+0.837029275127*FE47)</f>
        <v>-2.8323585274630969E-2</v>
      </c>
      <c r="FL47" s="345">
        <f>EM47-(4.79228258068*(EW47-EW46) + 0.334886759052 + 1.54914698576*FE47)</f>
        <v>-9.5493634470961153E-4</v>
      </c>
      <c r="FM47" s="345">
        <f t="shared" si="45"/>
        <v>7.9440113082581837E-3</v>
      </c>
      <c r="FN47" s="38"/>
      <c r="FO47" s="316">
        <v>2021</v>
      </c>
      <c r="FP47" s="46">
        <f t="shared" ref="FP47:FP66" si="62">BZ47/BZ$44*FP$44</f>
        <v>122533.29250598799</v>
      </c>
      <c r="FQ47" s="46">
        <f t="shared" ref="FQ47:FQ66" si="63">CA47/CA$44*FQ$44</f>
        <v>8200.1687375062393</v>
      </c>
      <c r="FR47" s="46">
        <f>CB47/CB$44*FR$44</f>
        <v>77499.102727541322</v>
      </c>
      <c r="FS47" s="46">
        <f t="shared" ref="FS47:FS66" si="64">CC47/CC$44*FS$44</f>
        <v>48787.211056042972</v>
      </c>
      <c r="FT47" s="46">
        <f t="shared" ref="FT47:FT66" si="65">CD47/CD$44*FT$44</f>
        <v>49722.168195883409</v>
      </c>
      <c r="FU47" s="46">
        <f t="shared" ref="FU47:FU66" si="66">CE47/CE$44*FU$44</f>
        <v>151348.05087799369</v>
      </c>
      <c r="FV47" s="46">
        <f t="shared" si="38"/>
        <v>458089.99410095561</v>
      </c>
    </row>
    <row r="48" spans="1:178">
      <c r="Q48" s="316">
        <v>2022</v>
      </c>
      <c r="R48" s="46">
        <f t="shared" ref="R48:R66" si="67">DW48*EK48</f>
        <v>428142.70828442153</v>
      </c>
      <c r="S48" s="46">
        <f t="shared" ref="S48:W66" si="68">AA48*AI48</f>
        <v>17380.453057249051</v>
      </c>
      <c r="T48" s="46">
        <f t="shared" ref="T48:T66" si="69">DW48*EM48</f>
        <v>188622.79674387569</v>
      </c>
      <c r="U48" s="46">
        <f t="shared" si="68"/>
        <v>52565.569537989606</v>
      </c>
      <c r="V48" s="46">
        <f t="shared" si="68"/>
        <v>227664.37605865873</v>
      </c>
      <c r="W48" s="46">
        <f t="shared" si="68"/>
        <v>780126.78589043859</v>
      </c>
      <c r="Y48" s="316">
        <v>2022</v>
      </c>
      <c r="Z48" s="46">
        <f t="shared" ref="Z48:AB66" si="70">R48/AH48</f>
        <v>377222.4212245401</v>
      </c>
      <c r="AA48" s="46">
        <f t="shared" ref="AA48:AE66" si="71">AA47*(1-DK48)+CA48</f>
        <v>15262.079366151831</v>
      </c>
      <c r="AB48" s="46">
        <f t="shared" si="70"/>
        <v>168303.68029015299</v>
      </c>
      <c r="AC48" s="46">
        <f t="shared" si="71"/>
        <v>46144.277577453089</v>
      </c>
      <c r="AD48" s="46">
        <f t="shared" si="71"/>
        <v>204470.28632559729</v>
      </c>
      <c r="AE48" s="46">
        <f t="shared" si="71"/>
        <v>677464.0372120114</v>
      </c>
      <c r="AG48" s="316">
        <v>2022</v>
      </c>
      <c r="AH48" s="48">
        <f t="shared" ref="AH48:AH65" si="72">(AT48+1)*AH47</f>
        <v>1.1349874349848663</v>
      </c>
      <c r="AI48" s="48">
        <f t="shared" si="51"/>
        <v>1.1387998083534632</v>
      </c>
      <c r="AJ48" s="48">
        <f t="shared" si="51"/>
        <v>1.1207288896992202</v>
      </c>
      <c r="AK48" s="48">
        <f t="shared" si="51"/>
        <v>1.1391568423572866</v>
      </c>
      <c r="AL48" s="48">
        <f t="shared" si="51"/>
        <v>1.1134350137121014</v>
      </c>
      <c r="AM48" s="48">
        <f t="shared" si="51"/>
        <v>1.1515397763413662</v>
      </c>
      <c r="AO48" s="316">
        <v>2022</v>
      </c>
      <c r="AP48" s="302">
        <f>(AQ47/4+AQ48*3/4)</f>
        <v>3.125E-2</v>
      </c>
      <c r="AQ48" s="62">
        <v>0.02</v>
      </c>
      <c r="AR48" s="44"/>
      <c r="AS48" s="316">
        <v>2022</v>
      </c>
      <c r="AT48" s="345">
        <f t="shared" ref="AT48:AT66" si="73">AP48</f>
        <v>3.125E-2</v>
      </c>
      <c r="AU48" s="345">
        <f t="shared" ref="AU48:AY63" si="74">AT48</f>
        <v>3.125E-2</v>
      </c>
      <c r="AV48" s="345">
        <f t="shared" si="74"/>
        <v>3.125E-2</v>
      </c>
      <c r="AW48" s="345">
        <f t="shared" si="74"/>
        <v>3.125E-2</v>
      </c>
      <c r="AX48" s="345">
        <f t="shared" si="74"/>
        <v>3.125E-2</v>
      </c>
      <c r="AY48" s="345">
        <f t="shared" si="74"/>
        <v>3.125E-2</v>
      </c>
      <c r="BQ48" s="316">
        <v>2022</v>
      </c>
      <c r="BR48" s="346">
        <f t="shared" ref="BR48:BU66" si="75">BZ48*CH48</f>
        <v>18503.410751736199</v>
      </c>
      <c r="BS48" s="346">
        <f t="shared" si="75"/>
        <v>732.28701283411147</v>
      </c>
      <c r="BT48" s="346">
        <f t="shared" si="75"/>
        <v>8100.2394369913254</v>
      </c>
      <c r="BU48" s="346">
        <f t="shared" si="75"/>
        <v>4408.2665176862292</v>
      </c>
      <c r="BV48" s="346">
        <f t="shared" ref="BV48:BV66" si="76">DR48*EG48</f>
        <v>5566.3667122596516</v>
      </c>
      <c r="BW48" s="346">
        <f t="shared" ref="BW48:BW66" si="77">CE48*CM48</f>
        <v>17605.71148090412</v>
      </c>
      <c r="BY48" s="316">
        <v>2022</v>
      </c>
      <c r="BZ48" s="46">
        <f t="shared" ref="BZ48:CB66" si="78">Z48-Z47*(1-DJ48)</f>
        <v>16269.885637026047</v>
      </c>
      <c r="CA48" s="300">
        <f t="shared" ref="CA48:CA66" si="79">AVERAGE(CA42:CA47)</f>
        <v>642.7305555555555</v>
      </c>
      <c r="CB48" s="46">
        <f t="shared" si="78"/>
        <v>7237.9685795417754</v>
      </c>
      <c r="CC48" s="300">
        <f t="shared" ref="CC48:CC66" si="80">AVERAGE(CC42:CC47)</f>
        <v>3815.5222222222219</v>
      </c>
      <c r="CD48" s="46">
        <f t="shared" ref="CD48:CD66" si="81">BV48/CL48</f>
        <v>5042.8621378927737</v>
      </c>
      <c r="CE48" s="300">
        <f t="shared" ref="CE48:CE66" si="82">AVERAGE(CE42:CE47)</f>
        <v>15309.716666666667</v>
      </c>
      <c r="CG48" s="316">
        <v>2022</v>
      </c>
      <c r="CH48" s="48">
        <f t="shared" ref="CH48:CM65" si="83">(CT48+1)*CH47</f>
        <v>1.1372797058651247</v>
      </c>
      <c r="CI48" s="48">
        <f t="shared" si="53"/>
        <v>1.139337482097994</v>
      </c>
      <c r="CJ48" s="48">
        <f t="shared" si="53"/>
        <v>1.1191316110278196</v>
      </c>
      <c r="CK48" s="48">
        <f t="shared" si="53"/>
        <v>1.1553507648341734</v>
      </c>
      <c r="CL48" s="48">
        <f t="shared" si="53"/>
        <v>1.1038110025719703</v>
      </c>
      <c r="CM48" s="48">
        <f t="shared" si="53"/>
        <v>1.1499697782935752</v>
      </c>
      <c r="CO48" s="316">
        <v>2022</v>
      </c>
      <c r="CP48" s="302">
        <f>(CQ47/4+CQ48*3/4)</f>
        <v>3.125E-2</v>
      </c>
      <c r="CQ48" s="62">
        <v>0.02</v>
      </c>
      <c r="CR48" s="45"/>
      <c r="CS48" s="316">
        <v>2022</v>
      </c>
      <c r="CT48" s="345">
        <f t="shared" ref="CT48:CT66" si="84">CP48</f>
        <v>3.125E-2</v>
      </c>
      <c r="CU48" s="345">
        <f t="shared" ref="CU48:CY63" si="85">CT48</f>
        <v>3.125E-2</v>
      </c>
      <c r="CV48" s="345">
        <f t="shared" si="85"/>
        <v>3.125E-2</v>
      </c>
      <c r="CW48" s="345">
        <f t="shared" si="85"/>
        <v>3.125E-2</v>
      </c>
      <c r="CX48" s="345">
        <f t="shared" si="85"/>
        <v>3.125E-2</v>
      </c>
      <c r="CY48" s="345">
        <f t="shared" si="85"/>
        <v>3.125E-2</v>
      </c>
      <c r="DA48" s="316">
        <v>2022</v>
      </c>
      <c r="DI48" s="316">
        <v>2022</v>
      </c>
      <c r="DJ48" s="342">
        <f>DJ47</f>
        <v>5.475613402610726E-2</v>
      </c>
      <c r="DK48" s="342">
        <f t="shared" ref="DK48:DO63" si="86">DK47</f>
        <v>5.2886778090110012E-2</v>
      </c>
      <c r="DL48" s="342">
        <f t="shared" si="86"/>
        <v>7.9332382181603933E-2</v>
      </c>
      <c r="DM48" s="342">
        <f t="shared" si="86"/>
        <v>7.8397457889894467E-2</v>
      </c>
      <c r="DN48" s="342">
        <f t="shared" si="86"/>
        <v>3.0212897124007876E-2</v>
      </c>
      <c r="DO48" s="342">
        <f t="shared" si="86"/>
        <v>1.9684330097015108E-2</v>
      </c>
      <c r="DQ48" s="316">
        <v>2022</v>
      </c>
      <c r="DR48" s="46">
        <f t="shared" ref="DR48:DT63" si="87">(DS47/4+DS48*3/4)*1000</f>
        <v>559675.00000000012</v>
      </c>
      <c r="DS48" s="61">
        <v>564.6</v>
      </c>
      <c r="DT48" s="46">
        <f t="shared" si="87"/>
        <v>552269.22577920009</v>
      </c>
      <c r="DU48" s="61">
        <v>556.5838291056001</v>
      </c>
      <c r="DW48" s="46">
        <f t="shared" ref="DW48:DW66" si="88">(DX47/4+DX48*3/4)*1000</f>
        <v>573157.20451589546</v>
      </c>
      <c r="DX48" s="61">
        <v>575.15151414528259</v>
      </c>
      <c r="DY48" s="46">
        <f t="shared" ref="DY48:DY66" si="89">(DZ47/4+DZ48*3/4)*1000</f>
        <v>565582.10368736752</v>
      </c>
      <c r="DZ48" s="61">
        <v>566.98553322505325</v>
      </c>
      <c r="EB48" s="316">
        <v>2022</v>
      </c>
      <c r="EC48" s="88">
        <f t="shared" si="56"/>
        <v>3.3060992096727915E-2</v>
      </c>
      <c r="ED48" s="88">
        <f t="shared" si="56"/>
        <v>1.3084147278940659E-3</v>
      </c>
      <c r="EE48" s="88">
        <f t="shared" si="56"/>
        <v>1.4473112854766291E-2</v>
      </c>
      <c r="EF48" s="88">
        <f t="shared" si="56"/>
        <v>7.8764756647808614E-3</v>
      </c>
      <c r="EG48" s="302">
        <f t="shared" ref="EG48:EG66" si="90">-0.000337487976634 - 0.336351055557*FM47 -0.575414155043*(EG47-EG46)+EG47</f>
        <v>9.9457126229680632E-3</v>
      </c>
      <c r="EH48" s="88">
        <f t="shared" si="57"/>
        <v>3.1457026811817779E-2</v>
      </c>
      <c r="EJ48" s="316">
        <v>2022</v>
      </c>
      <c r="EK48" s="302">
        <f t="shared" ref="EK48:EK66" si="91">0.00310101035706 + 8.00320485051*((EW48-EW47)-(EW47-EW46)) - 0.508660861996*FK47+ 1.12119985655*(FE48-FE47)+EK47+EL47-EL48</f>
        <v>0.74699001410275001</v>
      </c>
      <c r="EL48" s="88">
        <f t="shared" si="58"/>
        <v>3.032405929875568E-2</v>
      </c>
      <c r="EM48" s="302">
        <f t="shared" ref="EM48:EM66" si="92">-0.00084172706378 + 4.18246738319*((EW48-EW47)-(EW47-EW46))  - 0.587575259043*FL47 + 0.69918699035*(FE48-FE47)+EM47</f>
        <v>0.32909434838770241</v>
      </c>
      <c r="EN48" s="88">
        <f t="shared" si="59"/>
        <v>9.1712307066589088E-2</v>
      </c>
      <c r="EO48" s="88">
        <f t="shared" si="59"/>
        <v>0.39721105181073385</v>
      </c>
      <c r="EP48" s="88">
        <f t="shared" si="59"/>
        <v>1.3611043876685724</v>
      </c>
      <c r="ER48" s="316">
        <v>2022</v>
      </c>
      <c r="ES48" s="317">
        <f t="shared" si="60"/>
        <v>124310.239</v>
      </c>
      <c r="ET48" s="61">
        <v>14701.906999999999</v>
      </c>
      <c r="EU48" s="61">
        <v>73129.793999999994</v>
      </c>
      <c r="EV48" s="61">
        <v>36478.538</v>
      </c>
      <c r="EW48" s="88">
        <f t="shared" si="49"/>
        <v>0.11826786850598847</v>
      </c>
      <c r="EX48" s="88">
        <f t="shared" si="49"/>
        <v>0.58828455795986356</v>
      </c>
      <c r="EY48" s="88">
        <f t="shared" si="49"/>
        <v>0.29344757353414791</v>
      </c>
      <c r="EZ48" s="88">
        <f t="shared" si="50"/>
        <v>-1.1226027229185587E-3</v>
      </c>
      <c r="FA48" s="88">
        <f t="shared" si="50"/>
        <v>1.9305786844929784E-3</v>
      </c>
      <c r="FB48" s="88">
        <f t="shared" si="50"/>
        <v>-8.0797596157450302E-4</v>
      </c>
      <c r="FD48" s="316">
        <v>2022</v>
      </c>
      <c r="FE48" s="308">
        <f t="shared" ref="FE48:FG63" si="93">(FF47/4+FF48*3/4)</f>
        <v>0</v>
      </c>
      <c r="FF48" s="159">
        <v>0</v>
      </c>
      <c r="FG48" s="308">
        <f t="shared" si="93"/>
        <v>3.125E-2</v>
      </c>
      <c r="FH48" s="159">
        <v>0.02</v>
      </c>
      <c r="FI48" s="319">
        <f t="shared" si="42"/>
        <v>-3.125E-2</v>
      </c>
      <c r="FK48" s="345">
        <f t="shared" si="61"/>
        <v>1.0902726731920165E-2</v>
      </c>
      <c r="FL48" s="345">
        <f t="shared" ref="FL48:FL66" si="94">EM48-(4.79228258068*(EW48-EW47) + 0.334886759052 + 1.54914698576*FE48)</f>
        <v>-4.1258119023102058E-4</v>
      </c>
      <c r="FM48" s="345">
        <f t="shared" si="45"/>
        <v>2.1987645401158841E-3</v>
      </c>
      <c r="FN48" s="38"/>
      <c r="FO48" s="316">
        <v>2022</v>
      </c>
      <c r="FP48" s="46">
        <f t="shared" si="62"/>
        <v>150085.02465842964</v>
      </c>
      <c r="FQ48" s="46">
        <f t="shared" si="63"/>
        <v>7924.5693647011894</v>
      </c>
      <c r="FR48" s="46">
        <f t="shared" ref="FR48:FR66" si="95">CB48/CB$44*FR$44</f>
        <v>68240.081559467697</v>
      </c>
      <c r="FS48" s="46">
        <f t="shared" si="64"/>
        <v>48732.149206661095</v>
      </c>
      <c r="FT48" s="46">
        <f t="shared" si="65"/>
        <v>40724.362847845565</v>
      </c>
      <c r="FU48" s="46">
        <f t="shared" si="66"/>
        <v>153168.05992902702</v>
      </c>
      <c r="FV48" s="46">
        <f t="shared" si="38"/>
        <v>468874.24756613222</v>
      </c>
    </row>
    <row r="49" spans="17:178">
      <c r="Q49" s="316">
        <v>2023</v>
      </c>
      <c r="R49" s="46">
        <f t="shared" si="67"/>
        <v>432109.03046014044</v>
      </c>
      <c r="S49" s="46">
        <f t="shared" si="68"/>
        <v>17272.904503592894</v>
      </c>
      <c r="T49" s="46">
        <f t="shared" si="69"/>
        <v>190460.89528830652</v>
      </c>
      <c r="U49" s="46">
        <f t="shared" si="68"/>
        <v>53086.508928456686</v>
      </c>
      <c r="V49" s="46">
        <f t="shared" si="68"/>
        <v>228060.78897141348</v>
      </c>
      <c r="W49" s="46">
        <f t="shared" si="68"/>
        <v>787608.95377006568</v>
      </c>
      <c r="Y49" s="316">
        <v>2023</v>
      </c>
      <c r="Z49" s="46">
        <f t="shared" si="70"/>
        <v>378258.33769942017</v>
      </c>
      <c r="AA49" s="46">
        <f t="shared" si="71"/>
        <v>15069.686143001994</v>
      </c>
      <c r="AB49" s="46">
        <f t="shared" si="70"/>
        <v>168846.27157689279</v>
      </c>
      <c r="AC49" s="46">
        <f t="shared" si="71"/>
        <v>46300.626111807695</v>
      </c>
      <c r="AD49" s="46">
        <f t="shared" si="71"/>
        <v>203503.54030028844</v>
      </c>
      <c r="AE49" s="46">
        <f t="shared" si="71"/>
        <v>679544.53091911809</v>
      </c>
      <c r="AG49" s="316">
        <v>2023</v>
      </c>
      <c r="AH49" s="48">
        <f t="shared" si="72"/>
        <v>1.1423648533122679</v>
      </c>
      <c r="AI49" s="48">
        <f t="shared" si="51"/>
        <v>1.1462020071077605</v>
      </c>
      <c r="AJ49" s="48">
        <f t="shared" si="51"/>
        <v>1.1280136274822652</v>
      </c>
      <c r="AK49" s="48">
        <f t="shared" si="51"/>
        <v>1.1465613618326089</v>
      </c>
      <c r="AL49" s="48">
        <f t="shared" si="51"/>
        <v>1.1206723413012301</v>
      </c>
      <c r="AM49" s="48">
        <f t="shared" si="51"/>
        <v>1.159024784887585</v>
      </c>
      <c r="AO49" s="316">
        <v>2023</v>
      </c>
      <c r="AP49" s="302">
        <f t="shared" ref="AP49:AP66" si="96">(AQ48/4+AQ49*3/4)</f>
        <v>6.5000000000000006E-3</v>
      </c>
      <c r="AQ49" s="62">
        <v>2E-3</v>
      </c>
      <c r="AR49" s="44"/>
      <c r="AS49" s="316">
        <v>2023</v>
      </c>
      <c r="AT49" s="345">
        <f t="shared" si="73"/>
        <v>6.5000000000000006E-3</v>
      </c>
      <c r="AU49" s="345">
        <f t="shared" si="74"/>
        <v>6.5000000000000006E-3</v>
      </c>
      <c r="AV49" s="345">
        <f t="shared" si="74"/>
        <v>6.5000000000000006E-3</v>
      </c>
      <c r="AW49" s="345">
        <f t="shared" si="74"/>
        <v>6.5000000000000006E-3</v>
      </c>
      <c r="AX49" s="345">
        <f t="shared" si="74"/>
        <v>6.5000000000000006E-3</v>
      </c>
      <c r="AY49" s="345">
        <f t="shared" si="74"/>
        <v>6.5000000000000006E-3</v>
      </c>
      <c r="BQ49" s="316">
        <v>2023</v>
      </c>
      <c r="BR49" s="346">
        <f t="shared" si="75"/>
        <v>24829.261648596614</v>
      </c>
      <c r="BS49" s="346">
        <f t="shared" si="75"/>
        <v>704.98213416537419</v>
      </c>
      <c r="BT49" s="346">
        <f t="shared" si="75"/>
        <v>15650.873804959067</v>
      </c>
      <c r="BU49" s="346">
        <f t="shared" si="75"/>
        <v>4388.5689392872637</v>
      </c>
      <c r="BV49" s="346">
        <f t="shared" si="76"/>
        <v>5789.2287713915057</v>
      </c>
      <c r="BW49" s="346">
        <f t="shared" si="77"/>
        <v>17843.07243524657</v>
      </c>
      <c r="BY49" s="316">
        <v>2023</v>
      </c>
      <c r="BZ49" s="46">
        <f t="shared" si="78"/>
        <v>21691.157929103647</v>
      </c>
      <c r="CA49" s="300">
        <f t="shared" si="79"/>
        <v>614.76898148148143</v>
      </c>
      <c r="CB49" s="46">
        <f t="shared" si="78"/>
        <v>13894.523174088681</v>
      </c>
      <c r="CC49" s="300">
        <f t="shared" si="80"/>
        <v>3773.9425925925921</v>
      </c>
      <c r="CD49" s="46">
        <f t="shared" si="81"/>
        <v>5210.8937003628644</v>
      </c>
      <c r="CE49" s="300">
        <f t="shared" si="82"/>
        <v>15415.919444444444</v>
      </c>
      <c r="CG49" s="316">
        <v>2023</v>
      </c>
      <c r="CH49" s="48">
        <f t="shared" si="83"/>
        <v>1.144672023953248</v>
      </c>
      <c r="CI49" s="48">
        <f t="shared" si="53"/>
        <v>1.1467431757316309</v>
      </c>
      <c r="CJ49" s="48">
        <f t="shared" si="53"/>
        <v>1.1264059664995003</v>
      </c>
      <c r="CK49" s="48">
        <f t="shared" si="53"/>
        <v>1.1628605448055955</v>
      </c>
      <c r="CL49" s="48">
        <f t="shared" si="53"/>
        <v>1.1109857740886881</v>
      </c>
      <c r="CM49" s="48">
        <f t="shared" si="53"/>
        <v>1.1574445818524834</v>
      </c>
      <c r="CO49" s="316">
        <v>2023</v>
      </c>
      <c r="CP49" s="302">
        <f t="shared" ref="CP49:CP66" si="97">(CQ48/4+CQ49*3/4)</f>
        <v>6.5000000000000006E-3</v>
      </c>
      <c r="CQ49" s="62">
        <v>2E-3</v>
      </c>
      <c r="CR49" s="45"/>
      <c r="CS49" s="316">
        <v>2023</v>
      </c>
      <c r="CT49" s="345">
        <f t="shared" si="84"/>
        <v>6.5000000000000006E-3</v>
      </c>
      <c r="CU49" s="345">
        <f t="shared" si="85"/>
        <v>6.5000000000000006E-3</v>
      </c>
      <c r="CV49" s="345">
        <f t="shared" si="85"/>
        <v>6.5000000000000006E-3</v>
      </c>
      <c r="CW49" s="345">
        <f t="shared" si="85"/>
        <v>6.5000000000000006E-3</v>
      </c>
      <c r="CX49" s="345">
        <f t="shared" si="85"/>
        <v>6.5000000000000006E-3</v>
      </c>
      <c r="CY49" s="345">
        <f t="shared" si="85"/>
        <v>6.5000000000000006E-3</v>
      </c>
      <c r="DA49" s="316">
        <v>2023</v>
      </c>
      <c r="DI49" s="316">
        <v>2023</v>
      </c>
      <c r="DJ49" s="342">
        <f t="shared" ref="DJ49:DO66" si="98">DJ48</f>
        <v>5.475613402610726E-2</v>
      </c>
      <c r="DK49" s="342">
        <f t="shared" si="86"/>
        <v>5.2886778090110012E-2</v>
      </c>
      <c r="DL49" s="342">
        <f t="shared" si="86"/>
        <v>7.9332382181603933E-2</v>
      </c>
      <c r="DM49" s="342">
        <f t="shared" si="86"/>
        <v>7.8397457889894467E-2</v>
      </c>
      <c r="DN49" s="342">
        <f t="shared" si="86"/>
        <v>3.0212897124007876E-2</v>
      </c>
      <c r="DO49" s="342">
        <f t="shared" si="86"/>
        <v>1.9684330097015108E-2</v>
      </c>
      <c r="DQ49" s="316">
        <v>2023</v>
      </c>
      <c r="DR49" s="46">
        <f t="shared" si="87"/>
        <v>571199.99999999988</v>
      </c>
      <c r="DS49" s="61">
        <v>573.4</v>
      </c>
      <c r="DT49" s="46">
        <f t="shared" si="87"/>
        <v>562010.52143937966</v>
      </c>
      <c r="DU49" s="61">
        <v>563.81941888397284</v>
      </c>
      <c r="DW49" s="46">
        <f t="shared" si="88"/>
        <v>580577.46328765398</v>
      </c>
      <c r="DX49" s="61">
        <v>582.38611300177763</v>
      </c>
      <c r="DY49" s="46">
        <f t="shared" si="89"/>
        <v>571237.92472424114</v>
      </c>
      <c r="DZ49" s="61">
        <v>572.65538855730381</v>
      </c>
      <c r="EB49" s="316">
        <v>2023</v>
      </c>
      <c r="EC49" s="88">
        <f t="shared" si="56"/>
        <v>4.3468595323173355E-2</v>
      </c>
      <c r="ED49" s="88">
        <f t="shared" si="56"/>
        <v>1.2342124197573081E-3</v>
      </c>
      <c r="EE49" s="88">
        <f t="shared" si="56"/>
        <v>2.739998915434011E-2</v>
      </c>
      <c r="EF49" s="88">
        <f t="shared" si="56"/>
        <v>7.6830688713012338E-3</v>
      </c>
      <c r="EG49" s="302">
        <f t="shared" si="90"/>
        <v>1.0135204431707821E-2</v>
      </c>
      <c r="EH49" s="88">
        <f t="shared" si="57"/>
        <v>3.1237871910445681E-2</v>
      </c>
      <c r="EJ49" s="316">
        <v>2023</v>
      </c>
      <c r="EK49" s="302">
        <f t="shared" si="91"/>
        <v>0.74427455039887913</v>
      </c>
      <c r="EL49" s="88">
        <f t="shared" si="58"/>
        <v>2.9751248706384643E-2</v>
      </c>
      <c r="EM49" s="302">
        <f t="shared" si="92"/>
        <v>0.32805423450262383</v>
      </c>
      <c r="EN49" s="88">
        <f t="shared" si="59"/>
        <v>9.143742615815996E-2</v>
      </c>
      <c r="EO49" s="88">
        <f t="shared" si="59"/>
        <v>0.3928171577311434</v>
      </c>
      <c r="EP49" s="88">
        <f t="shared" si="59"/>
        <v>1.356595809472259</v>
      </c>
      <c r="ER49" s="316">
        <v>2023</v>
      </c>
      <c r="ES49" s="317">
        <f t="shared" si="60"/>
        <v>123750.58900000001</v>
      </c>
      <c r="ET49" s="61">
        <v>14483.753000000001</v>
      </c>
      <c r="EU49" s="61">
        <v>72682.839000000007</v>
      </c>
      <c r="EV49" s="61">
        <v>36583.997000000003</v>
      </c>
      <c r="EW49" s="88">
        <f t="shared" si="49"/>
        <v>0.11703987122033011</v>
      </c>
      <c r="EX49" s="88">
        <f t="shared" si="49"/>
        <v>0.58733327725817941</v>
      </c>
      <c r="EY49" s="88">
        <f t="shared" si="49"/>
        <v>0.29562685152149054</v>
      </c>
      <c r="EZ49" s="88">
        <f t="shared" si="50"/>
        <v>-1.2279972856583665E-3</v>
      </c>
      <c r="FA49" s="88">
        <f t="shared" si="50"/>
        <v>-9.5128070168415402E-4</v>
      </c>
      <c r="FB49" s="88">
        <f t="shared" si="50"/>
        <v>2.1792779873426316E-3</v>
      </c>
      <c r="FD49" s="316">
        <v>2023</v>
      </c>
      <c r="FE49" s="308">
        <f t="shared" si="93"/>
        <v>0</v>
      </c>
      <c r="FF49" s="159">
        <v>0</v>
      </c>
      <c r="FG49" s="308">
        <f t="shared" si="93"/>
        <v>6.5000000000000006E-3</v>
      </c>
      <c r="FH49" s="159">
        <v>2E-3</v>
      </c>
      <c r="FI49" s="319">
        <f t="shared" si="42"/>
        <v>-6.5000000000000006E-3</v>
      </c>
      <c r="FK49" s="345">
        <f t="shared" si="61"/>
        <v>1.0154034292871428E-2</v>
      </c>
      <c r="FL49" s="345">
        <f t="shared" si="94"/>
        <v>-9.4761454819325408E-4</v>
      </c>
      <c r="FM49" s="345">
        <f t="shared" si="45"/>
        <v>-9.8122075614849938E-4</v>
      </c>
      <c r="FN49" s="38"/>
      <c r="FO49" s="316">
        <v>2023</v>
      </c>
      <c r="FP49" s="46">
        <f t="shared" si="62"/>
        <v>200094.70535248856</v>
      </c>
      <c r="FQ49" s="46">
        <f t="shared" si="63"/>
        <v>7579.8161374258807</v>
      </c>
      <c r="FR49" s="46">
        <f t="shared" si="95"/>
        <v>130998.55079638275</v>
      </c>
      <c r="FS49" s="46">
        <f t="shared" si="64"/>
        <v>48201.090914491411</v>
      </c>
      <c r="FT49" s="46">
        <f t="shared" si="65"/>
        <v>42081.326043111854</v>
      </c>
      <c r="FU49" s="46">
        <f t="shared" si="66"/>
        <v>154230.57949000053</v>
      </c>
      <c r="FV49" s="46">
        <f t="shared" si="38"/>
        <v>583186.06873390102</v>
      </c>
    </row>
    <row r="50" spans="17:178">
      <c r="Q50" s="316">
        <v>2024</v>
      </c>
      <c r="R50" s="46">
        <f t="shared" si="67"/>
        <v>436595.72958434781</v>
      </c>
      <c r="S50" s="46">
        <f t="shared" si="68"/>
        <v>17088.022796577188</v>
      </c>
      <c r="T50" s="46">
        <f t="shared" si="69"/>
        <v>192679.35906497025</v>
      </c>
      <c r="U50" s="46">
        <f t="shared" si="68"/>
        <v>53364.414597425224</v>
      </c>
      <c r="V50" s="46">
        <f t="shared" si="68"/>
        <v>227493.22033810071</v>
      </c>
      <c r="W50" s="46">
        <f t="shared" si="68"/>
        <v>791620.8166163381</v>
      </c>
      <c r="Y50" s="316">
        <v>2024</v>
      </c>
      <c r="Z50" s="46">
        <f t="shared" si="70"/>
        <v>381423.04514965409</v>
      </c>
      <c r="AA50" s="46">
        <f t="shared" si="71"/>
        <v>14878.629474464504</v>
      </c>
      <c r="AB50" s="46">
        <f t="shared" si="70"/>
        <v>170472.02696932107</v>
      </c>
      <c r="AC50" s="46">
        <f t="shared" si="71"/>
        <v>46450.107750622861</v>
      </c>
      <c r="AD50" s="46">
        <f t="shared" si="71"/>
        <v>202591.90281289004</v>
      </c>
      <c r="AE50" s="46">
        <f t="shared" si="71"/>
        <v>681642.65807540331</v>
      </c>
      <c r="AG50" s="316">
        <v>2024</v>
      </c>
      <c r="AH50" s="48">
        <f t="shared" si="72"/>
        <v>1.1446495830188925</v>
      </c>
      <c r="AI50" s="48">
        <f t="shared" si="51"/>
        <v>1.1484944111219761</v>
      </c>
      <c r="AJ50" s="48">
        <f t="shared" si="51"/>
        <v>1.1302696547372297</v>
      </c>
      <c r="AK50" s="48">
        <f t="shared" si="51"/>
        <v>1.1488544845562743</v>
      </c>
      <c r="AL50" s="48">
        <f t="shared" si="51"/>
        <v>1.1229136859838325</v>
      </c>
      <c r="AM50" s="48">
        <f t="shared" si="51"/>
        <v>1.1613428344573602</v>
      </c>
      <c r="AO50" s="316">
        <v>2024</v>
      </c>
      <c r="AP50" s="302">
        <f t="shared" si="96"/>
        <v>2E-3</v>
      </c>
      <c r="AQ50" s="62">
        <v>2E-3</v>
      </c>
      <c r="AR50" s="44"/>
      <c r="AS50" s="316">
        <v>2024</v>
      </c>
      <c r="AT50" s="345">
        <f t="shared" si="73"/>
        <v>2E-3</v>
      </c>
      <c r="AU50" s="345">
        <f t="shared" si="74"/>
        <v>2E-3</v>
      </c>
      <c r="AV50" s="345">
        <f t="shared" si="74"/>
        <v>2E-3</v>
      </c>
      <c r="AW50" s="345">
        <f t="shared" si="74"/>
        <v>2E-3</v>
      </c>
      <c r="AX50" s="345">
        <f t="shared" si="74"/>
        <v>2E-3</v>
      </c>
      <c r="AY50" s="345">
        <f t="shared" si="74"/>
        <v>2E-3</v>
      </c>
      <c r="BQ50" s="316">
        <v>2024</v>
      </c>
      <c r="BR50" s="346">
        <f t="shared" si="75"/>
        <v>27385.620020054877</v>
      </c>
      <c r="BS50" s="346">
        <f t="shared" si="75"/>
        <v>696.23633434947396</v>
      </c>
      <c r="BT50" s="346">
        <f t="shared" si="75"/>
        <v>16953.281413016033</v>
      </c>
      <c r="BU50" s="346">
        <f t="shared" si="75"/>
        <v>4403.6269346145609</v>
      </c>
      <c r="BV50" s="346">
        <f t="shared" si="76"/>
        <v>5829.6396877060042</v>
      </c>
      <c r="BW50" s="346">
        <f t="shared" si="77"/>
        <v>17946.704914273862</v>
      </c>
      <c r="BY50" s="316">
        <v>2024</v>
      </c>
      <c r="BZ50" s="46">
        <f t="shared" si="78"/>
        <v>23876.671685795882</v>
      </c>
      <c r="CA50" s="300">
        <f t="shared" si="79"/>
        <v>605.93047839506164</v>
      </c>
      <c r="CB50" s="46">
        <f t="shared" si="78"/>
        <v>15020.73233910522</v>
      </c>
      <c r="CC50" s="300">
        <f t="shared" si="80"/>
        <v>3779.3330246913579</v>
      </c>
      <c r="CD50" s="46">
        <f t="shared" si="81"/>
        <v>5236.7940400656043</v>
      </c>
      <c r="CE50" s="300">
        <f t="shared" si="82"/>
        <v>15474.506018518519</v>
      </c>
      <c r="CG50" s="316">
        <v>2024</v>
      </c>
      <c r="CH50" s="48">
        <f t="shared" si="83"/>
        <v>1.1469613680011546</v>
      </c>
      <c r="CI50" s="48">
        <f t="shared" si="53"/>
        <v>1.1490366620830941</v>
      </c>
      <c r="CJ50" s="48">
        <f t="shared" si="53"/>
        <v>1.1286587784324993</v>
      </c>
      <c r="CK50" s="48">
        <f t="shared" si="53"/>
        <v>1.1651862658952068</v>
      </c>
      <c r="CL50" s="48">
        <f t="shared" si="53"/>
        <v>1.1132077456368654</v>
      </c>
      <c r="CM50" s="48">
        <f t="shared" si="53"/>
        <v>1.1597594710161885</v>
      </c>
      <c r="CO50" s="316">
        <v>2024</v>
      </c>
      <c r="CP50" s="302">
        <f t="shared" si="97"/>
        <v>2E-3</v>
      </c>
      <c r="CQ50" s="62">
        <v>2E-3</v>
      </c>
      <c r="CR50" s="45"/>
      <c r="CS50" s="316">
        <v>2024</v>
      </c>
      <c r="CT50" s="345">
        <f t="shared" si="84"/>
        <v>2E-3</v>
      </c>
      <c r="CU50" s="345">
        <f t="shared" si="85"/>
        <v>2E-3</v>
      </c>
      <c r="CV50" s="345">
        <f t="shared" si="85"/>
        <v>2E-3</v>
      </c>
      <c r="CW50" s="345">
        <f t="shared" si="85"/>
        <v>2E-3</v>
      </c>
      <c r="CX50" s="345">
        <f t="shared" si="85"/>
        <v>2E-3</v>
      </c>
      <c r="CY50" s="345">
        <f t="shared" si="85"/>
        <v>2E-3</v>
      </c>
      <c r="DA50" s="316">
        <v>2024</v>
      </c>
      <c r="DI50" s="316">
        <v>2024</v>
      </c>
      <c r="DJ50" s="342">
        <f t="shared" si="98"/>
        <v>5.475613402610726E-2</v>
      </c>
      <c r="DK50" s="342">
        <f t="shared" si="86"/>
        <v>5.2886778090110012E-2</v>
      </c>
      <c r="DL50" s="342">
        <f t="shared" si="86"/>
        <v>7.9332382181603933E-2</v>
      </c>
      <c r="DM50" s="342">
        <f t="shared" si="86"/>
        <v>7.8397457889894467E-2</v>
      </c>
      <c r="DN50" s="342">
        <f t="shared" si="86"/>
        <v>3.0212897124007876E-2</v>
      </c>
      <c r="DO50" s="342">
        <f t="shared" si="86"/>
        <v>1.9684330097015108E-2</v>
      </c>
      <c r="DQ50" s="316">
        <v>2024</v>
      </c>
      <c r="DR50" s="46">
        <f t="shared" si="87"/>
        <v>581875</v>
      </c>
      <c r="DS50" s="61">
        <v>584.70000000000005</v>
      </c>
      <c r="DT50" s="46">
        <f t="shared" si="87"/>
        <v>571853.84560306941</v>
      </c>
      <c r="DU50" s="61">
        <v>574.53198784276833</v>
      </c>
      <c r="DW50" s="46">
        <f t="shared" si="88"/>
        <v>587060.09629667585</v>
      </c>
      <c r="DX50" s="61">
        <v>588.61809072830863</v>
      </c>
      <c r="DY50" s="46">
        <f t="shared" si="89"/>
        <v>576950.3039714836</v>
      </c>
      <c r="DZ50" s="61">
        <v>578.38194244287683</v>
      </c>
      <c r="EB50" s="316">
        <v>2024</v>
      </c>
      <c r="EC50" s="88">
        <f t="shared" si="56"/>
        <v>4.7064438272919229E-2</v>
      </c>
      <c r="ED50" s="88">
        <f t="shared" si="56"/>
        <v>1.1965393501172485E-3</v>
      </c>
      <c r="EE50" s="88">
        <f t="shared" si="56"/>
        <v>2.9135607154485127E-2</v>
      </c>
      <c r="EF50" s="88">
        <f t="shared" si="56"/>
        <v>7.5679947318832413E-3</v>
      </c>
      <c r="EG50" s="302">
        <f t="shared" si="90"/>
        <v>1.0018714823125248E-2</v>
      </c>
      <c r="EH50" s="88">
        <f t="shared" si="57"/>
        <v>3.0842887070717698E-2</v>
      </c>
      <c r="EJ50" s="316">
        <v>2024</v>
      </c>
      <c r="EK50" s="302">
        <f t="shared" si="91"/>
        <v>0.74369852820606364</v>
      </c>
      <c r="EL50" s="88">
        <f t="shared" si="58"/>
        <v>2.9107791356238952E-2</v>
      </c>
      <c r="EM50" s="302">
        <f t="shared" si="92"/>
        <v>0.32821062150270575</v>
      </c>
      <c r="EN50" s="88">
        <f t="shared" si="59"/>
        <v>9.0901110353201489E-2</v>
      </c>
      <c r="EO50" s="88">
        <f t="shared" si="59"/>
        <v>0.38751266143481</v>
      </c>
      <c r="EP50" s="88">
        <f t="shared" si="59"/>
        <v>1.3484493693406914</v>
      </c>
      <c r="ER50" s="316">
        <v>2024</v>
      </c>
      <c r="ES50" s="317">
        <f t="shared" si="60"/>
        <v>123160.804</v>
      </c>
      <c r="ET50" s="61">
        <v>14276.478999999999</v>
      </c>
      <c r="EU50" s="61">
        <v>72180.804000000004</v>
      </c>
      <c r="EV50" s="61">
        <v>36703.521000000001</v>
      </c>
      <c r="EW50" s="88">
        <f t="shared" si="49"/>
        <v>0.11591739040612303</v>
      </c>
      <c r="EX50" s="88">
        <f t="shared" si="49"/>
        <v>0.58606960701555666</v>
      </c>
      <c r="EY50" s="88">
        <f t="shared" si="49"/>
        <v>0.29801300257832031</v>
      </c>
      <c r="EZ50" s="88">
        <f t="shared" si="50"/>
        <v>-1.1224808142070719E-3</v>
      </c>
      <c r="FA50" s="88">
        <f t="shared" si="50"/>
        <v>-1.2636702426227497E-3</v>
      </c>
      <c r="FB50" s="88">
        <f t="shared" si="50"/>
        <v>2.3861510568297661E-3</v>
      </c>
      <c r="FD50" s="316">
        <v>2024</v>
      </c>
      <c r="FE50" s="308">
        <f t="shared" si="93"/>
        <v>0</v>
      </c>
      <c r="FF50" s="159">
        <v>0</v>
      </c>
      <c r="FG50" s="308">
        <f t="shared" si="93"/>
        <v>2E-3</v>
      </c>
      <c r="FH50" s="159">
        <v>2E-3</v>
      </c>
      <c r="FI50" s="319">
        <f t="shared" si="42"/>
        <v>-2E-3</v>
      </c>
      <c r="FK50" s="345">
        <f t="shared" si="61"/>
        <v>6.3920353867975566E-3</v>
      </c>
      <c r="FL50" s="345">
        <f t="shared" si="94"/>
        <v>-1.2968922962222074E-3</v>
      </c>
      <c r="FM50" s="345">
        <f t="shared" si="45"/>
        <v>-1.5520040259952728E-3</v>
      </c>
      <c r="FN50" s="38"/>
      <c r="FO50" s="316">
        <v>2024</v>
      </c>
      <c r="FP50" s="46">
        <f t="shared" si="62"/>
        <v>220255.44239651665</v>
      </c>
      <c r="FQ50" s="46">
        <f t="shared" si="63"/>
        <v>7470.8414976129061</v>
      </c>
      <c r="FR50" s="46">
        <f t="shared" si="95"/>
        <v>141616.53074879284</v>
      </c>
      <c r="FS50" s="46">
        <f t="shared" si="64"/>
        <v>48269.937936216375</v>
      </c>
      <c r="FT50" s="46">
        <f t="shared" si="65"/>
        <v>42290.487983909545</v>
      </c>
      <c r="FU50" s="46">
        <f t="shared" si="66"/>
        <v>154816.71652206933</v>
      </c>
      <c r="FV50" s="46">
        <f t="shared" si="38"/>
        <v>614719.95708511758</v>
      </c>
    </row>
    <row r="51" spans="17:178">
      <c r="Q51" s="316">
        <v>2025</v>
      </c>
      <c r="R51" s="46">
        <f t="shared" si="67"/>
        <v>441524.59907737037</v>
      </c>
      <c r="S51" s="46">
        <f t="shared" si="68"/>
        <v>16923.459450130493</v>
      </c>
      <c r="T51" s="46">
        <f t="shared" si="69"/>
        <v>194713.46287200946</v>
      </c>
      <c r="U51" s="46">
        <f t="shared" si="68"/>
        <v>53673.96721575642</v>
      </c>
      <c r="V51" s="46">
        <f t="shared" si="68"/>
        <v>227361.7816008041</v>
      </c>
      <c r="W51" s="46">
        <f t="shared" si="68"/>
        <v>796292.30185788358</v>
      </c>
      <c r="Y51" s="316">
        <v>2025</v>
      </c>
      <c r="Z51" s="46">
        <f t="shared" si="70"/>
        <v>384671.20665982104</v>
      </c>
      <c r="AA51" s="46">
        <f t="shared" si="71"/>
        <v>14694.932257291102</v>
      </c>
      <c r="AB51" s="46">
        <f t="shared" si="70"/>
        <v>171799.24146197835</v>
      </c>
      <c r="AC51" s="46">
        <f t="shared" si="71"/>
        <v>46591.425913068932</v>
      </c>
      <c r="AD51" s="46">
        <f t="shared" si="71"/>
        <v>201919.57248323419</v>
      </c>
      <c r="AE51" s="46">
        <f t="shared" si="71"/>
        <v>683784.73600724514</v>
      </c>
      <c r="AG51" s="316">
        <v>2025</v>
      </c>
      <c r="AH51" s="48">
        <f t="shared" si="72"/>
        <v>1.1477973693721946</v>
      </c>
      <c r="AI51" s="48">
        <f t="shared" si="51"/>
        <v>1.1516527707525617</v>
      </c>
      <c r="AJ51" s="48">
        <f t="shared" si="51"/>
        <v>1.1333778962877572</v>
      </c>
      <c r="AK51" s="48">
        <f t="shared" si="51"/>
        <v>1.152013834388804</v>
      </c>
      <c r="AL51" s="48">
        <f t="shared" si="51"/>
        <v>1.1260016986202881</v>
      </c>
      <c r="AM51" s="48">
        <f t="shared" si="51"/>
        <v>1.164536527252118</v>
      </c>
      <c r="AO51" s="316">
        <v>2025</v>
      </c>
      <c r="AP51" s="302">
        <f t="shared" si="96"/>
        <v>2.7500000000000003E-3</v>
      </c>
      <c r="AQ51" s="62">
        <v>3.0000000000000001E-3</v>
      </c>
      <c r="AR51" s="44"/>
      <c r="AS51" s="316">
        <v>2025</v>
      </c>
      <c r="AT51" s="345">
        <f t="shared" si="73"/>
        <v>2.7500000000000003E-3</v>
      </c>
      <c r="AU51" s="345">
        <f t="shared" si="74"/>
        <v>2.7500000000000003E-3</v>
      </c>
      <c r="AV51" s="345">
        <f t="shared" si="74"/>
        <v>2.7500000000000003E-3</v>
      </c>
      <c r="AW51" s="345">
        <f t="shared" si="74"/>
        <v>2.7500000000000003E-3</v>
      </c>
      <c r="AX51" s="345">
        <f t="shared" si="74"/>
        <v>2.7500000000000003E-3</v>
      </c>
      <c r="AY51" s="345">
        <f t="shared" si="74"/>
        <v>2.7500000000000003E-3</v>
      </c>
      <c r="BQ51" s="316">
        <v>2025</v>
      </c>
      <c r="BR51" s="346">
        <f t="shared" si="75"/>
        <v>27756.212517755503</v>
      </c>
      <c r="BS51" s="346">
        <f t="shared" si="75"/>
        <v>694.98829670853445</v>
      </c>
      <c r="BT51" s="346">
        <f t="shared" si="75"/>
        <v>16807.994649456028</v>
      </c>
      <c r="BU51" s="346">
        <f t="shared" si="75"/>
        <v>4419.8911260156956</v>
      </c>
      <c r="BV51" s="346">
        <f t="shared" si="76"/>
        <v>6082.0567416276344</v>
      </c>
      <c r="BW51" s="346">
        <f t="shared" si="77"/>
        <v>18095.200905341389</v>
      </c>
      <c r="BY51" s="316">
        <v>2025</v>
      </c>
      <c r="BZ51" s="46">
        <f t="shared" si="78"/>
        <v>24133.412891027343</v>
      </c>
      <c r="CA51" s="300">
        <f t="shared" si="79"/>
        <v>603.18555812757199</v>
      </c>
      <c r="CB51" s="46">
        <f t="shared" si="78"/>
        <v>14851.166487460141</v>
      </c>
      <c r="CC51" s="300">
        <f t="shared" si="80"/>
        <v>3782.8885288065844</v>
      </c>
      <c r="CD51" s="46">
        <f t="shared" si="81"/>
        <v>5448.5579881869953</v>
      </c>
      <c r="CE51" s="300">
        <f t="shared" si="82"/>
        <v>15559.757021604937</v>
      </c>
      <c r="CG51" s="316">
        <v>2025</v>
      </c>
      <c r="CH51" s="48">
        <f t="shared" si="83"/>
        <v>1.1501155117631578</v>
      </c>
      <c r="CI51" s="48">
        <f t="shared" si="53"/>
        <v>1.1521965129038225</v>
      </c>
      <c r="CJ51" s="48">
        <f t="shared" si="53"/>
        <v>1.1317625900731887</v>
      </c>
      <c r="CK51" s="48">
        <f t="shared" si="53"/>
        <v>1.1683905281264186</v>
      </c>
      <c r="CL51" s="48">
        <f t="shared" si="53"/>
        <v>1.1162690669373669</v>
      </c>
      <c r="CM51" s="48">
        <f t="shared" si="53"/>
        <v>1.1629488095614831</v>
      </c>
      <c r="CO51" s="316">
        <v>2025</v>
      </c>
      <c r="CP51" s="302">
        <f t="shared" si="97"/>
        <v>2.7500000000000003E-3</v>
      </c>
      <c r="CQ51" s="62">
        <v>3.0000000000000001E-3</v>
      </c>
      <c r="CR51" s="45"/>
      <c r="CS51" s="316">
        <v>2025</v>
      </c>
      <c r="CT51" s="345">
        <f t="shared" si="84"/>
        <v>2.7500000000000003E-3</v>
      </c>
      <c r="CU51" s="345">
        <f t="shared" si="85"/>
        <v>2.7500000000000003E-3</v>
      </c>
      <c r="CV51" s="345">
        <f t="shared" si="85"/>
        <v>2.7500000000000003E-3</v>
      </c>
      <c r="CW51" s="345">
        <f t="shared" si="85"/>
        <v>2.7500000000000003E-3</v>
      </c>
      <c r="CX51" s="345">
        <f t="shared" si="85"/>
        <v>2.7500000000000003E-3</v>
      </c>
      <c r="CY51" s="345">
        <f t="shared" si="85"/>
        <v>2.7500000000000003E-3</v>
      </c>
      <c r="DA51" s="316">
        <v>2025</v>
      </c>
      <c r="DI51" s="316">
        <v>2025</v>
      </c>
      <c r="DJ51" s="342">
        <f t="shared" si="98"/>
        <v>5.475613402610726E-2</v>
      </c>
      <c r="DK51" s="342">
        <f t="shared" si="86"/>
        <v>5.2886778090110012E-2</v>
      </c>
      <c r="DL51" s="342">
        <f t="shared" si="86"/>
        <v>7.9332382181603933E-2</v>
      </c>
      <c r="DM51" s="342">
        <f t="shared" si="86"/>
        <v>7.8397457889894467E-2</v>
      </c>
      <c r="DN51" s="342">
        <f t="shared" si="86"/>
        <v>3.0212897124007876E-2</v>
      </c>
      <c r="DO51" s="342">
        <f t="shared" si="86"/>
        <v>1.9684330097015108E-2</v>
      </c>
      <c r="DQ51" s="316">
        <v>2025</v>
      </c>
      <c r="DR51" s="46">
        <f t="shared" si="87"/>
        <v>592200</v>
      </c>
      <c r="DS51" s="61">
        <v>594.70000000000005</v>
      </c>
      <c r="DT51" s="46">
        <f t="shared" si="87"/>
        <v>581426.37169688148</v>
      </c>
      <c r="DU51" s="61">
        <v>583.72449964825262</v>
      </c>
      <c r="DW51" s="46">
        <f t="shared" si="88"/>
        <v>593074.7492407331</v>
      </c>
      <c r="DX51" s="61">
        <v>594.56030207820788</v>
      </c>
      <c r="DY51" s="46">
        <f t="shared" si="89"/>
        <v>582286.02055436629</v>
      </c>
      <c r="DZ51" s="61">
        <v>583.58737992486272</v>
      </c>
      <c r="EB51" s="316">
        <v>2025</v>
      </c>
      <c r="EC51" s="88">
        <f t="shared" si="56"/>
        <v>4.6869659773312228E-2</v>
      </c>
      <c r="ED51" s="88">
        <f t="shared" si="56"/>
        <v>1.1735702409803013E-3</v>
      </c>
      <c r="EE51" s="88">
        <f t="shared" si="56"/>
        <v>2.8382294240891639E-2</v>
      </c>
      <c r="EF51" s="88">
        <f t="shared" si="56"/>
        <v>7.4635108510903341E-3</v>
      </c>
      <c r="EG51" s="302">
        <f t="shared" si="90"/>
        <v>1.0270274808557302E-2</v>
      </c>
      <c r="EH51" s="88">
        <f t="shared" si="57"/>
        <v>3.0555894808073945E-2</v>
      </c>
      <c r="EJ51" s="316">
        <v>2025</v>
      </c>
      <c r="EK51" s="302">
        <f t="shared" si="91"/>
        <v>0.74446703327467501</v>
      </c>
      <c r="EL51" s="88">
        <f t="shared" si="58"/>
        <v>2.8535120525357494E-2</v>
      </c>
      <c r="EM51" s="302">
        <f t="shared" si="92"/>
        <v>0.32831184116552892</v>
      </c>
      <c r="EN51" s="88">
        <f t="shared" si="59"/>
        <v>9.0501184352345082E-2</v>
      </c>
      <c r="EO51" s="88">
        <f t="shared" si="59"/>
        <v>0.3833610887866622</v>
      </c>
      <c r="EP51" s="88">
        <f t="shared" si="59"/>
        <v>1.3426508258483671</v>
      </c>
      <c r="ER51" s="316">
        <v>2025</v>
      </c>
      <c r="ES51" s="317">
        <f t="shared" si="60"/>
        <v>122544.10100000001</v>
      </c>
      <c r="ET51" s="61">
        <v>14072.74</v>
      </c>
      <c r="EU51" s="61">
        <v>71700.512000000002</v>
      </c>
      <c r="EV51" s="61">
        <v>36770.849000000002</v>
      </c>
      <c r="EW51" s="88">
        <f t="shared" si="49"/>
        <v>0.11483816752631772</v>
      </c>
      <c r="EX51" s="88">
        <f t="shared" si="49"/>
        <v>0.58509966138639347</v>
      </c>
      <c r="EY51" s="88">
        <f t="shared" si="49"/>
        <v>0.30006217108728883</v>
      </c>
      <c r="EZ51" s="88">
        <f t="shared" si="50"/>
        <v>-1.0792228798053166E-3</v>
      </c>
      <c r="FA51" s="88">
        <f t="shared" si="50"/>
        <v>-9.699456291631936E-4</v>
      </c>
      <c r="FB51" s="88">
        <f t="shared" si="50"/>
        <v>2.0491685089685241E-3</v>
      </c>
      <c r="FD51" s="316">
        <v>2025</v>
      </c>
      <c r="FE51" s="308">
        <f t="shared" si="93"/>
        <v>0</v>
      </c>
      <c r="FF51" s="159">
        <v>0</v>
      </c>
      <c r="FG51" s="308">
        <f t="shared" si="93"/>
        <v>2.7500000000000003E-3</v>
      </c>
      <c r="FH51" s="159">
        <v>3.0000000000000001E-3</v>
      </c>
      <c r="FI51" s="319">
        <f t="shared" si="42"/>
        <v>-2.7500000000000003E-3</v>
      </c>
      <c r="FK51" s="345">
        <f t="shared" si="61"/>
        <v>5.5455287055033997E-3</v>
      </c>
      <c r="FL51" s="345">
        <f t="shared" si="94"/>
        <v>-1.4029768789087793E-3</v>
      </c>
      <c r="FM51" s="345">
        <f t="shared" si="45"/>
        <v>-1.1474584574728813E-3</v>
      </c>
      <c r="FN51" s="38"/>
      <c r="FO51" s="316">
        <v>2025</v>
      </c>
      <c r="FP51" s="46">
        <f t="shared" si="62"/>
        <v>222623.8063160704</v>
      </c>
      <c r="FQ51" s="46">
        <f t="shared" si="63"/>
        <v>7436.997905033908</v>
      </c>
      <c r="FR51" s="46">
        <f t="shared" si="95"/>
        <v>140017.8518627492</v>
      </c>
      <c r="FS51" s="46">
        <f t="shared" si="64"/>
        <v>48315.34911375821</v>
      </c>
      <c r="FT51" s="46">
        <f t="shared" si="65"/>
        <v>44000.618387155409</v>
      </c>
      <c r="FU51" s="46">
        <f t="shared" si="66"/>
        <v>155669.62131672044</v>
      </c>
      <c r="FV51" s="46">
        <f t="shared" si="38"/>
        <v>618064.2449014876</v>
      </c>
    </row>
    <row r="52" spans="17:178">
      <c r="Q52" s="316">
        <v>2026</v>
      </c>
      <c r="R52" s="46">
        <f t="shared" si="67"/>
        <v>447848.91377141798</v>
      </c>
      <c r="S52" s="46">
        <f t="shared" si="68"/>
        <v>16769.854469827231</v>
      </c>
      <c r="T52" s="46">
        <f t="shared" si="69"/>
        <v>197449.1902569446</v>
      </c>
      <c r="U52" s="46">
        <f t="shared" si="68"/>
        <v>53963.849454982017</v>
      </c>
      <c r="V52" s="46">
        <f t="shared" si="68"/>
        <v>227148.04187894924</v>
      </c>
      <c r="W52" s="46">
        <f t="shared" si="68"/>
        <v>800539.87758732052</v>
      </c>
      <c r="Y52" s="316">
        <v>2026</v>
      </c>
      <c r="Z52" s="46">
        <f t="shared" si="70"/>
        <v>389305.22737226624</v>
      </c>
      <c r="AA52" s="46">
        <f t="shared" si="71"/>
        <v>14528.864453766049</v>
      </c>
      <c r="AB52" s="46">
        <f t="shared" si="70"/>
        <v>173821.9243260705</v>
      </c>
      <c r="AC52" s="46">
        <f t="shared" si="71"/>
        <v>46737.896512293315</v>
      </c>
      <c r="AD52" s="46">
        <f t="shared" si="71"/>
        <v>201276.87766176378</v>
      </c>
      <c r="AE52" s="46">
        <f t="shared" si="71"/>
        <v>685888.92474025057</v>
      </c>
      <c r="AG52" s="316">
        <v>2026</v>
      </c>
      <c r="AH52" s="48">
        <f t="shared" si="72"/>
        <v>1.1503799134532822</v>
      </c>
      <c r="AI52" s="48">
        <f t="shared" si="51"/>
        <v>1.1542439894867551</v>
      </c>
      <c r="AJ52" s="48">
        <f t="shared" si="51"/>
        <v>1.1359279965544047</v>
      </c>
      <c r="AK52" s="48">
        <f t="shared" si="51"/>
        <v>1.1546058655161788</v>
      </c>
      <c r="AL52" s="48">
        <f t="shared" si="51"/>
        <v>1.1285352024421837</v>
      </c>
      <c r="AM52" s="48">
        <f t="shared" si="51"/>
        <v>1.1671567344384353</v>
      </c>
      <c r="AO52" s="316">
        <v>2026</v>
      </c>
      <c r="AP52" s="302">
        <f t="shared" si="96"/>
        <v>2.2500000000000003E-3</v>
      </c>
      <c r="AQ52" s="62">
        <v>2E-3</v>
      </c>
      <c r="AR52" s="44"/>
      <c r="AS52" s="316">
        <v>2026</v>
      </c>
      <c r="AT52" s="345">
        <f t="shared" si="73"/>
        <v>2.2500000000000003E-3</v>
      </c>
      <c r="AU52" s="345">
        <f t="shared" si="74"/>
        <v>2.2500000000000003E-3</v>
      </c>
      <c r="AV52" s="345">
        <f t="shared" si="74"/>
        <v>2.2500000000000003E-3</v>
      </c>
      <c r="AW52" s="345">
        <f t="shared" si="74"/>
        <v>2.2500000000000003E-3</v>
      </c>
      <c r="AX52" s="345">
        <f t="shared" si="74"/>
        <v>2.2500000000000003E-3</v>
      </c>
      <c r="AY52" s="345">
        <f t="shared" si="74"/>
        <v>2.2500000000000003E-3</v>
      </c>
      <c r="BQ52" s="316">
        <v>2026</v>
      </c>
      <c r="BR52" s="346">
        <f t="shared" si="75"/>
        <v>29621.164509649228</v>
      </c>
      <c r="BS52" s="346">
        <f t="shared" si="75"/>
        <v>705.69132005120832</v>
      </c>
      <c r="BT52" s="346">
        <f t="shared" si="75"/>
        <v>17754.121343136168</v>
      </c>
      <c r="BU52" s="346">
        <f t="shared" si="75"/>
        <v>4448.8431905881707</v>
      </c>
      <c r="BV52" s="346">
        <f t="shared" si="76"/>
        <v>6106.1711585960566</v>
      </c>
      <c r="BW52" s="346">
        <f t="shared" si="77"/>
        <v>18140.899263676496</v>
      </c>
      <c r="BY52" s="316">
        <v>2026</v>
      </c>
      <c r="BZ52" s="46">
        <f t="shared" si="78"/>
        <v>25697.128860294761</v>
      </c>
      <c r="CA52" s="300">
        <f t="shared" si="79"/>
        <v>611.09981781550061</v>
      </c>
      <c r="CB52" s="46">
        <f t="shared" si="78"/>
        <v>15651.925946263451</v>
      </c>
      <c r="CC52" s="300">
        <f t="shared" si="80"/>
        <v>3799.119950274348</v>
      </c>
      <c r="CD52" s="46">
        <f t="shared" si="81"/>
        <v>5457.8804492891913</v>
      </c>
      <c r="CE52" s="300">
        <f t="shared" si="82"/>
        <v>15564.033191872428</v>
      </c>
      <c r="CG52" s="316">
        <v>2026</v>
      </c>
      <c r="CH52" s="48">
        <f t="shared" si="83"/>
        <v>1.1527032716646251</v>
      </c>
      <c r="CI52" s="48">
        <f t="shared" si="53"/>
        <v>1.1547889550578563</v>
      </c>
      <c r="CJ52" s="48">
        <f t="shared" si="53"/>
        <v>1.1343090559008535</v>
      </c>
      <c r="CK52" s="48">
        <f t="shared" si="53"/>
        <v>1.1710194068147031</v>
      </c>
      <c r="CL52" s="48">
        <f t="shared" si="53"/>
        <v>1.1187806723379761</v>
      </c>
      <c r="CM52" s="48">
        <f t="shared" si="53"/>
        <v>1.1655654443829966</v>
      </c>
      <c r="CO52" s="316">
        <v>2026</v>
      </c>
      <c r="CP52" s="302">
        <f t="shared" si="97"/>
        <v>2.2500000000000003E-3</v>
      </c>
      <c r="CQ52" s="62">
        <v>2E-3</v>
      </c>
      <c r="CR52" s="45"/>
      <c r="CS52" s="316">
        <v>2026</v>
      </c>
      <c r="CT52" s="345">
        <f t="shared" si="84"/>
        <v>2.2500000000000003E-3</v>
      </c>
      <c r="CU52" s="345">
        <f t="shared" si="85"/>
        <v>2.2500000000000003E-3</v>
      </c>
      <c r="CV52" s="345">
        <f t="shared" si="85"/>
        <v>2.2500000000000003E-3</v>
      </c>
      <c r="CW52" s="345">
        <f t="shared" si="85"/>
        <v>2.2500000000000003E-3</v>
      </c>
      <c r="CX52" s="345">
        <f t="shared" si="85"/>
        <v>2.2500000000000003E-3</v>
      </c>
      <c r="CY52" s="345">
        <f t="shared" si="85"/>
        <v>2.2500000000000003E-3</v>
      </c>
      <c r="DA52" s="316">
        <v>2026</v>
      </c>
      <c r="DI52" s="316">
        <v>2026</v>
      </c>
      <c r="DJ52" s="342">
        <f t="shared" si="98"/>
        <v>5.475613402610726E-2</v>
      </c>
      <c r="DK52" s="342">
        <f t="shared" si="86"/>
        <v>5.2886778090110012E-2</v>
      </c>
      <c r="DL52" s="342">
        <f t="shared" si="86"/>
        <v>7.9332382181603933E-2</v>
      </c>
      <c r="DM52" s="342">
        <f t="shared" si="86"/>
        <v>7.8397457889894467E-2</v>
      </c>
      <c r="DN52" s="342">
        <f t="shared" si="86"/>
        <v>3.0212897124007876E-2</v>
      </c>
      <c r="DO52" s="342">
        <f t="shared" si="86"/>
        <v>1.9684330097015108E-2</v>
      </c>
      <c r="DQ52" s="316">
        <v>2026</v>
      </c>
      <c r="DR52" s="46">
        <f t="shared" si="87"/>
        <v>600175</v>
      </c>
      <c r="DS52" s="61">
        <v>602</v>
      </c>
      <c r="DT52" s="46">
        <f t="shared" si="87"/>
        <v>588102.4333956145</v>
      </c>
      <c r="DU52" s="61">
        <v>589.5617446447352</v>
      </c>
      <c r="DW52" s="46">
        <f t="shared" si="88"/>
        <v>599587.09128056571</v>
      </c>
      <c r="DX52" s="61">
        <v>601.26268768135162</v>
      </c>
      <c r="DY52" s="46">
        <f t="shared" si="89"/>
        <v>587526.5947393555</v>
      </c>
      <c r="DZ52" s="61">
        <v>588.83966634418641</v>
      </c>
      <c r="EB52" s="316">
        <v>2026</v>
      </c>
      <c r="EC52" s="88">
        <f t="shared" si="56"/>
        <v>4.93542125374253E-2</v>
      </c>
      <c r="ED52" s="88">
        <f t="shared" si="56"/>
        <v>1.1758092557190957E-3</v>
      </c>
      <c r="EE52" s="88">
        <f t="shared" si="56"/>
        <v>2.9581574279395458E-2</v>
      </c>
      <c r="EF52" s="88">
        <f t="shared" si="56"/>
        <v>7.4125766494575265E-3</v>
      </c>
      <c r="EG52" s="302">
        <f t="shared" si="90"/>
        <v>1.0173984518842098E-2</v>
      </c>
      <c r="EH52" s="88">
        <f t="shared" si="57"/>
        <v>3.0226016184740277E-2</v>
      </c>
      <c r="EJ52" s="316">
        <v>2026</v>
      </c>
      <c r="EK52" s="302">
        <f t="shared" si="91"/>
        <v>0.74692887869704883</v>
      </c>
      <c r="EL52" s="88">
        <f t="shared" si="58"/>
        <v>2.7969005193242372E-2</v>
      </c>
      <c r="EM52" s="302">
        <f t="shared" si="92"/>
        <v>0.32930860775411841</v>
      </c>
      <c r="EN52" s="88">
        <f t="shared" si="59"/>
        <v>9.0001686560210861E-2</v>
      </c>
      <c r="EO52" s="88">
        <f t="shared" si="59"/>
        <v>0.37884078090110102</v>
      </c>
      <c r="EP52" s="88">
        <f t="shared" si="59"/>
        <v>1.3351519557860572</v>
      </c>
      <c r="ER52" s="316">
        <v>2026</v>
      </c>
      <c r="ES52" s="317">
        <f t="shared" si="60"/>
        <v>121903.09700000001</v>
      </c>
      <c r="ET52" s="61">
        <v>13866.558000000001</v>
      </c>
      <c r="EU52" s="61">
        <v>71231.392000000007</v>
      </c>
      <c r="EV52" s="61">
        <v>36805.146999999997</v>
      </c>
      <c r="EW52" s="88">
        <f t="shared" si="49"/>
        <v>0.11375066213453133</v>
      </c>
      <c r="EX52" s="88">
        <f t="shared" si="49"/>
        <v>0.58432799291391258</v>
      </c>
      <c r="EY52" s="88">
        <f t="shared" si="49"/>
        <v>0.30192134495155604</v>
      </c>
      <c r="EZ52" s="88">
        <f t="shared" si="50"/>
        <v>-1.0875053917863836E-3</v>
      </c>
      <c r="FA52" s="88">
        <f t="shared" si="50"/>
        <v>-7.7166847248089088E-4</v>
      </c>
      <c r="FB52" s="88">
        <f t="shared" si="50"/>
        <v>1.8591738642672051E-3</v>
      </c>
      <c r="FD52" s="316">
        <v>2026</v>
      </c>
      <c r="FE52" s="308">
        <f t="shared" si="93"/>
        <v>1.5E-3</v>
      </c>
      <c r="FF52" s="159">
        <v>2E-3</v>
      </c>
      <c r="FG52" s="308">
        <f t="shared" si="93"/>
        <v>2.2500000000000003E-3</v>
      </c>
      <c r="FH52" s="159">
        <v>2E-3</v>
      </c>
      <c r="FI52" s="319">
        <f t="shared" si="42"/>
        <v>-7.5000000000000023E-4</v>
      </c>
      <c r="FK52" s="345">
        <f t="shared" si="61"/>
        <v>6.3852898574565664E-3</v>
      </c>
      <c r="FL52" s="345">
        <f t="shared" si="94"/>
        <v>-2.6902386310680981E-3</v>
      </c>
      <c r="FM52" s="345">
        <f t="shared" si="45"/>
        <v>-1.5157322729160219E-3</v>
      </c>
      <c r="FN52" s="38"/>
      <c r="FO52" s="316">
        <v>2026</v>
      </c>
      <c r="FP52" s="46">
        <f t="shared" si="62"/>
        <v>237048.63726092881</v>
      </c>
      <c r="FQ52" s="46">
        <f t="shared" si="63"/>
        <v>7534.5770528200865</v>
      </c>
      <c r="FR52" s="46">
        <f t="shared" si="95"/>
        <v>147567.46888273803</v>
      </c>
      <c r="FS52" s="46">
        <f t="shared" si="64"/>
        <v>48522.658102340785</v>
      </c>
      <c r="FT52" s="46">
        <f t="shared" si="65"/>
        <v>44075.903270655996</v>
      </c>
      <c r="FU52" s="46">
        <f t="shared" si="66"/>
        <v>155712.40282065407</v>
      </c>
      <c r="FV52" s="46">
        <f t="shared" si="38"/>
        <v>640461.64739013778</v>
      </c>
    </row>
    <row r="53" spans="17:178">
      <c r="Q53" s="316">
        <v>2027</v>
      </c>
      <c r="R53" s="46">
        <f t="shared" si="67"/>
        <v>456496.66192692518</v>
      </c>
      <c r="S53" s="46">
        <f t="shared" si="68"/>
        <v>16636.173989293322</v>
      </c>
      <c r="T53" s="46">
        <f t="shared" si="69"/>
        <v>202121.51274664124</v>
      </c>
      <c r="U53" s="46">
        <f t="shared" si="68"/>
        <v>54223.303336749632</v>
      </c>
      <c r="V53" s="46">
        <f t="shared" si="68"/>
        <v>227095.75586993885</v>
      </c>
      <c r="W53" s="46">
        <f t="shared" si="68"/>
        <v>804371.5955102942</v>
      </c>
      <c r="Y53" s="316">
        <v>2027</v>
      </c>
      <c r="Z53" s="46">
        <f t="shared" si="70"/>
        <v>396030.46403811953</v>
      </c>
      <c r="AA53" s="46">
        <f t="shared" si="71"/>
        <v>14384.279410949854</v>
      </c>
      <c r="AB53" s="46">
        <f t="shared" si="70"/>
        <v>177579.98500373538</v>
      </c>
      <c r="AC53" s="46">
        <f t="shared" si="71"/>
        <v>46868.870847261955</v>
      </c>
      <c r="AD53" s="46">
        <f t="shared" si="71"/>
        <v>200828.88902146928</v>
      </c>
      <c r="AE53" s="46">
        <f t="shared" si="71"/>
        <v>687796.28279296122</v>
      </c>
      <c r="AG53" s="316">
        <v>2027</v>
      </c>
      <c r="AH53" s="48">
        <f t="shared" si="72"/>
        <v>1.1526806732801886</v>
      </c>
      <c r="AI53" s="48">
        <f t="shared" si="51"/>
        <v>1.1565524774657285</v>
      </c>
      <c r="AJ53" s="48">
        <f t="shared" si="51"/>
        <v>1.1381998525475134</v>
      </c>
      <c r="AK53" s="48">
        <f t="shared" si="51"/>
        <v>1.1569150772472112</v>
      </c>
      <c r="AL53" s="48">
        <f t="shared" si="51"/>
        <v>1.1307922728470681</v>
      </c>
      <c r="AM53" s="48">
        <f t="shared" si="51"/>
        <v>1.1694910479073122</v>
      </c>
      <c r="AO53" s="316">
        <v>2027</v>
      </c>
      <c r="AP53" s="302">
        <f t="shared" si="96"/>
        <v>2E-3</v>
      </c>
      <c r="AQ53" s="62">
        <v>2E-3</v>
      </c>
      <c r="AR53" s="44"/>
      <c r="AS53" s="316">
        <v>2027</v>
      </c>
      <c r="AT53" s="345">
        <f t="shared" si="73"/>
        <v>2E-3</v>
      </c>
      <c r="AU53" s="345">
        <f t="shared" si="74"/>
        <v>2E-3</v>
      </c>
      <c r="AV53" s="345">
        <f t="shared" si="74"/>
        <v>2E-3</v>
      </c>
      <c r="AW53" s="345">
        <f t="shared" si="74"/>
        <v>2E-3</v>
      </c>
      <c r="AX53" s="345">
        <f t="shared" si="74"/>
        <v>2E-3</v>
      </c>
      <c r="AY53" s="345">
        <f t="shared" si="74"/>
        <v>2E-3</v>
      </c>
      <c r="BQ53" s="316">
        <v>2027</v>
      </c>
      <c r="BR53" s="346">
        <f t="shared" si="75"/>
        <v>32388.852538267474</v>
      </c>
      <c r="BS53" s="346">
        <f t="shared" si="75"/>
        <v>721.79781892576796</v>
      </c>
      <c r="BT53" s="346">
        <f t="shared" si="75"/>
        <v>19944.401348740488</v>
      </c>
      <c r="BU53" s="346">
        <f t="shared" si="75"/>
        <v>4453.031776643199</v>
      </c>
      <c r="BV53" s="346">
        <f t="shared" si="76"/>
        <v>6314.8851152679863</v>
      </c>
      <c r="BW53" s="346">
        <f t="shared" si="77"/>
        <v>17995.676930242716</v>
      </c>
      <c r="BY53" s="316">
        <v>2027</v>
      </c>
      <c r="BZ53" s="46">
        <f t="shared" si="78"/>
        <v>28042.085872913245</v>
      </c>
      <c r="CA53" s="300">
        <f t="shared" si="79"/>
        <v>623.7997874514175</v>
      </c>
      <c r="CB53" s="46">
        <f t="shared" si="78"/>
        <v>17547.768009842519</v>
      </c>
      <c r="CC53" s="300">
        <f t="shared" si="80"/>
        <v>3795.1066086534061</v>
      </c>
      <c r="CD53" s="46">
        <f t="shared" si="81"/>
        <v>5633.1689579419108</v>
      </c>
      <c r="CE53" s="300">
        <f t="shared" si="82"/>
        <v>15408.622057184499</v>
      </c>
      <c r="CG53" s="316">
        <v>2027</v>
      </c>
      <c r="CH53" s="48">
        <f t="shared" si="83"/>
        <v>1.1550086782079543</v>
      </c>
      <c r="CI53" s="48">
        <f t="shared" si="53"/>
        <v>1.1570985329679719</v>
      </c>
      <c r="CJ53" s="48">
        <f t="shared" si="53"/>
        <v>1.1365776740126552</v>
      </c>
      <c r="CK53" s="48">
        <f t="shared" si="53"/>
        <v>1.1733614456283326</v>
      </c>
      <c r="CL53" s="48">
        <f t="shared" si="53"/>
        <v>1.121018233682652</v>
      </c>
      <c r="CM53" s="48">
        <f t="shared" si="53"/>
        <v>1.1678965752717625</v>
      </c>
      <c r="CO53" s="316">
        <v>2027</v>
      </c>
      <c r="CP53" s="302">
        <f t="shared" si="97"/>
        <v>2E-3</v>
      </c>
      <c r="CQ53" s="62">
        <v>2E-3</v>
      </c>
      <c r="CR53" s="45"/>
      <c r="CS53" s="316">
        <v>2027</v>
      </c>
      <c r="CT53" s="345">
        <f t="shared" si="84"/>
        <v>2E-3</v>
      </c>
      <c r="CU53" s="345">
        <f t="shared" si="85"/>
        <v>2E-3</v>
      </c>
      <c r="CV53" s="345">
        <f t="shared" si="85"/>
        <v>2E-3</v>
      </c>
      <c r="CW53" s="345">
        <f t="shared" si="85"/>
        <v>2E-3</v>
      </c>
      <c r="CX53" s="345">
        <f t="shared" si="85"/>
        <v>2E-3</v>
      </c>
      <c r="CY53" s="345">
        <f t="shared" si="85"/>
        <v>2E-3</v>
      </c>
      <c r="DA53" s="316">
        <v>2027</v>
      </c>
      <c r="DI53" s="316">
        <v>2027</v>
      </c>
      <c r="DJ53" s="342">
        <f t="shared" si="98"/>
        <v>5.475613402610726E-2</v>
      </c>
      <c r="DK53" s="342">
        <f t="shared" si="86"/>
        <v>5.2886778090110012E-2</v>
      </c>
      <c r="DL53" s="342">
        <f t="shared" si="86"/>
        <v>7.9332382181603933E-2</v>
      </c>
      <c r="DM53" s="342">
        <f t="shared" si="86"/>
        <v>7.8397457889894467E-2</v>
      </c>
      <c r="DN53" s="342">
        <f t="shared" si="86"/>
        <v>3.0212897124007876E-2</v>
      </c>
      <c r="DO53" s="342">
        <f t="shared" si="86"/>
        <v>1.9684330097015108E-2</v>
      </c>
      <c r="DQ53" s="316">
        <v>2027</v>
      </c>
      <c r="DR53" s="46">
        <f t="shared" si="87"/>
        <v>607099.99999999988</v>
      </c>
      <c r="DS53" s="61">
        <v>608.79999999999995</v>
      </c>
      <c r="DT53" s="46">
        <f t="shared" si="87"/>
        <v>593541.2864210871</v>
      </c>
      <c r="DU53" s="61">
        <v>594.86780034653771</v>
      </c>
      <c r="DW53" s="46">
        <f t="shared" si="88"/>
        <v>606356.44134775526</v>
      </c>
      <c r="DX53" s="61">
        <v>608.05435923655637</v>
      </c>
      <c r="DY53" s="46">
        <f t="shared" si="89"/>
        <v>592814.33409200958</v>
      </c>
      <c r="DZ53" s="61">
        <v>594.13922334128404</v>
      </c>
      <c r="EB53" s="316">
        <v>2027</v>
      </c>
      <c r="EC53" s="88">
        <f t="shared" si="56"/>
        <v>5.3350111247352131E-2</v>
      </c>
      <c r="ED53" s="88">
        <f t="shared" si="56"/>
        <v>1.1889273907523771E-3</v>
      </c>
      <c r="EE53" s="88">
        <f t="shared" si="56"/>
        <v>3.2851921180597085E-2</v>
      </c>
      <c r="EF53" s="88">
        <f t="shared" si="56"/>
        <v>7.3349230384503377E-3</v>
      </c>
      <c r="EG53" s="302">
        <f t="shared" si="90"/>
        <v>1.0401721487840533E-2</v>
      </c>
      <c r="EH53" s="88">
        <f t="shared" si="57"/>
        <v>2.9642030851989326E-2</v>
      </c>
      <c r="EJ53" s="316">
        <v>2027</v>
      </c>
      <c r="EK53" s="302">
        <f t="shared" si="91"/>
        <v>0.75285200386799711</v>
      </c>
      <c r="EL53" s="88">
        <f t="shared" si="58"/>
        <v>2.7436294652557678E-2</v>
      </c>
      <c r="EM53" s="302">
        <f t="shared" si="92"/>
        <v>0.33333778445130968</v>
      </c>
      <c r="EN53" s="88">
        <f t="shared" si="59"/>
        <v>8.942479973697795E-2</v>
      </c>
      <c r="EO53" s="88">
        <f t="shared" si="59"/>
        <v>0.37452518087409209</v>
      </c>
      <c r="EP53" s="88">
        <f t="shared" si="59"/>
        <v>1.326565598482649</v>
      </c>
      <c r="ER53" s="316">
        <v>2027</v>
      </c>
      <c r="ES53" s="317">
        <f t="shared" si="60"/>
        <v>121239.693</v>
      </c>
      <c r="ET53" s="61">
        <v>13683.683999999999</v>
      </c>
      <c r="EU53" s="61">
        <v>70715.53</v>
      </c>
      <c r="EV53" s="61">
        <v>36840.478999999999</v>
      </c>
      <c r="EW53" s="88">
        <f t="shared" si="49"/>
        <v>0.11286471997252583</v>
      </c>
      <c r="EX53" s="88">
        <f t="shared" si="49"/>
        <v>0.58327044757528379</v>
      </c>
      <c r="EY53" s="88">
        <f t="shared" si="49"/>
        <v>0.30386483245219037</v>
      </c>
      <c r="EZ53" s="88">
        <f t="shared" si="50"/>
        <v>-8.8594216200550691E-4</v>
      </c>
      <c r="FA53" s="88">
        <f t="shared" si="50"/>
        <v>-1.0575453386287847E-3</v>
      </c>
      <c r="FB53" s="88">
        <f t="shared" si="50"/>
        <v>1.9434875006343333E-3</v>
      </c>
      <c r="FD53" s="316">
        <v>2027</v>
      </c>
      <c r="FE53" s="308">
        <f t="shared" si="93"/>
        <v>5.000000000000001E-3</v>
      </c>
      <c r="FF53" s="159">
        <v>6.0000000000000001E-3</v>
      </c>
      <c r="FG53" s="308">
        <f t="shared" si="93"/>
        <v>2E-3</v>
      </c>
      <c r="FH53" s="159">
        <v>2E-3</v>
      </c>
      <c r="FI53" s="319">
        <f t="shared" si="42"/>
        <v>3.0000000000000009E-3</v>
      </c>
      <c r="FK53" s="345">
        <f t="shared" si="61"/>
        <v>3.9892450093668153E-3</v>
      </c>
      <c r="FL53" s="345">
        <f t="shared" si="94"/>
        <v>-5.0490243390213241E-3</v>
      </c>
      <c r="FM53" s="345">
        <f t="shared" si="45"/>
        <v>-1.522263244637086E-3</v>
      </c>
      <c r="FN53" s="38"/>
      <c r="FO53" s="316">
        <v>2027</v>
      </c>
      <c r="FP53" s="46">
        <f t="shared" si="62"/>
        <v>258680.19257197977</v>
      </c>
      <c r="FQ53" s="46">
        <f t="shared" si="63"/>
        <v>7691.1617825167032</v>
      </c>
      <c r="FR53" s="46">
        <f t="shared" si="95"/>
        <v>165441.60243564931</v>
      </c>
      <c r="FS53" s="46">
        <f t="shared" si="64"/>
        <v>48471.399388251804</v>
      </c>
      <c r="FT53" s="46">
        <f t="shared" si="65"/>
        <v>45491.47098482991</v>
      </c>
      <c r="FU53" s="46">
        <f t="shared" si="66"/>
        <v>154157.5718260775</v>
      </c>
      <c r="FV53" s="46">
        <f t="shared" si="38"/>
        <v>679933.39898930502</v>
      </c>
    </row>
    <row r="54" spans="17:178">
      <c r="Q54" s="316">
        <v>2028</v>
      </c>
      <c r="R54" s="46">
        <f t="shared" si="67"/>
        <v>465333.32348152122</v>
      </c>
      <c r="S54" s="46">
        <f t="shared" si="68"/>
        <v>16502.779451872579</v>
      </c>
      <c r="T54" s="46">
        <f t="shared" si="69"/>
        <v>207412.32496490699</v>
      </c>
      <c r="U54" s="46">
        <f t="shared" si="68"/>
        <v>54466.89883023256</v>
      </c>
      <c r="V54" s="46">
        <f t="shared" si="68"/>
        <v>227141.64357835456</v>
      </c>
      <c r="W54" s="46">
        <f t="shared" si="68"/>
        <v>808226.2876634741</v>
      </c>
      <c r="Y54" s="316">
        <v>2028</v>
      </c>
      <c r="Z54" s="46">
        <f t="shared" si="70"/>
        <v>402890.86580332601</v>
      </c>
      <c r="AA54" s="46">
        <f t="shared" si="71"/>
        <v>14240.460414227909</v>
      </c>
      <c r="AB54" s="46">
        <f t="shared" si="70"/>
        <v>181864.65922042404</v>
      </c>
      <c r="AC54" s="46">
        <f t="shared" si="71"/>
        <v>46985.456006540247</v>
      </c>
      <c r="AD54" s="46">
        <f t="shared" si="71"/>
        <v>200468.53209698584</v>
      </c>
      <c r="AE54" s="46">
        <f t="shared" si="71"/>
        <v>689712.89945634652</v>
      </c>
      <c r="AG54" s="316">
        <v>2028</v>
      </c>
      <c r="AH54" s="48">
        <f t="shared" si="72"/>
        <v>1.1549860346267491</v>
      </c>
      <c r="AI54" s="48">
        <f t="shared" si="51"/>
        <v>1.15886558242066</v>
      </c>
      <c r="AJ54" s="48">
        <f t="shared" si="51"/>
        <v>1.1404762522526084</v>
      </c>
      <c r="AK54" s="48">
        <f t="shared" si="51"/>
        <v>1.1592289074017057</v>
      </c>
      <c r="AL54" s="48">
        <f t="shared" si="51"/>
        <v>1.1330538573927622</v>
      </c>
      <c r="AM54" s="48">
        <f t="shared" si="51"/>
        <v>1.1718300300031268</v>
      </c>
      <c r="AO54" s="316">
        <v>2028</v>
      </c>
      <c r="AP54" s="302">
        <f t="shared" si="96"/>
        <v>2E-3</v>
      </c>
      <c r="AQ54" s="62">
        <v>2E-3</v>
      </c>
      <c r="AR54" s="44"/>
      <c r="AS54" s="316">
        <v>2028</v>
      </c>
      <c r="AT54" s="345">
        <f t="shared" si="73"/>
        <v>2E-3</v>
      </c>
      <c r="AU54" s="345">
        <f t="shared" si="74"/>
        <v>2E-3</v>
      </c>
      <c r="AV54" s="345">
        <f t="shared" si="74"/>
        <v>2E-3</v>
      </c>
      <c r="AW54" s="345">
        <f t="shared" si="74"/>
        <v>2E-3</v>
      </c>
      <c r="AX54" s="345">
        <f t="shared" si="74"/>
        <v>2E-3</v>
      </c>
      <c r="AY54" s="345">
        <f t="shared" si="74"/>
        <v>2E-3</v>
      </c>
      <c r="BQ54" s="316">
        <v>2028</v>
      </c>
      <c r="BR54" s="346">
        <f t="shared" si="75"/>
        <v>33036.239588794102</v>
      </c>
      <c r="BS54" s="346">
        <f t="shared" si="75"/>
        <v>715.26396979088065</v>
      </c>
      <c r="BT54" s="346">
        <f t="shared" si="75"/>
        <v>20923.556740852229</v>
      </c>
      <c r="BU54" s="346">
        <f t="shared" si="75"/>
        <v>4457.092604831998</v>
      </c>
      <c r="BV54" s="346">
        <f t="shared" si="76"/>
        <v>6410.7447435383601</v>
      </c>
      <c r="BW54" s="346">
        <f t="shared" si="77"/>
        <v>18086.439460950576</v>
      </c>
      <c r="BY54" s="316">
        <v>2028</v>
      </c>
      <c r="BZ54" s="46">
        <f t="shared" si="78"/>
        <v>28545.498932499206</v>
      </c>
      <c r="CA54" s="300">
        <f t="shared" si="79"/>
        <v>616.91919647109808</v>
      </c>
      <c r="CB54" s="46">
        <f t="shared" si="78"/>
        <v>18372.517454808491</v>
      </c>
      <c r="CC54" s="300">
        <f t="shared" si="80"/>
        <v>3790.9854878734182</v>
      </c>
      <c r="CD54" s="46">
        <f t="shared" si="81"/>
        <v>5707.265639051021</v>
      </c>
      <c r="CE54" s="300">
        <f t="shared" si="82"/>
        <v>15455.425733381917</v>
      </c>
      <c r="CG54" s="316">
        <v>2028</v>
      </c>
      <c r="CH54" s="48">
        <f t="shared" si="83"/>
        <v>1.1573186955643702</v>
      </c>
      <c r="CI54" s="48">
        <f t="shared" si="53"/>
        <v>1.1594127300339079</v>
      </c>
      <c r="CJ54" s="48">
        <f t="shared" si="53"/>
        <v>1.1388508293606805</v>
      </c>
      <c r="CK54" s="48">
        <f t="shared" si="53"/>
        <v>1.1757081685195891</v>
      </c>
      <c r="CL54" s="48">
        <f t="shared" si="53"/>
        <v>1.1232602701500172</v>
      </c>
      <c r="CM54" s="48">
        <f t="shared" si="53"/>
        <v>1.1702323684223059</v>
      </c>
      <c r="CO54" s="316">
        <v>2028</v>
      </c>
      <c r="CP54" s="302">
        <f t="shared" si="97"/>
        <v>2E-3</v>
      </c>
      <c r="CQ54" s="62">
        <v>2E-3</v>
      </c>
      <c r="CR54" s="45"/>
      <c r="CS54" s="316">
        <v>2028</v>
      </c>
      <c r="CT54" s="345">
        <f t="shared" si="84"/>
        <v>2E-3</v>
      </c>
      <c r="CU54" s="345">
        <f t="shared" si="85"/>
        <v>2E-3</v>
      </c>
      <c r="CV54" s="345">
        <f t="shared" si="85"/>
        <v>2E-3</v>
      </c>
      <c r="CW54" s="345">
        <f t="shared" si="85"/>
        <v>2E-3</v>
      </c>
      <c r="CX54" s="345">
        <f t="shared" si="85"/>
        <v>2E-3</v>
      </c>
      <c r="CY54" s="345">
        <f t="shared" si="85"/>
        <v>2E-3</v>
      </c>
      <c r="DA54" s="316">
        <v>2028</v>
      </c>
      <c r="DI54" s="316">
        <v>2028</v>
      </c>
      <c r="DJ54" s="342">
        <f t="shared" si="98"/>
        <v>5.475613402610726E-2</v>
      </c>
      <c r="DK54" s="342">
        <f t="shared" si="86"/>
        <v>5.2886778090110012E-2</v>
      </c>
      <c r="DL54" s="342">
        <f t="shared" si="86"/>
        <v>7.9332382181603933E-2</v>
      </c>
      <c r="DM54" s="342">
        <f t="shared" si="86"/>
        <v>7.8397457889894467E-2</v>
      </c>
      <c r="DN54" s="342">
        <f t="shared" si="86"/>
        <v>3.0212897124007876E-2</v>
      </c>
      <c r="DO54" s="342">
        <f t="shared" si="86"/>
        <v>1.9684330097015108E-2</v>
      </c>
      <c r="DQ54" s="316">
        <v>2028</v>
      </c>
      <c r="DR54" s="46">
        <f t="shared" si="87"/>
        <v>613750</v>
      </c>
      <c r="DS54" s="61">
        <v>615.4</v>
      </c>
      <c r="DT54" s="46">
        <f t="shared" si="87"/>
        <v>598883.15799887688</v>
      </c>
      <c r="DU54" s="61">
        <v>600.22161054965648</v>
      </c>
      <c r="DW54" s="46">
        <f t="shared" si="88"/>
        <v>612998.29661865381</v>
      </c>
      <c r="DX54" s="61">
        <v>614.64627574601968</v>
      </c>
      <c r="DY54" s="46">
        <f t="shared" si="89"/>
        <v>598149.66309883771</v>
      </c>
      <c r="DZ54" s="61">
        <v>599.48647635135558</v>
      </c>
      <c r="EB54" s="316">
        <v>2028</v>
      </c>
      <c r="EC54" s="88">
        <f t="shared" si="56"/>
        <v>5.3826866947118697E-2</v>
      </c>
      <c r="ED54" s="88">
        <f t="shared" si="56"/>
        <v>1.1653995434474634E-3</v>
      </c>
      <c r="EE54" s="88">
        <f t="shared" si="56"/>
        <v>3.4091334811979193E-2</v>
      </c>
      <c r="EF54" s="88">
        <f t="shared" si="56"/>
        <v>7.2620653439217893E-3</v>
      </c>
      <c r="EG54" s="302">
        <f t="shared" si="90"/>
        <v>1.0445205284787552E-2</v>
      </c>
      <c r="EH54" s="88">
        <f t="shared" si="57"/>
        <v>2.9468740465907254E-2</v>
      </c>
      <c r="EJ54" s="316">
        <v>2028</v>
      </c>
      <c r="EK54" s="302">
        <f t="shared" si="91"/>
        <v>0.75911030429992377</v>
      </c>
      <c r="EL54" s="88">
        <f t="shared" si="58"/>
        <v>2.6921411597557759E-2</v>
      </c>
      <c r="EM54" s="302">
        <f t="shared" si="92"/>
        <v>0.33835709839490496</v>
      </c>
      <c r="EN54" s="88">
        <f t="shared" si="59"/>
        <v>8.8853262938373895E-2</v>
      </c>
      <c r="EO54" s="88">
        <f t="shared" si="59"/>
        <v>0.37054204690500037</v>
      </c>
      <c r="EP54" s="88">
        <f t="shared" si="59"/>
        <v>1.3184804788556723</v>
      </c>
      <c r="ER54" s="316">
        <v>2028</v>
      </c>
      <c r="ES54" s="317">
        <f t="shared" si="60"/>
        <v>120555.14199999999</v>
      </c>
      <c r="ET54" s="61">
        <v>13502.431</v>
      </c>
      <c r="EU54" s="61">
        <v>70147.364000000001</v>
      </c>
      <c r="EV54" s="61">
        <v>36905.347000000002</v>
      </c>
      <c r="EW54" s="88">
        <f t="shared" si="49"/>
        <v>0.11200211601094544</v>
      </c>
      <c r="EX54" s="88">
        <f t="shared" si="49"/>
        <v>0.58186953153769261</v>
      </c>
      <c r="EY54" s="88">
        <f t="shared" si="49"/>
        <v>0.30612835245136211</v>
      </c>
      <c r="EZ54" s="88">
        <f t="shared" si="50"/>
        <v>-8.6260396158038821E-4</v>
      </c>
      <c r="FA54" s="88">
        <f t="shared" si="50"/>
        <v>-1.4009160375911822E-3</v>
      </c>
      <c r="FB54" s="88">
        <f t="shared" si="50"/>
        <v>2.263519999171737E-3</v>
      </c>
      <c r="FD54" s="316">
        <v>2028</v>
      </c>
      <c r="FE54" s="308">
        <f t="shared" si="93"/>
        <v>8.9999999999999993E-3</v>
      </c>
      <c r="FF54" s="159">
        <v>0.01</v>
      </c>
      <c r="FG54" s="308">
        <f t="shared" si="93"/>
        <v>2E-3</v>
      </c>
      <c r="FH54" s="159">
        <v>2E-3</v>
      </c>
      <c r="FI54" s="319">
        <f t="shared" si="42"/>
        <v>6.9999999999999993E-3</v>
      </c>
      <c r="FK54" s="345">
        <f t="shared" si="61"/>
        <v>5.8221892321294044E-3</v>
      </c>
      <c r="FL54" s="345">
        <f t="shared" si="94"/>
        <v>-6.3381415898277615E-3</v>
      </c>
      <c r="FM54" s="345">
        <f t="shared" si="45"/>
        <v>-1.9720706657261403E-3</v>
      </c>
      <c r="FN54" s="38"/>
      <c r="FO54" s="316">
        <v>2028</v>
      </c>
      <c r="FP54" s="46">
        <f t="shared" si="62"/>
        <v>263324.03353969939</v>
      </c>
      <c r="FQ54" s="46">
        <f t="shared" si="63"/>
        <v>7606.3272900184456</v>
      </c>
      <c r="FR54" s="46">
        <f t="shared" si="95"/>
        <v>173217.39874812329</v>
      </c>
      <c r="FS54" s="46">
        <f t="shared" si="64"/>
        <v>48418.764110286611</v>
      </c>
      <c r="FT54" s="46">
        <f t="shared" si="65"/>
        <v>46089.849454198382</v>
      </c>
      <c r="FU54" s="46">
        <f t="shared" si="66"/>
        <v>154625.82531742484</v>
      </c>
      <c r="FV54" s="46">
        <f t="shared" si="38"/>
        <v>693282.19845975097</v>
      </c>
    </row>
    <row r="55" spans="17:178">
      <c r="Q55" s="316">
        <v>2029</v>
      </c>
      <c r="R55" s="46">
        <f t="shared" si="67"/>
        <v>474354.01593019784</v>
      </c>
      <c r="S55" s="46">
        <f t="shared" si="68"/>
        <v>16372.621608560137</v>
      </c>
      <c r="T55" s="46">
        <f t="shared" si="69"/>
        <v>213549.89910736412</v>
      </c>
      <c r="U55" s="46">
        <f t="shared" si="68"/>
        <v>54695.885196132927</v>
      </c>
      <c r="V55" s="46">
        <f t="shared" si="68"/>
        <v>227444.00084650624</v>
      </c>
      <c r="W55" s="46">
        <f t="shared" si="68"/>
        <v>812077.39730355435</v>
      </c>
      <c r="Y55" s="316">
        <v>2029</v>
      </c>
      <c r="Z55" s="46">
        <f t="shared" si="70"/>
        <v>409881.3209288129</v>
      </c>
      <c r="AA55" s="46">
        <f t="shared" si="71"/>
        <v>14099.945647689998</v>
      </c>
      <c r="AB55" s="46">
        <f t="shared" si="70"/>
        <v>186872.50294147379</v>
      </c>
      <c r="AC55" s="46">
        <f t="shared" si="71"/>
        <v>47088.811729978632</v>
      </c>
      <c r="AD55" s="46">
        <f t="shared" si="71"/>
        <v>200334.71429788577</v>
      </c>
      <c r="AE55" s="46">
        <f t="shared" si="71"/>
        <v>691616.07364911283</v>
      </c>
      <c r="AG55" s="316">
        <v>2029</v>
      </c>
      <c r="AH55" s="48">
        <f t="shared" si="72"/>
        <v>1.1572960066960025</v>
      </c>
      <c r="AI55" s="48">
        <f t="shared" si="51"/>
        <v>1.1611833135855012</v>
      </c>
      <c r="AJ55" s="48">
        <f t="shared" si="51"/>
        <v>1.1427572047571137</v>
      </c>
      <c r="AK55" s="48">
        <f t="shared" si="51"/>
        <v>1.1615473652165091</v>
      </c>
      <c r="AL55" s="48">
        <f t="shared" si="51"/>
        <v>1.1353199651075478</v>
      </c>
      <c r="AM55" s="48">
        <f t="shared" si="51"/>
        <v>1.174173690063133</v>
      </c>
      <c r="AO55" s="316">
        <v>2029</v>
      </c>
      <c r="AP55" s="302">
        <f t="shared" si="96"/>
        <v>2E-3</v>
      </c>
      <c r="AQ55" s="62">
        <v>2E-3</v>
      </c>
      <c r="AR55" s="44"/>
      <c r="AS55" s="316">
        <v>2029</v>
      </c>
      <c r="AT55" s="345">
        <f t="shared" si="73"/>
        <v>2E-3</v>
      </c>
      <c r="AU55" s="345">
        <f t="shared" si="74"/>
        <v>2E-3</v>
      </c>
      <c r="AV55" s="345">
        <f t="shared" si="74"/>
        <v>2E-3</v>
      </c>
      <c r="AW55" s="345">
        <f t="shared" si="74"/>
        <v>2E-3</v>
      </c>
      <c r="AX55" s="345">
        <f t="shared" si="74"/>
        <v>2E-3</v>
      </c>
      <c r="AY55" s="345">
        <f t="shared" si="74"/>
        <v>2E-3</v>
      </c>
      <c r="BQ55" s="316">
        <v>2029</v>
      </c>
      <c r="BR55" s="346">
        <f t="shared" si="75"/>
        <v>33688.74147257147</v>
      </c>
      <c r="BS55" s="346">
        <f t="shared" si="75"/>
        <v>711.69685267402917</v>
      </c>
      <c r="BT55" s="346">
        <f t="shared" si="75"/>
        <v>22178.518101582915</v>
      </c>
      <c r="BU55" s="346">
        <f t="shared" si="75"/>
        <v>4461.1891675282141</v>
      </c>
      <c r="BV55" s="346">
        <f t="shared" si="76"/>
        <v>6666.2836843317</v>
      </c>
      <c r="BW55" s="346">
        <f t="shared" si="77"/>
        <v>18151.088088735018</v>
      </c>
      <c r="BY55" s="316">
        <v>2029</v>
      </c>
      <c r="BZ55" s="46">
        <f t="shared" si="78"/>
        <v>29051.201371308183</v>
      </c>
      <c r="CA55" s="300">
        <f t="shared" si="79"/>
        <v>612.61730329035527</v>
      </c>
      <c r="CB55" s="46">
        <f t="shared" si="78"/>
        <v>19435.600371651584</v>
      </c>
      <c r="CC55" s="300">
        <f t="shared" si="80"/>
        <v>3786.8960321486175</v>
      </c>
      <c r="CD55" s="46">
        <f t="shared" si="81"/>
        <v>5922.9173377470324</v>
      </c>
      <c r="CE55" s="300">
        <f t="shared" si="82"/>
        <v>15479.710577834456</v>
      </c>
      <c r="CG55" s="316">
        <v>2029</v>
      </c>
      <c r="CH55" s="48">
        <f t="shared" si="83"/>
        <v>1.1596333329554989</v>
      </c>
      <c r="CI55" s="48">
        <f t="shared" si="53"/>
        <v>1.1617315554939758</v>
      </c>
      <c r="CJ55" s="48">
        <f t="shared" si="53"/>
        <v>1.1411285310194019</v>
      </c>
      <c r="CK55" s="48">
        <f t="shared" si="53"/>
        <v>1.1780595848566284</v>
      </c>
      <c r="CL55" s="48">
        <f t="shared" si="53"/>
        <v>1.1255067906903171</v>
      </c>
      <c r="CM55" s="48">
        <f t="shared" si="53"/>
        <v>1.1725728331591505</v>
      </c>
      <c r="CO55" s="316">
        <v>2029</v>
      </c>
      <c r="CP55" s="302">
        <f t="shared" si="97"/>
        <v>2E-3</v>
      </c>
      <c r="CQ55" s="62">
        <v>2E-3</v>
      </c>
      <c r="CR55" s="45"/>
      <c r="CS55" s="316">
        <v>2029</v>
      </c>
      <c r="CT55" s="345">
        <f t="shared" si="84"/>
        <v>2E-3</v>
      </c>
      <c r="CU55" s="345">
        <f t="shared" si="85"/>
        <v>2E-3</v>
      </c>
      <c r="CV55" s="345">
        <f t="shared" si="85"/>
        <v>2E-3</v>
      </c>
      <c r="CW55" s="345">
        <f t="shared" si="85"/>
        <v>2E-3</v>
      </c>
      <c r="CX55" s="345">
        <f t="shared" si="85"/>
        <v>2E-3</v>
      </c>
      <c r="CY55" s="345">
        <f t="shared" si="85"/>
        <v>2E-3</v>
      </c>
      <c r="DA55" s="316">
        <v>2029</v>
      </c>
      <c r="DI55" s="316">
        <v>2029</v>
      </c>
      <c r="DJ55" s="342">
        <f t="shared" si="98"/>
        <v>5.475613402610726E-2</v>
      </c>
      <c r="DK55" s="342">
        <f t="shared" si="86"/>
        <v>5.2886778090110012E-2</v>
      </c>
      <c r="DL55" s="342">
        <f t="shared" si="86"/>
        <v>7.9332382181603933E-2</v>
      </c>
      <c r="DM55" s="342">
        <f t="shared" si="86"/>
        <v>7.8397457889894467E-2</v>
      </c>
      <c r="DN55" s="342">
        <f t="shared" si="86"/>
        <v>3.0212897124007876E-2</v>
      </c>
      <c r="DO55" s="342">
        <f t="shared" si="86"/>
        <v>1.9684330097015108E-2</v>
      </c>
      <c r="DQ55" s="316">
        <v>2029</v>
      </c>
      <c r="DR55" s="46">
        <f t="shared" si="87"/>
        <v>620350</v>
      </c>
      <c r="DS55" s="61">
        <v>622</v>
      </c>
      <c r="DT55" s="46">
        <f t="shared" si="87"/>
        <v>603822.9402129543</v>
      </c>
      <c r="DU55" s="61">
        <v>605.0233834340537</v>
      </c>
      <c r="DW55" s="46">
        <f t="shared" si="88"/>
        <v>619590.21312811726</v>
      </c>
      <c r="DX55" s="61">
        <v>621.23819225548323</v>
      </c>
      <c r="DY55" s="46">
        <f t="shared" si="89"/>
        <v>603083.39520946378</v>
      </c>
      <c r="DZ55" s="61">
        <v>604.28236816216645</v>
      </c>
      <c r="EB55" s="316">
        <v>2029</v>
      </c>
      <c r="EC55" s="88">
        <f t="shared" si="56"/>
        <v>5.4306023168487899E-2</v>
      </c>
      <c r="ED55" s="88">
        <f t="shared" si="56"/>
        <v>1.1472505080584012E-3</v>
      </c>
      <c r="EE55" s="88">
        <f t="shared" si="56"/>
        <v>3.575162102294336E-2</v>
      </c>
      <c r="EF55" s="88">
        <f t="shared" si="56"/>
        <v>7.1914067341471979E-3</v>
      </c>
      <c r="EG55" s="302">
        <f t="shared" si="90"/>
        <v>1.0746004165925204E-2</v>
      </c>
      <c r="EH55" s="88">
        <f t="shared" si="57"/>
        <v>2.925943110943019E-2</v>
      </c>
      <c r="EJ55" s="316">
        <v>2029</v>
      </c>
      <c r="EK55" s="302">
        <f t="shared" si="91"/>
        <v>0.76559313862517731</v>
      </c>
      <c r="EL55" s="88">
        <f t="shared" si="58"/>
        <v>2.6424919667307024E-2</v>
      </c>
      <c r="EM55" s="302">
        <f t="shared" si="92"/>
        <v>0.34466312505037394</v>
      </c>
      <c r="EN55" s="88">
        <f t="shared" si="59"/>
        <v>8.827751639263394E-2</v>
      </c>
      <c r="EO55" s="88">
        <f t="shared" si="59"/>
        <v>0.36708778806917008</v>
      </c>
      <c r="EP55" s="88">
        <f t="shared" si="59"/>
        <v>1.3106685355852048</v>
      </c>
      <c r="ER55" s="316">
        <v>2029</v>
      </c>
      <c r="ES55" s="317">
        <f t="shared" si="60"/>
        <v>119850.16800000001</v>
      </c>
      <c r="ET55" s="61">
        <v>13353.079</v>
      </c>
      <c r="EU55" s="61">
        <v>69507.292000000001</v>
      </c>
      <c r="EV55" s="61">
        <v>36989.796999999999</v>
      </c>
      <c r="EW55" s="88">
        <f t="shared" si="49"/>
        <v>0.1114147708161744</v>
      </c>
      <c r="EX55" s="88">
        <f t="shared" si="49"/>
        <v>0.57995156085221344</v>
      </c>
      <c r="EY55" s="88">
        <f t="shared" si="49"/>
        <v>0.30863366833161215</v>
      </c>
      <c r="EZ55" s="88">
        <f t="shared" si="50"/>
        <v>-5.8734519477103564E-4</v>
      </c>
      <c r="FA55" s="88">
        <f t="shared" si="50"/>
        <v>-1.9179706854791645E-3</v>
      </c>
      <c r="FB55" s="88">
        <f t="shared" si="50"/>
        <v>2.5053158802500475E-3</v>
      </c>
      <c r="FD55" s="316">
        <v>2029</v>
      </c>
      <c r="FE55" s="308">
        <f t="shared" si="93"/>
        <v>1.2250000000000002E-2</v>
      </c>
      <c r="FF55" s="159">
        <v>1.3000000000000001E-2</v>
      </c>
      <c r="FG55" s="308">
        <f t="shared" si="93"/>
        <v>2E-3</v>
      </c>
      <c r="FH55" s="159">
        <v>2E-3</v>
      </c>
      <c r="FI55" s="319">
        <f t="shared" si="42"/>
        <v>1.0250000000000002E-2</v>
      </c>
      <c r="FK55" s="345">
        <f t="shared" si="61"/>
        <v>2.4555656717026864E-3</v>
      </c>
      <c r="FL55" s="345">
        <f t="shared" si="94"/>
        <v>-6.3859604314386864E-3</v>
      </c>
      <c r="FM55" s="345">
        <f t="shared" si="45"/>
        <v>-1.7465824738460978E-3</v>
      </c>
      <c r="FN55" s="38"/>
      <c r="FO55" s="316">
        <v>2029</v>
      </c>
      <c r="FP55" s="46">
        <f t="shared" si="62"/>
        <v>267988.99337357486</v>
      </c>
      <c r="FQ55" s="46">
        <f t="shared" si="63"/>
        <v>7553.2869442379888</v>
      </c>
      <c r="FR55" s="46">
        <f t="shared" si="95"/>
        <v>183240.21995169949</v>
      </c>
      <c r="FS55" s="46">
        <f t="shared" si="64"/>
        <v>48366.533260890865</v>
      </c>
      <c r="FT55" s="46">
        <f t="shared" si="65"/>
        <v>47831.375949729438</v>
      </c>
      <c r="FU55" s="46">
        <f t="shared" si="66"/>
        <v>154868.7862154911</v>
      </c>
      <c r="FV55" s="46">
        <f t="shared" si="38"/>
        <v>709849.19569562376</v>
      </c>
    </row>
    <row r="56" spans="17:178">
      <c r="Q56" s="316">
        <v>2030</v>
      </c>
      <c r="R56" s="46">
        <f t="shared" si="67"/>
        <v>482134.35211920011</v>
      </c>
      <c r="S56" s="46">
        <f t="shared" si="68"/>
        <v>16250.106319475803</v>
      </c>
      <c r="T56" s="46">
        <f t="shared" si="69"/>
        <v>218433.3382692202</v>
      </c>
      <c r="U56" s="46">
        <f t="shared" si="68"/>
        <v>54918.651687715093</v>
      </c>
      <c r="V56" s="46">
        <f t="shared" si="68"/>
        <v>227855.5234438901</v>
      </c>
      <c r="W56" s="46">
        <f t="shared" si="68"/>
        <v>815909.11138664454</v>
      </c>
      <c r="Y56" s="316">
        <v>2030</v>
      </c>
      <c r="Z56" s="46">
        <f t="shared" si="70"/>
        <v>415772.63320618018</v>
      </c>
      <c r="AA56" s="46">
        <f t="shared" si="71"/>
        <v>13966.503641396504</v>
      </c>
      <c r="AB56" s="46">
        <f t="shared" si="70"/>
        <v>190764.35718328299</v>
      </c>
      <c r="AC56" s="46">
        <f t="shared" si="71"/>
        <v>47186.22353403375</v>
      </c>
      <c r="AD56" s="46">
        <f t="shared" si="71"/>
        <v>200296.59390192162</v>
      </c>
      <c r="AE56" s="46">
        <f t="shared" si="71"/>
        <v>693492.41698840156</v>
      </c>
      <c r="AG56" s="316">
        <v>2030</v>
      </c>
      <c r="AH56" s="48">
        <f t="shared" si="72"/>
        <v>1.1596105987093945</v>
      </c>
      <c r="AI56" s="48">
        <f t="shared" si="51"/>
        <v>1.1635056802126722</v>
      </c>
      <c r="AJ56" s="48">
        <f t="shared" si="51"/>
        <v>1.1450427191666279</v>
      </c>
      <c r="AK56" s="48">
        <f t="shared" si="51"/>
        <v>1.1638704599469423</v>
      </c>
      <c r="AL56" s="48">
        <f t="shared" si="51"/>
        <v>1.1375906050377629</v>
      </c>
      <c r="AM56" s="48">
        <f t="shared" si="51"/>
        <v>1.1765220374432592</v>
      </c>
      <c r="AO56" s="316">
        <v>2030</v>
      </c>
      <c r="AP56" s="302">
        <f t="shared" si="96"/>
        <v>2E-3</v>
      </c>
      <c r="AQ56" s="62">
        <v>2E-3</v>
      </c>
      <c r="AR56" s="44"/>
      <c r="AS56" s="316">
        <v>2030</v>
      </c>
      <c r="AT56" s="345">
        <f t="shared" si="73"/>
        <v>2E-3</v>
      </c>
      <c r="AU56" s="345">
        <f t="shared" si="74"/>
        <v>2E-3</v>
      </c>
      <c r="AV56" s="345">
        <f t="shared" si="74"/>
        <v>2E-3</v>
      </c>
      <c r="AW56" s="345">
        <f t="shared" si="74"/>
        <v>2E-3</v>
      </c>
      <c r="AX56" s="345">
        <f t="shared" si="74"/>
        <v>2E-3</v>
      </c>
      <c r="AY56" s="345">
        <f t="shared" si="74"/>
        <v>2E-3</v>
      </c>
      <c r="BQ56" s="316">
        <v>2030</v>
      </c>
      <c r="BR56" s="346">
        <f t="shared" si="75"/>
        <v>32923.728008322658</v>
      </c>
      <c r="BS56" s="346">
        <f t="shared" si="75"/>
        <v>712.70280107990993</v>
      </c>
      <c r="BT56" s="346">
        <f t="shared" si="75"/>
        <v>21401.099736017626</v>
      </c>
      <c r="BU56" s="346">
        <f t="shared" si="75"/>
        <v>4472.659953108785</v>
      </c>
      <c r="BV56" s="346">
        <f t="shared" si="76"/>
        <v>6782.9801937459488</v>
      </c>
      <c r="BW56" s="346">
        <f t="shared" si="77"/>
        <v>18199.881823164087</v>
      </c>
      <c r="BY56" s="316">
        <v>2030</v>
      </c>
      <c r="BZ56" s="46">
        <f t="shared" si="78"/>
        <v>28334.82882094325</v>
      </c>
      <c r="CA56" s="300">
        <f t="shared" si="79"/>
        <v>612.25869025850091</v>
      </c>
      <c r="CB56" s="46">
        <f t="shared" si="78"/>
        <v>18716.895064395096</v>
      </c>
      <c r="CC56" s="300">
        <f t="shared" si="80"/>
        <v>3789.0549387412889</v>
      </c>
      <c r="CD56" s="46">
        <f t="shared" si="81"/>
        <v>6014.5717174853644</v>
      </c>
      <c r="CE56" s="300">
        <f t="shared" si="82"/>
        <v>15490.342433399457</v>
      </c>
      <c r="CG56" s="316">
        <v>2030</v>
      </c>
      <c r="CH56" s="48">
        <f t="shared" si="83"/>
        <v>1.16195259962141</v>
      </c>
      <c r="CI56" s="48">
        <f t="shared" si="53"/>
        <v>1.1640550186049636</v>
      </c>
      <c r="CJ56" s="48">
        <f t="shared" si="53"/>
        <v>1.1434107880814408</v>
      </c>
      <c r="CK56" s="48">
        <f t="shared" si="53"/>
        <v>1.1804157040263417</v>
      </c>
      <c r="CL56" s="48">
        <f t="shared" si="53"/>
        <v>1.1277578042716978</v>
      </c>
      <c r="CM56" s="48">
        <f t="shared" si="53"/>
        <v>1.1749179788254689</v>
      </c>
      <c r="CO56" s="316">
        <v>2030</v>
      </c>
      <c r="CP56" s="302">
        <f t="shared" si="97"/>
        <v>2E-3</v>
      </c>
      <c r="CQ56" s="62">
        <v>2E-3</v>
      </c>
      <c r="CR56" s="45"/>
      <c r="CS56" s="316">
        <v>2030</v>
      </c>
      <c r="CT56" s="345">
        <f t="shared" si="84"/>
        <v>2E-3</v>
      </c>
      <c r="CU56" s="345">
        <f t="shared" si="85"/>
        <v>2E-3</v>
      </c>
      <c r="CV56" s="345">
        <f t="shared" si="85"/>
        <v>2E-3</v>
      </c>
      <c r="CW56" s="345">
        <f t="shared" si="85"/>
        <v>2E-3</v>
      </c>
      <c r="CX56" s="345">
        <f t="shared" si="85"/>
        <v>2E-3</v>
      </c>
      <c r="CY56" s="345">
        <f t="shared" si="85"/>
        <v>2E-3</v>
      </c>
      <c r="DA56" s="316">
        <v>2030</v>
      </c>
      <c r="DI56" s="316">
        <v>2030</v>
      </c>
      <c r="DJ56" s="342">
        <f t="shared" si="98"/>
        <v>5.475613402610726E-2</v>
      </c>
      <c r="DK56" s="342">
        <f t="shared" si="86"/>
        <v>5.2886778090110012E-2</v>
      </c>
      <c r="DL56" s="342">
        <f t="shared" si="86"/>
        <v>7.9332382181603933E-2</v>
      </c>
      <c r="DM56" s="342">
        <f t="shared" si="86"/>
        <v>7.8397457889894467E-2</v>
      </c>
      <c r="DN56" s="342">
        <f t="shared" si="86"/>
        <v>3.0212897124007876E-2</v>
      </c>
      <c r="DO56" s="342">
        <f t="shared" si="86"/>
        <v>1.9684330097015108E-2</v>
      </c>
      <c r="DQ56" s="316">
        <v>2030</v>
      </c>
      <c r="DR56" s="46">
        <f t="shared" si="87"/>
        <v>626724.99999999988</v>
      </c>
      <c r="DS56" s="61">
        <v>628.29999999999995</v>
      </c>
      <c r="DT56" s="46">
        <f t="shared" si="87"/>
        <v>608653.52373465803</v>
      </c>
      <c r="DU56" s="61">
        <v>609.86357050152617</v>
      </c>
      <c r="DW56" s="46">
        <f t="shared" si="88"/>
        <v>625957.40521112166</v>
      </c>
      <c r="DX56" s="61">
        <v>627.53047619633446</v>
      </c>
      <c r="DY56" s="46">
        <f t="shared" si="89"/>
        <v>607908.06237113953</v>
      </c>
      <c r="DZ56" s="61">
        <v>609.11662710746384</v>
      </c>
      <c r="EB56" s="316">
        <v>2030</v>
      </c>
      <c r="EC56" s="88">
        <f t="shared" si="56"/>
        <v>5.2532973805612768E-2</v>
      </c>
      <c r="ED56" s="88">
        <f t="shared" si="56"/>
        <v>1.137185848785209E-3</v>
      </c>
      <c r="EE56" s="88">
        <f t="shared" si="56"/>
        <v>3.414751244328474E-2</v>
      </c>
      <c r="EF56" s="88">
        <f t="shared" si="56"/>
        <v>7.1365590220731356E-3</v>
      </c>
      <c r="EG56" s="302">
        <f t="shared" si="90"/>
        <v>1.0822897113958993E-2</v>
      </c>
      <c r="EH56" s="88">
        <f t="shared" si="57"/>
        <v>2.9039661451456526E-2</v>
      </c>
      <c r="EJ56" s="316">
        <v>2030</v>
      </c>
      <c r="EK56" s="302">
        <f t="shared" si="91"/>
        <v>0.77023508006361363</v>
      </c>
      <c r="EL56" s="88">
        <f t="shared" si="58"/>
        <v>2.5960402711419316E-2</v>
      </c>
      <c r="EM56" s="302">
        <f t="shared" si="92"/>
        <v>0.34895878928942048</v>
      </c>
      <c r="EN56" s="88">
        <f t="shared" si="59"/>
        <v>8.7735445304289103E-2</v>
      </c>
      <c r="EO56" s="88">
        <f t="shared" si="59"/>
        <v>0.36401122751641452</v>
      </c>
      <c r="EP56" s="88">
        <f t="shared" si="59"/>
        <v>1.3034578784341666</v>
      </c>
      <c r="ER56" s="316">
        <v>2030</v>
      </c>
      <c r="ES56" s="317">
        <f t="shared" si="60"/>
        <v>119125.13699999999</v>
      </c>
      <c r="ET56" s="61">
        <v>13211.913</v>
      </c>
      <c r="EU56" s="61">
        <v>68753.638999999996</v>
      </c>
      <c r="EV56" s="61">
        <v>37159.584999999999</v>
      </c>
      <c r="EW56" s="88">
        <f t="shared" si="49"/>
        <v>0.11090785146379309</v>
      </c>
      <c r="EX56" s="88">
        <f t="shared" si="49"/>
        <v>0.57715475282097684</v>
      </c>
      <c r="EY56" s="88">
        <f t="shared" si="49"/>
        <v>0.31193739571523016</v>
      </c>
      <c r="EZ56" s="88">
        <f t="shared" si="50"/>
        <v>-5.0691935238131314E-4</v>
      </c>
      <c r="FA56" s="88">
        <f t="shared" si="50"/>
        <v>-2.7968080312366084E-3</v>
      </c>
      <c r="FB56" s="88">
        <f t="shared" si="50"/>
        <v>3.3037273836180048E-3</v>
      </c>
      <c r="FD56" s="316">
        <v>2030</v>
      </c>
      <c r="FE56" s="308">
        <f t="shared" si="93"/>
        <v>1.3749999999999998E-2</v>
      </c>
      <c r="FF56" s="159">
        <v>1.3999999999999999E-2</v>
      </c>
      <c r="FG56" s="308">
        <f t="shared" si="93"/>
        <v>2E-3</v>
      </c>
      <c r="FH56" s="159">
        <v>2E-3</v>
      </c>
      <c r="FI56" s="319">
        <f t="shared" si="42"/>
        <v>1.1749999999999998E-2</v>
      </c>
      <c r="FK56" s="345">
        <f t="shared" si="61"/>
        <v>3.4395093606360838E-3</v>
      </c>
      <c r="FL56" s="345">
        <f t="shared" si="94"/>
        <v>-4.7994400345529598E-3</v>
      </c>
      <c r="FM56" s="345">
        <f t="shared" si="45"/>
        <v>-1.7636499966881929E-3</v>
      </c>
      <c r="FN56" s="38"/>
      <c r="FO56" s="316">
        <v>2030</v>
      </c>
      <c r="FP56" s="46">
        <f t="shared" si="62"/>
        <v>261380.66223438951</v>
      </c>
      <c r="FQ56" s="46">
        <f t="shared" si="63"/>
        <v>7548.865412040007</v>
      </c>
      <c r="FR56" s="46">
        <f t="shared" si="95"/>
        <v>176464.21529715729</v>
      </c>
      <c r="FS56" s="46">
        <f t="shared" si="64"/>
        <v>48394.106985290782</v>
      </c>
      <c r="FT56" s="46">
        <f t="shared" si="65"/>
        <v>48571.544154807067</v>
      </c>
      <c r="FU56" s="46">
        <f t="shared" si="66"/>
        <v>154975.15400307285</v>
      </c>
      <c r="FV56" s="46">
        <f t="shared" si="38"/>
        <v>697334.54808675754</v>
      </c>
    </row>
    <row r="57" spans="17:178">
      <c r="Q57" s="316">
        <v>2031</v>
      </c>
      <c r="R57" s="46">
        <f t="shared" si="67"/>
        <v>486514.97687548696</v>
      </c>
      <c r="S57" s="46">
        <f t="shared" si="68"/>
        <v>16136.49273657025</v>
      </c>
      <c r="T57" s="46">
        <f t="shared" si="69"/>
        <v>221063.00027169287</v>
      </c>
      <c r="U57" s="46">
        <f t="shared" si="68"/>
        <v>55135.074008325006</v>
      </c>
      <c r="V57" s="46">
        <f t="shared" si="68"/>
        <v>228459.22408143562</v>
      </c>
      <c r="W57" s="46">
        <f t="shared" si="68"/>
        <v>819712.47430789715</v>
      </c>
      <c r="Y57" s="316">
        <v>2031</v>
      </c>
      <c r="Z57" s="46">
        <f t="shared" si="70"/>
        <v>418712.87623421644</v>
      </c>
      <c r="AA57" s="46">
        <f t="shared" si="71"/>
        <v>13841.173654854996</v>
      </c>
      <c r="AB57" s="46">
        <f t="shared" si="70"/>
        <v>192675.56840040602</v>
      </c>
      <c r="AC57" s="46">
        <f t="shared" si="71"/>
        <v>47277.618819290801</v>
      </c>
      <c r="AD57" s="46">
        <f t="shared" si="71"/>
        <v>200426.42461747004</v>
      </c>
      <c r="AE57" s="46">
        <f t="shared" si="71"/>
        <v>695334.46516850463</v>
      </c>
      <c r="AG57" s="316">
        <v>2031</v>
      </c>
      <c r="AH57" s="48">
        <f t="shared" si="72"/>
        <v>1.1619298199068133</v>
      </c>
      <c r="AI57" s="48">
        <f t="shared" si="51"/>
        <v>1.1658326915730977</v>
      </c>
      <c r="AJ57" s="48">
        <f t="shared" si="51"/>
        <v>1.1473328046049611</v>
      </c>
      <c r="AK57" s="48">
        <f t="shared" si="51"/>
        <v>1.1661982008668361</v>
      </c>
      <c r="AL57" s="48">
        <f t="shared" si="51"/>
        <v>1.1398657862478385</v>
      </c>
      <c r="AM57" s="48">
        <f t="shared" si="51"/>
        <v>1.1788750815181457</v>
      </c>
      <c r="AO57" s="316">
        <v>2031</v>
      </c>
      <c r="AP57" s="302">
        <f t="shared" si="96"/>
        <v>2E-3</v>
      </c>
      <c r="AQ57" s="62">
        <v>2E-3</v>
      </c>
      <c r="AR57" s="44"/>
      <c r="AS57" s="316">
        <v>2031</v>
      </c>
      <c r="AT57" s="345">
        <f t="shared" si="73"/>
        <v>2E-3</v>
      </c>
      <c r="AU57" s="345">
        <f t="shared" si="74"/>
        <v>2E-3</v>
      </c>
      <c r="AV57" s="345">
        <f t="shared" si="74"/>
        <v>2E-3</v>
      </c>
      <c r="AW57" s="345">
        <f t="shared" si="74"/>
        <v>2E-3</v>
      </c>
      <c r="AX57" s="345">
        <f t="shared" si="74"/>
        <v>2E-3</v>
      </c>
      <c r="AY57" s="345">
        <f t="shared" si="74"/>
        <v>2E-3</v>
      </c>
      <c r="BQ57" s="316">
        <v>2031</v>
      </c>
      <c r="BR57" s="346">
        <f t="shared" si="75"/>
        <v>29929.293573817689</v>
      </c>
      <c r="BS57" s="346">
        <f t="shared" si="75"/>
        <v>715.35839327406779</v>
      </c>
      <c r="BT57" s="346">
        <f t="shared" si="75"/>
        <v>19528.418171532732</v>
      </c>
      <c r="BU57" s="346">
        <f t="shared" si="75"/>
        <v>4483.521748317964</v>
      </c>
      <c r="BV57" s="346">
        <f t="shared" si="76"/>
        <v>6985.0316797006844</v>
      </c>
      <c r="BW57" s="346">
        <f t="shared" si="77"/>
        <v>18239.388870400569</v>
      </c>
      <c r="BY57" s="316">
        <v>2031</v>
      </c>
      <c r="BZ57" s="46">
        <f t="shared" si="78"/>
        <v>25706.345056261402</v>
      </c>
      <c r="CA57" s="300">
        <f t="shared" si="79"/>
        <v>613.31339223574071</v>
      </c>
      <c r="CB57" s="46">
        <f t="shared" si="78"/>
        <v>17045.002107815235</v>
      </c>
      <c r="CC57" s="300">
        <f t="shared" si="80"/>
        <v>3790.6752577496104</v>
      </c>
      <c r="CD57" s="46">
        <f t="shared" si="81"/>
        <v>6181.3711013963612</v>
      </c>
      <c r="CE57" s="300">
        <f t="shared" si="82"/>
        <v>15492.981835879618</v>
      </c>
      <c r="CG57" s="316">
        <v>2031</v>
      </c>
      <c r="CH57" s="48">
        <f t="shared" si="83"/>
        <v>1.1642765048206527</v>
      </c>
      <c r="CI57" s="48">
        <f t="shared" si="53"/>
        <v>1.1663831286421735</v>
      </c>
      <c r="CJ57" s="48">
        <f t="shared" si="53"/>
        <v>1.1456976096576037</v>
      </c>
      <c r="CK57" s="48">
        <f t="shared" si="53"/>
        <v>1.1827765354343944</v>
      </c>
      <c r="CL57" s="48">
        <f t="shared" si="53"/>
        <v>1.1300133198802411</v>
      </c>
      <c r="CM57" s="48">
        <f t="shared" si="53"/>
        <v>1.1772678147831199</v>
      </c>
      <c r="CO57" s="316">
        <v>2031</v>
      </c>
      <c r="CP57" s="302">
        <f t="shared" si="97"/>
        <v>2E-3</v>
      </c>
      <c r="CQ57" s="62">
        <v>2E-3</v>
      </c>
      <c r="CR57" s="45"/>
      <c r="CS57" s="316">
        <v>2031</v>
      </c>
      <c r="CT57" s="345">
        <f t="shared" si="84"/>
        <v>2E-3</v>
      </c>
      <c r="CU57" s="345">
        <f t="shared" si="85"/>
        <v>2E-3</v>
      </c>
      <c r="CV57" s="345">
        <f t="shared" si="85"/>
        <v>2E-3</v>
      </c>
      <c r="CW57" s="345">
        <f t="shared" si="85"/>
        <v>2E-3</v>
      </c>
      <c r="CX57" s="345">
        <f t="shared" si="85"/>
        <v>2E-3</v>
      </c>
      <c r="CY57" s="345">
        <f t="shared" si="85"/>
        <v>2E-3</v>
      </c>
      <c r="DA57" s="316">
        <v>2031</v>
      </c>
      <c r="DI57" s="316">
        <v>2031</v>
      </c>
      <c r="DJ57" s="342">
        <f t="shared" si="98"/>
        <v>5.475613402610726E-2</v>
      </c>
      <c r="DK57" s="342">
        <f t="shared" si="86"/>
        <v>5.2886778090110012E-2</v>
      </c>
      <c r="DL57" s="342">
        <f t="shared" si="86"/>
        <v>7.9332382181603933E-2</v>
      </c>
      <c r="DM57" s="342">
        <f t="shared" si="86"/>
        <v>7.8397457889894467E-2</v>
      </c>
      <c r="DN57" s="342">
        <f t="shared" si="86"/>
        <v>3.0212897124007876E-2</v>
      </c>
      <c r="DO57" s="342">
        <f t="shared" si="86"/>
        <v>1.9684330097015108E-2</v>
      </c>
      <c r="DQ57" s="316">
        <v>2031</v>
      </c>
      <c r="DR57" s="46">
        <f t="shared" si="87"/>
        <v>633025.00000000012</v>
      </c>
      <c r="DS57" s="61">
        <v>634.6</v>
      </c>
      <c r="DT57" s="46">
        <f t="shared" si="87"/>
        <v>613522.75192453538</v>
      </c>
      <c r="DU57" s="61">
        <v>614.74247906553842</v>
      </c>
      <c r="DW57" s="46">
        <f t="shared" si="88"/>
        <v>632249.689151973</v>
      </c>
      <c r="DX57" s="61">
        <v>633.82276013718592</v>
      </c>
      <c r="DY57" s="46">
        <f t="shared" si="89"/>
        <v>612771.32687010861</v>
      </c>
      <c r="DZ57" s="61">
        <v>613.98956012432359</v>
      </c>
      <c r="EB57" s="316">
        <v>2031</v>
      </c>
      <c r="EC57" s="88">
        <f t="shared" si="56"/>
        <v>4.7279797123048355E-2</v>
      </c>
      <c r="ED57" s="88">
        <f t="shared" si="56"/>
        <v>1.1300634149900362E-3</v>
      </c>
      <c r="EE57" s="88">
        <f t="shared" si="56"/>
        <v>3.0849363250318278E-2</v>
      </c>
      <c r="EF57" s="88">
        <f t="shared" si="56"/>
        <v>7.0826930189454807E-3</v>
      </c>
      <c r="EG57" s="302">
        <f t="shared" si="90"/>
        <v>1.1034369384622539E-2</v>
      </c>
      <c r="EH57" s="88">
        <f t="shared" si="57"/>
        <v>2.8813062470519436E-2</v>
      </c>
      <c r="EJ57" s="316">
        <v>2031</v>
      </c>
      <c r="EK57" s="302">
        <f t="shared" si="91"/>
        <v>0.76949816697900186</v>
      </c>
      <c r="EL57" s="88">
        <f t="shared" si="58"/>
        <v>2.552234190611289E-2</v>
      </c>
      <c r="EM57" s="302">
        <f t="shared" si="92"/>
        <v>0.34964509127430549</v>
      </c>
      <c r="EN57" s="88">
        <f t="shared" si="59"/>
        <v>8.7204588557847851E-2</v>
      </c>
      <c r="EO57" s="88">
        <f t="shared" si="59"/>
        <v>0.36134335532511613</v>
      </c>
      <c r="EP57" s="88">
        <f t="shared" si="59"/>
        <v>1.2965011899133794</v>
      </c>
      <c r="ER57" s="316">
        <v>2031</v>
      </c>
      <c r="ES57" s="317">
        <f t="shared" si="60"/>
        <v>118380.325</v>
      </c>
      <c r="ET57" s="61">
        <v>13027.781999999999</v>
      </c>
      <c r="EU57" s="61">
        <v>68352.653000000006</v>
      </c>
      <c r="EV57" s="61">
        <v>36999.89</v>
      </c>
      <c r="EW57" s="88">
        <f t="shared" si="49"/>
        <v>0.11005023005300922</v>
      </c>
      <c r="EX57" s="88">
        <f t="shared" si="49"/>
        <v>0.5773987611539334</v>
      </c>
      <c r="EY57" s="88">
        <f t="shared" si="49"/>
        <v>0.31255100879305747</v>
      </c>
      <c r="EZ57" s="88">
        <f t="shared" si="50"/>
        <v>-8.5762141078386811E-4</v>
      </c>
      <c r="FA57" s="88">
        <f t="shared" si="50"/>
        <v>2.4400833295656899E-4</v>
      </c>
      <c r="FB57" s="88">
        <f t="shared" si="50"/>
        <v>6.13613077827313E-4</v>
      </c>
      <c r="FD57" s="316">
        <v>2031</v>
      </c>
      <c r="FE57" s="308">
        <f t="shared" si="93"/>
        <v>1.3999999999999999E-2</v>
      </c>
      <c r="FF57" s="159">
        <v>1.3999999999999999E-2</v>
      </c>
      <c r="FG57" s="308">
        <f t="shared" si="93"/>
        <v>2E-3</v>
      </c>
      <c r="FH57" s="159">
        <v>2E-3</v>
      </c>
      <c r="FI57" s="319">
        <f t="shared" si="42"/>
        <v>1.1999999999999999E-2</v>
      </c>
      <c r="FK57" s="345">
        <f t="shared" si="61"/>
        <v>1.0505776561405278E-2</v>
      </c>
      <c r="FL57" s="345">
        <f t="shared" si="94"/>
        <v>-2.8197614306167407E-3</v>
      </c>
      <c r="FM57" s="345">
        <f t="shared" si="45"/>
        <v>-2.0302413773193601E-3</v>
      </c>
      <c r="FN57" s="38"/>
      <c r="FO57" s="316">
        <v>2031</v>
      </c>
      <c r="FP57" s="46">
        <f t="shared" si="62"/>
        <v>237133.65402317097</v>
      </c>
      <c r="FQ57" s="46">
        <f t="shared" si="63"/>
        <v>7561.8693977778566</v>
      </c>
      <c r="FR57" s="46">
        <f t="shared" si="95"/>
        <v>160701.48982219645</v>
      </c>
      <c r="FS57" s="46">
        <f t="shared" si="64"/>
        <v>48414.801826803166</v>
      </c>
      <c r="FT57" s="46">
        <f t="shared" si="65"/>
        <v>49918.556713835103</v>
      </c>
      <c r="FU57" s="46">
        <f t="shared" si="66"/>
        <v>155001.56024990685</v>
      </c>
      <c r="FV57" s="46">
        <f t="shared" si="38"/>
        <v>658731.93203369039</v>
      </c>
    </row>
    <row r="58" spans="17:178">
      <c r="Q58" s="316">
        <v>2032</v>
      </c>
      <c r="R58" s="46">
        <f t="shared" si="67"/>
        <v>491042.48598055763</v>
      </c>
      <c r="S58" s="46">
        <f t="shared" si="68"/>
        <v>16032.07447090081</v>
      </c>
      <c r="T58" s="46">
        <f t="shared" si="69"/>
        <v>224226.99087198274</v>
      </c>
      <c r="U58" s="46">
        <f t="shared" si="68"/>
        <v>55345.286142391902</v>
      </c>
      <c r="V58" s="46">
        <f t="shared" si="68"/>
        <v>229260.63557922214</v>
      </c>
      <c r="W58" s="46">
        <f t="shared" si="68"/>
        <v>823471.8099772986</v>
      </c>
      <c r="Y58" s="316">
        <v>2032</v>
      </c>
      <c r="Z58" s="46">
        <f t="shared" si="70"/>
        <v>421765.88711471792</v>
      </c>
      <c r="AA58" s="46">
        <f t="shared" si="71"/>
        <v>13724.159939851106</v>
      </c>
      <c r="AB58" s="46">
        <f t="shared" si="70"/>
        <v>195043.17414249864</v>
      </c>
      <c r="AC58" s="46">
        <f t="shared" si="71"/>
        <v>47363.14673467775</v>
      </c>
      <c r="AD58" s="46">
        <f t="shared" si="71"/>
        <v>200728.04384571084</v>
      </c>
      <c r="AE58" s="46">
        <f t="shared" si="71"/>
        <v>697129.12466655509</v>
      </c>
      <c r="AG58" s="316">
        <v>2032</v>
      </c>
      <c r="AH58" s="48">
        <f t="shared" si="72"/>
        <v>1.164253679546627</v>
      </c>
      <c r="AI58" s="48">
        <f t="shared" si="51"/>
        <v>1.1681643569562439</v>
      </c>
      <c r="AJ58" s="48">
        <f t="shared" si="51"/>
        <v>1.1496274702141711</v>
      </c>
      <c r="AK58" s="48">
        <f t="shared" si="51"/>
        <v>1.1685305972685698</v>
      </c>
      <c r="AL58" s="48">
        <f t="shared" si="51"/>
        <v>1.1421455178203341</v>
      </c>
      <c r="AM58" s="48">
        <f t="shared" si="51"/>
        <v>1.181232831681182</v>
      </c>
      <c r="AO58" s="316">
        <v>2032</v>
      </c>
      <c r="AP58" s="302">
        <f t="shared" si="96"/>
        <v>2E-3</v>
      </c>
      <c r="AQ58" s="302">
        <f t="shared" ref="AQ58:AQ66" si="99">AQ57</f>
        <v>2E-3</v>
      </c>
      <c r="AR58" s="44"/>
      <c r="AS58" s="316">
        <v>2032</v>
      </c>
      <c r="AT58" s="345">
        <f t="shared" si="73"/>
        <v>2E-3</v>
      </c>
      <c r="AU58" s="345">
        <f t="shared" si="74"/>
        <v>2E-3</v>
      </c>
      <c r="AV58" s="345">
        <f t="shared" si="74"/>
        <v>2E-3</v>
      </c>
      <c r="AW58" s="345">
        <f t="shared" si="74"/>
        <v>2E-3</v>
      </c>
      <c r="AX58" s="345">
        <f t="shared" si="74"/>
        <v>2E-3</v>
      </c>
      <c r="AY58" s="345">
        <f t="shared" si="74"/>
        <v>2E-3</v>
      </c>
      <c r="BQ58" s="316">
        <v>2032</v>
      </c>
      <c r="BR58" s="346">
        <f t="shared" si="75"/>
        <v>30308.526854079213</v>
      </c>
      <c r="BS58" s="346">
        <f t="shared" si="75"/>
        <v>718.76187017780273</v>
      </c>
      <c r="BT58" s="346">
        <f t="shared" si="75"/>
        <v>20265.47007497117</v>
      </c>
      <c r="BU58" s="346">
        <f t="shared" si="75"/>
        <v>4494.026855181628</v>
      </c>
      <c r="BV58" s="346">
        <f t="shared" si="76"/>
        <v>7197.954709681997</v>
      </c>
      <c r="BW58" s="346">
        <f t="shared" si="77"/>
        <v>18262.739397885609</v>
      </c>
      <c r="BY58" s="316">
        <v>2032</v>
      </c>
      <c r="BZ58" s="46">
        <f t="shared" si="78"/>
        <v>25980.109250039095</v>
      </c>
      <c r="CA58" s="300">
        <f t="shared" si="79"/>
        <v>615.0013645871021</v>
      </c>
      <c r="CB58" s="46">
        <f t="shared" si="78"/>
        <v>17653.017571491393</v>
      </c>
      <c r="CC58" s="300">
        <f t="shared" si="80"/>
        <v>3791.9730459067819</v>
      </c>
      <c r="CD58" s="46">
        <f t="shared" si="81"/>
        <v>6357.0821761411516</v>
      </c>
      <c r="CE58" s="300">
        <f t="shared" si="82"/>
        <v>15481.85263825873</v>
      </c>
      <c r="CG58" s="316">
        <v>2032</v>
      </c>
      <c r="CH58" s="48">
        <f t="shared" si="83"/>
        <v>1.166605057830294</v>
      </c>
      <c r="CI58" s="48">
        <f t="shared" si="53"/>
        <v>1.1687158948994578</v>
      </c>
      <c r="CJ58" s="48">
        <f t="shared" si="53"/>
        <v>1.147989004876919</v>
      </c>
      <c r="CK58" s="48">
        <f t="shared" si="53"/>
        <v>1.1851420885052633</v>
      </c>
      <c r="CL58" s="48">
        <f t="shared" si="53"/>
        <v>1.1322733465200017</v>
      </c>
      <c r="CM58" s="48">
        <f t="shared" si="53"/>
        <v>1.1796223504126861</v>
      </c>
      <c r="CO58" s="316">
        <v>2032</v>
      </c>
      <c r="CP58" s="302">
        <f t="shared" si="97"/>
        <v>2E-3</v>
      </c>
      <c r="CQ58" s="302">
        <f t="shared" ref="CQ58:CQ66" si="100">CQ57</f>
        <v>2E-3</v>
      </c>
      <c r="CR58" s="45"/>
      <c r="CS58" s="316">
        <v>2032</v>
      </c>
      <c r="CT58" s="345">
        <f t="shared" si="84"/>
        <v>2E-3</v>
      </c>
      <c r="CU58" s="345">
        <f t="shared" si="85"/>
        <v>2E-3</v>
      </c>
      <c r="CV58" s="345">
        <f t="shared" si="85"/>
        <v>2E-3</v>
      </c>
      <c r="CW58" s="345">
        <f t="shared" si="85"/>
        <v>2E-3</v>
      </c>
      <c r="CX58" s="345">
        <f t="shared" si="85"/>
        <v>2E-3</v>
      </c>
      <c r="CY58" s="345">
        <f t="shared" si="85"/>
        <v>2E-3</v>
      </c>
      <c r="DA58" s="316">
        <v>2032</v>
      </c>
      <c r="DI58" s="316">
        <v>2032</v>
      </c>
      <c r="DJ58" s="342">
        <f t="shared" si="98"/>
        <v>5.475613402610726E-2</v>
      </c>
      <c r="DK58" s="342">
        <f t="shared" si="86"/>
        <v>5.2886778090110012E-2</v>
      </c>
      <c r="DL58" s="342">
        <f t="shared" si="86"/>
        <v>7.9332382181603933E-2</v>
      </c>
      <c r="DM58" s="342">
        <f t="shared" si="86"/>
        <v>7.8397457889894467E-2</v>
      </c>
      <c r="DN58" s="342">
        <f t="shared" si="86"/>
        <v>3.0212897124007876E-2</v>
      </c>
      <c r="DO58" s="342">
        <f t="shared" si="86"/>
        <v>1.9684330097015108E-2</v>
      </c>
      <c r="DQ58" s="316">
        <v>2032</v>
      </c>
      <c r="DR58" s="46">
        <f t="shared" si="87"/>
        <v>639359.5</v>
      </c>
      <c r="DS58" s="300">
        <v>640.94600000000003</v>
      </c>
      <c r="DT58" s="46">
        <f t="shared" si="87"/>
        <v>618430.93393993168</v>
      </c>
      <c r="DU58" s="300">
        <v>619.66041889806274</v>
      </c>
      <c r="DW58" s="46">
        <f t="shared" si="88"/>
        <v>638576.43083821482</v>
      </c>
      <c r="DX58" s="300">
        <v>640.16098773855776</v>
      </c>
      <c r="DY58" s="46">
        <f t="shared" si="89"/>
        <v>617673.49748506944</v>
      </c>
      <c r="DZ58" s="300">
        <v>618.90147660531818</v>
      </c>
      <c r="EB58" s="316">
        <v>2032</v>
      </c>
      <c r="EC58" s="88">
        <f t="shared" si="56"/>
        <v>4.7404514759034962E-2</v>
      </c>
      <c r="ED58" s="88">
        <f t="shared" si="56"/>
        <v>1.1241904909175553E-3</v>
      </c>
      <c r="EE58" s="88">
        <f t="shared" si="56"/>
        <v>3.1696518273320672E-2</v>
      </c>
      <c r="EF58" s="88">
        <f t="shared" si="56"/>
        <v>7.0289514039935715E-3</v>
      </c>
      <c r="EG58" s="302">
        <f t="shared" si="90"/>
        <v>1.1258071100346514E-2</v>
      </c>
      <c r="EH58" s="88">
        <f t="shared" si="57"/>
        <v>2.8564116741654124E-2</v>
      </c>
      <c r="EJ58" s="316">
        <v>2032</v>
      </c>
      <c r="EK58" s="302">
        <f t="shared" si="91"/>
        <v>0.76896431228443607</v>
      </c>
      <c r="EL58" s="88">
        <f t="shared" si="58"/>
        <v>2.5105960221326402E-2</v>
      </c>
      <c r="EM58" s="302">
        <f t="shared" si="92"/>
        <v>0.35113571382153203</v>
      </c>
      <c r="EN58" s="88">
        <f t="shared" si="59"/>
        <v>8.6669791538882823E-2</v>
      </c>
      <c r="EO58" s="88">
        <f t="shared" si="59"/>
        <v>0.35901831716257937</v>
      </c>
      <c r="EP58" s="88">
        <f t="shared" si="59"/>
        <v>1.2895430683158546</v>
      </c>
      <c r="ER58" s="316">
        <v>2032</v>
      </c>
      <c r="ES58" s="317">
        <f t="shared" si="60"/>
        <v>117616.16</v>
      </c>
      <c r="ET58" s="61">
        <v>12861.812</v>
      </c>
      <c r="EU58" s="61">
        <v>67557.058999999994</v>
      </c>
      <c r="EV58" s="61">
        <v>37197.288999999997</v>
      </c>
      <c r="EW58" s="88">
        <f t="shared" si="49"/>
        <v>0.10935412276680347</v>
      </c>
      <c r="EX58" s="88">
        <f t="shared" si="49"/>
        <v>0.57438585820179811</v>
      </c>
      <c r="EY58" s="88">
        <f t="shared" si="49"/>
        <v>0.31626001903139839</v>
      </c>
      <c r="EZ58" s="88">
        <f t="shared" si="50"/>
        <v>-6.961072862057549E-4</v>
      </c>
      <c r="FA58" s="88">
        <f t="shared" si="50"/>
        <v>-3.012902952135299E-3</v>
      </c>
      <c r="FB58" s="88">
        <f t="shared" si="50"/>
        <v>3.7090102383409151E-3</v>
      </c>
      <c r="FD58" s="316">
        <v>2032</v>
      </c>
      <c r="FE58" s="308">
        <f t="shared" si="93"/>
        <v>1.3999999999999999E-2</v>
      </c>
      <c r="FF58" s="343">
        <f>FF57</f>
        <v>1.3999999999999999E-2</v>
      </c>
      <c r="FG58" s="308">
        <f t="shared" si="93"/>
        <v>2E-3</v>
      </c>
      <c r="FH58" s="345">
        <f>FH57</f>
        <v>2E-3</v>
      </c>
      <c r="FI58" s="319">
        <f t="shared" si="42"/>
        <v>1.1999999999999999E-2</v>
      </c>
      <c r="FK58" s="345">
        <f t="shared" si="61"/>
        <v>5.6637043055510761E-3</v>
      </c>
      <c r="FL58" s="345">
        <f t="shared" si="94"/>
        <v>-2.1031602091396984E-3</v>
      </c>
      <c r="FM58" s="345">
        <f t="shared" si="45"/>
        <v>-1.6014218296970702E-3</v>
      </c>
      <c r="FN58" s="38"/>
      <c r="FO58" s="316">
        <v>2032</v>
      </c>
      <c r="FP58" s="46">
        <f t="shared" si="62"/>
        <v>239659.05012553907</v>
      </c>
      <c r="FQ58" s="46">
        <f t="shared" si="63"/>
        <v>7582.6813132351808</v>
      </c>
      <c r="FR58" s="46">
        <f t="shared" si="95"/>
        <v>166433.90277407825</v>
      </c>
      <c r="FS58" s="46">
        <f t="shared" si="64"/>
        <v>48431.377278977336</v>
      </c>
      <c r="FT58" s="46">
        <f t="shared" si="65"/>
        <v>51337.536921626765</v>
      </c>
      <c r="FU58" s="46">
        <f t="shared" si="66"/>
        <v>154890.21673877118</v>
      </c>
      <c r="FV58" s="46">
        <f t="shared" si="38"/>
        <v>668334.76515222772</v>
      </c>
    </row>
    <row r="59" spans="17:178">
      <c r="Q59" s="316">
        <v>2033</v>
      </c>
      <c r="R59" s="46">
        <f t="shared" si="67"/>
        <v>497133.88761540572</v>
      </c>
      <c r="S59" s="46">
        <f t="shared" si="68"/>
        <v>15935.178731578737</v>
      </c>
      <c r="T59" s="46">
        <f t="shared" si="69"/>
        <v>227131.96848854568</v>
      </c>
      <c r="U59" s="46">
        <f t="shared" si="68"/>
        <v>55546.87303679726</v>
      </c>
      <c r="V59" s="46">
        <f t="shared" si="68"/>
        <v>230159.17586517188</v>
      </c>
      <c r="W59" s="46">
        <f t="shared" si="68"/>
        <v>827184.88023956644</v>
      </c>
      <c r="Y59" s="316">
        <v>2033</v>
      </c>
      <c r="Z59" s="46">
        <f t="shared" si="70"/>
        <v>426145.61853890424</v>
      </c>
      <c r="AA59" s="46">
        <f t="shared" si="71"/>
        <v>13613.984961021393</v>
      </c>
      <c r="AB59" s="46">
        <f t="shared" si="70"/>
        <v>197175.7087744122</v>
      </c>
      <c r="AC59" s="46">
        <f t="shared" si="71"/>
        <v>47440.778328191809</v>
      </c>
      <c r="AD59" s="46">
        <f t="shared" si="71"/>
        <v>201112.53139696675</v>
      </c>
      <c r="AE59" s="46">
        <f t="shared" si="71"/>
        <v>698874.76073569863</v>
      </c>
      <c r="AG59" s="316">
        <v>2033</v>
      </c>
      <c r="AH59" s="48">
        <f t="shared" si="72"/>
        <v>1.1665821869057202</v>
      </c>
      <c r="AI59" s="48">
        <f t="shared" si="51"/>
        <v>1.1705006856701563</v>
      </c>
      <c r="AJ59" s="48">
        <f t="shared" si="51"/>
        <v>1.1519267251545995</v>
      </c>
      <c r="AK59" s="48">
        <f t="shared" si="51"/>
        <v>1.170867658463107</v>
      </c>
      <c r="AL59" s="48">
        <f t="shared" si="51"/>
        <v>1.1444298088559748</v>
      </c>
      <c r="AM59" s="48">
        <f t="shared" si="51"/>
        <v>1.1835952973445443</v>
      </c>
      <c r="AO59" s="316">
        <v>2033</v>
      </c>
      <c r="AP59" s="302">
        <f t="shared" si="96"/>
        <v>2E-3</v>
      </c>
      <c r="AQ59" s="302">
        <f t="shared" si="99"/>
        <v>2E-3</v>
      </c>
      <c r="AR59" s="44"/>
      <c r="AS59" s="316">
        <v>2033</v>
      </c>
      <c r="AT59" s="345">
        <f t="shared" si="73"/>
        <v>2E-3</v>
      </c>
      <c r="AU59" s="345">
        <f t="shared" si="74"/>
        <v>2E-3</v>
      </c>
      <c r="AV59" s="345">
        <f t="shared" si="74"/>
        <v>2E-3</v>
      </c>
      <c r="AW59" s="345">
        <f t="shared" si="74"/>
        <v>2E-3</v>
      </c>
      <c r="AX59" s="345">
        <f t="shared" si="74"/>
        <v>2E-3</v>
      </c>
      <c r="AY59" s="345">
        <f t="shared" si="74"/>
        <v>2E-3</v>
      </c>
      <c r="BQ59" s="316">
        <v>2033</v>
      </c>
      <c r="BR59" s="346">
        <f t="shared" si="75"/>
        <v>32115.410986642368</v>
      </c>
      <c r="BS59" s="346">
        <f t="shared" si="75"/>
        <v>720.96088047251135</v>
      </c>
      <c r="BT59" s="346">
        <f t="shared" si="75"/>
        <v>20251.657749006401</v>
      </c>
      <c r="BU59" s="346">
        <f t="shared" si="75"/>
        <v>4501.6004026648479</v>
      </c>
      <c r="BV59" s="346">
        <f t="shared" si="76"/>
        <v>7316.7066780863779</v>
      </c>
      <c r="BW59" s="346">
        <f t="shared" si="77"/>
        <v>18283.075559706773</v>
      </c>
      <c r="BY59" s="316">
        <v>2033</v>
      </c>
      <c r="BZ59" s="46">
        <f t="shared" si="78"/>
        <v>27474.000866679824</v>
      </c>
      <c r="CA59" s="300">
        <f t="shared" si="79"/>
        <v>615.65162238236906</v>
      </c>
      <c r="CB59" s="46">
        <f t="shared" si="78"/>
        <v>17605.774264899374</v>
      </c>
      <c r="CC59" s="300">
        <f t="shared" si="80"/>
        <v>3790.781895178854</v>
      </c>
      <c r="CD59" s="46">
        <f t="shared" si="81"/>
        <v>6449.0632898697359</v>
      </c>
      <c r="CE59" s="300">
        <f t="shared" si="82"/>
        <v>15468.155879323111</v>
      </c>
      <c r="CG59" s="316">
        <v>2033</v>
      </c>
      <c r="CH59" s="48">
        <f t="shared" si="83"/>
        <v>1.1689382679459546</v>
      </c>
      <c r="CI59" s="48">
        <f t="shared" si="53"/>
        <v>1.1710533266892567</v>
      </c>
      <c r="CJ59" s="48">
        <f t="shared" si="53"/>
        <v>1.1502849828866728</v>
      </c>
      <c r="CK59" s="48">
        <f t="shared" si="53"/>
        <v>1.1875123726822738</v>
      </c>
      <c r="CL59" s="48">
        <f t="shared" si="53"/>
        <v>1.1345378932130417</v>
      </c>
      <c r="CM59" s="48">
        <f t="shared" si="53"/>
        <v>1.1819815951135115</v>
      </c>
      <c r="CO59" s="316">
        <v>2033</v>
      </c>
      <c r="CP59" s="302">
        <f t="shared" si="97"/>
        <v>2E-3</v>
      </c>
      <c r="CQ59" s="302">
        <f t="shared" si="100"/>
        <v>2E-3</v>
      </c>
      <c r="CR59" s="45"/>
      <c r="CS59" s="316">
        <v>2033</v>
      </c>
      <c r="CT59" s="345">
        <f t="shared" si="84"/>
        <v>2E-3</v>
      </c>
      <c r="CU59" s="345">
        <f t="shared" si="85"/>
        <v>2E-3</v>
      </c>
      <c r="CV59" s="345">
        <f t="shared" si="85"/>
        <v>2E-3</v>
      </c>
      <c r="CW59" s="345">
        <f t="shared" si="85"/>
        <v>2E-3</v>
      </c>
      <c r="CX59" s="345">
        <f t="shared" si="85"/>
        <v>2E-3</v>
      </c>
      <c r="CY59" s="345">
        <f t="shared" si="85"/>
        <v>2E-3</v>
      </c>
      <c r="DA59" s="316">
        <v>2033</v>
      </c>
      <c r="DI59" s="316">
        <v>2033</v>
      </c>
      <c r="DJ59" s="342">
        <f t="shared" si="98"/>
        <v>5.475613402610726E-2</v>
      </c>
      <c r="DK59" s="342">
        <f t="shared" si="86"/>
        <v>5.2886778090110012E-2</v>
      </c>
      <c r="DL59" s="342">
        <f t="shared" si="86"/>
        <v>7.9332382181603933E-2</v>
      </c>
      <c r="DM59" s="342">
        <f t="shared" si="86"/>
        <v>7.8397457889894467E-2</v>
      </c>
      <c r="DN59" s="342">
        <f t="shared" si="86"/>
        <v>3.0212897124007876E-2</v>
      </c>
      <c r="DO59" s="342">
        <f t="shared" si="86"/>
        <v>1.9684330097015108E-2</v>
      </c>
      <c r="DQ59" s="316">
        <v>2033</v>
      </c>
      <c r="DR59" s="46">
        <f t="shared" si="87"/>
        <v>645753.09499999997</v>
      </c>
      <c r="DS59" s="300">
        <v>647.35545999999999</v>
      </c>
      <c r="DT59" s="46">
        <f t="shared" si="87"/>
        <v>623378.38141145103</v>
      </c>
      <c r="DU59" s="300">
        <v>624.61770224924726</v>
      </c>
      <c r="DW59" s="46">
        <f t="shared" si="88"/>
        <v>644962.19514659687</v>
      </c>
      <c r="DX59" s="300">
        <v>646.56259761594322</v>
      </c>
      <c r="DY59" s="46">
        <f t="shared" si="89"/>
        <v>622614.88546495012</v>
      </c>
      <c r="DZ59" s="300">
        <v>623.85268841816071</v>
      </c>
      <c r="EB59" s="316">
        <v>2033</v>
      </c>
      <c r="EC59" s="88">
        <f t="shared" si="56"/>
        <v>4.9733266840389465E-2</v>
      </c>
      <c r="ED59" s="88">
        <f t="shared" si="56"/>
        <v>1.1164652342433006E-3</v>
      </c>
      <c r="EE59" s="88">
        <f t="shared" si="56"/>
        <v>3.1361301874993572E-2</v>
      </c>
      <c r="EF59" s="88">
        <f t="shared" si="56"/>
        <v>6.9710860660526109E-3</v>
      </c>
      <c r="EG59" s="302">
        <f t="shared" si="90"/>
        <v>1.1330501912788166E-2</v>
      </c>
      <c r="EH59" s="88">
        <f t="shared" si="57"/>
        <v>2.8312795867756195E-2</v>
      </c>
      <c r="EJ59" s="316">
        <v>2033</v>
      </c>
      <c r="EK59" s="302">
        <f t="shared" si="91"/>
        <v>0.77079539135221642</v>
      </c>
      <c r="EL59" s="88">
        <f t="shared" si="58"/>
        <v>2.470715159972554E-2</v>
      </c>
      <c r="EM59" s="302">
        <f t="shared" si="92"/>
        <v>0.35216322785697485</v>
      </c>
      <c r="EN59" s="88">
        <f t="shared" si="59"/>
        <v>8.6124230931352061E-2</v>
      </c>
      <c r="EO59" s="88">
        <f t="shared" si="59"/>
        <v>0.3568568477302112</v>
      </c>
      <c r="EP59" s="88">
        <f t="shared" si="59"/>
        <v>1.2825323506776256</v>
      </c>
      <c r="ER59" s="316">
        <v>2033</v>
      </c>
      <c r="ES59" s="317">
        <f t="shared" si="60"/>
        <v>116833.33599999998</v>
      </c>
      <c r="ET59" s="61">
        <v>12712.574000000001</v>
      </c>
      <c r="EU59" s="61">
        <v>66738.233999999997</v>
      </c>
      <c r="EV59" s="61">
        <v>37382.527999999998</v>
      </c>
      <c r="EW59" s="88">
        <f t="shared" si="49"/>
        <v>0.10880947540520458</v>
      </c>
      <c r="EX59" s="88">
        <f t="shared" si="49"/>
        <v>0.57122595557829492</v>
      </c>
      <c r="EY59" s="88">
        <f t="shared" si="49"/>
        <v>0.31996456901650061</v>
      </c>
      <c r="EZ59" s="88">
        <f t="shared" si="50"/>
        <v>-5.4464736159888505E-4</v>
      </c>
      <c r="FA59" s="88">
        <f t="shared" si="50"/>
        <v>-3.1599026235031857E-3</v>
      </c>
      <c r="FB59" s="88">
        <f t="shared" si="50"/>
        <v>3.7045499851022234E-3</v>
      </c>
      <c r="FD59" s="316">
        <v>2033</v>
      </c>
      <c r="FE59" s="308">
        <f t="shared" si="93"/>
        <v>1.3999999999999999E-2</v>
      </c>
      <c r="FF59" s="343">
        <f t="shared" ref="FF59:FH66" si="101">FF58</f>
        <v>1.3999999999999999E-2</v>
      </c>
      <c r="FG59" s="308">
        <f t="shared" si="93"/>
        <v>2E-3</v>
      </c>
      <c r="FH59" s="345">
        <f t="shared" si="101"/>
        <v>2E-3</v>
      </c>
      <c r="FI59" s="319">
        <f t="shared" si="42"/>
        <v>1.1999999999999999E-2</v>
      </c>
      <c r="FK59" s="345">
        <f t="shared" si="61"/>
        <v>3.4464043505226805E-3</v>
      </c>
      <c r="FL59" s="345">
        <f t="shared" si="94"/>
        <v>-1.8014849320614479E-3</v>
      </c>
      <c r="FM59" s="345">
        <f t="shared" si="45"/>
        <v>-1.3366417014541339E-3</v>
      </c>
      <c r="FN59" s="38"/>
      <c r="FO59" s="316">
        <v>2033</v>
      </c>
      <c r="FP59" s="46">
        <f t="shared" si="62"/>
        <v>253439.77146080768</v>
      </c>
      <c r="FQ59" s="46">
        <f t="shared" si="63"/>
        <v>7590.6986899710291</v>
      </c>
      <c r="FR59" s="46">
        <f t="shared" si="95"/>
        <v>165988.48952593419</v>
      </c>
      <c r="FS59" s="46">
        <f t="shared" si="64"/>
        <v>48416.163808416757</v>
      </c>
      <c r="FT59" s="46">
        <f t="shared" si="65"/>
        <v>52080.343714317918</v>
      </c>
      <c r="FU59" s="46">
        <f t="shared" si="66"/>
        <v>154753.18572512403</v>
      </c>
      <c r="FV59" s="46">
        <f t="shared" si="38"/>
        <v>682268.65292457165</v>
      </c>
    </row>
    <row r="60" spans="17:178">
      <c r="Q60" s="316">
        <v>2034</v>
      </c>
      <c r="R60" s="46">
        <f t="shared" si="67"/>
        <v>503987.84054226393</v>
      </c>
      <c r="S60" s="46">
        <f t="shared" si="68"/>
        <v>15843.072443262969</v>
      </c>
      <c r="T60" s="46">
        <f t="shared" si="69"/>
        <v>229938.06037379877</v>
      </c>
      <c r="U60" s="46">
        <f t="shared" si="68"/>
        <v>55741.058972556399</v>
      </c>
      <c r="V60" s="46">
        <f t="shared" si="68"/>
        <v>231152.44236667029</v>
      </c>
      <c r="W60" s="46">
        <f t="shared" si="68"/>
        <v>830880.52471612615</v>
      </c>
      <c r="Y60" s="316">
        <v>2034</v>
      </c>
      <c r="Z60" s="46">
        <f t="shared" si="70"/>
        <v>431158.54367947427</v>
      </c>
      <c r="AA60" s="46">
        <f t="shared" si="71"/>
        <v>13508.278754336621</v>
      </c>
      <c r="AB60" s="46">
        <f t="shared" si="70"/>
        <v>199213.2808088653</v>
      </c>
      <c r="AC60" s="46">
        <f t="shared" si="71"/>
        <v>47511.603016543333</v>
      </c>
      <c r="AD60" s="46">
        <f t="shared" si="71"/>
        <v>201577.29068311094</v>
      </c>
      <c r="AE60" s="46">
        <f t="shared" si="71"/>
        <v>700595.95743191754</v>
      </c>
      <c r="AG60" s="316">
        <v>2034</v>
      </c>
      <c r="AH60" s="48">
        <f t="shared" si="72"/>
        <v>1.1689153512795316</v>
      </c>
      <c r="AI60" s="48">
        <f t="shared" si="51"/>
        <v>1.1728416870414966</v>
      </c>
      <c r="AJ60" s="48">
        <f t="shared" si="51"/>
        <v>1.1542305786049087</v>
      </c>
      <c r="AK60" s="48">
        <f t="shared" si="51"/>
        <v>1.1732093937800332</v>
      </c>
      <c r="AL60" s="48">
        <f t="shared" si="51"/>
        <v>1.1467186684736868</v>
      </c>
      <c r="AM60" s="48">
        <f t="shared" si="51"/>
        <v>1.1859624879392334</v>
      </c>
      <c r="AO60" s="316">
        <v>2034</v>
      </c>
      <c r="AP60" s="302">
        <f t="shared" si="96"/>
        <v>2E-3</v>
      </c>
      <c r="AQ60" s="302">
        <f t="shared" si="99"/>
        <v>2E-3</v>
      </c>
      <c r="AR60" s="44"/>
      <c r="AS60" s="316">
        <v>2034</v>
      </c>
      <c r="AT60" s="345">
        <f t="shared" si="73"/>
        <v>2E-3</v>
      </c>
      <c r="AU60" s="345">
        <f t="shared" si="74"/>
        <v>2E-3</v>
      </c>
      <c r="AV60" s="345">
        <f t="shared" si="74"/>
        <v>2E-3</v>
      </c>
      <c r="AW60" s="345">
        <f t="shared" si="74"/>
        <v>2E-3</v>
      </c>
      <c r="AX60" s="345">
        <f t="shared" si="74"/>
        <v>2E-3</v>
      </c>
      <c r="AY60" s="345">
        <f t="shared" si="74"/>
        <v>2E-3</v>
      </c>
      <c r="BQ60" s="316">
        <v>2034</v>
      </c>
      <c r="BR60" s="346">
        <f t="shared" si="75"/>
        <v>33202.178623005675</v>
      </c>
      <c r="BS60" s="346">
        <f t="shared" si="75"/>
        <v>720.80929895309907</v>
      </c>
      <c r="BT60" s="346">
        <f t="shared" si="75"/>
        <v>20377.701878291402</v>
      </c>
      <c r="BU60" s="346">
        <f t="shared" si="75"/>
        <v>4509.7459497933669</v>
      </c>
      <c r="BV60" s="346">
        <f t="shared" si="76"/>
        <v>7435.7992577153709</v>
      </c>
      <c r="BW60" s="346">
        <f t="shared" si="77"/>
        <v>18331.393147129307</v>
      </c>
      <c r="BY60" s="316">
        <v>2034</v>
      </c>
      <c r="BZ60" s="46">
        <f t="shared" si="78"/>
        <v>28347.011743924639</v>
      </c>
      <c r="CA60" s="300">
        <f t="shared" si="79"/>
        <v>614.29359487086106</v>
      </c>
      <c r="CB60" s="46">
        <f t="shared" si="78"/>
        <v>17679.9907198734</v>
      </c>
      <c r="CC60" s="300">
        <f t="shared" si="80"/>
        <v>3790.0611095997615</v>
      </c>
      <c r="CD60" s="46">
        <f t="shared" si="81"/>
        <v>6540.9515075895461</v>
      </c>
      <c r="CE60" s="300">
        <f t="shared" si="82"/>
        <v>15478.078183012882</v>
      </c>
      <c r="CG60" s="316">
        <v>2034</v>
      </c>
      <c r="CH60" s="48">
        <f t="shared" si="83"/>
        <v>1.1712761444818465</v>
      </c>
      <c r="CI60" s="48">
        <f t="shared" si="53"/>
        <v>1.1733954333426351</v>
      </c>
      <c r="CJ60" s="48">
        <f t="shared" si="53"/>
        <v>1.1525855528524462</v>
      </c>
      <c r="CK60" s="48">
        <f t="shared" si="53"/>
        <v>1.1898873974276383</v>
      </c>
      <c r="CL60" s="48">
        <f t="shared" si="53"/>
        <v>1.1368069689994678</v>
      </c>
      <c r="CM60" s="48">
        <f t="shared" si="53"/>
        <v>1.1843455583037386</v>
      </c>
      <c r="CO60" s="316">
        <v>2034</v>
      </c>
      <c r="CP60" s="302">
        <f t="shared" si="97"/>
        <v>2E-3</v>
      </c>
      <c r="CQ60" s="302">
        <f t="shared" si="100"/>
        <v>2E-3</v>
      </c>
      <c r="CR60" s="45"/>
      <c r="CS60" s="316">
        <v>2034</v>
      </c>
      <c r="CT60" s="345">
        <f t="shared" si="84"/>
        <v>2E-3</v>
      </c>
      <c r="CU60" s="345">
        <f t="shared" si="85"/>
        <v>2E-3</v>
      </c>
      <c r="CV60" s="345">
        <f t="shared" si="85"/>
        <v>2E-3</v>
      </c>
      <c r="CW60" s="345">
        <f t="shared" si="85"/>
        <v>2E-3</v>
      </c>
      <c r="CX60" s="345">
        <f t="shared" si="85"/>
        <v>2E-3</v>
      </c>
      <c r="CY60" s="345">
        <f t="shared" si="85"/>
        <v>2E-3</v>
      </c>
      <c r="DA60" s="316">
        <v>2034</v>
      </c>
      <c r="DI60" s="316">
        <v>2034</v>
      </c>
      <c r="DJ60" s="342">
        <f t="shared" si="98"/>
        <v>5.475613402610726E-2</v>
      </c>
      <c r="DK60" s="342">
        <f t="shared" si="86"/>
        <v>5.2886778090110012E-2</v>
      </c>
      <c r="DL60" s="342">
        <f t="shared" si="86"/>
        <v>7.9332382181603933E-2</v>
      </c>
      <c r="DM60" s="342">
        <f t="shared" si="86"/>
        <v>7.8397457889894467E-2</v>
      </c>
      <c r="DN60" s="342">
        <f t="shared" si="86"/>
        <v>3.0212897124007876E-2</v>
      </c>
      <c r="DO60" s="342">
        <f t="shared" si="86"/>
        <v>1.9684330097015108E-2</v>
      </c>
      <c r="DQ60" s="316">
        <v>2034</v>
      </c>
      <c r="DR60" s="46">
        <f t="shared" si="87"/>
        <v>652210.62595000013</v>
      </c>
      <c r="DS60" s="300">
        <v>653.82901460000005</v>
      </c>
      <c r="DT60" s="46">
        <f t="shared" si="87"/>
        <v>628365.40846274281</v>
      </c>
      <c r="DU60" s="300">
        <v>629.61464386724128</v>
      </c>
      <c r="DW60" s="46">
        <f t="shared" si="88"/>
        <v>651411.81709806283</v>
      </c>
      <c r="DX60" s="300">
        <v>653.02822359210268</v>
      </c>
      <c r="DY60" s="46">
        <f t="shared" si="89"/>
        <v>627595.80454866961</v>
      </c>
      <c r="DZ60" s="300">
        <v>628.84350992550605</v>
      </c>
      <c r="EB60" s="316">
        <v>2034</v>
      </c>
      <c r="EC60" s="88">
        <f t="shared" si="56"/>
        <v>5.0907141499947017E-2</v>
      </c>
      <c r="ED60" s="88">
        <f t="shared" si="56"/>
        <v>1.105178711099929E-3</v>
      </c>
      <c r="EE60" s="88">
        <f t="shared" si="56"/>
        <v>3.1244050721512779E-2</v>
      </c>
      <c r="EF60" s="88">
        <f t="shared" si="56"/>
        <v>6.914554547811206E-3</v>
      </c>
      <c r="EG60" s="302">
        <f t="shared" si="90"/>
        <v>1.1400917068599577E-2</v>
      </c>
      <c r="EH60" s="88">
        <f t="shared" si="57"/>
        <v>2.8106553953223434E-2</v>
      </c>
      <c r="EJ60" s="316">
        <v>2034</v>
      </c>
      <c r="EK60" s="302">
        <f t="shared" si="91"/>
        <v>0.77368544339193979</v>
      </c>
      <c r="EL60" s="88">
        <f t="shared" si="58"/>
        <v>2.4321131467711723E-2</v>
      </c>
      <c r="EM60" s="302">
        <f t="shared" si="92"/>
        <v>0.35298417120852466</v>
      </c>
      <c r="EN60" s="88">
        <f t="shared" si="59"/>
        <v>8.5569615885806388E-2</v>
      </c>
      <c r="EO60" s="88">
        <f t="shared" si="59"/>
        <v>0.35484840203915557</v>
      </c>
      <c r="EP60" s="88">
        <f t="shared" si="59"/>
        <v>1.2755072949360486</v>
      </c>
      <c r="ER60" s="316">
        <v>2034</v>
      </c>
      <c r="ES60" s="317">
        <f t="shared" si="60"/>
        <v>116032.79799999998</v>
      </c>
      <c r="ET60" s="61">
        <v>12579.031999999999</v>
      </c>
      <c r="EU60" s="61">
        <v>65861.48</v>
      </c>
      <c r="EV60" s="61">
        <v>37592.286</v>
      </c>
      <c r="EW60" s="88">
        <f t="shared" si="49"/>
        <v>0.1084092792453389</v>
      </c>
      <c r="EX60" s="88">
        <f t="shared" si="49"/>
        <v>0.56761089222376593</v>
      </c>
      <c r="EY60" s="88">
        <f t="shared" si="49"/>
        <v>0.32397982853089524</v>
      </c>
      <c r="EZ60" s="88">
        <f t="shared" si="50"/>
        <v>-4.0019615986568169E-4</v>
      </c>
      <c r="FA60" s="88">
        <f t="shared" si="50"/>
        <v>-3.6150633545289912E-3</v>
      </c>
      <c r="FB60" s="88">
        <f t="shared" si="50"/>
        <v>4.0152595143946312E-3</v>
      </c>
      <c r="FD60" s="316">
        <v>2034</v>
      </c>
      <c r="FE60" s="308">
        <f t="shared" si="93"/>
        <v>1.3999999999999999E-2</v>
      </c>
      <c r="FF60" s="343">
        <f t="shared" si="101"/>
        <v>1.3999999999999999E-2</v>
      </c>
      <c r="FG60" s="308">
        <f t="shared" si="93"/>
        <v>2E-3</v>
      </c>
      <c r="FH60" s="345">
        <f t="shared" si="101"/>
        <v>2E-3</v>
      </c>
      <c r="FI60" s="319">
        <f t="shared" si="42"/>
        <v>1.1999999999999999E-2</v>
      </c>
      <c r="FK60" s="345">
        <f t="shared" si="61"/>
        <v>2.4697476758710479E-3</v>
      </c>
      <c r="FL60" s="345">
        <f t="shared" si="94"/>
        <v>-1.6727925583359671E-3</v>
      </c>
      <c r="FM60" s="345">
        <f t="shared" si="45"/>
        <v>-1.0827780863081875E-3</v>
      </c>
      <c r="FN60" s="38"/>
      <c r="FO60" s="316">
        <v>2034</v>
      </c>
      <c r="FP60" s="46">
        <f t="shared" si="62"/>
        <v>261493.0462017305</v>
      </c>
      <c r="FQ60" s="46">
        <f t="shared" si="63"/>
        <v>7573.9548412134191</v>
      </c>
      <c r="FR60" s="46">
        <f t="shared" si="95"/>
        <v>166688.20753172893</v>
      </c>
      <c r="FS60" s="46">
        <f t="shared" si="64"/>
        <v>48406.957878444249</v>
      </c>
      <c r="FT60" s="46">
        <f t="shared" si="65"/>
        <v>52822.400311849073</v>
      </c>
      <c r="FU60" s="46">
        <f t="shared" si="66"/>
        <v>154852.45470829846</v>
      </c>
      <c r="FV60" s="46">
        <f t="shared" si="38"/>
        <v>691837.02147326455</v>
      </c>
    </row>
    <row r="61" spans="17:178">
      <c r="Q61" s="316">
        <v>2035</v>
      </c>
      <c r="R61" s="46">
        <f t="shared" si="67"/>
        <v>511074.6118173346</v>
      </c>
      <c r="S61" s="46">
        <f t="shared" si="68"/>
        <v>15756.58956557666</v>
      </c>
      <c r="T61" s="46">
        <f t="shared" si="69"/>
        <v>232637.74754223812</v>
      </c>
      <c r="U61" s="46">
        <f t="shared" si="68"/>
        <v>55929.091109982932</v>
      </c>
      <c r="V61" s="46">
        <f t="shared" si="68"/>
        <v>232183.45429052674</v>
      </c>
      <c r="W61" s="46">
        <f t="shared" si="68"/>
        <v>834551.86799106281</v>
      </c>
      <c r="Y61" s="316">
        <v>2035</v>
      </c>
      <c r="Z61" s="46">
        <f t="shared" si="70"/>
        <v>436348.5364901654</v>
      </c>
      <c r="AA61" s="46">
        <f t="shared" si="71"/>
        <v>13407.725408080827</v>
      </c>
      <c r="AB61" s="46">
        <f t="shared" si="70"/>
        <v>201149.93056359599</v>
      </c>
      <c r="AC61" s="46">
        <f t="shared" si="71"/>
        <v>47576.721166326643</v>
      </c>
      <c r="AD61" s="46">
        <f t="shared" si="71"/>
        <v>202072.24372690145</v>
      </c>
      <c r="AE61" s="46">
        <f t="shared" si="71"/>
        <v>702287.04893247806</v>
      </c>
      <c r="AG61" s="316">
        <v>2035</v>
      </c>
      <c r="AH61" s="48">
        <f t="shared" si="72"/>
        <v>1.1712531819820906</v>
      </c>
      <c r="AI61" s="48">
        <f t="shared" si="51"/>
        <v>1.1751873704155795</v>
      </c>
      <c r="AJ61" s="48">
        <f t="shared" si="51"/>
        <v>1.1565390397621185</v>
      </c>
      <c r="AK61" s="48">
        <f t="shared" si="51"/>
        <v>1.1755558125675933</v>
      </c>
      <c r="AL61" s="48">
        <f t="shared" si="51"/>
        <v>1.1490121058106342</v>
      </c>
      <c r="AM61" s="48">
        <f t="shared" si="51"/>
        <v>1.1883344129151119</v>
      </c>
      <c r="AO61" s="316">
        <v>2035</v>
      </c>
      <c r="AP61" s="302">
        <f t="shared" si="96"/>
        <v>2E-3</v>
      </c>
      <c r="AQ61" s="302">
        <f t="shared" si="99"/>
        <v>2E-3</v>
      </c>
      <c r="AR61" s="44"/>
      <c r="AS61" s="316">
        <v>2035</v>
      </c>
      <c r="AT61" s="345">
        <f t="shared" si="73"/>
        <v>2E-3</v>
      </c>
      <c r="AU61" s="345">
        <f t="shared" si="74"/>
        <v>2E-3</v>
      </c>
      <c r="AV61" s="345">
        <f t="shared" si="74"/>
        <v>2E-3</v>
      </c>
      <c r="AW61" s="345">
        <f t="shared" si="74"/>
        <v>2E-3</v>
      </c>
      <c r="AX61" s="345">
        <f t="shared" si="74"/>
        <v>2E-3</v>
      </c>
      <c r="AY61" s="345">
        <f t="shared" si="74"/>
        <v>2E-3</v>
      </c>
      <c r="BQ61" s="316">
        <v>2035</v>
      </c>
      <c r="BR61" s="346">
        <f t="shared" si="75"/>
        <v>33798.537627795311</v>
      </c>
      <c r="BS61" s="346">
        <f t="shared" si="75"/>
        <v>721.73641244011355</v>
      </c>
      <c r="BT61" s="346">
        <f t="shared" si="75"/>
        <v>20488.585900462167</v>
      </c>
      <c r="BU61" s="346">
        <f t="shared" si="75"/>
        <v>4518.581757381221</v>
      </c>
      <c r="BV61" s="346">
        <f t="shared" si="76"/>
        <v>7501.0586350202084</v>
      </c>
      <c r="BW61" s="346">
        <f t="shared" si="77"/>
        <v>18372.53626421712</v>
      </c>
      <c r="BY61" s="316">
        <v>2035</v>
      </c>
      <c r="BZ61" s="46">
        <f t="shared" si="78"/>
        <v>28798.567814905604</v>
      </c>
      <c r="CA61" s="300">
        <f t="shared" si="79"/>
        <v>613.85599460415483</v>
      </c>
      <c r="CB61" s="46">
        <f t="shared" si="78"/>
        <v>17740.713883510762</v>
      </c>
      <c r="CC61" s="300">
        <f t="shared" si="80"/>
        <v>3789.9070465541522</v>
      </c>
      <c r="CD61" s="46">
        <f t="shared" si="81"/>
        <v>6585.1869897355655</v>
      </c>
      <c r="CE61" s="300">
        <f t="shared" si="82"/>
        <v>15481.853591284709</v>
      </c>
      <c r="CG61" s="316">
        <v>2035</v>
      </c>
      <c r="CH61" s="48">
        <f t="shared" si="83"/>
        <v>1.1736186967708102</v>
      </c>
      <c r="CI61" s="48">
        <f t="shared" si="53"/>
        <v>1.1757422242093203</v>
      </c>
      <c r="CJ61" s="48">
        <f t="shared" si="53"/>
        <v>1.1548907239581512</v>
      </c>
      <c r="CK61" s="48">
        <f t="shared" si="53"/>
        <v>1.1922671722224936</v>
      </c>
      <c r="CL61" s="48">
        <f t="shared" si="53"/>
        <v>1.1390805829374666</v>
      </c>
      <c r="CM61" s="48">
        <f t="shared" si="53"/>
        <v>1.186714249420346</v>
      </c>
      <c r="CO61" s="316">
        <v>2035</v>
      </c>
      <c r="CP61" s="302">
        <f t="shared" si="97"/>
        <v>2E-3</v>
      </c>
      <c r="CQ61" s="302">
        <f t="shared" si="100"/>
        <v>2E-3</v>
      </c>
      <c r="CR61" s="45"/>
      <c r="CS61" s="316">
        <v>2035</v>
      </c>
      <c r="CT61" s="345">
        <f t="shared" si="84"/>
        <v>2E-3</v>
      </c>
      <c r="CU61" s="345">
        <f t="shared" si="85"/>
        <v>2E-3</v>
      </c>
      <c r="CV61" s="345">
        <f t="shared" si="85"/>
        <v>2E-3</v>
      </c>
      <c r="CW61" s="345">
        <f t="shared" si="85"/>
        <v>2E-3</v>
      </c>
      <c r="CX61" s="345">
        <f t="shared" si="85"/>
        <v>2E-3</v>
      </c>
      <c r="CY61" s="345">
        <f t="shared" si="85"/>
        <v>2E-3</v>
      </c>
      <c r="DA61" s="316">
        <v>2035</v>
      </c>
      <c r="DI61" s="316">
        <v>2035</v>
      </c>
      <c r="DJ61" s="342">
        <f t="shared" si="98"/>
        <v>5.475613402610726E-2</v>
      </c>
      <c r="DK61" s="342">
        <f t="shared" si="86"/>
        <v>5.2886778090110012E-2</v>
      </c>
      <c r="DL61" s="342">
        <f t="shared" si="86"/>
        <v>7.9332382181603933E-2</v>
      </c>
      <c r="DM61" s="342">
        <f t="shared" si="86"/>
        <v>7.8397457889894467E-2</v>
      </c>
      <c r="DN61" s="342">
        <f t="shared" si="86"/>
        <v>3.0212897124007876E-2</v>
      </c>
      <c r="DO61" s="342">
        <f t="shared" si="86"/>
        <v>1.9684330097015108E-2</v>
      </c>
      <c r="DQ61" s="316">
        <v>2035</v>
      </c>
      <c r="DR61" s="46">
        <f t="shared" si="87"/>
        <v>658732.73220950004</v>
      </c>
      <c r="DS61" s="300">
        <v>660.36730474600006</v>
      </c>
      <c r="DT61" s="46">
        <f t="shared" si="87"/>
        <v>633392.3317304448</v>
      </c>
      <c r="DU61" s="300">
        <v>634.65156101817922</v>
      </c>
      <c r="DW61" s="46">
        <f t="shared" si="88"/>
        <v>657925.93526904355</v>
      </c>
      <c r="DX61" s="300">
        <v>659.55850582802373</v>
      </c>
      <c r="DY61" s="46">
        <f t="shared" si="89"/>
        <v>632616.57098505902</v>
      </c>
      <c r="DZ61" s="300">
        <v>633.87425800491008</v>
      </c>
      <c r="EB61" s="316">
        <v>2035</v>
      </c>
      <c r="EC61" s="88">
        <f t="shared" si="56"/>
        <v>5.130842293873776E-2</v>
      </c>
      <c r="ED61" s="88">
        <f t="shared" si="56"/>
        <v>1.0956437674188265E-3</v>
      </c>
      <c r="EE61" s="88">
        <f t="shared" si="56"/>
        <v>3.1103032988417038E-2</v>
      </c>
      <c r="EF61" s="88">
        <f t="shared" si="56"/>
        <v>6.8595069539434299E-3</v>
      </c>
      <c r="EG61" s="302">
        <f t="shared" si="90"/>
        <v>1.1387104766845881E-2</v>
      </c>
      <c r="EH61" s="88">
        <f t="shared" si="57"/>
        <v>2.7890729222749495E-2</v>
      </c>
      <c r="EJ61" s="316">
        <v>2035</v>
      </c>
      <c r="EK61" s="302">
        <f t="shared" si="91"/>
        <v>0.77679657301903215</v>
      </c>
      <c r="EL61" s="88">
        <f t="shared" si="58"/>
        <v>2.3948880445233349E-2</v>
      </c>
      <c r="EM61" s="302">
        <f t="shared" si="92"/>
        <v>0.35359260833380329</v>
      </c>
      <c r="EN61" s="88">
        <f t="shared" si="59"/>
        <v>8.5008187262160487E-2</v>
      </c>
      <c r="EO61" s="88">
        <f t="shared" si="59"/>
        <v>0.35290211533549093</v>
      </c>
      <c r="EP61" s="88">
        <f t="shared" si="59"/>
        <v>1.2684586869945964</v>
      </c>
      <c r="ER61" s="316">
        <v>2035</v>
      </c>
      <c r="ES61" s="317">
        <f t="shared" si="60"/>
        <v>115215.69799999999</v>
      </c>
      <c r="ET61" s="61">
        <v>12457.214</v>
      </c>
      <c r="EU61" s="61">
        <v>64941.881999999998</v>
      </c>
      <c r="EV61" s="61">
        <v>37816.601999999999</v>
      </c>
      <c r="EW61" s="88">
        <f t="shared" si="49"/>
        <v>0.10812080485768528</v>
      </c>
      <c r="EX61" s="88">
        <f t="shared" si="49"/>
        <v>0.56365480683022906</v>
      </c>
      <c r="EY61" s="88">
        <f t="shared" si="49"/>
        <v>0.32822438831208578</v>
      </c>
      <c r="EZ61" s="88">
        <f t="shared" si="50"/>
        <v>-2.8847438765361444E-4</v>
      </c>
      <c r="FA61" s="88">
        <f t="shared" si="50"/>
        <v>-3.9560853935368678E-3</v>
      </c>
      <c r="FB61" s="88">
        <f t="shared" si="50"/>
        <v>4.2445597811905378E-3</v>
      </c>
      <c r="FD61" s="316">
        <v>2035</v>
      </c>
      <c r="FE61" s="308">
        <f t="shared" si="93"/>
        <v>1.3999999999999999E-2</v>
      </c>
      <c r="FF61" s="343">
        <f t="shared" si="101"/>
        <v>1.3999999999999999E-2</v>
      </c>
      <c r="FG61" s="308">
        <f t="shared" si="93"/>
        <v>2E-3</v>
      </c>
      <c r="FH61" s="345">
        <f t="shared" si="101"/>
        <v>2E-3</v>
      </c>
      <c r="FI61" s="319">
        <f t="shared" si="42"/>
        <v>1.1999999999999999E-2</v>
      </c>
      <c r="FK61" s="345">
        <f t="shared" si="61"/>
        <v>2.5165843156287337E-3</v>
      </c>
      <c r="FL61" s="345">
        <f t="shared" si="94"/>
        <v>-1.5997577359119219E-3</v>
      </c>
      <c r="FM61" s="345">
        <f t="shared" si="45"/>
        <v>-9.5470726946878665E-4</v>
      </c>
      <c r="FN61" s="38"/>
      <c r="FO61" s="316">
        <v>2035</v>
      </c>
      <c r="FP61" s="46">
        <f t="shared" si="62"/>
        <v>265658.52133534855</v>
      </c>
      <c r="FQ61" s="46">
        <f t="shared" si="63"/>
        <v>7568.5594330792464</v>
      </c>
      <c r="FR61" s="46">
        <f t="shared" si="95"/>
        <v>167260.70982897223</v>
      </c>
      <c r="FS61" s="46">
        <f t="shared" si="64"/>
        <v>48404.990173137187</v>
      </c>
      <c r="FT61" s="46">
        <f t="shared" si="65"/>
        <v>53179.630348364939</v>
      </c>
      <c r="FU61" s="46">
        <f t="shared" si="66"/>
        <v>154890.22627344407</v>
      </c>
      <c r="FV61" s="46">
        <f t="shared" si="38"/>
        <v>696962.63739234628</v>
      </c>
    </row>
    <row r="62" spans="17:178" hidden="1" outlineLevel="1">
      <c r="Q62" s="316">
        <v>2036</v>
      </c>
      <c r="R62" s="46">
        <f t="shared" si="67"/>
        <v>518114.17022839247</v>
      </c>
      <c r="S62" s="46">
        <f t="shared" si="68"/>
        <v>15676.202563084284</v>
      </c>
      <c r="T62" s="46">
        <f t="shared" si="69"/>
        <v>235280.70350944536</v>
      </c>
      <c r="U62" s="46">
        <f t="shared" si="68"/>
        <v>56112.230197926845</v>
      </c>
      <c r="V62" s="46">
        <f t="shared" si="68"/>
        <v>233255.32756728012</v>
      </c>
      <c r="W62" s="46">
        <f t="shared" si="68"/>
        <v>838195.36200753378</v>
      </c>
      <c r="Y62" s="316">
        <v>2036</v>
      </c>
      <c r="Z62" s="46">
        <f t="shared" si="70"/>
        <v>441475.86376920773</v>
      </c>
      <c r="AA62" s="46">
        <f t="shared" si="71"/>
        <v>13312.696452886983</v>
      </c>
      <c r="AB62" s="46">
        <f t="shared" si="70"/>
        <v>203029.10085512439</v>
      </c>
      <c r="AC62" s="46">
        <f t="shared" si="71"/>
        <v>47637.236054438705</v>
      </c>
      <c r="AD62" s="46">
        <f t="shared" si="71"/>
        <v>202599.90899478245</v>
      </c>
      <c r="AE62" s="46">
        <f t="shared" si="71"/>
        <v>703945.20959862566</v>
      </c>
      <c r="AG62" s="316">
        <v>2036</v>
      </c>
      <c r="AH62" s="48">
        <f t="shared" si="72"/>
        <v>1.1735956883460548</v>
      </c>
      <c r="AI62" s="48">
        <f t="shared" si="51"/>
        <v>1.1775377451564106</v>
      </c>
      <c r="AJ62" s="48">
        <f t="shared" si="51"/>
        <v>1.1588521178416427</v>
      </c>
      <c r="AK62" s="48">
        <f t="shared" si="51"/>
        <v>1.1779069241927285</v>
      </c>
      <c r="AL62" s="48">
        <f t="shared" si="51"/>
        <v>1.1513101300222555</v>
      </c>
      <c r="AM62" s="48">
        <f t="shared" si="51"/>
        <v>1.1907110817409421</v>
      </c>
      <c r="AO62" s="316">
        <v>2036</v>
      </c>
      <c r="AP62" s="302">
        <f t="shared" si="96"/>
        <v>2E-3</v>
      </c>
      <c r="AQ62" s="302">
        <f t="shared" si="99"/>
        <v>2E-3</v>
      </c>
      <c r="AR62" s="44"/>
      <c r="AS62" s="316">
        <v>2036</v>
      </c>
      <c r="AT62" s="345">
        <f t="shared" si="73"/>
        <v>2E-3</v>
      </c>
      <c r="AU62" s="345">
        <f t="shared" si="74"/>
        <v>2E-3</v>
      </c>
      <c r="AV62" s="345">
        <f t="shared" si="74"/>
        <v>2E-3</v>
      </c>
      <c r="AW62" s="345">
        <f t="shared" si="74"/>
        <v>2E-3</v>
      </c>
      <c r="AX62" s="345">
        <f t="shared" si="74"/>
        <v>2E-3</v>
      </c>
      <c r="AY62" s="345">
        <f t="shared" si="74"/>
        <v>2E-3</v>
      </c>
      <c r="BQ62" s="316">
        <v>2036</v>
      </c>
      <c r="BR62" s="346">
        <f t="shared" si="75"/>
        <v>34126.632807339804</v>
      </c>
      <c r="BS62" s="346">
        <f t="shared" si="75"/>
        <v>723.42310100561974</v>
      </c>
      <c r="BT62" s="346">
        <f t="shared" si="75"/>
        <v>20640.83898139052</v>
      </c>
      <c r="BU62" s="346">
        <f t="shared" si="75"/>
        <v>4528.2184398123291</v>
      </c>
      <c r="BV62" s="346">
        <f t="shared" si="76"/>
        <v>7570.4649744556091</v>
      </c>
      <c r="BW62" s="346">
        <f t="shared" si="77"/>
        <v>18409.706041893438</v>
      </c>
      <c r="BY62" s="316">
        <v>2036</v>
      </c>
      <c r="BZ62" s="46">
        <f t="shared" si="78"/>
        <v>29020.086225193576</v>
      </c>
      <c r="CA62" s="300">
        <f t="shared" si="79"/>
        <v>614.06244315645472</v>
      </c>
      <c r="CB62" s="46">
        <f t="shared" si="78"/>
        <v>17836.873458802671</v>
      </c>
      <c r="CC62" s="300">
        <f t="shared" si="80"/>
        <v>3790.4088822884082</v>
      </c>
      <c r="CD62" s="46">
        <f t="shared" si="81"/>
        <v>6632.8531792193116</v>
      </c>
      <c r="CE62" s="300">
        <f t="shared" si="82"/>
        <v>15482.210760193084</v>
      </c>
      <c r="CG62" s="316">
        <v>2036</v>
      </c>
      <c r="CH62" s="48">
        <f t="shared" si="83"/>
        <v>1.1759659341643518</v>
      </c>
      <c r="CI62" s="48">
        <f t="shared" si="53"/>
        <v>1.178093708657739</v>
      </c>
      <c r="CJ62" s="48">
        <f t="shared" si="53"/>
        <v>1.1572005054060674</v>
      </c>
      <c r="CK62" s="48">
        <f t="shared" si="53"/>
        <v>1.1946517065669386</v>
      </c>
      <c r="CL62" s="48">
        <f t="shared" si="53"/>
        <v>1.1413587441033415</v>
      </c>
      <c r="CM62" s="48">
        <f t="shared" si="53"/>
        <v>1.1890876779191866</v>
      </c>
      <c r="CO62" s="316">
        <v>2036</v>
      </c>
      <c r="CP62" s="302">
        <f t="shared" si="97"/>
        <v>2E-3</v>
      </c>
      <c r="CQ62" s="302">
        <f t="shared" si="100"/>
        <v>2E-3</v>
      </c>
      <c r="CR62" s="45"/>
      <c r="CS62" s="316">
        <v>2036</v>
      </c>
      <c r="CT62" s="345">
        <f t="shared" si="84"/>
        <v>2E-3</v>
      </c>
      <c r="CU62" s="345">
        <f t="shared" si="85"/>
        <v>2E-3</v>
      </c>
      <c r="CV62" s="345">
        <f t="shared" si="85"/>
        <v>2E-3</v>
      </c>
      <c r="CW62" s="345">
        <f t="shared" si="85"/>
        <v>2E-3</v>
      </c>
      <c r="CX62" s="345">
        <f t="shared" si="85"/>
        <v>2E-3</v>
      </c>
      <c r="CY62" s="345">
        <f t="shared" si="85"/>
        <v>2E-3</v>
      </c>
      <c r="DA62" s="316">
        <v>2036</v>
      </c>
      <c r="DI62" s="316">
        <v>2036</v>
      </c>
      <c r="DJ62" s="342">
        <f t="shared" si="98"/>
        <v>5.475613402610726E-2</v>
      </c>
      <c r="DK62" s="342">
        <f t="shared" si="86"/>
        <v>5.2886778090110012E-2</v>
      </c>
      <c r="DL62" s="342">
        <f t="shared" si="86"/>
        <v>7.9332382181603933E-2</v>
      </c>
      <c r="DM62" s="342">
        <f t="shared" si="86"/>
        <v>7.8397457889894467E-2</v>
      </c>
      <c r="DN62" s="342">
        <f t="shared" si="86"/>
        <v>3.0212897124007876E-2</v>
      </c>
      <c r="DO62" s="342">
        <f t="shared" si="86"/>
        <v>1.9684330097015108E-2</v>
      </c>
      <c r="DQ62" s="316">
        <v>2036</v>
      </c>
      <c r="DR62" s="46">
        <f t="shared" si="87"/>
        <v>665320.05953159509</v>
      </c>
      <c r="DS62" s="61">
        <v>666.97097779346007</v>
      </c>
      <c r="DT62" s="46">
        <f t="shared" si="87"/>
        <v>638459.47038428823</v>
      </c>
      <c r="DU62" s="61">
        <v>639.72877350632461</v>
      </c>
      <c r="DW62" s="46">
        <f t="shared" si="88"/>
        <v>664505.19462173386</v>
      </c>
      <c r="DX62" s="61">
        <v>666.15409088630395</v>
      </c>
      <c r="DY62" s="46">
        <f t="shared" si="89"/>
        <v>637677.50355293963</v>
      </c>
      <c r="DZ62" s="61">
        <v>638.94525206894934</v>
      </c>
      <c r="EB62" s="316">
        <v>2036</v>
      </c>
      <c r="EC62" s="88">
        <f t="shared" si="56"/>
        <v>5.1293557617015123E-2</v>
      </c>
      <c r="ED62" s="88">
        <f t="shared" si="56"/>
        <v>1.0873309629577843E-3</v>
      </c>
      <c r="EE62" s="88">
        <f t="shared" si="56"/>
        <v>3.1023924028267355E-2</v>
      </c>
      <c r="EF62" s="88">
        <f t="shared" si="56"/>
        <v>6.806075324108412E-3</v>
      </c>
      <c r="EG62" s="302">
        <f t="shared" si="90"/>
        <v>1.1378681381988451E-2</v>
      </c>
      <c r="EH62" s="88">
        <f t="shared" si="57"/>
        <v>2.7670450902764623E-2</v>
      </c>
      <c r="EJ62" s="316">
        <v>2036</v>
      </c>
      <c r="EK62" s="302">
        <f t="shared" si="91"/>
        <v>0.77969920238671164</v>
      </c>
      <c r="EL62" s="88">
        <f t="shared" si="58"/>
        <v>2.3590790094587418E-2</v>
      </c>
      <c r="EM62" s="302">
        <f t="shared" si="92"/>
        <v>0.35406902069949608</v>
      </c>
      <c r="EN62" s="88">
        <f t="shared" si="59"/>
        <v>8.4442124233307825E-2</v>
      </c>
      <c r="EO62" s="88">
        <f t="shared" si="59"/>
        <v>0.35102107471117588</v>
      </c>
      <c r="EP62" s="88">
        <f t="shared" si="59"/>
        <v>1.2613827082039173</v>
      </c>
      <c r="ER62" s="316">
        <v>2036</v>
      </c>
      <c r="ES62" s="317">
        <f t="shared" si="60"/>
        <v>114382.59700000001</v>
      </c>
      <c r="ET62" s="61">
        <v>12344.484</v>
      </c>
      <c r="EU62" s="61">
        <v>63953.892</v>
      </c>
      <c r="EV62" s="61">
        <v>38084.220999999998</v>
      </c>
      <c r="EW62" s="88">
        <f t="shared" ref="EW62:EY66" si="102">ET62/$ES62</f>
        <v>0.10792274632477526</v>
      </c>
      <c r="EX62" s="88">
        <f t="shared" si="102"/>
        <v>0.55912257351526995</v>
      </c>
      <c r="EY62" s="88">
        <f t="shared" si="102"/>
        <v>0.33295468015995472</v>
      </c>
      <c r="EZ62" s="88">
        <f t="shared" ref="EZ62:FB66" si="103">EW62-EW61</f>
        <v>-1.9805853291002262E-4</v>
      </c>
      <c r="FA62" s="88">
        <f t="shared" si="103"/>
        <v>-4.532233314959111E-3</v>
      </c>
      <c r="FB62" s="88">
        <f t="shared" si="103"/>
        <v>4.7302918478689393E-3</v>
      </c>
      <c r="FD62" s="316">
        <v>2036</v>
      </c>
      <c r="FE62" s="308">
        <f t="shared" si="93"/>
        <v>1.3999999999999999E-2</v>
      </c>
      <c r="FF62" s="343">
        <f t="shared" si="101"/>
        <v>1.3999999999999999E-2</v>
      </c>
      <c r="FG62" s="308">
        <f t="shared" si="93"/>
        <v>2E-3</v>
      </c>
      <c r="FH62" s="345">
        <f t="shared" si="101"/>
        <v>2E-3</v>
      </c>
      <c r="FI62" s="319">
        <f t="shared" si="42"/>
        <v>1.1999999999999999E-2</v>
      </c>
      <c r="FK62" s="345">
        <f t="shared" si="61"/>
        <v>2.8824676379060055E-3</v>
      </c>
      <c r="FL62" s="345">
        <f t="shared" si="94"/>
        <v>-1.5566436959241758E-3</v>
      </c>
      <c r="FM62" s="345">
        <f t="shared" si="45"/>
        <v>-8.4830537732532262E-4</v>
      </c>
      <c r="FN62" s="38"/>
      <c r="FO62" s="316">
        <v>2036</v>
      </c>
      <c r="FP62" s="46">
        <f t="shared" si="62"/>
        <v>267701.96508240886</v>
      </c>
      <c r="FQ62" s="46">
        <f t="shared" si="63"/>
        <v>7571.1048478861221</v>
      </c>
      <c r="FR62" s="46">
        <f t="shared" si="95"/>
        <v>168167.3091307696</v>
      </c>
      <c r="FS62" s="46">
        <f t="shared" si="64"/>
        <v>48411.399658511589</v>
      </c>
      <c r="FT62" s="46">
        <f t="shared" si="65"/>
        <v>53564.565558376722</v>
      </c>
      <c r="FU62" s="46">
        <f t="shared" si="66"/>
        <v>154893.79961643627</v>
      </c>
      <c r="FV62" s="46">
        <f t="shared" si="38"/>
        <v>700310.14389438904</v>
      </c>
    </row>
    <row r="63" spans="17:178" hidden="1" outlineLevel="1">
      <c r="Q63" s="316">
        <v>2037</v>
      </c>
      <c r="R63" s="46">
        <f t="shared" si="67"/>
        <v>525005.29748762224</v>
      </c>
      <c r="S63" s="46">
        <f t="shared" si="68"/>
        <v>15601.715568226673</v>
      </c>
      <c r="T63" s="46">
        <f t="shared" si="69"/>
        <v>237881.83799103883</v>
      </c>
      <c r="U63" s="46">
        <f t="shared" si="68"/>
        <v>56290.545042422651</v>
      </c>
      <c r="V63" s="46">
        <f t="shared" si="68"/>
        <v>234341.19011304056</v>
      </c>
      <c r="W63" s="46">
        <f t="shared" si="68"/>
        <v>841809.53254041949</v>
      </c>
      <c r="Y63" s="316">
        <v>2037</v>
      </c>
      <c r="Z63" s="46">
        <f t="shared" si="70"/>
        <v>446454.76114571415</v>
      </c>
      <c r="AA63" s="46">
        <f t="shared" si="71"/>
        <v>13222.9938984416</v>
      </c>
      <c r="AB63" s="46">
        <f t="shared" si="70"/>
        <v>204863.95139469751</v>
      </c>
      <c r="AC63" s="46">
        <f t="shared" si="71"/>
        <v>47693.232386416144</v>
      </c>
      <c r="AD63" s="46">
        <f t="shared" si="71"/>
        <v>203136.78923511817</v>
      </c>
      <c r="AE63" s="46">
        <f t="shared" si="71"/>
        <v>705569.37520399923</v>
      </c>
      <c r="AG63" s="316">
        <v>2037</v>
      </c>
      <c r="AH63" s="48">
        <f t="shared" si="72"/>
        <v>1.1759428797227469</v>
      </c>
      <c r="AI63" s="48">
        <f t="shared" si="51"/>
        <v>1.1798928206467234</v>
      </c>
      <c r="AJ63" s="48">
        <f t="shared" si="51"/>
        <v>1.1611698220773259</v>
      </c>
      <c r="AK63" s="48">
        <f t="shared" si="51"/>
        <v>1.1802627380411139</v>
      </c>
      <c r="AL63" s="48">
        <f t="shared" si="51"/>
        <v>1.1536127502822999</v>
      </c>
      <c r="AM63" s="48">
        <f t="shared" si="51"/>
        <v>1.193092503904424</v>
      </c>
      <c r="AO63" s="316">
        <v>2037</v>
      </c>
      <c r="AP63" s="302">
        <f t="shared" si="96"/>
        <v>2E-3</v>
      </c>
      <c r="AQ63" s="302">
        <f t="shared" si="99"/>
        <v>2E-3</v>
      </c>
      <c r="AR63" s="44"/>
      <c r="AS63" s="316">
        <v>2037</v>
      </c>
      <c r="AT63" s="345">
        <f t="shared" si="73"/>
        <v>2E-3</v>
      </c>
      <c r="AU63" s="345">
        <f t="shared" si="74"/>
        <v>2E-3</v>
      </c>
      <c r="AV63" s="345">
        <f t="shared" si="74"/>
        <v>2E-3</v>
      </c>
      <c r="AW63" s="345">
        <f t="shared" si="74"/>
        <v>2E-3</v>
      </c>
      <c r="AX63" s="345">
        <f t="shared" si="74"/>
        <v>2E-3</v>
      </c>
      <c r="AY63" s="345">
        <f t="shared" si="74"/>
        <v>2E-3</v>
      </c>
      <c r="BQ63" s="316">
        <v>2037</v>
      </c>
      <c r="BR63" s="346">
        <f t="shared" si="75"/>
        <v>34350.804294655522</v>
      </c>
      <c r="BS63" s="346">
        <f t="shared" si="75"/>
        <v>725.22482052778685</v>
      </c>
      <c r="BT63" s="346">
        <f t="shared" si="75"/>
        <v>20803.590633691278</v>
      </c>
      <c r="BU63" s="346">
        <f t="shared" si="75"/>
        <v>4537.5449976838036</v>
      </c>
      <c r="BV63" s="346">
        <f t="shared" si="76"/>
        <v>7614.3768001893877</v>
      </c>
      <c r="BW63" s="346">
        <f t="shared" si="77"/>
        <v>18444.910685484661</v>
      </c>
      <c r="BY63" s="316">
        <v>2037</v>
      </c>
      <c r="BZ63" s="46">
        <f t="shared" si="78"/>
        <v>29152.408942344598</v>
      </c>
      <c r="CA63" s="300">
        <f t="shared" si="79"/>
        <v>614.36306863944708</v>
      </c>
      <c r="CB63" s="46">
        <f t="shared" si="78"/>
        <v>17941.632762599242</v>
      </c>
      <c r="CC63" s="300">
        <f t="shared" si="80"/>
        <v>3790.6345395462613</v>
      </c>
      <c r="CD63" s="46">
        <f t="shared" si="81"/>
        <v>6658.0104481284225</v>
      </c>
      <c r="CE63" s="300">
        <f t="shared" si="82"/>
        <v>15480.855481325358</v>
      </c>
      <c r="CG63" s="316">
        <v>2037</v>
      </c>
      <c r="CH63" s="48">
        <f t="shared" si="83"/>
        <v>1.1783178660326805</v>
      </c>
      <c r="CI63" s="48">
        <f t="shared" si="83"/>
        <v>1.1804498960750545</v>
      </c>
      <c r="CJ63" s="48">
        <f t="shared" si="83"/>
        <v>1.1595149064168795</v>
      </c>
      <c r="CK63" s="48">
        <f t="shared" si="83"/>
        <v>1.1970410099800726</v>
      </c>
      <c r="CL63" s="48">
        <f t="shared" si="83"/>
        <v>1.1436414615915482</v>
      </c>
      <c r="CM63" s="48">
        <f t="shared" si="83"/>
        <v>1.1914658532750249</v>
      </c>
      <c r="CO63" s="316">
        <v>2037</v>
      </c>
      <c r="CP63" s="302">
        <f t="shared" si="97"/>
        <v>2E-3</v>
      </c>
      <c r="CQ63" s="302">
        <f t="shared" si="100"/>
        <v>2E-3</v>
      </c>
      <c r="CR63" s="45"/>
      <c r="CS63" s="316">
        <v>2037</v>
      </c>
      <c r="CT63" s="345">
        <f t="shared" si="84"/>
        <v>2E-3</v>
      </c>
      <c r="CU63" s="345">
        <f t="shared" si="85"/>
        <v>2E-3</v>
      </c>
      <c r="CV63" s="345">
        <f t="shared" si="85"/>
        <v>2E-3</v>
      </c>
      <c r="CW63" s="345">
        <f t="shared" si="85"/>
        <v>2E-3</v>
      </c>
      <c r="CX63" s="345">
        <f t="shared" si="85"/>
        <v>2E-3</v>
      </c>
      <c r="CY63" s="345">
        <f t="shared" si="85"/>
        <v>2E-3</v>
      </c>
      <c r="DA63" s="316">
        <v>2037</v>
      </c>
      <c r="DI63" s="316">
        <v>2037</v>
      </c>
      <c r="DJ63" s="342">
        <f t="shared" si="98"/>
        <v>5.475613402610726E-2</v>
      </c>
      <c r="DK63" s="342">
        <f t="shared" si="86"/>
        <v>5.2886778090110012E-2</v>
      </c>
      <c r="DL63" s="342">
        <f t="shared" si="86"/>
        <v>7.9332382181603933E-2</v>
      </c>
      <c r="DM63" s="342">
        <f t="shared" si="86"/>
        <v>7.8397457889894467E-2</v>
      </c>
      <c r="DN63" s="342">
        <f t="shared" si="86"/>
        <v>3.0212897124007876E-2</v>
      </c>
      <c r="DO63" s="342">
        <f t="shared" si="86"/>
        <v>1.9684330097015108E-2</v>
      </c>
      <c r="DQ63" s="316">
        <v>2037</v>
      </c>
      <c r="DR63" s="46">
        <f t="shared" si="87"/>
        <v>671973.26012691099</v>
      </c>
      <c r="DS63" s="61">
        <v>673.64068757139466</v>
      </c>
      <c r="DT63" s="46">
        <f t="shared" si="87"/>
        <v>643567.14614736254</v>
      </c>
      <c r="DU63" s="61">
        <v>644.84660369437518</v>
      </c>
      <c r="DW63" s="46">
        <f t="shared" si="88"/>
        <v>671150.2465679514</v>
      </c>
      <c r="DX63" s="61">
        <v>672.81563179516718</v>
      </c>
      <c r="DY63" s="46">
        <f t="shared" si="89"/>
        <v>642778.92358136305</v>
      </c>
      <c r="DZ63" s="61">
        <v>644.05681408550095</v>
      </c>
      <c r="EB63" s="316">
        <v>2037</v>
      </c>
      <c r="EC63" s="88">
        <f t="shared" si="56"/>
        <v>5.1119302408205829E-2</v>
      </c>
      <c r="ED63" s="88">
        <f t="shared" si="56"/>
        <v>1.0792465467908926E-3</v>
      </c>
      <c r="EE63" s="88">
        <f t="shared" si="56"/>
        <v>3.0958956059891796E-2</v>
      </c>
      <c r="EF63" s="88">
        <f t="shared" si="56"/>
        <v>6.7525677983478515E-3</v>
      </c>
      <c r="EG63" s="302">
        <f t="shared" si="90"/>
        <v>1.1331368749332842E-2</v>
      </c>
      <c r="EH63" s="88">
        <f t="shared" si="57"/>
        <v>2.7448875989501572E-2</v>
      </c>
      <c r="EJ63" s="316">
        <v>2037</v>
      </c>
      <c r="EK63" s="302">
        <f t="shared" si="91"/>
        <v>0.78224704553463564</v>
      </c>
      <c r="EL63" s="88">
        <f t="shared" si="58"/>
        <v>2.3246233832154392E-2</v>
      </c>
      <c r="EM63" s="302">
        <f t="shared" si="92"/>
        <v>0.35443902346380829</v>
      </c>
      <c r="EN63" s="88">
        <f t="shared" si="59"/>
        <v>8.3871749031270676E-2</v>
      </c>
      <c r="EO63" s="88">
        <f t="shared" si="59"/>
        <v>0.34916353128287858</v>
      </c>
      <c r="EP63" s="88">
        <f t="shared" si="59"/>
        <v>1.2542788099165059</v>
      </c>
      <c r="ER63" s="316">
        <v>2037</v>
      </c>
      <c r="ES63" s="317">
        <f t="shared" si="60"/>
        <v>113534.84299999999</v>
      </c>
      <c r="ET63" s="61">
        <v>12238.57</v>
      </c>
      <c r="EU63" s="61">
        <v>62905.048000000003</v>
      </c>
      <c r="EV63" s="61">
        <v>38391.224999999999</v>
      </c>
      <c r="EW63" s="88">
        <f t="shared" si="102"/>
        <v>0.10779571871165577</v>
      </c>
      <c r="EX63" s="88">
        <f t="shared" si="102"/>
        <v>0.55405940888120142</v>
      </c>
      <c r="EY63" s="88">
        <f t="shared" si="102"/>
        <v>0.33814487240714292</v>
      </c>
      <c r="EZ63" s="88">
        <f t="shared" si="103"/>
        <v>-1.2702761311948751E-4</v>
      </c>
      <c r="FA63" s="88">
        <f t="shared" si="103"/>
        <v>-5.0631646340685288E-3</v>
      </c>
      <c r="FB63" s="88">
        <f t="shared" si="103"/>
        <v>5.1901922471881967E-3</v>
      </c>
      <c r="FD63" s="316">
        <v>2037</v>
      </c>
      <c r="FE63" s="308">
        <f t="shared" si="93"/>
        <v>1.3999999999999999E-2</v>
      </c>
      <c r="FF63" s="343">
        <f t="shared" si="101"/>
        <v>1.3999999999999999E-2</v>
      </c>
      <c r="FG63" s="308">
        <f t="shared" si="93"/>
        <v>2E-3</v>
      </c>
      <c r="FH63" s="345">
        <f t="shared" si="101"/>
        <v>2E-3</v>
      </c>
      <c r="FI63" s="319">
        <f t="shared" si="42"/>
        <v>1.1999999999999999E-2</v>
      </c>
      <c r="FK63" s="345">
        <f t="shared" si="61"/>
        <v>3.3741972047796054E-3</v>
      </c>
      <c r="FL63" s="345">
        <f t="shared" si="94"/>
        <v>-1.5270411712138277E-3</v>
      </c>
      <c r="FM63" s="345">
        <f t="shared" si="45"/>
        <v>-8.0541098751008011E-4</v>
      </c>
      <c r="FN63" s="38"/>
      <c r="FO63" s="316">
        <v>2037</v>
      </c>
      <c r="FP63" s="46">
        <f t="shared" si="62"/>
        <v>268922.60416430171</v>
      </c>
      <c r="FQ63" s="46">
        <f t="shared" si="63"/>
        <v>7574.8114205271422</v>
      </c>
      <c r="FR63" s="46">
        <f t="shared" si="95"/>
        <v>169154.98728336577</v>
      </c>
      <c r="FS63" s="46">
        <f t="shared" si="64"/>
        <v>48414.281770715046</v>
      </c>
      <c r="FT63" s="46">
        <f t="shared" si="65"/>
        <v>53767.726723465312</v>
      </c>
      <c r="FU63" s="46">
        <f t="shared" si="66"/>
        <v>154880.24055199683</v>
      </c>
      <c r="FV63" s="46">
        <f t="shared" si="38"/>
        <v>702714.65191437176</v>
      </c>
    </row>
    <row r="64" spans="17:178" hidden="1" outlineLevel="1">
      <c r="Q64" s="316">
        <v>2038</v>
      </c>
      <c r="R64" s="46">
        <f t="shared" si="67"/>
        <v>531679.77666270395</v>
      </c>
      <c r="S64" s="46">
        <f t="shared" si="68"/>
        <v>15532.683450893241</v>
      </c>
      <c r="T64" s="46">
        <f t="shared" si="69"/>
        <v>240434.56188553912</v>
      </c>
      <c r="U64" s="46">
        <f t="shared" si="68"/>
        <v>56464.148990919268</v>
      </c>
      <c r="V64" s="46">
        <f t="shared" si="68"/>
        <v>235446.21120194782</v>
      </c>
      <c r="W64" s="46">
        <f t="shared" si="68"/>
        <v>845394.17065570655</v>
      </c>
      <c r="Y64" s="316">
        <v>2038</v>
      </c>
      <c r="Z64" s="46">
        <f t="shared" si="70"/>
        <v>451228.15804509248</v>
      </c>
      <c r="AA64" s="46">
        <f t="shared" si="71"/>
        <v>13138.210369154573</v>
      </c>
      <c r="AB64" s="46">
        <f t="shared" si="70"/>
        <v>206649.06029946671</v>
      </c>
      <c r="AC64" s="46">
        <f t="shared" si="71"/>
        <v>47744.831961948163</v>
      </c>
      <c r="AD64" s="46">
        <f t="shared" si="71"/>
        <v>203687.29335479153</v>
      </c>
      <c r="AE64" s="46">
        <f t="shared" si="71"/>
        <v>707159.54913837195</v>
      </c>
      <c r="AG64" s="316">
        <v>2038</v>
      </c>
      <c r="AH64" s="48">
        <f t="shared" si="72"/>
        <v>1.1782947654821925</v>
      </c>
      <c r="AI64" s="48">
        <f t="shared" si="51"/>
        <v>1.1822526062880168</v>
      </c>
      <c r="AJ64" s="48">
        <f t="shared" si="51"/>
        <v>1.1634921617214806</v>
      </c>
      <c r="AK64" s="48">
        <f t="shared" si="51"/>
        <v>1.182623263517196</v>
      </c>
      <c r="AL64" s="48">
        <f t="shared" si="51"/>
        <v>1.1559199757828644</v>
      </c>
      <c r="AM64" s="48">
        <f t="shared" si="51"/>
        <v>1.1954786889122329</v>
      </c>
      <c r="AO64" s="316">
        <v>2038</v>
      </c>
      <c r="AP64" s="302">
        <f t="shared" si="96"/>
        <v>2E-3</v>
      </c>
      <c r="AQ64" s="302">
        <f t="shared" si="99"/>
        <v>2E-3</v>
      </c>
      <c r="AR64" s="44"/>
      <c r="AS64" s="316">
        <v>2038</v>
      </c>
      <c r="AT64" s="345">
        <f t="shared" si="73"/>
        <v>2E-3</v>
      </c>
      <c r="AU64" s="345">
        <f t="shared" ref="AU64:AY66" si="104">AT64</f>
        <v>2E-3</v>
      </c>
      <c r="AV64" s="345">
        <f t="shared" si="104"/>
        <v>2E-3</v>
      </c>
      <c r="AW64" s="345">
        <f t="shared" si="104"/>
        <v>2E-3</v>
      </c>
      <c r="AX64" s="345">
        <f t="shared" si="104"/>
        <v>2E-3</v>
      </c>
      <c r="AY64" s="345">
        <f t="shared" si="104"/>
        <v>2E-3</v>
      </c>
      <c r="BQ64" s="316">
        <v>2038</v>
      </c>
      <c r="BR64" s="346">
        <f t="shared" si="75"/>
        <v>34498.758318978194</v>
      </c>
      <c r="BS64" s="346">
        <f t="shared" si="75"/>
        <v>726.88219826592103</v>
      </c>
      <c r="BT64" s="346">
        <f t="shared" si="75"/>
        <v>20956.526403508946</v>
      </c>
      <c r="BU64" s="346">
        <f t="shared" si="75"/>
        <v>4546.6119478721748</v>
      </c>
      <c r="BV64" s="346">
        <f t="shared" si="76"/>
        <v>7663.8053236799014</v>
      </c>
      <c r="BW64" s="346">
        <f t="shared" si="77"/>
        <v>18479.387667913819</v>
      </c>
      <c r="BY64" s="316">
        <v>2038</v>
      </c>
      <c r="BZ64" s="46">
        <f t="shared" si="78"/>
        <v>29219.533637266781</v>
      </c>
      <c r="CA64" s="300">
        <f t="shared" si="79"/>
        <v>614.53801470673159</v>
      </c>
      <c r="CB64" s="46">
        <f t="shared" si="78"/>
        <v>18037.454192046862</v>
      </c>
      <c r="CC64" s="300">
        <f t="shared" si="80"/>
        <v>3790.6277531790365</v>
      </c>
      <c r="CD64" s="46">
        <f t="shared" si="81"/>
        <v>6687.8550349352727</v>
      </c>
      <c r="CE64" s="300">
        <f t="shared" si="82"/>
        <v>15478.834422232978</v>
      </c>
      <c r="CG64" s="316">
        <v>2038</v>
      </c>
      <c r="CH64" s="48">
        <f t="shared" si="83"/>
        <v>1.180674501764746</v>
      </c>
      <c r="CI64" s="48">
        <f t="shared" si="83"/>
        <v>1.1828107958672045</v>
      </c>
      <c r="CJ64" s="48">
        <f t="shared" si="83"/>
        <v>1.1618339362297132</v>
      </c>
      <c r="CK64" s="48">
        <f t="shared" si="83"/>
        <v>1.1994350920000327</v>
      </c>
      <c r="CL64" s="48">
        <f t="shared" si="83"/>
        <v>1.1459287445147313</v>
      </c>
      <c r="CM64" s="48">
        <f t="shared" si="83"/>
        <v>1.1938487849815749</v>
      </c>
      <c r="CO64" s="316">
        <v>2038</v>
      </c>
      <c r="CP64" s="302">
        <f t="shared" si="97"/>
        <v>2E-3</v>
      </c>
      <c r="CQ64" s="302">
        <f t="shared" si="100"/>
        <v>2E-3</v>
      </c>
      <c r="CR64" s="45"/>
      <c r="CS64" s="316">
        <v>2038</v>
      </c>
      <c r="CT64" s="345">
        <f t="shared" si="84"/>
        <v>2E-3</v>
      </c>
      <c r="CU64" s="345">
        <f t="shared" ref="CU64:CY66" si="105">CT64</f>
        <v>2E-3</v>
      </c>
      <c r="CV64" s="345">
        <f t="shared" si="105"/>
        <v>2E-3</v>
      </c>
      <c r="CW64" s="345">
        <f t="shared" si="105"/>
        <v>2E-3</v>
      </c>
      <c r="CX64" s="345">
        <f t="shared" si="105"/>
        <v>2E-3</v>
      </c>
      <c r="CY64" s="345">
        <f t="shared" si="105"/>
        <v>2E-3</v>
      </c>
      <c r="DA64" s="316">
        <v>2038</v>
      </c>
      <c r="DI64" s="316">
        <v>2038</v>
      </c>
      <c r="DJ64" s="342">
        <f t="shared" si="98"/>
        <v>5.475613402610726E-2</v>
      </c>
      <c r="DK64" s="342">
        <f t="shared" si="98"/>
        <v>5.2886778090110012E-2</v>
      </c>
      <c r="DL64" s="342">
        <f t="shared" si="98"/>
        <v>7.9332382181603933E-2</v>
      </c>
      <c r="DM64" s="342">
        <f t="shared" si="98"/>
        <v>7.8397457889894467E-2</v>
      </c>
      <c r="DN64" s="342">
        <f t="shared" si="98"/>
        <v>3.0212897124007876E-2</v>
      </c>
      <c r="DO64" s="342">
        <f t="shared" si="98"/>
        <v>1.9684330097015108E-2</v>
      </c>
      <c r="DQ64" s="316">
        <v>2038</v>
      </c>
      <c r="DR64" s="46">
        <f t="shared" ref="DR64:DT66" si="106">(DS63/4+DS64*3/4)*1000</f>
        <v>678692.99272818014</v>
      </c>
      <c r="DS64" s="61">
        <v>680.37709444710856</v>
      </c>
      <c r="DT64" s="46">
        <f t="shared" si="106"/>
        <v>648715.68331654149</v>
      </c>
      <c r="DU64" s="61">
        <v>650.00537652393018</v>
      </c>
      <c r="DW64" s="46">
        <f t="shared" si="88"/>
        <v>677861.74903363083</v>
      </c>
      <c r="DX64" s="61">
        <v>679.54378811311881</v>
      </c>
      <c r="DY64" s="46">
        <f t="shared" si="89"/>
        <v>647921.154970014</v>
      </c>
      <c r="DZ64" s="61">
        <v>649.20926859818496</v>
      </c>
      <c r="EB64" s="316">
        <v>2038</v>
      </c>
      <c r="EC64" s="88">
        <f t="shared" si="56"/>
        <v>5.0831169156913804E-2</v>
      </c>
      <c r="ED64" s="88">
        <f t="shared" si="56"/>
        <v>1.0710029513403875E-3</v>
      </c>
      <c r="EE64" s="88">
        <f t="shared" si="56"/>
        <v>3.0877770402886917E-2</v>
      </c>
      <c r="EF64" s="88">
        <f t="shared" si="56"/>
        <v>6.6990701194599121E-3</v>
      </c>
      <c r="EG64" s="302">
        <f t="shared" si="90"/>
        <v>1.129200596704745E-2</v>
      </c>
      <c r="EH64" s="88">
        <f t="shared" si="57"/>
        <v>2.7227904024220425E-2</v>
      </c>
      <c r="EJ64" s="316">
        <v>2038</v>
      </c>
      <c r="EK64" s="302">
        <f t="shared" si="91"/>
        <v>0.78434839762042041</v>
      </c>
      <c r="EL64" s="88">
        <f t="shared" si="58"/>
        <v>2.2914235053145941E-2</v>
      </c>
      <c r="EM64" s="302">
        <f t="shared" si="92"/>
        <v>0.35469557358606824</v>
      </c>
      <c r="EN64" s="88">
        <f t="shared" si="59"/>
        <v>8.3297440918321988E-2</v>
      </c>
      <c r="EO64" s="88">
        <f t="shared" si="59"/>
        <v>0.34733662363690415</v>
      </c>
      <c r="EP64" s="88">
        <f t="shared" si="59"/>
        <v>1.2471483630119449</v>
      </c>
      <c r="ER64" s="316">
        <v>2038</v>
      </c>
      <c r="ES64" s="317">
        <f t="shared" si="60"/>
        <v>112673.864</v>
      </c>
      <c r="ET64" s="61">
        <v>12136.862999999999</v>
      </c>
      <c r="EU64" s="61">
        <v>61813.150999999998</v>
      </c>
      <c r="EV64" s="61">
        <v>38723.85</v>
      </c>
      <c r="EW64" s="88">
        <f t="shared" si="102"/>
        <v>0.10771675496990145</v>
      </c>
      <c r="EX64" s="88">
        <f t="shared" si="102"/>
        <v>0.54860238928168825</v>
      </c>
      <c r="EY64" s="88">
        <f t="shared" si="102"/>
        <v>0.34368085574841029</v>
      </c>
      <c r="EZ64" s="88">
        <f t="shared" si="103"/>
        <v>-7.8963741754325967E-5</v>
      </c>
      <c r="FA64" s="88">
        <f t="shared" si="103"/>
        <v>-5.4570195995131687E-3</v>
      </c>
      <c r="FB64" s="88">
        <f t="shared" si="103"/>
        <v>5.5359833412673698E-3</v>
      </c>
      <c r="FD64" s="316">
        <v>2038</v>
      </c>
      <c r="FE64" s="308">
        <f t="shared" ref="FE64:FG66" si="107">(FF63/4+FF64*3/4)</f>
        <v>1.3999999999999999E-2</v>
      </c>
      <c r="FF64" s="343">
        <f t="shared" si="101"/>
        <v>1.3999999999999999E-2</v>
      </c>
      <c r="FG64" s="308">
        <f t="shared" si="107"/>
        <v>2E-3</v>
      </c>
      <c r="FH64" s="345">
        <f t="shared" si="101"/>
        <v>2E-3</v>
      </c>
      <c r="FI64" s="319">
        <f t="shared" si="42"/>
        <v>1.1999999999999999E-2</v>
      </c>
      <c r="FK64" s="345">
        <f t="shared" si="61"/>
        <v>3.9854059874711023E-3</v>
      </c>
      <c r="FL64" s="345">
        <f t="shared" si="94"/>
        <v>-1.5008267024571587E-3</v>
      </c>
      <c r="FM64" s="345">
        <f t="shared" si="45"/>
        <v>-7.8373417271494945E-4</v>
      </c>
      <c r="FN64" s="38"/>
      <c r="FO64" s="316">
        <v>2038</v>
      </c>
      <c r="FP64" s="46">
        <f t="shared" si="62"/>
        <v>269541.81020651624</v>
      </c>
      <c r="FQ64" s="46">
        <f t="shared" si="63"/>
        <v>7576.9684243186912</v>
      </c>
      <c r="FR64" s="46">
        <f t="shared" si="95"/>
        <v>170058.39852213967</v>
      </c>
      <c r="FS64" s="46">
        <f t="shared" si="64"/>
        <v>48414.195094700364</v>
      </c>
      <c r="FT64" s="46">
        <f t="shared" si="65"/>
        <v>54008.741002446586</v>
      </c>
      <c r="FU64" s="46">
        <f t="shared" si="66"/>
        <v>154860.02060234515</v>
      </c>
      <c r="FV64" s="46">
        <f t="shared" si="38"/>
        <v>704460.13385246671</v>
      </c>
    </row>
    <row r="65" spans="17:178" hidden="1" outlineLevel="1">
      <c r="Q65" s="316">
        <v>2039</v>
      </c>
      <c r="R65" s="46">
        <f t="shared" si="67"/>
        <v>538084.67776775127</v>
      </c>
      <c r="S65" s="46">
        <f t="shared" si="68"/>
        <v>15468.53305367447</v>
      </c>
      <c r="T65" s="46">
        <f t="shared" si="69"/>
        <v>242936.12551598449</v>
      </c>
      <c r="U65" s="46">
        <f t="shared" si="68"/>
        <v>56633.162895245601</v>
      </c>
      <c r="V65" s="46">
        <f t="shared" si="68"/>
        <v>236561.87381038902</v>
      </c>
      <c r="W65" s="46">
        <f t="shared" si="68"/>
        <v>848951.68238668621</v>
      </c>
      <c r="Y65" s="316">
        <v>2039</v>
      </c>
      <c r="Z65" s="46">
        <f t="shared" si="70"/>
        <v>455752.39081630076</v>
      </c>
      <c r="AA65" s="46">
        <f t="shared" si="71"/>
        <v>13057.833542586583</v>
      </c>
      <c r="AB65" s="46">
        <f t="shared" si="70"/>
        <v>208382.34329926092</v>
      </c>
      <c r="AC65" s="46">
        <f t="shared" si="71"/>
        <v>47792.162046475656</v>
      </c>
      <c r="AD65" s="46">
        <f t="shared" si="71"/>
        <v>204243.97827509692</v>
      </c>
      <c r="AE65" s="46">
        <f t="shared" si="71"/>
        <v>708717.91852810455</v>
      </c>
      <c r="AG65" s="316">
        <v>2039</v>
      </c>
      <c r="AH65" s="48">
        <f t="shared" si="72"/>
        <v>1.1806513550131568</v>
      </c>
      <c r="AI65" s="48">
        <f t="shared" si="51"/>
        <v>1.1846171115005928</v>
      </c>
      <c r="AJ65" s="48">
        <f t="shared" si="51"/>
        <v>1.1658191460449236</v>
      </c>
      <c r="AK65" s="48">
        <f t="shared" si="51"/>
        <v>1.1849885100442303</v>
      </c>
      <c r="AL65" s="48">
        <f t="shared" si="51"/>
        <v>1.1582318157344302</v>
      </c>
      <c r="AM65" s="48">
        <f t="shared" si="51"/>
        <v>1.1978696462900573</v>
      </c>
      <c r="AO65" s="316">
        <v>2039</v>
      </c>
      <c r="AP65" s="302">
        <f t="shared" si="96"/>
        <v>2E-3</v>
      </c>
      <c r="AQ65" s="302">
        <f t="shared" si="99"/>
        <v>2E-3</v>
      </c>
      <c r="AR65" s="44"/>
      <c r="AS65" s="316">
        <v>2039</v>
      </c>
      <c r="AT65" s="345">
        <f t="shared" si="73"/>
        <v>2E-3</v>
      </c>
      <c r="AU65" s="345">
        <f t="shared" si="104"/>
        <v>2E-3</v>
      </c>
      <c r="AV65" s="345">
        <f t="shared" si="104"/>
        <v>2E-3</v>
      </c>
      <c r="AW65" s="345">
        <f t="shared" si="104"/>
        <v>2E-3</v>
      </c>
      <c r="AX65" s="345">
        <f t="shared" si="104"/>
        <v>2E-3</v>
      </c>
      <c r="AY65" s="345">
        <f t="shared" si="104"/>
        <v>2E-3</v>
      </c>
      <c r="BQ65" s="316">
        <v>2039</v>
      </c>
      <c r="BR65" s="346">
        <f t="shared" si="75"/>
        <v>34582.199085211876</v>
      </c>
      <c r="BS65" s="346">
        <f t="shared" si="75"/>
        <v>728.24443743724487</v>
      </c>
      <c r="BT65" s="346">
        <f t="shared" si="75"/>
        <v>21102.970374696255</v>
      </c>
      <c r="BU65" s="346">
        <f t="shared" si="75"/>
        <v>4555.4357020197058</v>
      </c>
      <c r="BV65" s="346">
        <f t="shared" si="76"/>
        <v>7705.3274344093679</v>
      </c>
      <c r="BW65" s="346">
        <f t="shared" si="77"/>
        <v>18515.744693229273</v>
      </c>
      <c r="BY65" s="316">
        <v>2039</v>
      </c>
      <c r="BZ65" s="46">
        <f t="shared" si="78"/>
        <v>29231.742269478855</v>
      </c>
      <c r="CA65" s="300">
        <f t="shared" si="79"/>
        <v>614.46078972666976</v>
      </c>
      <c r="CB65" s="46">
        <f t="shared" si="78"/>
        <v>18127.245228940796</v>
      </c>
      <c r="CC65" s="300">
        <f t="shared" si="80"/>
        <v>3790.4035377244122</v>
      </c>
      <c r="CD65" s="46">
        <f t="shared" si="81"/>
        <v>6710.6681599013245</v>
      </c>
      <c r="CE65" s="300">
        <f t="shared" si="82"/>
        <v>15478.331386228687</v>
      </c>
      <c r="CG65" s="316">
        <v>2039</v>
      </c>
      <c r="CH65" s="48">
        <f t="shared" si="83"/>
        <v>1.1830358507682754</v>
      </c>
      <c r="CI65" s="48">
        <f t="shared" si="83"/>
        <v>1.185176417458939</v>
      </c>
      <c r="CJ65" s="48">
        <f t="shared" si="83"/>
        <v>1.1641576041021726</v>
      </c>
      <c r="CK65" s="48">
        <f t="shared" si="83"/>
        <v>1.2018339621840328</v>
      </c>
      <c r="CL65" s="48">
        <f t="shared" si="83"/>
        <v>1.1482206020037606</v>
      </c>
      <c r="CM65" s="48">
        <f t="shared" si="83"/>
        <v>1.1962364825515379</v>
      </c>
      <c r="CO65" s="316">
        <v>2039</v>
      </c>
      <c r="CP65" s="302">
        <f t="shared" si="97"/>
        <v>2E-3</v>
      </c>
      <c r="CQ65" s="302">
        <f t="shared" si="100"/>
        <v>2E-3</v>
      </c>
      <c r="CR65" s="45"/>
      <c r="CS65" s="316">
        <v>2039</v>
      </c>
      <c r="CT65" s="345">
        <f t="shared" si="84"/>
        <v>2E-3</v>
      </c>
      <c r="CU65" s="345">
        <f t="shared" si="105"/>
        <v>2E-3</v>
      </c>
      <c r="CV65" s="345">
        <f t="shared" si="105"/>
        <v>2E-3</v>
      </c>
      <c r="CW65" s="345">
        <f t="shared" si="105"/>
        <v>2E-3</v>
      </c>
      <c r="CX65" s="345">
        <f t="shared" si="105"/>
        <v>2E-3</v>
      </c>
      <c r="CY65" s="345">
        <f t="shared" si="105"/>
        <v>2E-3</v>
      </c>
      <c r="DA65" s="316">
        <v>2039</v>
      </c>
      <c r="DI65" s="316">
        <v>2039</v>
      </c>
      <c r="DJ65" s="342">
        <f t="shared" si="98"/>
        <v>5.475613402610726E-2</v>
      </c>
      <c r="DK65" s="342">
        <f t="shared" si="98"/>
        <v>5.2886778090110012E-2</v>
      </c>
      <c r="DL65" s="342">
        <f t="shared" si="98"/>
        <v>7.9332382181603933E-2</v>
      </c>
      <c r="DM65" s="342">
        <f t="shared" si="98"/>
        <v>7.8397457889894467E-2</v>
      </c>
      <c r="DN65" s="342">
        <f t="shared" si="98"/>
        <v>3.0212897124007876E-2</v>
      </c>
      <c r="DO65" s="342">
        <f t="shared" si="98"/>
        <v>1.9684330097015108E-2</v>
      </c>
      <c r="DQ65" s="316">
        <v>2039</v>
      </c>
      <c r="DR65" s="46">
        <f t="shared" si="106"/>
        <v>685479.92265546194</v>
      </c>
      <c r="DS65" s="61">
        <v>687.18086539157969</v>
      </c>
      <c r="DT65" s="46">
        <f t="shared" si="106"/>
        <v>653905.40878307389</v>
      </c>
      <c r="DU65" s="61">
        <v>655.20541953612167</v>
      </c>
      <c r="DW65" s="46">
        <f t="shared" si="88"/>
        <v>684640.36652396712</v>
      </c>
      <c r="DX65" s="61">
        <v>686.33922599424989</v>
      </c>
      <c r="DY65" s="46">
        <f t="shared" si="89"/>
        <v>653104.5242097741</v>
      </c>
      <c r="DZ65" s="61">
        <v>654.40294274697044</v>
      </c>
      <c r="EB65" s="316">
        <v>2039</v>
      </c>
      <c r="EC65" s="88">
        <f t="shared" si="56"/>
        <v>5.044961630859273E-2</v>
      </c>
      <c r="ED65" s="88">
        <f t="shared" si="56"/>
        <v>1.0623862397254739E-3</v>
      </c>
      <c r="EE65" s="88">
        <f t="shared" si="56"/>
        <v>3.0785687045283595E-2</v>
      </c>
      <c r="EF65" s="88">
        <f t="shared" si="56"/>
        <v>6.6456150668462001E-3</v>
      </c>
      <c r="EG65" s="302">
        <f t="shared" si="90"/>
        <v>1.1240777708791106E-2</v>
      </c>
      <c r="EH65" s="88">
        <f t="shared" si="57"/>
        <v>2.7011359605547069E-2</v>
      </c>
      <c r="EJ65" s="316">
        <v>2039</v>
      </c>
      <c r="EK65" s="302">
        <f t="shared" si="91"/>
        <v>0.78593770405285412</v>
      </c>
      <c r="EL65" s="88">
        <f t="shared" si="58"/>
        <v>2.259366203049169E-2</v>
      </c>
      <c r="EM65" s="302">
        <f t="shared" si="92"/>
        <v>0.35483757224163037</v>
      </c>
      <c r="EN65" s="88">
        <f t="shared" si="59"/>
        <v>8.2719579014573122E-2</v>
      </c>
      <c r="EO65" s="88">
        <f t="shared" si="59"/>
        <v>0.34552720724232627</v>
      </c>
      <c r="EP65" s="88">
        <f t="shared" si="59"/>
        <v>1.2399965352568312</v>
      </c>
      <c r="ER65" s="316">
        <v>2039</v>
      </c>
      <c r="ES65" s="317">
        <f t="shared" si="60"/>
        <v>111801.21400000001</v>
      </c>
      <c r="ET65" s="61">
        <v>12036.759</v>
      </c>
      <c r="EU65" s="61">
        <v>60748.023000000001</v>
      </c>
      <c r="EV65" s="61">
        <v>39016.432000000001</v>
      </c>
      <c r="EW65" s="88">
        <f t="shared" si="102"/>
        <v>0.1076621493573406</v>
      </c>
      <c r="EX65" s="88">
        <f t="shared" si="102"/>
        <v>0.543357454061277</v>
      </c>
      <c r="EY65" s="88">
        <f t="shared" si="102"/>
        <v>0.34898039658138236</v>
      </c>
      <c r="EZ65" s="88">
        <f t="shared" si="103"/>
        <v>-5.4605612560848504E-5</v>
      </c>
      <c r="FA65" s="88">
        <f t="shared" si="103"/>
        <v>-5.2449352204112509E-3</v>
      </c>
      <c r="FB65" s="88">
        <f t="shared" si="103"/>
        <v>5.2995408329720717E-3</v>
      </c>
      <c r="FD65" s="316">
        <v>2039</v>
      </c>
      <c r="FE65" s="308">
        <f t="shared" si="107"/>
        <v>1.3999999999999999E-2</v>
      </c>
      <c r="FF65" s="343">
        <f t="shared" si="101"/>
        <v>1.3999999999999999E-2</v>
      </c>
      <c r="FG65" s="308">
        <f t="shared" si="107"/>
        <v>2E-3</v>
      </c>
      <c r="FH65" s="345">
        <f t="shared" si="101"/>
        <v>2E-3</v>
      </c>
      <c r="FI65" s="319">
        <f t="shared" si="42"/>
        <v>1.1999999999999999E-2</v>
      </c>
      <c r="FK65" s="345">
        <f t="shared" si="61"/>
        <v>4.6672071934741322E-3</v>
      </c>
      <c r="FL65" s="345">
        <f t="shared" si="94"/>
        <v>-1.4755590851268652E-3</v>
      </c>
      <c r="FM65" s="345">
        <f t="shared" si="45"/>
        <v>-8.0402837698489472E-4</v>
      </c>
      <c r="FN65" s="38"/>
      <c r="FO65" s="316">
        <v>2039</v>
      </c>
      <c r="FP65" s="46">
        <f t="shared" si="62"/>
        <v>269654.43133413035</v>
      </c>
      <c r="FQ65" s="46">
        <f t="shared" si="63"/>
        <v>7576.0162761659421</v>
      </c>
      <c r="FR65" s="46">
        <f t="shared" si="95"/>
        <v>170904.95479184636</v>
      </c>
      <c r="FS65" s="46">
        <f t="shared" si="64"/>
        <v>48411.331397320864</v>
      </c>
      <c r="FT65" s="46">
        <f t="shared" si="65"/>
        <v>54192.971693948086</v>
      </c>
      <c r="FU65" s="46">
        <f t="shared" si="66"/>
        <v>154854.98791294079</v>
      </c>
      <c r="FV65" s="46">
        <f t="shared" si="38"/>
        <v>705594.69340635231</v>
      </c>
    </row>
    <row r="66" spans="17:178" hidden="1" outlineLevel="1">
      <c r="Q66" s="316">
        <v>2040</v>
      </c>
      <c r="R66" s="46">
        <f t="shared" si="67"/>
        <v>544196.43199540884</v>
      </c>
      <c r="S66" s="46">
        <f t="shared" si="68"/>
        <v>15408.874066746997</v>
      </c>
      <c r="T66" s="46">
        <f t="shared" si="69"/>
        <v>245390.20875714318</v>
      </c>
      <c r="U66" s="46">
        <f t="shared" si="68"/>
        <v>56798.146361371299</v>
      </c>
      <c r="V66" s="46">
        <f t="shared" si="68"/>
        <v>237697.47692532866</v>
      </c>
      <c r="W66" s="46">
        <f t="shared" si="68"/>
        <v>852485.25944955973</v>
      </c>
      <c r="Y66" s="316">
        <v>2040</v>
      </c>
      <c r="Z66" s="46">
        <f t="shared" si="70"/>
        <v>460008.96815657499</v>
      </c>
      <c r="AA66" s="46">
        <f t="shared" si="71"/>
        <v>12981.509115299599</v>
      </c>
      <c r="AB66" s="46">
        <f t="shared" si="70"/>
        <v>210067.23793488261</v>
      </c>
      <c r="AC66" s="46">
        <f t="shared" si="71"/>
        <v>47835.718513118743</v>
      </c>
      <c r="AD66" s="46">
        <f t="shared" si="71"/>
        <v>204814.81137105467</v>
      </c>
      <c r="AE66" s="46">
        <f t="shared" si="71"/>
        <v>710247.3083781742</v>
      </c>
      <c r="AG66" s="316">
        <v>2040</v>
      </c>
      <c r="AH66" s="48">
        <f>(AT66+1)*AH65</f>
        <v>1.183012657723183</v>
      </c>
      <c r="AI66" s="48">
        <f t="shared" si="51"/>
        <v>1.1869863457235941</v>
      </c>
      <c r="AJ66" s="48">
        <f t="shared" si="51"/>
        <v>1.1681507843370136</v>
      </c>
      <c r="AK66" s="48">
        <f t="shared" si="51"/>
        <v>1.1873584870643188</v>
      </c>
      <c r="AL66" s="48">
        <f t="shared" si="51"/>
        <v>1.160548279365899</v>
      </c>
      <c r="AM66" s="48">
        <f t="shared" si="51"/>
        <v>1.2002653855826375</v>
      </c>
      <c r="AO66" s="316">
        <v>2040</v>
      </c>
      <c r="AP66" s="302">
        <f t="shared" si="96"/>
        <v>2E-3</v>
      </c>
      <c r="AQ66" s="302">
        <f t="shared" si="99"/>
        <v>2E-3</v>
      </c>
      <c r="AR66" s="44"/>
      <c r="AS66" s="316">
        <v>2040</v>
      </c>
      <c r="AT66" s="345">
        <f t="shared" si="73"/>
        <v>2E-3</v>
      </c>
      <c r="AU66" s="345">
        <f t="shared" si="104"/>
        <v>2E-3</v>
      </c>
      <c r="AV66" s="345">
        <f t="shared" si="104"/>
        <v>2E-3</v>
      </c>
      <c r="AW66" s="345">
        <f t="shared" si="104"/>
        <v>2E-3</v>
      </c>
      <c r="AX66" s="345">
        <f t="shared" si="104"/>
        <v>2E-3</v>
      </c>
      <c r="AY66" s="345">
        <f t="shared" si="104"/>
        <v>2E-3</v>
      </c>
      <c r="BQ66" s="316">
        <v>2040</v>
      </c>
      <c r="BR66" s="346">
        <f t="shared" si="75"/>
        <v>34627.743241787415</v>
      </c>
      <c r="BS66" s="346">
        <f t="shared" si="75"/>
        <v>729.4652313997467</v>
      </c>
      <c r="BT66" s="346">
        <f t="shared" si="75"/>
        <v>21249.130163826547</v>
      </c>
      <c r="BU66" s="346">
        <f t="shared" si="75"/>
        <v>4564.4706347096999</v>
      </c>
      <c r="BV66" s="346">
        <f t="shared" si="76"/>
        <v>7756.3664265412754</v>
      </c>
      <c r="BW66" s="346">
        <f t="shared" si="77"/>
        <v>18554.808958818081</v>
      </c>
      <c r="BY66" s="316">
        <v>2040</v>
      </c>
      <c r="BZ66" s="46">
        <f t="shared" si="78"/>
        <v>29211.81633453042</v>
      </c>
      <c r="CA66" s="300">
        <f t="shared" si="79"/>
        <v>614.26231761738654</v>
      </c>
      <c r="CB66" s="46">
        <f t="shared" si="78"/>
        <v>18216.362334136851</v>
      </c>
      <c r="CC66" s="300">
        <f t="shared" si="80"/>
        <v>3790.340478148672</v>
      </c>
      <c r="CD66" s="46">
        <f t="shared" si="81"/>
        <v>6741.635399781364</v>
      </c>
      <c r="CE66" s="300">
        <f t="shared" si="82"/>
        <v>15480.027304046283</v>
      </c>
      <c r="CG66" s="316">
        <v>2040</v>
      </c>
      <c r="CH66" s="48">
        <f>(CT66+1)*CH65</f>
        <v>1.185401922469812</v>
      </c>
      <c r="CI66" s="48">
        <f t="shared" ref="CI66:CM66" si="108">(CU66+1)*CI65</f>
        <v>1.1875467702938569</v>
      </c>
      <c r="CJ66" s="48">
        <f t="shared" si="108"/>
        <v>1.1664859193103769</v>
      </c>
      <c r="CK66" s="48">
        <f t="shared" si="108"/>
        <v>1.2042376301084008</v>
      </c>
      <c r="CL66" s="48">
        <f t="shared" si="108"/>
        <v>1.1505170432077683</v>
      </c>
      <c r="CM66" s="48">
        <f t="shared" si="108"/>
        <v>1.1986289555166409</v>
      </c>
      <c r="CO66" s="316">
        <v>2040</v>
      </c>
      <c r="CP66" s="302">
        <f t="shared" si="97"/>
        <v>2E-3</v>
      </c>
      <c r="CQ66" s="302">
        <f t="shared" si="100"/>
        <v>2E-3</v>
      </c>
      <c r="CR66" s="45"/>
      <c r="CS66" s="316">
        <v>2040</v>
      </c>
      <c r="CT66" s="345">
        <f t="shared" si="84"/>
        <v>2E-3</v>
      </c>
      <c r="CU66" s="345">
        <f t="shared" si="105"/>
        <v>2E-3</v>
      </c>
      <c r="CV66" s="345">
        <f t="shared" si="105"/>
        <v>2E-3</v>
      </c>
      <c r="CW66" s="345">
        <f t="shared" si="105"/>
        <v>2E-3</v>
      </c>
      <c r="CX66" s="345">
        <f t="shared" si="105"/>
        <v>2E-3</v>
      </c>
      <c r="CY66" s="345">
        <f t="shared" si="105"/>
        <v>2E-3</v>
      </c>
      <c r="DA66" s="316">
        <v>2040</v>
      </c>
      <c r="DI66" s="316">
        <v>2040</v>
      </c>
      <c r="DJ66" s="342">
        <f t="shared" si="98"/>
        <v>5.475613402610726E-2</v>
      </c>
      <c r="DK66" s="342">
        <f t="shared" si="98"/>
        <v>5.2886778090110012E-2</v>
      </c>
      <c r="DL66" s="342">
        <f t="shared" si="98"/>
        <v>7.9332382181603933E-2</v>
      </c>
      <c r="DM66" s="342">
        <f t="shared" si="98"/>
        <v>7.8397457889894467E-2</v>
      </c>
      <c r="DN66" s="342">
        <f t="shared" si="98"/>
        <v>3.0212897124007876E-2</v>
      </c>
      <c r="DO66" s="342">
        <f t="shared" si="98"/>
        <v>1.9684330097015108E-2</v>
      </c>
      <c r="DQ66" s="316">
        <v>2040</v>
      </c>
      <c r="DR66" s="46">
        <f t="shared" si="106"/>
        <v>692334.72188201651</v>
      </c>
      <c r="DS66" s="61">
        <v>694.05267404549545</v>
      </c>
      <c r="DT66" s="46">
        <f t="shared" si="106"/>
        <v>659136.65205333836</v>
      </c>
      <c r="DU66" s="61">
        <v>660.4470628924106</v>
      </c>
      <c r="DW66" s="46">
        <f t="shared" si="88"/>
        <v>691486.77018920681</v>
      </c>
      <c r="DX66" s="61">
        <v>693.20261825419243</v>
      </c>
      <c r="DY66" s="46">
        <f t="shared" si="89"/>
        <v>658329.3604034523</v>
      </c>
      <c r="DZ66" s="61">
        <v>659.63816628894619</v>
      </c>
      <c r="EB66" s="316">
        <v>2040</v>
      </c>
      <c r="EC66" s="88">
        <f t="shared" si="56"/>
        <v>5.0015898592600798E-2</v>
      </c>
      <c r="ED66" s="88">
        <f t="shared" si="56"/>
        <v>1.0536308642975409E-3</v>
      </c>
      <c r="EE66" s="88">
        <f t="shared" si="56"/>
        <v>3.069198971570242E-2</v>
      </c>
      <c r="EF66" s="88">
        <f t="shared" si="56"/>
        <v>6.5928668466920387E-3</v>
      </c>
      <c r="EG66" s="302">
        <f t="shared" si="90"/>
        <v>1.1203202990392656E-2</v>
      </c>
      <c r="EH66" s="88">
        <f t="shared" si="57"/>
        <v>2.6800344359993084E-2</v>
      </c>
      <c r="EJ66" s="316">
        <v>2040</v>
      </c>
      <c r="EK66" s="302">
        <f t="shared" si="91"/>
        <v>0.78699471263420417</v>
      </c>
      <c r="EL66" s="88">
        <f t="shared" si="58"/>
        <v>2.2283686009684282E-2</v>
      </c>
      <c r="EM66" s="302">
        <f t="shared" si="92"/>
        <v>0.35487332417075562</v>
      </c>
      <c r="EN66" s="88">
        <f t="shared" si="59"/>
        <v>8.2139165650023951E-2</v>
      </c>
      <c r="EO66" s="88">
        <f t="shared" si="59"/>
        <v>0.34374840875160795</v>
      </c>
      <c r="EP66" s="88">
        <f>W66/$DW66</f>
        <v>1.2328294570499159</v>
      </c>
      <c r="ER66" s="316">
        <v>2040</v>
      </c>
      <c r="ES66" s="317">
        <f t="shared" si="60"/>
        <v>110918.554</v>
      </c>
      <c r="ET66" s="61">
        <v>11935.950999999999</v>
      </c>
      <c r="EU66" s="61">
        <v>59776.889000000003</v>
      </c>
      <c r="EV66" s="61">
        <v>39205.714</v>
      </c>
      <c r="EW66" s="88">
        <f t="shared" si="102"/>
        <v>0.10761004872097411</v>
      </c>
      <c r="EX66" s="88">
        <f t="shared" si="102"/>
        <v>0.53892596724620123</v>
      </c>
      <c r="EY66" s="88">
        <f t="shared" si="102"/>
        <v>0.35346398403282464</v>
      </c>
      <c r="EZ66" s="88">
        <f t="shared" si="103"/>
        <v>-5.2100636366486652E-5</v>
      </c>
      <c r="FA66" s="88">
        <f t="shared" si="103"/>
        <v>-4.4314868150757691E-3</v>
      </c>
      <c r="FB66" s="88">
        <f t="shared" si="103"/>
        <v>4.4835874514422835E-3</v>
      </c>
      <c r="FD66" s="316">
        <v>2040</v>
      </c>
      <c r="FE66" s="308">
        <f t="shared" si="107"/>
        <v>1.3999999999999999E-2</v>
      </c>
      <c r="FF66" s="343">
        <f t="shared" si="101"/>
        <v>1.3999999999999999E-2</v>
      </c>
      <c r="FG66" s="308">
        <f t="shared" si="107"/>
        <v>2E-3</v>
      </c>
      <c r="FH66" s="345">
        <f t="shared" si="101"/>
        <v>2E-3</v>
      </c>
      <c r="FI66" s="319">
        <f t="shared" si="42"/>
        <v>1.1999999999999999E-2</v>
      </c>
      <c r="FK66" s="345">
        <f>SUM(EK66:EL66)-(24.0959475629*(EW66-EW65)+0.793461523015+0.837029275127*FE66)</f>
        <v>5.3538799789911717E-3</v>
      </c>
      <c r="FL66" s="345">
        <f t="shared" si="94"/>
        <v>-1.4518117097829242E-3</v>
      </c>
      <c r="FM66" s="345">
        <f t="shared" si="45"/>
        <v>-8.3842185481205339E-4</v>
      </c>
      <c r="FN66" s="38"/>
      <c r="FO66" s="316">
        <v>2040</v>
      </c>
      <c r="FP66" s="46">
        <f t="shared" si="62"/>
        <v>269470.62030405941</v>
      </c>
      <c r="FQ66" s="46">
        <f t="shared" si="63"/>
        <v>7573.5692071984276</v>
      </c>
      <c r="FR66" s="46">
        <f t="shared" si="95"/>
        <v>171745.15718566603</v>
      </c>
      <c r="FS66" s="46">
        <f t="shared" si="64"/>
        <v>48410.525995471544</v>
      </c>
      <c r="FT66" s="46">
        <f t="shared" si="65"/>
        <v>54443.05212025893</v>
      </c>
      <c r="FU66" s="46">
        <f t="shared" si="66"/>
        <v>154871.9549442436</v>
      </c>
      <c r="FV66" s="46">
        <f t="shared" si="38"/>
        <v>706514.87975689792</v>
      </c>
    </row>
    <row r="67" spans="17:178" collapsed="1"/>
    <row r="68" spans="17:178" ht="108" customHeight="1">
      <c r="AP68" s="66" t="s">
        <v>596</v>
      </c>
      <c r="AQ68" s="67" t="s">
        <v>597</v>
      </c>
      <c r="AR68" s="49"/>
      <c r="AT68" s="431" t="s">
        <v>598</v>
      </c>
      <c r="AU68" s="431"/>
      <c r="AV68" s="431"/>
      <c r="AW68" s="431"/>
      <c r="AX68" s="431"/>
      <c r="AY68" s="431"/>
      <c r="BS68" s="67" t="s">
        <v>599</v>
      </c>
      <c r="BU68" s="67" t="s">
        <v>599</v>
      </c>
      <c r="BW68" s="67" t="s">
        <v>599</v>
      </c>
      <c r="CA68" s="67" t="s">
        <v>700</v>
      </c>
      <c r="CC68" s="67" t="s">
        <v>700</v>
      </c>
      <c r="CE68" s="67" t="s">
        <v>700</v>
      </c>
      <c r="CP68" s="66" t="s">
        <v>596</v>
      </c>
      <c r="CQ68" s="67" t="s">
        <v>699</v>
      </c>
      <c r="CR68" s="49"/>
      <c r="CT68" s="431" t="s">
        <v>709</v>
      </c>
      <c r="CU68" s="431"/>
      <c r="CV68" s="431"/>
      <c r="CW68" s="431"/>
      <c r="CX68" s="431"/>
      <c r="CY68" s="431"/>
      <c r="DJ68" s="414" t="s">
        <v>700</v>
      </c>
      <c r="DK68" s="414"/>
      <c r="DL68" s="414"/>
      <c r="DM68" s="414"/>
      <c r="DN68" s="414"/>
      <c r="DO68" s="414"/>
      <c r="DR68" s="66" t="s">
        <v>596</v>
      </c>
      <c r="DS68" s="67" t="s">
        <v>597</v>
      </c>
      <c r="DT68" s="66" t="s">
        <v>596</v>
      </c>
      <c r="DU68" s="67" t="s">
        <v>597</v>
      </c>
      <c r="DW68" s="66" t="s">
        <v>596</v>
      </c>
      <c r="DX68" s="67" t="s">
        <v>597</v>
      </c>
      <c r="DY68" s="66" t="s">
        <v>596</v>
      </c>
      <c r="DZ68" s="67" t="s">
        <v>597</v>
      </c>
      <c r="EG68" s="66" t="s">
        <v>600</v>
      </c>
      <c r="EK68" s="455" t="s">
        <v>601</v>
      </c>
      <c r="EL68" s="455"/>
      <c r="EM68" s="455"/>
      <c r="EN68" s="455"/>
      <c r="EQ68" s="37"/>
      <c r="ES68" s="32"/>
      <c r="ET68" s="430" t="s">
        <v>602</v>
      </c>
      <c r="EU68" s="430"/>
      <c r="EV68" s="430"/>
      <c r="EW68" s="32"/>
      <c r="EX68" s="32"/>
      <c r="EY68" s="32"/>
      <c r="FE68" s="66" t="s">
        <v>596</v>
      </c>
      <c r="FF68" s="67" t="s">
        <v>699</v>
      </c>
      <c r="FG68" s="96" t="s">
        <v>596</v>
      </c>
      <c r="FH68" s="96" t="s">
        <v>699</v>
      </c>
      <c r="FP68" s="414" t="s">
        <v>603</v>
      </c>
      <c r="FQ68" s="414"/>
      <c r="FR68" s="414"/>
      <c r="FS68" s="414"/>
      <c r="FT68" s="414"/>
      <c r="FU68" s="414"/>
    </row>
  </sheetData>
  <mergeCells count="37">
    <mergeCell ref="FP2:FV2"/>
    <mergeCell ref="DR2:DZ2"/>
    <mergeCell ref="EC2:EH2"/>
    <mergeCell ref="EK2:EP2"/>
    <mergeCell ref="ES2:FB2"/>
    <mergeCell ref="FE2:FI2"/>
    <mergeCell ref="Z2:AE2"/>
    <mergeCell ref="BZ2:CE2"/>
    <mergeCell ref="CP2:CQ2"/>
    <mergeCell ref="CT2:CY2"/>
    <mergeCell ref="DJ68:DO68"/>
    <mergeCell ref="DJ2:DO2"/>
    <mergeCell ref="BZ3:CE3"/>
    <mergeCell ref="CH3:CM3"/>
    <mergeCell ref="CT3:CY3"/>
    <mergeCell ref="AT3:AY3"/>
    <mergeCell ref="FK3:FL3"/>
    <mergeCell ref="FP3:FV3"/>
    <mergeCell ref="AT68:AY68"/>
    <mergeCell ref="CT68:CY68"/>
    <mergeCell ref="EK68:EN68"/>
    <mergeCell ref="ET68:EV68"/>
    <mergeCell ref="FP68:FU68"/>
    <mergeCell ref="DB3:DG3"/>
    <mergeCell ref="DJ3:DO3"/>
    <mergeCell ref="DR3:DY3"/>
    <mergeCell ref="EC3:EH3"/>
    <mergeCell ref="EK3:EP3"/>
    <mergeCell ref="ES3:FB3"/>
    <mergeCell ref="BB3:BG3"/>
    <mergeCell ref="BJ3:BO3"/>
    <mergeCell ref="BR3:BW3"/>
    <mergeCell ref="B3:G3"/>
    <mergeCell ref="J3:O3"/>
    <mergeCell ref="R3:W3"/>
    <mergeCell ref="Z3:AE3"/>
    <mergeCell ref="AH3:AM3"/>
  </mergeCells>
  <phoneticPr fontId="1"/>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B02C8-9DD7-4810-A5ED-0768485AC86A}">
  <dimension ref="A1:FV72"/>
  <sheetViews>
    <sheetView topLeftCell="FC53" zoomScale="70" zoomScaleNormal="70" workbookViewId="0">
      <selection activeCell="FE55" sqref="FE55:FE57"/>
    </sheetView>
  </sheetViews>
  <sheetFormatPr defaultColWidth="8.84375" defaultRowHeight="18.45" outlineLevelCol="1"/>
  <cols>
    <col min="1" max="1" width="6.3046875" style="24" hidden="1" customWidth="1" outlineLevel="1"/>
    <col min="2" max="3" width="10.07421875" style="37" hidden="1" customWidth="1" outlineLevel="1"/>
    <col min="4" max="5" width="12.3046875" style="37" hidden="1" customWidth="1" outlineLevel="1"/>
    <col min="6" max="7" width="10.07421875" style="37" hidden="1" customWidth="1" outlineLevel="1"/>
    <col min="8" max="8" width="8.84375" style="37" hidden="1" customWidth="1" outlineLevel="1"/>
    <col min="9" max="9" width="6.3046875" style="24" hidden="1" customWidth="1" outlineLevel="1" collapsed="1"/>
    <col min="10" max="11" width="10.07421875" style="37" hidden="1" customWidth="1" outlineLevel="1"/>
    <col min="12" max="13" width="12.3046875" style="37" hidden="1" customWidth="1" outlineLevel="1"/>
    <col min="14" max="15" width="10.07421875" style="37" hidden="1" customWidth="1" outlineLevel="1"/>
    <col min="16" max="16" width="8.84375" style="37" hidden="1" customWidth="1" outlineLevel="1"/>
    <col min="17" max="17" width="6.3046875" style="24" bestFit="1" customWidth="1" collapsed="1"/>
    <col min="18" max="19" width="10.07421875" style="37" bestFit="1" customWidth="1"/>
    <col min="20" max="21" width="12.3046875" style="37" bestFit="1" customWidth="1"/>
    <col min="22" max="23" width="10.07421875" style="37" bestFit="1" customWidth="1"/>
    <col min="24" max="24" width="8.84375" style="37"/>
    <col min="25" max="25" width="6.3046875" style="24" bestFit="1" customWidth="1"/>
    <col min="26" max="27" width="10.07421875" style="37" bestFit="1" customWidth="1"/>
    <col min="28" max="29" width="12.3046875" style="37" bestFit="1" customWidth="1"/>
    <col min="30" max="31" width="10.07421875" style="37" bestFit="1" customWidth="1"/>
    <col min="32" max="32" width="8.84375" style="24" customWidth="1"/>
    <col min="33" max="33" width="6.3046875" style="24" customWidth="1" collapsed="1"/>
    <col min="34" max="35" width="10.07421875" style="37" customWidth="1"/>
    <col min="36" max="37" width="12.3046875" style="37" customWidth="1"/>
    <col min="38" max="39" width="10.07421875" style="37" customWidth="1"/>
    <col min="40" max="40" width="8.84375" style="37" customWidth="1"/>
    <col min="41" max="41" width="6.3046875" style="24" customWidth="1"/>
    <col min="42" max="42" width="11.84375" style="37" customWidth="1"/>
    <col min="43" max="43" width="12.3046875" style="37" bestFit="1" customWidth="1"/>
    <col min="44" max="44" width="8.84375" style="43" customWidth="1"/>
    <col min="45" max="45" width="6.3046875" style="24" customWidth="1"/>
    <col min="46" max="47" width="10.07421875" style="37" customWidth="1"/>
    <col min="48" max="49" width="12.3046875" style="37" customWidth="1"/>
    <col min="50" max="51" width="10.07421875" style="37" customWidth="1"/>
    <col min="52" max="52" width="8.84375" style="24"/>
    <col min="53" max="53" width="6.3046875" style="24" hidden="1" customWidth="1" outlineLevel="1"/>
    <col min="54" max="55" width="10.07421875" style="37" hidden="1" customWidth="1" outlineLevel="1"/>
    <col min="56" max="57" width="12.3046875" style="37" hidden="1" customWidth="1" outlineLevel="1"/>
    <col min="58" max="59" width="10.07421875" style="37" hidden="1" customWidth="1" outlineLevel="1"/>
    <col min="60" max="60" width="8.84375" style="37" hidden="1" customWidth="1" outlineLevel="1"/>
    <col min="61" max="61" width="6.3046875" style="24" hidden="1" customWidth="1" outlineLevel="1"/>
    <col min="62" max="63" width="10.07421875" style="37" hidden="1" customWidth="1" outlineLevel="1"/>
    <col min="64" max="65" width="12.3046875" style="37" hidden="1" customWidth="1" outlineLevel="1"/>
    <col min="66" max="67" width="10.07421875" style="37" hidden="1" customWidth="1" outlineLevel="1"/>
    <col min="68" max="68" width="8.84375" style="37" hidden="1" customWidth="1" outlineLevel="1"/>
    <col min="69" max="69" width="6.3046875" style="24" bestFit="1" customWidth="1" collapsed="1"/>
    <col min="70" max="71" width="10.07421875" style="37" bestFit="1" customWidth="1"/>
    <col min="72" max="73" width="12.3046875" style="37" bestFit="1" customWidth="1"/>
    <col min="74" max="75" width="10.07421875" style="37" bestFit="1" customWidth="1"/>
    <col min="76" max="76" width="8.84375" style="37"/>
    <col min="77" max="77" width="6.3046875" style="24" bestFit="1" customWidth="1"/>
    <col min="78" max="79" width="10.07421875" style="37" bestFit="1" customWidth="1"/>
    <col min="80" max="81" width="12.3046875" style="37" bestFit="1" customWidth="1"/>
    <col min="82" max="83" width="10.07421875" style="37" bestFit="1" customWidth="1"/>
    <col min="84" max="84" width="8.84375" style="24" customWidth="1"/>
    <col min="85" max="85" width="6.3046875" style="24" customWidth="1" collapsed="1"/>
    <col min="86" max="87" width="10.07421875" style="37" customWidth="1"/>
    <col min="88" max="89" width="12.3046875" style="37" customWidth="1"/>
    <col min="90" max="91" width="10.07421875" style="37" customWidth="1"/>
    <col min="92" max="92" width="8.84375" style="37" customWidth="1"/>
    <col min="93" max="93" width="6.3046875" style="24" customWidth="1"/>
    <col min="94" max="94" width="11.84375" style="37" customWidth="1"/>
    <col min="95" max="95" width="12.3046875" style="37" bestFit="1" customWidth="1"/>
    <col min="96" max="96" width="8.84375" style="43" customWidth="1"/>
    <col min="97" max="97" width="6.3046875" style="24" customWidth="1"/>
    <col min="98" max="99" width="10.07421875" style="37" customWidth="1"/>
    <col min="100" max="101" width="12.3046875" style="37" customWidth="1"/>
    <col min="102" max="103" width="10.07421875" style="37" customWidth="1"/>
    <col min="104" max="104" width="8.84375" style="24"/>
    <col min="105" max="105" width="6.3046875" style="24" hidden="1" customWidth="1" outlineLevel="1"/>
    <col min="106" max="107" width="10.07421875" style="24" hidden="1" customWidth="1" outlineLevel="1"/>
    <col min="108" max="109" width="12.3046875" style="24" hidden="1" customWidth="1" outlineLevel="1"/>
    <col min="110" max="111" width="10.07421875" style="24" hidden="1" customWidth="1" outlineLevel="1"/>
    <col min="112" max="112" width="8.84375" style="24" hidden="1" customWidth="1" outlineLevel="1"/>
    <col min="113" max="113" width="6.3046875" style="24" bestFit="1" customWidth="1" collapsed="1"/>
    <col min="114" max="115" width="10.07421875" style="24" bestFit="1" customWidth="1"/>
    <col min="116" max="117" width="12.3046875" style="24" bestFit="1" customWidth="1"/>
    <col min="118" max="119" width="10.07421875" style="24" bestFit="1" customWidth="1"/>
    <col min="120" max="120" width="8.84375" style="24"/>
    <col min="121" max="121" width="6.3046875" style="24" bestFit="1" customWidth="1"/>
    <col min="122" max="122" width="9" style="24" bestFit="1" customWidth="1"/>
    <col min="123" max="123" width="12.3046875" style="24" bestFit="1" customWidth="1"/>
    <col min="124" max="124" width="19.69140625" style="24" bestFit="1" customWidth="1"/>
    <col min="125" max="125" width="12.3046875" style="24" bestFit="1" customWidth="1"/>
    <col min="126" max="126" width="15" style="24" customWidth="1"/>
    <col min="127" max="127" width="12.3046875" style="24" bestFit="1" customWidth="1"/>
    <col min="128" max="128" width="12.3046875" style="24" customWidth="1"/>
    <col min="129" max="129" width="12.3046875" style="24" bestFit="1" customWidth="1"/>
    <col min="130" max="130" width="12.3046875" style="24" customWidth="1"/>
    <col min="131" max="131" width="8.84375" style="24"/>
    <col min="132" max="132" width="6.3046875" style="24" bestFit="1" customWidth="1"/>
    <col min="133" max="134" width="10.07421875" style="38" bestFit="1" customWidth="1"/>
    <col min="135" max="136" width="12.3046875" style="38" bestFit="1" customWidth="1"/>
    <col min="137" max="138" width="10.07421875" style="38" bestFit="1" customWidth="1"/>
    <col min="139" max="139" width="8.84375" style="38" customWidth="1"/>
    <col min="140" max="140" width="6.3046875" style="24" bestFit="1" customWidth="1"/>
    <col min="141" max="142" width="10.07421875" style="38" bestFit="1" customWidth="1"/>
    <col min="143" max="144" width="12.3046875" style="38" bestFit="1" customWidth="1"/>
    <col min="145" max="146" width="10.07421875" style="38" bestFit="1" customWidth="1"/>
    <col min="147" max="147" width="8.84375" style="38" customWidth="1"/>
    <col min="148" max="148" width="6.3046875" style="24" bestFit="1" customWidth="1"/>
    <col min="149" max="149" width="10.4609375" style="24" bestFit="1" customWidth="1"/>
    <col min="150" max="150" width="10.69140625" style="24" bestFit="1" customWidth="1"/>
    <col min="151" max="151" width="11.07421875" style="24" bestFit="1" customWidth="1"/>
    <col min="152" max="152" width="10.69140625" style="24" bestFit="1" customWidth="1"/>
    <col min="153" max="155" width="10.69140625" style="24" customWidth="1"/>
    <col min="156" max="158" width="12.3046875" style="24" bestFit="1" customWidth="1"/>
    <col min="159" max="159" width="8.84375" style="24"/>
    <col min="160" max="160" width="6.3046875" style="24" bestFit="1" customWidth="1"/>
    <col min="161" max="161" width="14.4609375" style="24" bestFit="1" customWidth="1"/>
    <col min="162" max="162" width="14.4609375" style="24" customWidth="1"/>
    <col min="163" max="163" width="12.3046875" style="90" bestFit="1" customWidth="1"/>
    <col min="164" max="164" width="12.3046875" style="90" customWidth="1"/>
    <col min="165" max="165" width="15.4609375" style="24" customWidth="1"/>
    <col min="166" max="166" width="8.84375" style="24"/>
    <col min="167" max="167" width="19.3046875" style="90" bestFit="1" customWidth="1"/>
    <col min="168" max="168" width="16.84375" style="90" bestFit="1" customWidth="1"/>
    <col min="169" max="169" width="28.84375" style="90" bestFit="1" customWidth="1"/>
    <col min="170" max="170" width="8.84375" style="24"/>
    <col min="171" max="171" width="6.3046875" style="24" bestFit="1" customWidth="1"/>
    <col min="172" max="173" width="10.07421875" style="37" bestFit="1" customWidth="1"/>
    <col min="174" max="175" width="12.3046875" style="37" bestFit="1" customWidth="1"/>
    <col min="176" max="177" width="10.07421875" style="37" bestFit="1" customWidth="1"/>
    <col min="178" max="178" width="10.4609375" style="24" bestFit="1" customWidth="1"/>
    <col min="179" max="16384" width="8.84375" style="24"/>
  </cols>
  <sheetData>
    <row r="1" spans="1:178">
      <c r="CP1" s="37" t="s">
        <v>428</v>
      </c>
      <c r="CT1" s="37" t="s">
        <v>429</v>
      </c>
      <c r="CU1" s="37" t="s">
        <v>430</v>
      </c>
      <c r="CV1" s="37" t="s">
        <v>431</v>
      </c>
      <c r="CW1" s="37" t="s">
        <v>432</v>
      </c>
      <c r="CX1" s="37" t="s">
        <v>433</v>
      </c>
      <c r="CY1" s="37" t="s">
        <v>586</v>
      </c>
      <c r="EC1" s="38" t="s">
        <v>428</v>
      </c>
      <c r="ED1" s="38" t="s">
        <v>429</v>
      </c>
      <c r="EE1" s="38" t="s">
        <v>430</v>
      </c>
      <c r="EF1" s="38" t="s">
        <v>431</v>
      </c>
      <c r="EG1" s="38" t="s">
        <v>432</v>
      </c>
      <c r="EH1" s="38" t="s">
        <v>433</v>
      </c>
      <c r="EK1" s="38" t="s">
        <v>440</v>
      </c>
      <c r="EL1" s="38" t="s">
        <v>441</v>
      </c>
      <c r="EM1" s="38" t="s">
        <v>442</v>
      </c>
      <c r="EN1" s="38" t="s">
        <v>443</v>
      </c>
      <c r="EO1" s="38" t="s">
        <v>444</v>
      </c>
      <c r="EP1" s="38" t="s">
        <v>445</v>
      </c>
      <c r="EW1" s="24" t="s">
        <v>452</v>
      </c>
      <c r="EX1" s="24" t="s">
        <v>453</v>
      </c>
      <c r="EY1" s="24" t="s">
        <v>454</v>
      </c>
      <c r="FE1" s="24" t="s">
        <v>455</v>
      </c>
      <c r="FG1" s="90" t="s">
        <v>456</v>
      </c>
      <c r="FI1" s="24" t="s">
        <v>457</v>
      </c>
      <c r="FK1" s="90" t="s">
        <v>458</v>
      </c>
      <c r="FL1" s="90" t="s">
        <v>459</v>
      </c>
      <c r="FM1" s="90" t="s">
        <v>460</v>
      </c>
    </row>
    <row r="2" spans="1:178">
      <c r="AQ2" s="145" t="s">
        <v>587</v>
      </c>
      <c r="AR2" s="57"/>
      <c r="CQ2" s="145" t="s">
        <v>587</v>
      </c>
      <c r="CR2" s="57"/>
      <c r="DS2" s="145" t="s">
        <v>587</v>
      </c>
      <c r="DU2" s="145" t="s">
        <v>587</v>
      </c>
      <c r="DX2" s="145" t="s">
        <v>587</v>
      </c>
      <c r="DZ2" s="145" t="s">
        <v>587</v>
      </c>
      <c r="EC2" s="38" t="s">
        <v>461</v>
      </c>
      <c r="ED2" s="38" t="s">
        <v>461</v>
      </c>
      <c r="EE2" s="38" t="s">
        <v>461</v>
      </c>
      <c r="EF2" s="38" t="s">
        <v>461</v>
      </c>
      <c r="EG2" s="38" t="s">
        <v>461</v>
      </c>
      <c r="EH2" s="38" t="s">
        <v>461</v>
      </c>
      <c r="EK2" s="38" t="s">
        <v>461</v>
      </c>
      <c r="EL2" s="38" t="s">
        <v>461</v>
      </c>
      <c r="EM2" s="38" t="s">
        <v>461</v>
      </c>
      <c r="EN2" s="38" t="s">
        <v>461</v>
      </c>
      <c r="EO2" s="38" t="s">
        <v>461</v>
      </c>
      <c r="EP2" s="38" t="s">
        <v>461</v>
      </c>
      <c r="EW2" s="38" t="s">
        <v>462</v>
      </c>
      <c r="EX2" s="38" t="s">
        <v>462</v>
      </c>
      <c r="EY2" s="38" t="s">
        <v>462</v>
      </c>
      <c r="FE2" s="38" t="s">
        <v>461</v>
      </c>
      <c r="FF2" s="145" t="s">
        <v>587</v>
      </c>
      <c r="FG2" s="90" t="s">
        <v>462</v>
      </c>
      <c r="FH2" s="344" t="s">
        <v>587</v>
      </c>
      <c r="FI2" s="38" t="s">
        <v>461</v>
      </c>
    </row>
    <row r="3" spans="1:178" ht="35.4" customHeight="1">
      <c r="A3" s="316"/>
      <c r="B3" s="431" t="s">
        <v>463</v>
      </c>
      <c r="C3" s="431"/>
      <c r="D3" s="431"/>
      <c r="E3" s="431"/>
      <c r="F3" s="431"/>
      <c r="G3" s="431"/>
      <c r="I3" s="316"/>
      <c r="J3" s="431" t="s">
        <v>464</v>
      </c>
      <c r="K3" s="431"/>
      <c r="L3" s="431"/>
      <c r="M3" s="431"/>
      <c r="N3" s="431"/>
      <c r="O3" s="431"/>
      <c r="P3" s="87"/>
      <c r="Q3" s="316"/>
      <c r="R3" s="431" t="s">
        <v>465</v>
      </c>
      <c r="S3" s="431"/>
      <c r="T3" s="431"/>
      <c r="U3" s="431"/>
      <c r="V3" s="431"/>
      <c r="W3" s="431"/>
      <c r="Y3" s="316"/>
      <c r="Z3" s="431" t="s">
        <v>466</v>
      </c>
      <c r="AA3" s="431"/>
      <c r="AB3" s="431"/>
      <c r="AC3" s="431"/>
      <c r="AD3" s="431"/>
      <c r="AE3" s="431"/>
      <c r="AG3" s="316"/>
      <c r="AH3" s="431" t="s">
        <v>467</v>
      </c>
      <c r="AI3" s="431"/>
      <c r="AJ3" s="431"/>
      <c r="AK3" s="431"/>
      <c r="AL3" s="431"/>
      <c r="AM3" s="431"/>
      <c r="AN3" s="87"/>
      <c r="AO3" s="316"/>
      <c r="AP3" s="87"/>
      <c r="AQ3" s="87"/>
      <c r="AR3" s="72"/>
      <c r="AS3" s="316"/>
      <c r="AT3" s="431" t="s">
        <v>588</v>
      </c>
      <c r="AU3" s="431"/>
      <c r="AV3" s="431"/>
      <c r="AW3" s="431"/>
      <c r="AX3" s="431"/>
      <c r="AY3" s="431"/>
      <c r="BA3" s="316"/>
      <c r="BB3" s="431" t="s">
        <v>469</v>
      </c>
      <c r="BC3" s="431"/>
      <c r="BD3" s="431"/>
      <c r="BE3" s="431"/>
      <c r="BF3" s="431"/>
      <c r="BG3" s="431"/>
      <c r="BI3" s="316"/>
      <c r="BJ3" s="431" t="s">
        <v>470</v>
      </c>
      <c r="BK3" s="431"/>
      <c r="BL3" s="431"/>
      <c r="BM3" s="431"/>
      <c r="BN3" s="431"/>
      <c r="BO3" s="431"/>
      <c r="BP3" s="87"/>
      <c r="BQ3" s="316"/>
      <c r="BR3" s="431" t="s">
        <v>471</v>
      </c>
      <c r="BS3" s="431"/>
      <c r="BT3" s="431"/>
      <c r="BU3" s="431"/>
      <c r="BV3" s="431"/>
      <c r="BW3" s="431"/>
      <c r="BY3" s="316"/>
      <c r="BZ3" s="431" t="s">
        <v>472</v>
      </c>
      <c r="CA3" s="431"/>
      <c r="CB3" s="431"/>
      <c r="CC3" s="431"/>
      <c r="CD3" s="431"/>
      <c r="CE3" s="431"/>
      <c r="CG3" s="316"/>
      <c r="CH3" s="431" t="s">
        <v>473</v>
      </c>
      <c r="CI3" s="431"/>
      <c r="CJ3" s="431"/>
      <c r="CK3" s="431"/>
      <c r="CL3" s="431"/>
      <c r="CM3" s="431"/>
      <c r="CN3" s="87"/>
      <c r="CO3" s="316"/>
      <c r="CP3" s="87"/>
      <c r="CQ3" s="87"/>
      <c r="CR3" s="72"/>
      <c r="CS3" s="316"/>
      <c r="CT3" s="431" t="s">
        <v>589</v>
      </c>
      <c r="CU3" s="431"/>
      <c r="CV3" s="431"/>
      <c r="CW3" s="431"/>
      <c r="CX3" s="431"/>
      <c r="CY3" s="431"/>
      <c r="DA3" s="316"/>
      <c r="DB3" s="431" t="s">
        <v>476</v>
      </c>
      <c r="DC3" s="431"/>
      <c r="DD3" s="431"/>
      <c r="DE3" s="431"/>
      <c r="DF3" s="431"/>
      <c r="DG3" s="431"/>
      <c r="DI3" s="316"/>
      <c r="DJ3" s="431" t="s">
        <v>478</v>
      </c>
      <c r="DK3" s="431"/>
      <c r="DL3" s="431"/>
      <c r="DM3" s="431"/>
      <c r="DN3" s="431"/>
      <c r="DO3" s="431"/>
      <c r="DQ3" s="316"/>
      <c r="DR3" s="432" t="s">
        <v>479</v>
      </c>
      <c r="DS3" s="432"/>
      <c r="DT3" s="432"/>
      <c r="DU3" s="432"/>
      <c r="DV3" s="432"/>
      <c r="DW3" s="432"/>
      <c r="DX3" s="432"/>
      <c r="DY3" s="432"/>
      <c r="DZ3" s="57"/>
      <c r="EB3" s="316"/>
      <c r="EC3" s="417" t="s">
        <v>480</v>
      </c>
      <c r="ED3" s="417"/>
      <c r="EE3" s="417"/>
      <c r="EF3" s="417"/>
      <c r="EG3" s="417"/>
      <c r="EH3" s="417"/>
      <c r="EJ3" s="316"/>
      <c r="EK3" s="417" t="s">
        <v>482</v>
      </c>
      <c r="EL3" s="417"/>
      <c r="EM3" s="417"/>
      <c r="EN3" s="417"/>
      <c r="EO3" s="417"/>
      <c r="EP3" s="417"/>
      <c r="ER3" s="316"/>
      <c r="ES3" s="432" t="s">
        <v>484</v>
      </c>
      <c r="ET3" s="432"/>
      <c r="EU3" s="432"/>
      <c r="EV3" s="432"/>
      <c r="EW3" s="432"/>
      <c r="EX3" s="432"/>
      <c r="EY3" s="432"/>
      <c r="EZ3" s="432"/>
      <c r="FA3" s="432"/>
      <c r="FB3" s="432"/>
      <c r="FD3" s="316"/>
      <c r="FE3" s="24" t="s">
        <v>485</v>
      </c>
      <c r="FG3" s="90" t="s">
        <v>486</v>
      </c>
      <c r="FK3" s="454" t="s">
        <v>487</v>
      </c>
      <c r="FL3" s="454"/>
      <c r="FM3" s="96" t="s">
        <v>488</v>
      </c>
      <c r="FO3" s="316"/>
      <c r="FP3" s="432" t="s">
        <v>590</v>
      </c>
      <c r="FQ3" s="432"/>
      <c r="FR3" s="432"/>
      <c r="FS3" s="432"/>
      <c r="FT3" s="432"/>
      <c r="FU3" s="432"/>
      <c r="FV3" s="432"/>
    </row>
    <row r="4" spans="1:178" ht="55.3">
      <c r="A4" s="316"/>
      <c r="B4" s="37" t="s">
        <v>489</v>
      </c>
      <c r="C4" s="37" t="s">
        <v>490</v>
      </c>
      <c r="D4" s="37" t="s">
        <v>177</v>
      </c>
      <c r="E4" s="37" t="s">
        <v>491</v>
      </c>
      <c r="F4" s="37" t="s">
        <v>492</v>
      </c>
      <c r="G4" s="37" t="s">
        <v>493</v>
      </c>
      <c r="I4" s="316"/>
      <c r="J4" s="37" t="s">
        <v>489</v>
      </c>
      <c r="K4" s="37" t="s">
        <v>490</v>
      </c>
      <c r="L4" s="37" t="s">
        <v>177</v>
      </c>
      <c r="M4" s="37" t="s">
        <v>491</v>
      </c>
      <c r="N4" s="37" t="s">
        <v>492</v>
      </c>
      <c r="O4" s="37" t="s">
        <v>493</v>
      </c>
      <c r="P4" s="67"/>
      <c r="Q4" s="316"/>
      <c r="R4" s="37" t="s">
        <v>489</v>
      </c>
      <c r="S4" s="37" t="s">
        <v>490</v>
      </c>
      <c r="T4" s="37" t="s">
        <v>177</v>
      </c>
      <c r="U4" s="37" t="s">
        <v>491</v>
      </c>
      <c r="V4" s="37" t="s">
        <v>492</v>
      </c>
      <c r="W4" s="37" t="s">
        <v>493</v>
      </c>
      <c r="Y4" s="316"/>
      <c r="Z4" s="37" t="s">
        <v>489</v>
      </c>
      <c r="AA4" s="37" t="s">
        <v>490</v>
      </c>
      <c r="AB4" s="37" t="s">
        <v>177</v>
      </c>
      <c r="AC4" s="37" t="s">
        <v>491</v>
      </c>
      <c r="AD4" s="37" t="s">
        <v>492</v>
      </c>
      <c r="AE4" s="37" t="s">
        <v>493</v>
      </c>
      <c r="AG4" s="316"/>
      <c r="AH4" s="37" t="s">
        <v>489</v>
      </c>
      <c r="AI4" s="37" t="s">
        <v>490</v>
      </c>
      <c r="AJ4" s="37" t="s">
        <v>177</v>
      </c>
      <c r="AK4" s="37" t="s">
        <v>491</v>
      </c>
      <c r="AL4" s="37" t="s">
        <v>492</v>
      </c>
      <c r="AM4" s="37" t="s">
        <v>493</v>
      </c>
      <c r="AN4" s="67"/>
      <c r="AO4" s="316"/>
      <c r="AP4" s="67" t="s">
        <v>591</v>
      </c>
      <c r="AQ4" s="67" t="s">
        <v>592</v>
      </c>
      <c r="AR4" s="49"/>
      <c r="AS4" s="316"/>
      <c r="AT4" s="37" t="s">
        <v>489</v>
      </c>
      <c r="AU4" s="37" t="s">
        <v>490</v>
      </c>
      <c r="AV4" s="37" t="s">
        <v>177</v>
      </c>
      <c r="AW4" s="37" t="s">
        <v>491</v>
      </c>
      <c r="AX4" s="37" t="s">
        <v>492</v>
      </c>
      <c r="AY4" s="37" t="s">
        <v>493</v>
      </c>
      <c r="BA4" s="316"/>
      <c r="BB4" s="37" t="s">
        <v>489</v>
      </c>
      <c r="BC4" s="37" t="s">
        <v>490</v>
      </c>
      <c r="BD4" s="37" t="s">
        <v>177</v>
      </c>
      <c r="BE4" s="37" t="s">
        <v>491</v>
      </c>
      <c r="BF4" s="37" t="s">
        <v>492</v>
      </c>
      <c r="BG4" s="37" t="s">
        <v>493</v>
      </c>
      <c r="BI4" s="316"/>
      <c r="BJ4" s="37" t="s">
        <v>489</v>
      </c>
      <c r="BK4" s="37" t="s">
        <v>490</v>
      </c>
      <c r="BL4" s="37" t="s">
        <v>177</v>
      </c>
      <c r="BM4" s="37" t="s">
        <v>491</v>
      </c>
      <c r="BN4" s="37" t="s">
        <v>492</v>
      </c>
      <c r="BO4" s="37" t="s">
        <v>493</v>
      </c>
      <c r="BP4" s="67"/>
      <c r="BQ4" s="316"/>
      <c r="BR4" s="37" t="s">
        <v>489</v>
      </c>
      <c r="BS4" s="37" t="s">
        <v>490</v>
      </c>
      <c r="BT4" s="37" t="s">
        <v>177</v>
      </c>
      <c r="BU4" s="37" t="s">
        <v>491</v>
      </c>
      <c r="BV4" s="37" t="s">
        <v>492</v>
      </c>
      <c r="BW4" s="37" t="s">
        <v>493</v>
      </c>
      <c r="BY4" s="316"/>
      <c r="BZ4" s="37" t="s">
        <v>489</v>
      </c>
      <c r="CA4" s="37" t="s">
        <v>490</v>
      </c>
      <c r="CB4" s="37" t="s">
        <v>177</v>
      </c>
      <c r="CC4" s="37" t="s">
        <v>491</v>
      </c>
      <c r="CD4" s="37" t="s">
        <v>492</v>
      </c>
      <c r="CE4" s="37" t="s">
        <v>493</v>
      </c>
      <c r="CG4" s="316"/>
      <c r="CH4" s="37" t="s">
        <v>489</v>
      </c>
      <c r="CI4" s="37" t="s">
        <v>490</v>
      </c>
      <c r="CJ4" s="37" t="s">
        <v>177</v>
      </c>
      <c r="CK4" s="37" t="s">
        <v>491</v>
      </c>
      <c r="CL4" s="37" t="s">
        <v>492</v>
      </c>
      <c r="CM4" s="37" t="s">
        <v>493</v>
      </c>
      <c r="CN4" s="67"/>
      <c r="CO4" s="316"/>
      <c r="CP4" s="67" t="s">
        <v>591</v>
      </c>
      <c r="CQ4" s="67" t="s">
        <v>592</v>
      </c>
      <c r="CR4" s="49"/>
      <c r="CS4" s="316"/>
      <c r="CT4" s="37" t="s">
        <v>489</v>
      </c>
      <c r="CU4" s="37" t="s">
        <v>490</v>
      </c>
      <c r="CV4" s="37" t="s">
        <v>177</v>
      </c>
      <c r="CW4" s="37" t="s">
        <v>491</v>
      </c>
      <c r="CX4" s="37" t="s">
        <v>492</v>
      </c>
      <c r="CY4" s="37" t="s">
        <v>493</v>
      </c>
      <c r="DA4" s="316"/>
      <c r="DB4" s="37" t="s">
        <v>489</v>
      </c>
      <c r="DC4" s="37" t="s">
        <v>490</v>
      </c>
      <c r="DD4" s="37" t="s">
        <v>177</v>
      </c>
      <c r="DE4" s="37" t="s">
        <v>491</v>
      </c>
      <c r="DF4" s="37" t="s">
        <v>492</v>
      </c>
      <c r="DG4" s="37" t="s">
        <v>493</v>
      </c>
      <c r="DI4" s="316"/>
      <c r="DJ4" s="37" t="s">
        <v>489</v>
      </c>
      <c r="DK4" s="37" t="s">
        <v>490</v>
      </c>
      <c r="DL4" s="37" t="s">
        <v>177</v>
      </c>
      <c r="DM4" s="37" t="s">
        <v>491</v>
      </c>
      <c r="DN4" s="37" t="s">
        <v>492</v>
      </c>
      <c r="DO4" s="37" t="s">
        <v>493</v>
      </c>
      <c r="DQ4" s="316"/>
      <c r="DR4" s="24" t="s">
        <v>494</v>
      </c>
      <c r="DS4" s="32" t="s">
        <v>593</v>
      </c>
      <c r="DT4" s="32" t="s">
        <v>495</v>
      </c>
      <c r="DU4" s="32" t="s">
        <v>594</v>
      </c>
      <c r="DV4" s="32" t="s">
        <v>138</v>
      </c>
      <c r="DW4" s="32" t="s">
        <v>496</v>
      </c>
      <c r="DX4" s="32" t="s">
        <v>496</v>
      </c>
      <c r="DY4" s="32" t="s">
        <v>497</v>
      </c>
      <c r="DZ4" s="32" t="s">
        <v>497</v>
      </c>
      <c r="EB4" s="316"/>
      <c r="EC4" s="37" t="s">
        <v>489</v>
      </c>
      <c r="ED4" s="37" t="s">
        <v>490</v>
      </c>
      <c r="EE4" s="37" t="s">
        <v>177</v>
      </c>
      <c r="EF4" s="37" t="s">
        <v>491</v>
      </c>
      <c r="EG4" s="37" t="s">
        <v>492</v>
      </c>
      <c r="EH4" s="37" t="s">
        <v>493</v>
      </c>
      <c r="EJ4" s="316"/>
      <c r="EK4" s="37" t="s">
        <v>489</v>
      </c>
      <c r="EL4" s="37" t="s">
        <v>490</v>
      </c>
      <c r="EM4" s="37" t="s">
        <v>177</v>
      </c>
      <c r="EN4" s="37" t="s">
        <v>491</v>
      </c>
      <c r="EO4" s="37" t="s">
        <v>492</v>
      </c>
      <c r="EP4" s="37" t="s">
        <v>493</v>
      </c>
      <c r="ER4" s="316"/>
      <c r="ES4" s="24" t="s">
        <v>498</v>
      </c>
      <c r="ET4" s="24" t="s">
        <v>499</v>
      </c>
      <c r="EU4" s="24" t="s">
        <v>500</v>
      </c>
      <c r="EV4" s="24" t="s">
        <v>501</v>
      </c>
      <c r="EW4" s="32" t="s">
        <v>502</v>
      </c>
      <c r="EX4" s="32" t="s">
        <v>503</v>
      </c>
      <c r="EY4" s="32" t="s">
        <v>504</v>
      </c>
      <c r="EZ4" s="32" t="s">
        <v>505</v>
      </c>
      <c r="FA4" s="32" t="s">
        <v>506</v>
      </c>
      <c r="FB4" s="32" t="s">
        <v>507</v>
      </c>
      <c r="FD4" s="316"/>
      <c r="FE4" s="24" t="s">
        <v>21</v>
      </c>
      <c r="FF4" s="24" t="s">
        <v>21</v>
      </c>
      <c r="FG4" s="90" t="s">
        <v>24</v>
      </c>
      <c r="FH4" s="90" t="s">
        <v>24</v>
      </c>
      <c r="FI4" s="24" t="s">
        <v>25</v>
      </c>
      <c r="FK4" s="96" t="s">
        <v>508</v>
      </c>
      <c r="FL4" s="96" t="s">
        <v>509</v>
      </c>
      <c r="FM4" s="96" t="s">
        <v>510</v>
      </c>
      <c r="FO4" s="316"/>
      <c r="FP4" s="37" t="s">
        <v>489</v>
      </c>
      <c r="FQ4" s="37" t="s">
        <v>490</v>
      </c>
      <c r="FR4" s="37" t="s">
        <v>177</v>
      </c>
      <c r="FS4" s="37" t="s">
        <v>491</v>
      </c>
      <c r="FT4" s="37" t="s">
        <v>492</v>
      </c>
      <c r="FU4" s="37" t="s">
        <v>493</v>
      </c>
      <c r="FV4" s="24" t="s">
        <v>188</v>
      </c>
    </row>
    <row r="5" spans="1:178">
      <c r="A5" s="316"/>
      <c r="B5" s="37" t="s">
        <v>511</v>
      </c>
      <c r="C5" s="37" t="s">
        <v>511</v>
      </c>
      <c r="D5" s="37" t="s">
        <v>511</v>
      </c>
      <c r="E5" s="37" t="s">
        <v>511</v>
      </c>
      <c r="F5" s="37" t="s">
        <v>511</v>
      </c>
      <c r="G5" s="37" t="s">
        <v>511</v>
      </c>
      <c r="I5" s="316"/>
      <c r="J5" s="37" t="s">
        <v>511</v>
      </c>
      <c r="K5" s="37" t="s">
        <v>511</v>
      </c>
      <c r="L5" s="37" t="s">
        <v>511</v>
      </c>
      <c r="M5" s="37" t="s">
        <v>511</v>
      </c>
      <c r="N5" s="37" t="s">
        <v>511</v>
      </c>
      <c r="O5" s="37" t="s">
        <v>511</v>
      </c>
      <c r="P5" s="67"/>
      <c r="Q5" s="316"/>
      <c r="R5" s="37" t="s">
        <v>511</v>
      </c>
      <c r="S5" s="37" t="s">
        <v>511</v>
      </c>
      <c r="T5" s="37" t="s">
        <v>511</v>
      </c>
      <c r="U5" s="37" t="s">
        <v>511</v>
      </c>
      <c r="V5" s="37" t="s">
        <v>511</v>
      </c>
      <c r="W5" s="37" t="s">
        <v>511</v>
      </c>
      <c r="Y5" s="316"/>
      <c r="Z5" s="37" t="s">
        <v>511</v>
      </c>
      <c r="AA5" s="37" t="s">
        <v>511</v>
      </c>
      <c r="AB5" s="37" t="s">
        <v>511</v>
      </c>
      <c r="AC5" s="37" t="s">
        <v>511</v>
      </c>
      <c r="AD5" s="37" t="s">
        <v>511</v>
      </c>
      <c r="AE5" s="37" t="s">
        <v>511</v>
      </c>
      <c r="AG5" s="316"/>
      <c r="AN5" s="67"/>
      <c r="AO5" s="316"/>
      <c r="AP5" s="67"/>
      <c r="AQ5" s="67"/>
      <c r="AR5" s="49"/>
      <c r="AS5" s="316"/>
      <c r="BA5" s="316"/>
      <c r="BB5" s="37" t="s">
        <v>511</v>
      </c>
      <c r="BC5" s="37" t="s">
        <v>511</v>
      </c>
      <c r="BD5" s="37" t="s">
        <v>511</v>
      </c>
      <c r="BE5" s="37" t="s">
        <v>511</v>
      </c>
      <c r="BF5" s="37" t="s">
        <v>511</v>
      </c>
      <c r="BG5" s="37" t="s">
        <v>511</v>
      </c>
      <c r="BI5" s="316"/>
      <c r="BJ5" s="37" t="s">
        <v>511</v>
      </c>
      <c r="BK5" s="37" t="s">
        <v>511</v>
      </c>
      <c r="BL5" s="37" t="s">
        <v>511</v>
      </c>
      <c r="BM5" s="37" t="s">
        <v>511</v>
      </c>
      <c r="BN5" s="37" t="s">
        <v>511</v>
      </c>
      <c r="BO5" s="37" t="s">
        <v>511</v>
      </c>
      <c r="BP5" s="67"/>
      <c r="BQ5" s="316"/>
      <c r="BR5" s="37" t="s">
        <v>511</v>
      </c>
      <c r="BS5" s="37" t="s">
        <v>511</v>
      </c>
      <c r="BT5" s="37" t="s">
        <v>511</v>
      </c>
      <c r="BU5" s="37" t="s">
        <v>511</v>
      </c>
      <c r="BV5" s="37" t="s">
        <v>511</v>
      </c>
      <c r="BW5" s="37" t="s">
        <v>511</v>
      </c>
      <c r="BY5" s="316"/>
      <c r="BZ5" s="37" t="s">
        <v>511</v>
      </c>
      <c r="CA5" s="37" t="s">
        <v>511</v>
      </c>
      <c r="CB5" s="37" t="s">
        <v>511</v>
      </c>
      <c r="CC5" s="37" t="s">
        <v>511</v>
      </c>
      <c r="CD5" s="37" t="s">
        <v>511</v>
      </c>
      <c r="CE5" s="37" t="s">
        <v>511</v>
      </c>
      <c r="CG5" s="316"/>
      <c r="CN5" s="67"/>
      <c r="CO5" s="316"/>
      <c r="CP5" s="67"/>
      <c r="CQ5" s="67"/>
      <c r="CR5" s="49"/>
      <c r="CS5" s="316"/>
      <c r="DA5" s="316"/>
      <c r="DB5" s="37" t="s">
        <v>511</v>
      </c>
      <c r="DC5" s="37" t="s">
        <v>511</v>
      </c>
      <c r="DD5" s="37" t="s">
        <v>511</v>
      </c>
      <c r="DE5" s="37" t="s">
        <v>511</v>
      </c>
      <c r="DF5" s="37" t="s">
        <v>511</v>
      </c>
      <c r="DG5" s="37" t="s">
        <v>511</v>
      </c>
      <c r="DI5" s="316"/>
      <c r="DJ5" s="38" t="s">
        <v>512</v>
      </c>
      <c r="DK5" s="38" t="s">
        <v>512</v>
      </c>
      <c r="DL5" s="38" t="s">
        <v>512</v>
      </c>
      <c r="DM5" s="38" t="s">
        <v>512</v>
      </c>
      <c r="DN5" s="38" t="s">
        <v>512</v>
      </c>
      <c r="DO5" s="38" t="s">
        <v>512</v>
      </c>
      <c r="DQ5" s="316"/>
      <c r="DR5" s="37" t="s">
        <v>511</v>
      </c>
      <c r="DS5" s="37" t="s">
        <v>595</v>
      </c>
      <c r="DT5" s="37" t="s">
        <v>511</v>
      </c>
      <c r="DU5" s="37" t="s">
        <v>595</v>
      </c>
      <c r="DV5" s="38" t="s">
        <v>512</v>
      </c>
      <c r="DW5" s="37" t="s">
        <v>511</v>
      </c>
      <c r="DX5" s="37" t="s">
        <v>595</v>
      </c>
      <c r="DY5" s="37" t="s">
        <v>511</v>
      </c>
      <c r="DZ5" s="37" t="s">
        <v>595</v>
      </c>
      <c r="EB5" s="316"/>
      <c r="EC5" s="38" t="s">
        <v>512</v>
      </c>
      <c r="ED5" s="38" t="s">
        <v>512</v>
      </c>
      <c r="EE5" s="38" t="s">
        <v>512</v>
      </c>
      <c r="EF5" s="38" t="s">
        <v>512</v>
      </c>
      <c r="EG5" s="38" t="s">
        <v>512</v>
      </c>
      <c r="EH5" s="38" t="s">
        <v>512</v>
      </c>
      <c r="EJ5" s="316"/>
      <c r="EK5" s="38" t="s">
        <v>512</v>
      </c>
      <c r="EL5" s="38" t="s">
        <v>512</v>
      </c>
      <c r="EM5" s="38" t="s">
        <v>512</v>
      </c>
      <c r="EN5" s="38" t="s">
        <v>512</v>
      </c>
      <c r="EO5" s="38" t="s">
        <v>512</v>
      </c>
      <c r="EP5" s="38" t="s">
        <v>512</v>
      </c>
      <c r="ER5" s="316"/>
      <c r="ES5" s="38" t="s">
        <v>513</v>
      </c>
      <c r="ET5" s="38" t="s">
        <v>513</v>
      </c>
      <c r="EU5" s="38" t="s">
        <v>513</v>
      </c>
      <c r="EV5" s="38" t="s">
        <v>513</v>
      </c>
      <c r="EW5" s="24" t="s">
        <v>514</v>
      </c>
      <c r="EX5" s="24" t="s">
        <v>514</v>
      </c>
      <c r="EY5" s="24" t="s">
        <v>514</v>
      </c>
      <c r="EZ5" s="24" t="s">
        <v>514</v>
      </c>
      <c r="FA5" s="24" t="s">
        <v>514</v>
      </c>
      <c r="FB5" s="24" t="s">
        <v>514</v>
      </c>
      <c r="FD5" s="316"/>
      <c r="FE5" s="24" t="s">
        <v>514</v>
      </c>
      <c r="FF5" s="24" t="s">
        <v>514</v>
      </c>
      <c r="FG5" s="90" t="s">
        <v>514</v>
      </c>
      <c r="FH5" s="90" t="s">
        <v>514</v>
      </c>
      <c r="FO5" s="316"/>
    </row>
    <row r="6" spans="1:178">
      <c r="A6" s="316">
        <v>1980</v>
      </c>
      <c r="B6" s="61">
        <v>156565.4</v>
      </c>
      <c r="C6" s="61">
        <v>11183</v>
      </c>
      <c r="D6" s="61">
        <v>88439.1</v>
      </c>
      <c r="E6" s="61">
        <v>24271.1</v>
      </c>
      <c r="F6" s="61">
        <v>83324.899999999994</v>
      </c>
      <c r="G6" s="61">
        <v>178336</v>
      </c>
      <c r="I6" s="316">
        <v>1980</v>
      </c>
      <c r="J6" s="61">
        <v>197430.1</v>
      </c>
      <c r="K6" s="61">
        <v>14150.3</v>
      </c>
      <c r="L6" s="61">
        <v>105433.3</v>
      </c>
      <c r="M6" s="61">
        <v>30067.200000000001</v>
      </c>
      <c r="N6" s="61">
        <v>100291.3</v>
      </c>
      <c r="O6" s="61">
        <v>229343.9</v>
      </c>
      <c r="Q6" s="316">
        <v>1980</v>
      </c>
      <c r="R6" s="46">
        <f t="shared" ref="R6:W19" si="0">B6/B$20*R$20</f>
        <v>177527.28272116708</v>
      </c>
      <c r="S6" s="46">
        <f t="shared" si="0"/>
        <v>10426.971661664134</v>
      </c>
      <c r="T6" s="46">
        <f t="shared" si="0"/>
        <v>100162.53411091551</v>
      </c>
      <c r="U6" s="46">
        <f t="shared" si="0"/>
        <v>26366.23704940977</v>
      </c>
      <c r="V6" s="46">
        <f t="shared" si="0"/>
        <v>82566.007793900644</v>
      </c>
      <c r="W6" s="46">
        <f t="shared" si="0"/>
        <v>185477.15843367641</v>
      </c>
      <c r="Y6" s="316">
        <v>1980</v>
      </c>
      <c r="Z6" s="46">
        <f t="shared" ref="Z6:AE19" si="1">J6/J$20*Z$20</f>
        <v>234420.88495401439</v>
      </c>
      <c r="AA6" s="46">
        <f t="shared" si="1"/>
        <v>13930.632549786942</v>
      </c>
      <c r="AB6" s="46">
        <f t="shared" si="1"/>
        <v>124030.9630262401</v>
      </c>
      <c r="AC6" s="46">
        <f t="shared" si="1"/>
        <v>34460.212835240585</v>
      </c>
      <c r="AD6" s="46">
        <f t="shared" si="1"/>
        <v>102536.56069559009</v>
      </c>
      <c r="AE6" s="46">
        <f t="shared" si="1"/>
        <v>252177.91824812553</v>
      </c>
      <c r="AG6" s="316">
        <v>1980</v>
      </c>
      <c r="AH6" s="48">
        <f t="shared" ref="AH6:AM21" si="2">R6/Z6</f>
        <v>0.75730147830468286</v>
      </c>
      <c r="AI6" s="48">
        <f t="shared" si="2"/>
        <v>0.74849233330927289</v>
      </c>
      <c r="AJ6" s="48">
        <f t="shared" si="2"/>
        <v>0.80756072247641131</v>
      </c>
      <c r="AK6" s="48">
        <f t="shared" si="2"/>
        <v>0.76512113188246056</v>
      </c>
      <c r="AL6" s="48">
        <f t="shared" si="2"/>
        <v>0.80523480828484295</v>
      </c>
      <c r="AM6" s="48">
        <f t="shared" si="2"/>
        <v>0.73550118790012287</v>
      </c>
      <c r="AO6" s="316">
        <v>1980</v>
      </c>
      <c r="AS6" s="316">
        <v>1980</v>
      </c>
      <c r="BA6" s="316">
        <v>1980</v>
      </c>
      <c r="BB6" s="61">
        <v>16179.3</v>
      </c>
      <c r="BC6" s="61">
        <v>892.6</v>
      </c>
      <c r="BD6" s="61">
        <v>10403.700000000001</v>
      </c>
      <c r="BE6" s="61">
        <v>2954.4</v>
      </c>
      <c r="BF6" s="61">
        <v>6281.2</v>
      </c>
      <c r="BG6" s="61">
        <v>14504.7</v>
      </c>
      <c r="BI6" s="316">
        <v>1980</v>
      </c>
      <c r="BJ6" s="61">
        <v>20757.8</v>
      </c>
      <c r="BK6" s="61">
        <v>1158.8</v>
      </c>
      <c r="BL6" s="61">
        <v>12713.7</v>
      </c>
      <c r="BM6" s="61">
        <v>4290.8999999999996</v>
      </c>
      <c r="BN6" s="61">
        <v>7740</v>
      </c>
      <c r="BO6" s="61">
        <v>19247.400000000001</v>
      </c>
      <c r="BQ6" s="316">
        <v>1980</v>
      </c>
      <c r="BR6" s="46">
        <f>BB6/BB$20*BR$20</f>
        <v>18532.920977638012</v>
      </c>
      <c r="BS6" s="46">
        <f t="shared" ref="BS6:BW19" si="3">BC6/BC$20*BS$20</f>
        <v>885.53040096174254</v>
      </c>
      <c r="BT6" s="46">
        <f t="shared" si="3"/>
        <v>12992.532461173214</v>
      </c>
      <c r="BU6" s="46">
        <f t="shared" si="3"/>
        <v>3237.8996475752765</v>
      </c>
      <c r="BV6" s="46">
        <f t="shared" si="3"/>
        <v>6439.5705119909826</v>
      </c>
      <c r="BW6" s="46">
        <f t="shared" si="3"/>
        <v>14377.4020322822</v>
      </c>
      <c r="BY6" s="316">
        <v>1980</v>
      </c>
      <c r="BZ6" s="46">
        <f t="shared" ref="BZ6:CE19" si="4">BJ6/BJ$20*BZ$20</f>
        <v>24749.738610848097</v>
      </c>
      <c r="CA6" s="46">
        <f t="shared" si="4"/>
        <v>1215.8924096052995</v>
      </c>
      <c r="CB6" s="46">
        <f t="shared" si="4"/>
        <v>16493.459966896415</v>
      </c>
      <c r="CC6" s="46">
        <f t="shared" si="4"/>
        <v>5013.9204338624331</v>
      </c>
      <c r="CD6" s="46">
        <f t="shared" si="4"/>
        <v>8195.4705972356805</v>
      </c>
      <c r="CE6" s="46">
        <f t="shared" si="4"/>
        <v>20272.2554747289</v>
      </c>
      <c r="CG6" s="316">
        <v>1980</v>
      </c>
      <c r="CH6" s="48">
        <f t="shared" ref="CH6:CM21" si="5">BR6/BZ6</f>
        <v>0.74881279633049613</v>
      </c>
      <c r="CI6" s="48">
        <f t="shared" si="5"/>
        <v>0.72829667655315133</v>
      </c>
      <c r="CJ6" s="48">
        <f t="shared" si="5"/>
        <v>0.78773844222195832</v>
      </c>
      <c r="CK6" s="48">
        <f t="shared" si="5"/>
        <v>0.64578201634543819</v>
      </c>
      <c r="CL6" s="48">
        <f t="shared" si="5"/>
        <v>0.78574749742413075</v>
      </c>
      <c r="CM6" s="48">
        <f t="shared" si="5"/>
        <v>0.70921570864203354</v>
      </c>
      <c r="CO6" s="316">
        <v>1980</v>
      </c>
      <c r="CS6" s="316">
        <v>1980</v>
      </c>
      <c r="DA6" s="316">
        <v>1980</v>
      </c>
      <c r="DB6" s="43"/>
      <c r="DC6" s="43"/>
      <c r="DD6" s="43"/>
      <c r="DE6" s="43"/>
      <c r="DF6" s="43"/>
      <c r="DG6" s="43"/>
      <c r="DI6" s="316">
        <v>1980</v>
      </c>
      <c r="DJ6" s="43"/>
      <c r="DK6" s="43"/>
      <c r="DL6" s="43"/>
      <c r="DM6" s="43"/>
      <c r="DN6" s="43"/>
      <c r="DO6" s="43"/>
      <c r="DQ6" s="316">
        <v>1980</v>
      </c>
      <c r="DR6" s="61">
        <v>256075.9</v>
      </c>
      <c r="DS6" s="43"/>
      <c r="DT6" s="61">
        <v>273389.5</v>
      </c>
      <c r="DU6" s="43"/>
      <c r="DV6" s="89">
        <v>-1</v>
      </c>
      <c r="DW6" s="46">
        <f t="shared" ref="DW6:DW46" si="6">DR6/(1+DV6/100)</f>
        <v>258662.52525252526</v>
      </c>
      <c r="DX6" s="43"/>
      <c r="DY6" s="46">
        <f t="shared" ref="DY6:DY46" si="7">DT6/(1+DV6/100)</f>
        <v>276151.01010101009</v>
      </c>
      <c r="DZ6" s="43"/>
      <c r="EB6" s="316">
        <v>1980</v>
      </c>
      <c r="EC6" s="88">
        <f t="shared" ref="EC6:EC46" si="8">BR6/$DR6</f>
        <v>7.23727651748486E-2</v>
      </c>
      <c r="ED6" s="88">
        <f t="shared" ref="ED6:ED46" si="9">BS6/$DR6</f>
        <v>3.4580778627029819E-3</v>
      </c>
      <c r="EE6" s="88">
        <f t="shared" ref="EE6:EE46" si="10">BT6/$DR6</f>
        <v>5.0737037187697918E-2</v>
      </c>
      <c r="EF6" s="88">
        <f t="shared" ref="EF6:EF46" si="11">BU6/$DR6</f>
        <v>1.2644296661947793E-2</v>
      </c>
      <c r="EG6" s="88">
        <f t="shared" ref="EG6:EG46" si="12">BV6/$DR6</f>
        <v>2.5147116585320924E-2</v>
      </c>
      <c r="EH6" s="88">
        <f t="shared" ref="EH6:EH46" si="13">BW6/$DR6</f>
        <v>5.6145080549486304E-2</v>
      </c>
      <c r="EI6" s="140"/>
      <c r="EJ6" s="316">
        <v>1980</v>
      </c>
      <c r="EK6" s="88">
        <f t="shared" ref="EK6:EK46" si="14">R6/$DW6</f>
        <v>0.68632780317849285</v>
      </c>
      <c r="EL6" s="88">
        <f t="shared" ref="EL6:EL46" si="15">S6/$DW6</f>
        <v>4.0311102860704551E-2</v>
      </c>
      <c r="EM6" s="88">
        <f t="shared" ref="EM6:EM46" si="16">T6/$DW6</f>
        <v>0.38723249149883437</v>
      </c>
      <c r="EN6" s="88">
        <f t="shared" ref="EN6:EN46" si="17">U6/$DW6</f>
        <v>0.10193296080933689</v>
      </c>
      <c r="EO6" s="88">
        <f t="shared" ref="EO6:EO46" si="18">V6/$DW6</f>
        <v>0.31920359438729545</v>
      </c>
      <c r="EP6" s="88">
        <f t="shared" ref="EP6:EP46" si="19">W6/$DW6</f>
        <v>0.71706235084730596</v>
      </c>
      <c r="ER6" s="316">
        <v>1980</v>
      </c>
      <c r="ES6" s="317">
        <f>SUM(ET6:EV6)</f>
        <v>117061</v>
      </c>
      <c r="ET6" s="61">
        <v>27524</v>
      </c>
      <c r="EU6" s="61">
        <v>78884</v>
      </c>
      <c r="EV6" s="61">
        <v>10653</v>
      </c>
      <c r="EW6" s="88">
        <f>ET6/$ES6</f>
        <v>0.2351252765652096</v>
      </c>
      <c r="EX6" s="88">
        <f>EU6/$ES6</f>
        <v>0.67387088782771376</v>
      </c>
      <c r="EY6" s="88">
        <f>EV6/$ES6</f>
        <v>9.1003835607076658E-2</v>
      </c>
      <c r="EZ6" s="38"/>
      <c r="FA6" s="38"/>
      <c r="FD6" s="316">
        <v>1980</v>
      </c>
      <c r="FF6" s="43"/>
      <c r="FH6" s="55"/>
      <c r="FO6" s="316">
        <v>1980</v>
      </c>
      <c r="FP6" s="61">
        <v>209115.89550873864</v>
      </c>
      <c r="FQ6" s="61">
        <v>12344.283979982103</v>
      </c>
      <c r="FR6" s="61">
        <v>129499.31966766097</v>
      </c>
      <c r="FS6" s="61">
        <v>52625.431821695216</v>
      </c>
      <c r="FT6" s="61">
        <v>69112.274387905345</v>
      </c>
      <c r="FU6" s="61">
        <v>202914.43510561698</v>
      </c>
      <c r="FV6" s="285">
        <f>SUM(FP6:FU6)</f>
        <v>675611.6404715993</v>
      </c>
    </row>
    <row r="7" spans="1:178">
      <c r="A7" s="316">
        <v>1981</v>
      </c>
      <c r="B7" s="61">
        <v>163912.4</v>
      </c>
      <c r="C7" s="61">
        <v>11670.9</v>
      </c>
      <c r="D7" s="61">
        <v>93040.7</v>
      </c>
      <c r="E7" s="61">
        <v>26055.7</v>
      </c>
      <c r="F7" s="61">
        <v>89082.4</v>
      </c>
      <c r="G7" s="61">
        <v>193128.5</v>
      </c>
      <c r="I7" s="316">
        <v>1981</v>
      </c>
      <c r="J7" s="61">
        <v>204438.7</v>
      </c>
      <c r="K7" s="61">
        <v>14583.3</v>
      </c>
      <c r="L7" s="61">
        <v>109278.39999999999</v>
      </c>
      <c r="M7" s="61">
        <v>31791.4</v>
      </c>
      <c r="N7" s="61">
        <v>104749.9</v>
      </c>
      <c r="O7" s="61">
        <v>242393.1</v>
      </c>
      <c r="Q7" s="316">
        <v>1981</v>
      </c>
      <c r="R7" s="46">
        <f t="shared" si="0"/>
        <v>185857.94164167196</v>
      </c>
      <c r="S7" s="46">
        <f t="shared" si="0"/>
        <v>10881.887111340064</v>
      </c>
      <c r="T7" s="46">
        <f t="shared" si="0"/>
        <v>105374.11945003347</v>
      </c>
      <c r="U7" s="46">
        <f t="shared" si="0"/>
        <v>28304.887816716433</v>
      </c>
      <c r="V7" s="46">
        <f t="shared" si="0"/>
        <v>88271.070624739717</v>
      </c>
      <c r="W7" s="46">
        <f t="shared" si="0"/>
        <v>200861.99865735619</v>
      </c>
      <c r="Y7" s="316">
        <v>1981</v>
      </c>
      <c r="Z7" s="46">
        <f t="shared" si="1"/>
        <v>242742.62624011363</v>
      </c>
      <c r="AA7" s="46">
        <f t="shared" si="1"/>
        <v>14356.910713080848</v>
      </c>
      <c r="AB7" s="46">
        <f t="shared" si="1"/>
        <v>128554.31054483428</v>
      </c>
      <c r="AC7" s="46">
        <f t="shared" si="1"/>
        <v>36436.329632631823</v>
      </c>
      <c r="AD7" s="46">
        <f t="shared" si="1"/>
        <v>107094.97712370855</v>
      </c>
      <c r="AE7" s="46">
        <f t="shared" si="1"/>
        <v>266526.32730022341</v>
      </c>
      <c r="AG7" s="316">
        <v>1981</v>
      </c>
      <c r="AH7" s="48">
        <f t="shared" si="2"/>
        <v>0.7656584445857767</v>
      </c>
      <c r="AI7" s="48">
        <f t="shared" si="2"/>
        <v>0.75795464141358593</v>
      </c>
      <c r="AJ7" s="48">
        <f t="shared" si="2"/>
        <v>0.81968561772406268</v>
      </c>
      <c r="AK7" s="48">
        <f t="shared" si="2"/>
        <v>0.77683147842001643</v>
      </c>
      <c r="AL7" s="48">
        <f t="shared" si="2"/>
        <v>0.8242316586218158</v>
      </c>
      <c r="AM7" s="48">
        <f t="shared" si="2"/>
        <v>0.75362910933409999</v>
      </c>
      <c r="AO7" s="316">
        <v>1981</v>
      </c>
      <c r="AP7" s="88" t="e">
        <f>#REF!</f>
        <v>#REF!</v>
      </c>
      <c r="AS7" s="316">
        <v>1981</v>
      </c>
      <c r="AT7" s="308">
        <f>AH7/AH6-1</f>
        <v>1.1035190766829128E-2</v>
      </c>
      <c r="AU7" s="308">
        <f t="shared" ref="AU7:AY22" si="20">AI7/AI6-1</f>
        <v>1.2641823681049269E-2</v>
      </c>
      <c r="AV7" s="308">
        <f t="shared" si="20"/>
        <v>1.5014221110791537E-2</v>
      </c>
      <c r="AW7" s="308">
        <f t="shared" si="20"/>
        <v>1.5305219068703968E-2</v>
      </c>
      <c r="AX7" s="308">
        <f t="shared" si="20"/>
        <v>2.3591690450436742E-2</v>
      </c>
      <c r="AY7" s="308">
        <f t="shared" si="20"/>
        <v>2.4647032162834259E-2</v>
      </c>
      <c r="BA7" s="316">
        <v>1981</v>
      </c>
      <c r="BB7" s="61">
        <v>15655.6</v>
      </c>
      <c r="BC7" s="61">
        <v>892.7</v>
      </c>
      <c r="BD7" s="61">
        <v>10182</v>
      </c>
      <c r="BE7" s="61">
        <v>3236.2</v>
      </c>
      <c r="BF7" s="61">
        <v>6097</v>
      </c>
      <c r="BG7" s="61">
        <v>14910.9</v>
      </c>
      <c r="BI7" s="316">
        <v>1981</v>
      </c>
      <c r="BJ7" s="61">
        <v>20187.099999999999</v>
      </c>
      <c r="BK7" s="61">
        <v>1146.4000000000001</v>
      </c>
      <c r="BL7" s="61">
        <v>12212.5</v>
      </c>
      <c r="BM7" s="61">
        <v>4599.3999999999996</v>
      </c>
      <c r="BN7" s="61">
        <v>7295.4</v>
      </c>
      <c r="BO7" s="61">
        <v>19214</v>
      </c>
      <c r="BQ7" s="316">
        <v>1981</v>
      </c>
      <c r="BR7" s="46">
        <f t="shared" ref="BR7:BR18" si="21">BB7/BB$20*BR$20</f>
        <v>17933.037749316081</v>
      </c>
      <c r="BS7" s="46">
        <f t="shared" si="3"/>
        <v>885.62960893854768</v>
      </c>
      <c r="BT7" s="46">
        <f t="shared" si="3"/>
        <v>12715.665149866456</v>
      </c>
      <c r="BU7" s="46">
        <f t="shared" si="3"/>
        <v>3546.7407390614367</v>
      </c>
      <c r="BV7" s="46">
        <f t="shared" si="3"/>
        <v>6250.7262006637293</v>
      </c>
      <c r="BW7" s="46">
        <f t="shared" si="3"/>
        <v>14780.03708888544</v>
      </c>
      <c r="BY7" s="316">
        <v>1981</v>
      </c>
      <c r="BZ7" s="46">
        <f t="shared" si="4"/>
        <v>24069.287126335723</v>
      </c>
      <c r="CA7" s="46">
        <f t="shared" si="4"/>
        <v>1202.8814794369307</v>
      </c>
      <c r="CB7" s="46">
        <f t="shared" si="4"/>
        <v>15843.254115302583</v>
      </c>
      <c r="CC7" s="46">
        <f t="shared" si="4"/>
        <v>5374.4029559082883</v>
      </c>
      <c r="CD7" s="46">
        <f t="shared" si="4"/>
        <v>7724.7075187433056</v>
      </c>
      <c r="CE7" s="46">
        <f t="shared" si="4"/>
        <v>20237.077043727521</v>
      </c>
      <c r="CG7" s="316">
        <v>1981</v>
      </c>
      <c r="CH7" s="48">
        <f t="shared" si="5"/>
        <v>0.74505894816030571</v>
      </c>
      <c r="CI7" s="48">
        <f t="shared" si="5"/>
        <v>0.73625675021042913</v>
      </c>
      <c r="CJ7" s="48">
        <f t="shared" si="5"/>
        <v>0.80259175654985737</v>
      </c>
      <c r="CK7" s="48">
        <f t="shared" si="5"/>
        <v>0.65993204606334321</v>
      </c>
      <c r="CL7" s="48">
        <f t="shared" si="5"/>
        <v>0.80918613235477288</v>
      </c>
      <c r="CM7" s="48">
        <f t="shared" si="5"/>
        <v>0.73034445918001334</v>
      </c>
      <c r="CO7" s="316">
        <v>1981</v>
      </c>
      <c r="CP7" s="88" t="e">
        <f>#REF!</f>
        <v>#REF!</v>
      </c>
      <c r="CS7" s="316">
        <v>1981</v>
      </c>
      <c r="CT7" s="308">
        <f>CH7/CH6-1</f>
        <v>-5.0130662678120608E-3</v>
      </c>
      <c r="CU7" s="308">
        <f t="shared" ref="CU7:CY22" si="22">CI7/CI6-1</f>
        <v>1.0929713005077613E-2</v>
      </c>
      <c r="CV7" s="308">
        <f t="shared" si="22"/>
        <v>1.885564234494197E-2</v>
      </c>
      <c r="CW7" s="308">
        <f t="shared" si="22"/>
        <v>2.1911464487632815E-2</v>
      </c>
      <c r="CX7" s="308">
        <f t="shared" si="22"/>
        <v>2.9829729025519836E-2</v>
      </c>
      <c r="CY7" s="308">
        <f t="shared" si="22"/>
        <v>2.9791712564342321E-2</v>
      </c>
      <c r="DA7" s="316">
        <v>1981</v>
      </c>
      <c r="DB7" s="46">
        <f t="shared" ref="DB7:DB46" si="23">-(Z7-Z6-BZ7)</f>
        <v>15747.545840236475</v>
      </c>
      <c r="DC7" s="46">
        <f t="shared" ref="DC7:DC46" si="24">-(AA7-AA6-CA7)</f>
        <v>776.60331614302481</v>
      </c>
      <c r="DD7" s="46">
        <f t="shared" ref="DD7:DD46" si="25">-(AB7-AB6-CB7)</f>
        <v>11319.906596708404</v>
      </c>
      <c r="DE7" s="46">
        <f t="shared" ref="DE7:DE46" si="26">-(AC7-AC6-CC7)</f>
        <v>3398.2861585170504</v>
      </c>
      <c r="DF7" s="46">
        <f t="shared" ref="DF7:DF46" si="27">-(AD7-AD6-CD7)</f>
        <v>3166.2910906248417</v>
      </c>
      <c r="DG7" s="46">
        <f t="shared" ref="DG7:DG46" si="28">-(AE7-AE6-CE7)</f>
        <v>5888.6679916296416</v>
      </c>
      <c r="DI7" s="316">
        <v>1981</v>
      </c>
      <c r="DJ7" s="88">
        <f t="shared" ref="DJ7:DJ46" si="29">DB7/Z6</f>
        <v>6.7176377409059018E-2</v>
      </c>
      <c r="DK7" s="88">
        <f t="shared" ref="DK7:DK46" si="30">DC7/AA6</f>
        <v>5.5747886060988835E-2</v>
      </c>
      <c r="DL7" s="88">
        <f t="shared" ref="DL7:DL46" si="31">DD7/AB6</f>
        <v>9.1266779846848042E-2</v>
      </c>
      <c r="DM7" s="88">
        <f t="shared" ref="DM7:DM46" si="32">DE7/AC6</f>
        <v>9.8614775676655372E-2</v>
      </c>
      <c r="DN7" s="88">
        <f t="shared" ref="DN7:DN46" si="33">DF7/AD6</f>
        <v>3.0879630340097979E-2</v>
      </c>
      <c r="DO7" s="88">
        <f t="shared" ref="DO7:DO46" si="34">DG7/AE6</f>
        <v>2.3351243568580822E-2</v>
      </c>
      <c r="DQ7" s="316">
        <v>1981</v>
      </c>
      <c r="DR7" s="61">
        <v>274615.90000000002</v>
      </c>
      <c r="DS7" s="43"/>
      <c r="DT7" s="61">
        <v>285037.59999999998</v>
      </c>
      <c r="DU7" s="43"/>
      <c r="DV7" s="89">
        <v>-0.5</v>
      </c>
      <c r="DW7" s="46">
        <f t="shared" si="6"/>
        <v>275995.87939698494</v>
      </c>
      <c r="DX7" s="43"/>
      <c r="DY7" s="46">
        <f t="shared" si="7"/>
        <v>286469.94974874367</v>
      </c>
      <c r="DZ7" s="43"/>
      <c r="EB7" s="316">
        <v>1981</v>
      </c>
      <c r="EC7" s="88">
        <f t="shared" si="8"/>
        <v>6.5302255802799761E-2</v>
      </c>
      <c r="ED7" s="88">
        <f t="shared" si="9"/>
        <v>3.2249757167685761E-3</v>
      </c>
      <c r="EE7" s="88">
        <f t="shared" si="10"/>
        <v>4.6303455662496072E-2</v>
      </c>
      <c r="EF7" s="88">
        <f t="shared" si="11"/>
        <v>1.2915278172390732E-2</v>
      </c>
      <c r="EG7" s="88">
        <f t="shared" si="12"/>
        <v>2.2761705351597373E-2</v>
      </c>
      <c r="EH7" s="88">
        <f t="shared" si="13"/>
        <v>5.3820762340729134E-2</v>
      </c>
      <c r="EI7" s="140"/>
      <c r="EJ7" s="316">
        <v>1981</v>
      </c>
      <c r="EK7" s="88">
        <f t="shared" si="14"/>
        <v>0.6734083930808944</v>
      </c>
      <c r="EL7" s="88">
        <f t="shared" si="15"/>
        <v>3.9427715859800407E-2</v>
      </c>
      <c r="EM7" s="88">
        <f t="shared" si="16"/>
        <v>0.38179598797004577</v>
      </c>
      <c r="EN7" s="88">
        <f t="shared" si="17"/>
        <v>0.10255547248951299</v>
      </c>
      <c r="EO7" s="88">
        <f t="shared" si="18"/>
        <v>0.31982749459013848</v>
      </c>
      <c r="EP7" s="88">
        <f t="shared" si="19"/>
        <v>0.7277717301294987</v>
      </c>
      <c r="ER7" s="316">
        <v>1981</v>
      </c>
      <c r="ES7" s="317">
        <f t="shared" ref="ES7:ES45" si="35">SUM(ET7:EV7)</f>
        <v>117884</v>
      </c>
      <c r="ET7" s="61">
        <v>27603</v>
      </c>
      <c r="EU7" s="61">
        <v>79272</v>
      </c>
      <c r="EV7" s="61">
        <v>11009</v>
      </c>
      <c r="EW7" s="88">
        <f t="shared" ref="EW7:EY45" si="36">ET7/$ES7</f>
        <v>0.23415391401716942</v>
      </c>
      <c r="EX7" s="88">
        <f t="shared" si="36"/>
        <v>0.67245767025211223</v>
      </c>
      <c r="EY7" s="88">
        <f t="shared" si="36"/>
        <v>9.3388415730718335E-2</v>
      </c>
      <c r="EZ7" s="88">
        <f>EW7-EW6</f>
        <v>-9.7136254804017219E-4</v>
      </c>
      <c r="FA7" s="88">
        <f t="shared" ref="FA7:FB22" si="37">EX7-EX6</f>
        <v>-1.413217575601533E-3</v>
      </c>
      <c r="FB7" s="88">
        <f t="shared" si="37"/>
        <v>2.3845801236416775E-3</v>
      </c>
      <c r="FD7" s="316">
        <v>1981</v>
      </c>
      <c r="FF7" s="43"/>
      <c r="FG7" s="159">
        <v>3.7000000000000005E-2</v>
      </c>
      <c r="FH7" s="55"/>
      <c r="FO7" s="316">
        <v>1981</v>
      </c>
      <c r="FP7" s="61">
        <v>192233.3971502608</v>
      </c>
      <c r="FQ7" s="61">
        <v>11594.987730497327</v>
      </c>
      <c r="FR7" s="61">
        <v>122949.88497664926</v>
      </c>
      <c r="FS7" s="61">
        <v>52968.802714956102</v>
      </c>
      <c r="FT7" s="61">
        <v>75441.126091765123</v>
      </c>
      <c r="FU7" s="61">
        <v>201061.51597687128</v>
      </c>
      <c r="FV7" s="285">
        <f t="shared" ref="FV7:FV66" si="38">SUM(FP7:FU7)</f>
        <v>656249.71464099991</v>
      </c>
    </row>
    <row r="8" spans="1:178">
      <c r="A8" s="316">
        <v>1982</v>
      </c>
      <c r="B8" s="61">
        <v>172651.5</v>
      </c>
      <c r="C8" s="61">
        <v>12242.6</v>
      </c>
      <c r="D8" s="61">
        <v>97509.1</v>
      </c>
      <c r="E8" s="61">
        <v>27619.599999999999</v>
      </c>
      <c r="F8" s="61">
        <v>94009.9</v>
      </c>
      <c r="G8" s="61">
        <v>207890.4</v>
      </c>
      <c r="I8" s="316">
        <v>1982</v>
      </c>
      <c r="J8" s="61">
        <v>210844.7</v>
      </c>
      <c r="K8" s="61">
        <v>14955.2</v>
      </c>
      <c r="L8" s="61">
        <v>111969.7</v>
      </c>
      <c r="M8" s="61">
        <v>32939.4</v>
      </c>
      <c r="N8" s="61">
        <v>108181.6</v>
      </c>
      <c r="O8" s="61">
        <v>255247.7</v>
      </c>
      <c r="Q8" s="316">
        <v>1982</v>
      </c>
      <c r="R8" s="46">
        <f t="shared" si="0"/>
        <v>195767.08297448594</v>
      </c>
      <c r="S8" s="46">
        <f t="shared" si="0"/>
        <v>11414.9372498515</v>
      </c>
      <c r="T8" s="46">
        <f t="shared" si="0"/>
        <v>110434.84787695341</v>
      </c>
      <c r="U8" s="46">
        <f t="shared" si="0"/>
        <v>30003.787253559916</v>
      </c>
      <c r="V8" s="46">
        <f t="shared" si="0"/>
        <v>93153.692786955871</v>
      </c>
      <c r="W8" s="46">
        <f t="shared" si="0"/>
        <v>216215.01355665911</v>
      </c>
      <c r="Y8" s="316">
        <v>1982</v>
      </c>
      <c r="Z8" s="46">
        <f t="shared" si="1"/>
        <v>250348.86353126334</v>
      </c>
      <c r="AA8" s="46">
        <f t="shared" si="1"/>
        <v>14723.037384972313</v>
      </c>
      <c r="AB8" s="46">
        <f t="shared" si="1"/>
        <v>131720.33618182488</v>
      </c>
      <c r="AC8" s="46">
        <f t="shared" si="1"/>
        <v>37752.059874718092</v>
      </c>
      <c r="AD8" s="46">
        <f t="shared" si="1"/>
        <v>110603.50393848766</v>
      </c>
      <c r="AE8" s="46">
        <f t="shared" si="1"/>
        <v>280660.76151849719</v>
      </c>
      <c r="AG8" s="316">
        <v>1982</v>
      </c>
      <c r="AH8" s="48">
        <f t="shared" si="2"/>
        <v>0.78197711870195374</v>
      </c>
      <c r="AI8" s="48">
        <f t="shared" si="2"/>
        <v>0.77531129965768042</v>
      </c>
      <c r="AJ8" s="48">
        <f t="shared" si="2"/>
        <v>0.83840393274209923</v>
      </c>
      <c r="AK8" s="48">
        <f t="shared" si="2"/>
        <v>0.7947589443630052</v>
      </c>
      <c r="AL8" s="48">
        <f t="shared" si="2"/>
        <v>0.84223093726545473</v>
      </c>
      <c r="AM8" s="48">
        <f t="shared" si="2"/>
        <v>0.7703784896286946</v>
      </c>
      <c r="AO8" s="316">
        <v>1982</v>
      </c>
      <c r="AP8" s="88" t="e">
        <f>#REF!</f>
        <v>#REF!</v>
      </c>
      <c r="AS8" s="316">
        <v>1982</v>
      </c>
      <c r="AT8" s="308">
        <f t="shared" ref="AT8:AY46" si="39">AH8/AH7-1</f>
        <v>2.1313255579654022E-2</v>
      </c>
      <c r="AU8" s="308">
        <f t="shared" si="20"/>
        <v>2.2899336313482177E-2</v>
      </c>
      <c r="AV8" s="308">
        <f t="shared" si="20"/>
        <v>2.2835968587578526E-2</v>
      </c>
      <c r="AW8" s="308">
        <f t="shared" si="20"/>
        <v>2.3077677000745478E-2</v>
      </c>
      <c r="AX8" s="308">
        <f t="shared" si="20"/>
        <v>2.1837645345648582E-2</v>
      </c>
      <c r="AY8" s="308">
        <f t="shared" si="20"/>
        <v>2.2224964624036669E-2</v>
      </c>
      <c r="BA8" s="316">
        <v>1982</v>
      </c>
      <c r="BB8" s="61">
        <v>15824.8</v>
      </c>
      <c r="BC8" s="61">
        <v>879.5</v>
      </c>
      <c r="BD8" s="61">
        <v>9676.5</v>
      </c>
      <c r="BE8" s="61">
        <v>2944.8</v>
      </c>
      <c r="BF8" s="61">
        <v>5487.1</v>
      </c>
      <c r="BG8" s="61">
        <v>15415.1</v>
      </c>
      <c r="BI8" s="316">
        <v>1982</v>
      </c>
      <c r="BJ8" s="61">
        <v>19916.900000000001</v>
      </c>
      <c r="BK8" s="61">
        <v>1104.0999999999999</v>
      </c>
      <c r="BL8" s="61">
        <v>11352.6</v>
      </c>
      <c r="BM8" s="61">
        <v>4094.7</v>
      </c>
      <c r="BN8" s="61">
        <v>6400.3</v>
      </c>
      <c r="BO8" s="61">
        <v>19326.2</v>
      </c>
      <c r="BQ8" s="316">
        <v>1982</v>
      </c>
      <c r="BR8" s="46">
        <f t="shared" si="21"/>
        <v>18126.85146371759</v>
      </c>
      <c r="BS8" s="46">
        <f t="shared" si="3"/>
        <v>872.53415600028302</v>
      </c>
      <c r="BT8" s="46">
        <f t="shared" si="3"/>
        <v>12084.377707982985</v>
      </c>
      <c r="BU8" s="46">
        <f t="shared" si="3"/>
        <v>3227.3784464458686</v>
      </c>
      <c r="BV8" s="46">
        <f t="shared" si="3"/>
        <v>5625.4485379140488</v>
      </c>
      <c r="BW8" s="46">
        <f t="shared" si="3"/>
        <v>15279.81206559483</v>
      </c>
      <c r="BY8" s="316">
        <v>1982</v>
      </c>
      <c r="BZ8" s="46">
        <f t="shared" si="4"/>
        <v>23747.124885026376</v>
      </c>
      <c r="CA8" s="46">
        <f t="shared" si="4"/>
        <v>1158.4974192658017</v>
      </c>
      <c r="CB8" s="46">
        <f t="shared" si="4"/>
        <v>14727.707403839027</v>
      </c>
      <c r="CC8" s="46">
        <f t="shared" si="4"/>
        <v>4784.6605608465607</v>
      </c>
      <c r="CD8" s="46">
        <f t="shared" si="4"/>
        <v>6776.9341684092424</v>
      </c>
      <c r="CE8" s="46">
        <f t="shared" si="4"/>
        <v>20355.251293977664</v>
      </c>
      <c r="CG8" s="316">
        <v>1982</v>
      </c>
      <c r="CH8" s="48">
        <f t="shared" si="5"/>
        <v>0.76332825769351897</v>
      </c>
      <c r="CI8" s="48">
        <f t="shared" si="5"/>
        <v>0.75316020691116603</v>
      </c>
      <c r="CJ8" s="48">
        <f t="shared" si="5"/>
        <v>0.82051994764867386</v>
      </c>
      <c r="CK8" s="48">
        <f t="shared" si="5"/>
        <v>0.67452610386949607</v>
      </c>
      <c r="CL8" s="48">
        <f t="shared" si="5"/>
        <v>0.83008752897986571</v>
      </c>
      <c r="CM8" s="48">
        <f t="shared" si="5"/>
        <v>0.75065700958039949</v>
      </c>
      <c r="CO8" s="316">
        <v>1982</v>
      </c>
      <c r="CP8" s="88" t="e">
        <f>#REF!</f>
        <v>#REF!</v>
      </c>
      <c r="CS8" s="316">
        <v>1982</v>
      </c>
      <c r="CT8" s="308">
        <f t="shared" ref="CT8:CY45" si="40">CH8/CH7-1</f>
        <v>2.4520622936377912E-2</v>
      </c>
      <c r="CU8" s="308">
        <f t="shared" si="22"/>
        <v>2.2958644108737492E-2</v>
      </c>
      <c r="CV8" s="308">
        <f t="shared" si="22"/>
        <v>2.2337870969277418E-2</v>
      </c>
      <c r="CW8" s="308">
        <f t="shared" si="22"/>
        <v>2.2114485715930998E-2</v>
      </c>
      <c r="CX8" s="308">
        <f t="shared" si="22"/>
        <v>2.5830146846768987E-2</v>
      </c>
      <c r="CY8" s="308">
        <f t="shared" si="22"/>
        <v>2.7812287948609793E-2</v>
      </c>
      <c r="DA8" s="316">
        <v>1982</v>
      </c>
      <c r="DB8" s="46">
        <f t="shared" si="23"/>
        <v>16140.887593876669</v>
      </c>
      <c r="DC8" s="46">
        <f t="shared" si="24"/>
        <v>792.37074737433682</v>
      </c>
      <c r="DD8" s="46">
        <f t="shared" si="25"/>
        <v>11561.681766848429</v>
      </c>
      <c r="DE8" s="46">
        <f t="shared" si="26"/>
        <v>3468.9303187602918</v>
      </c>
      <c r="DF8" s="46">
        <f t="shared" si="27"/>
        <v>3268.4073536301357</v>
      </c>
      <c r="DG8" s="46">
        <f t="shared" si="28"/>
        <v>6220.8170757038752</v>
      </c>
      <c r="DI8" s="316">
        <v>1982</v>
      </c>
      <c r="DJ8" s="88">
        <f t="shared" si="29"/>
        <v>6.6493832763886276E-2</v>
      </c>
      <c r="DK8" s="88">
        <f t="shared" si="30"/>
        <v>5.5190894699400278E-2</v>
      </c>
      <c r="DL8" s="88">
        <f t="shared" si="31"/>
        <v>8.9936165639628279E-2</v>
      </c>
      <c r="DM8" s="88">
        <f t="shared" si="32"/>
        <v>9.5205262268062543E-2</v>
      </c>
      <c r="DN8" s="88">
        <f t="shared" si="33"/>
        <v>3.0518773535519808E-2</v>
      </c>
      <c r="DO8" s="88">
        <f t="shared" si="34"/>
        <v>2.3340347419774993E-2</v>
      </c>
      <c r="DQ8" s="316">
        <v>1982</v>
      </c>
      <c r="DR8" s="61">
        <v>288613</v>
      </c>
      <c r="DS8" s="43"/>
      <c r="DT8" s="61">
        <v>294386.09999999998</v>
      </c>
      <c r="DU8" s="43"/>
      <c r="DV8" s="89">
        <v>-0.9</v>
      </c>
      <c r="DW8" s="46">
        <f t="shared" si="6"/>
        <v>291234.10696266399</v>
      </c>
      <c r="DX8" s="43"/>
      <c r="DY8" s="46">
        <f t="shared" si="7"/>
        <v>297059.63673057518</v>
      </c>
      <c r="DZ8" s="43"/>
      <c r="EB8" s="316">
        <v>1982</v>
      </c>
      <c r="EC8" s="88">
        <f t="shared" si="8"/>
        <v>6.280677399742074E-2</v>
      </c>
      <c r="ED8" s="88">
        <f t="shared" si="9"/>
        <v>3.0231976937985573E-3</v>
      </c>
      <c r="EE8" s="88">
        <f t="shared" si="10"/>
        <v>4.1870524570906321E-2</v>
      </c>
      <c r="EF8" s="88">
        <f t="shared" si="11"/>
        <v>1.1182373789281386E-2</v>
      </c>
      <c r="EG8" s="88">
        <f t="shared" si="12"/>
        <v>1.9491320688652447E-2</v>
      </c>
      <c r="EH8" s="88">
        <f t="shared" si="13"/>
        <v>5.2942216967339757E-2</v>
      </c>
      <c r="EI8" s="140"/>
      <c r="EJ8" s="316">
        <v>1982</v>
      </c>
      <c r="EK8" s="88">
        <f t="shared" si="14"/>
        <v>0.67219833904819104</v>
      </c>
      <c r="EL8" s="88">
        <f t="shared" si="15"/>
        <v>3.9195056406339412E-2</v>
      </c>
      <c r="EM8" s="88">
        <f t="shared" si="16"/>
        <v>0.37919613546881403</v>
      </c>
      <c r="EN8" s="88">
        <f t="shared" si="17"/>
        <v>0.10302291708369989</v>
      </c>
      <c r="EO8" s="88">
        <f t="shared" si="18"/>
        <v>0.31985845943139518</v>
      </c>
      <c r="EP8" s="88">
        <f t="shared" si="19"/>
        <v>0.7424096573427017</v>
      </c>
      <c r="ER8" s="316">
        <v>1982</v>
      </c>
      <c r="ES8" s="317">
        <f t="shared" si="35"/>
        <v>118693</v>
      </c>
      <c r="ET8" s="61">
        <v>27254</v>
      </c>
      <c r="EU8" s="61">
        <v>80089</v>
      </c>
      <c r="EV8" s="61">
        <v>11350</v>
      </c>
      <c r="EW8" s="88">
        <f t="shared" si="36"/>
        <v>0.22961758486178629</v>
      </c>
      <c r="EX8" s="88">
        <f t="shared" si="36"/>
        <v>0.67475756784309104</v>
      </c>
      <c r="EY8" s="88">
        <f t="shared" si="36"/>
        <v>9.5624847295122717E-2</v>
      </c>
      <c r="EZ8" s="88">
        <f t="shared" ref="EZ8:FB45" si="41">EW8-EW7</f>
        <v>-4.5363291553831286E-3</v>
      </c>
      <c r="FA8" s="88">
        <f t="shared" si="37"/>
        <v>2.2998975909788166E-3</v>
      </c>
      <c r="FB8" s="88">
        <f t="shared" si="37"/>
        <v>2.2364315644043814E-3</v>
      </c>
      <c r="FD8" s="316">
        <v>1982</v>
      </c>
      <c r="FF8" s="43"/>
      <c r="FG8" s="159">
        <v>3.7999999999999999E-2</v>
      </c>
      <c r="FH8" s="55"/>
      <c r="FO8" s="316">
        <v>1982</v>
      </c>
      <c r="FP8" s="61">
        <v>198773.39734513013</v>
      </c>
      <c r="FQ8" s="61">
        <v>11834.491191114705</v>
      </c>
      <c r="FR8" s="61">
        <v>117807.82633205278</v>
      </c>
      <c r="FS8" s="61">
        <v>50421.513314383847</v>
      </c>
      <c r="FT8" s="61">
        <v>77609.379083273889</v>
      </c>
      <c r="FU8" s="61">
        <v>205116.61976260578</v>
      </c>
      <c r="FV8" s="285">
        <f t="shared" si="38"/>
        <v>661563.22702856117</v>
      </c>
    </row>
    <row r="9" spans="1:178">
      <c r="A9" s="316">
        <v>1983</v>
      </c>
      <c r="B9" s="61">
        <v>175788.7</v>
      </c>
      <c r="C9" s="61">
        <v>12551.4</v>
      </c>
      <c r="D9" s="61">
        <v>99792.2</v>
      </c>
      <c r="E9" s="61">
        <v>28221.599999999999</v>
      </c>
      <c r="F9" s="61">
        <v>94812.7</v>
      </c>
      <c r="G9" s="61">
        <v>218120.9</v>
      </c>
      <c r="I9" s="316">
        <v>1983</v>
      </c>
      <c r="J9" s="61">
        <v>216135.1</v>
      </c>
      <c r="K9" s="61">
        <v>15352.8</v>
      </c>
      <c r="L9" s="61">
        <v>114953.2</v>
      </c>
      <c r="M9" s="61">
        <v>33733.5</v>
      </c>
      <c r="N9" s="61">
        <v>109501.9</v>
      </c>
      <c r="O9" s="61">
        <v>268134.40000000002</v>
      </c>
      <c r="Q9" s="316">
        <v>1983</v>
      </c>
      <c r="R9" s="46">
        <f t="shared" si="0"/>
        <v>199324.3094840011</v>
      </c>
      <c r="S9" s="46">
        <f t="shared" si="0"/>
        <v>11702.860781025773</v>
      </c>
      <c r="T9" s="46">
        <f t="shared" si="0"/>
        <v>113020.59424511671</v>
      </c>
      <c r="U9" s="46">
        <f t="shared" si="0"/>
        <v>30657.753275031733</v>
      </c>
      <c r="V9" s="46">
        <f t="shared" si="0"/>
        <v>93949.181183064895</v>
      </c>
      <c r="W9" s="46">
        <f t="shared" si="0"/>
        <v>226855.17633565899</v>
      </c>
      <c r="Y9" s="316">
        <v>1983</v>
      </c>
      <c r="Z9" s="46">
        <f t="shared" si="1"/>
        <v>256630.48041623033</v>
      </c>
      <c r="AA9" s="46">
        <f t="shared" si="1"/>
        <v>15114.465093345651</v>
      </c>
      <c r="AB9" s="46">
        <f t="shared" si="1"/>
        <v>135230.10376179047</v>
      </c>
      <c r="AC9" s="46">
        <f t="shared" si="1"/>
        <v>38662.183032593268</v>
      </c>
      <c r="AD9" s="46">
        <f t="shared" si="1"/>
        <v>111953.36201278112</v>
      </c>
      <c r="AE9" s="46">
        <f t="shared" si="1"/>
        <v>294830.49168829073</v>
      </c>
      <c r="AG9" s="316">
        <v>1983</v>
      </c>
      <c r="AH9" s="48">
        <f t="shared" si="2"/>
        <v>0.77669772180107344</v>
      </c>
      <c r="AI9" s="48">
        <f t="shared" si="2"/>
        <v>0.77428216670255279</v>
      </c>
      <c r="AJ9" s="48">
        <f t="shared" si="2"/>
        <v>0.83576504861819756</v>
      </c>
      <c r="AK9" s="48">
        <f t="shared" si="2"/>
        <v>0.79296487860466691</v>
      </c>
      <c r="AL9" s="48">
        <f t="shared" si="2"/>
        <v>0.83918141888708286</v>
      </c>
      <c r="AM9" s="48">
        <f t="shared" si="2"/>
        <v>0.76944272295791383</v>
      </c>
      <c r="AO9" s="316">
        <v>1983</v>
      </c>
      <c r="AP9" s="88" t="e">
        <f>#REF!</f>
        <v>#REF!</v>
      </c>
      <c r="AS9" s="316">
        <v>1983</v>
      </c>
      <c r="AT9" s="308">
        <f t="shared" si="39"/>
        <v>-6.7513444762218322E-3</v>
      </c>
      <c r="AU9" s="308">
        <f t="shared" si="20"/>
        <v>-1.3273803123752259E-3</v>
      </c>
      <c r="AV9" s="308">
        <f t="shared" si="20"/>
        <v>-3.1475092385013781E-3</v>
      </c>
      <c r="AW9" s="308">
        <f t="shared" si="20"/>
        <v>-2.257370956392557E-3</v>
      </c>
      <c r="AX9" s="308">
        <f t="shared" si="20"/>
        <v>-3.6207627189200897E-3</v>
      </c>
      <c r="AY9" s="308">
        <f t="shared" si="20"/>
        <v>-1.2146843186545686E-3</v>
      </c>
      <c r="BA9" s="316">
        <v>1983</v>
      </c>
      <c r="BB9" s="61">
        <v>15146.3</v>
      </c>
      <c r="BC9" s="61">
        <v>912.3</v>
      </c>
      <c r="BD9" s="61">
        <v>10073.1</v>
      </c>
      <c r="BE9" s="61">
        <v>2723.3</v>
      </c>
      <c r="BF9" s="61">
        <v>3761.3</v>
      </c>
      <c r="BG9" s="61">
        <v>15657.9</v>
      </c>
      <c r="BI9" s="316">
        <v>1983</v>
      </c>
      <c r="BJ9" s="61">
        <v>19093.900000000001</v>
      </c>
      <c r="BK9" s="61">
        <v>1145.7</v>
      </c>
      <c r="BL9" s="61">
        <v>11839.9</v>
      </c>
      <c r="BM9" s="61">
        <v>3792.3</v>
      </c>
      <c r="BN9" s="61">
        <v>4391.2</v>
      </c>
      <c r="BO9" s="61">
        <v>19642.099999999999</v>
      </c>
      <c r="BQ9" s="316">
        <v>1983</v>
      </c>
      <c r="BR9" s="46">
        <f t="shared" si="21"/>
        <v>17349.649305198531</v>
      </c>
      <c r="BS9" s="46">
        <f t="shared" si="3"/>
        <v>905.07437239233445</v>
      </c>
      <c r="BT9" s="46">
        <f t="shared" si="3"/>
        <v>12579.666727668415</v>
      </c>
      <c r="BU9" s="46">
        <f t="shared" si="3"/>
        <v>2984.6236495538014</v>
      </c>
      <c r="BV9" s="46">
        <f t="shared" si="3"/>
        <v>3856.1352236438393</v>
      </c>
      <c r="BW9" s="46">
        <f t="shared" si="3"/>
        <v>15520.481173776185</v>
      </c>
      <c r="BY9" s="316">
        <v>1983</v>
      </c>
      <c r="BZ9" s="46">
        <f t="shared" si="4"/>
        <v>22765.853513458678</v>
      </c>
      <c r="CA9" s="46">
        <f t="shared" si="4"/>
        <v>1202.146991443555</v>
      </c>
      <c r="CB9" s="46">
        <f t="shared" si="4"/>
        <v>15359.880810626084</v>
      </c>
      <c r="CC9" s="46">
        <f t="shared" si="4"/>
        <v>4431.3058941798945</v>
      </c>
      <c r="CD9" s="46">
        <f t="shared" si="4"/>
        <v>4649.606006018259</v>
      </c>
      <c r="CE9" s="46">
        <f t="shared" si="4"/>
        <v>20687.971843478732</v>
      </c>
      <c r="CG9" s="316">
        <v>1983</v>
      </c>
      <c r="CH9" s="48">
        <f t="shared" si="5"/>
        <v>0.76209087855817903</v>
      </c>
      <c r="CI9" s="48">
        <f t="shared" si="5"/>
        <v>0.75288161833313616</v>
      </c>
      <c r="CJ9" s="48">
        <f t="shared" si="5"/>
        <v>0.81899507442568853</v>
      </c>
      <c r="CK9" s="48">
        <f t="shared" si="5"/>
        <v>0.67353139702538367</v>
      </c>
      <c r="CL9" s="48">
        <f t="shared" si="5"/>
        <v>0.82934666263176193</v>
      </c>
      <c r="CM9" s="48">
        <f t="shared" si="5"/>
        <v>0.75021762844619078</v>
      </c>
      <c r="CO9" s="316">
        <v>1983</v>
      </c>
      <c r="CP9" s="88" t="e">
        <f>#REF!</f>
        <v>#REF!</v>
      </c>
      <c r="CS9" s="316">
        <v>1983</v>
      </c>
      <c r="CT9" s="308">
        <f t="shared" si="40"/>
        <v>-1.6210314800592096E-3</v>
      </c>
      <c r="CU9" s="308">
        <f t="shared" si="22"/>
        <v>-3.6989285343735911E-4</v>
      </c>
      <c r="CV9" s="308">
        <f t="shared" si="22"/>
        <v>-1.8584230978845317E-3</v>
      </c>
      <c r="CW9" s="308">
        <f t="shared" si="22"/>
        <v>-1.4746750917513651E-3</v>
      </c>
      <c r="CX9" s="308">
        <f t="shared" si="22"/>
        <v>-8.9251593625827574E-4</v>
      </c>
      <c r="CY9" s="308">
        <f t="shared" si="22"/>
        <v>-5.8532875681038821E-4</v>
      </c>
      <c r="DA9" s="316">
        <v>1983</v>
      </c>
      <c r="DB9" s="46">
        <f t="shared" si="23"/>
        <v>16484.236628491686</v>
      </c>
      <c r="DC9" s="46">
        <f t="shared" si="24"/>
        <v>810.71928307021722</v>
      </c>
      <c r="DD9" s="46">
        <f t="shared" si="25"/>
        <v>11850.1132306605</v>
      </c>
      <c r="DE9" s="46">
        <f t="shared" si="26"/>
        <v>3521.1827363047187</v>
      </c>
      <c r="DF9" s="46">
        <f t="shared" si="27"/>
        <v>3299.7479317248017</v>
      </c>
      <c r="DG9" s="46">
        <f t="shared" si="28"/>
        <v>6518.2416736851992</v>
      </c>
      <c r="DI9" s="316">
        <v>1983</v>
      </c>
      <c r="DJ9" s="88">
        <f t="shared" si="29"/>
        <v>6.5845062749538497E-2</v>
      </c>
      <c r="DK9" s="88">
        <f t="shared" si="30"/>
        <v>5.5064675981717735E-2</v>
      </c>
      <c r="DL9" s="88">
        <f t="shared" si="31"/>
        <v>8.9964189085448218E-2</v>
      </c>
      <c r="DM9" s="88">
        <f t="shared" si="32"/>
        <v>9.3271274414957014E-2</v>
      </c>
      <c r="DN9" s="88">
        <f t="shared" si="33"/>
        <v>2.9834027080733017E-2</v>
      </c>
      <c r="DO9" s="88">
        <f t="shared" si="34"/>
        <v>2.3224627619545631E-2</v>
      </c>
      <c r="DQ9" s="316">
        <v>1983</v>
      </c>
      <c r="DR9" s="61">
        <v>301844.09999999998</v>
      </c>
      <c r="DS9" s="43"/>
      <c r="DT9" s="61">
        <v>305072.90000000002</v>
      </c>
      <c r="DU9" s="43"/>
      <c r="DV9" s="89">
        <v>-1.2</v>
      </c>
      <c r="DW9" s="46">
        <f t="shared" si="6"/>
        <v>305510.22267206473</v>
      </c>
      <c r="DX9" s="43"/>
      <c r="DY9" s="46">
        <f t="shared" si="7"/>
        <v>308778.23886639677</v>
      </c>
      <c r="DZ9" s="43"/>
      <c r="EB9" s="316">
        <v>1983</v>
      </c>
      <c r="EC9" s="88">
        <f t="shared" si="8"/>
        <v>5.7478841909444418E-2</v>
      </c>
      <c r="ED9" s="88">
        <f t="shared" si="9"/>
        <v>2.9984829002532585E-3</v>
      </c>
      <c r="EE9" s="88">
        <f t="shared" si="10"/>
        <v>4.1676039808856348E-2</v>
      </c>
      <c r="EF9" s="88">
        <f t="shared" si="11"/>
        <v>9.8879641826817282E-3</v>
      </c>
      <c r="EG9" s="88">
        <f t="shared" si="12"/>
        <v>1.2775254588855107E-2</v>
      </c>
      <c r="EH9" s="88">
        <f t="shared" si="13"/>
        <v>5.1418865479816188E-2</v>
      </c>
      <c r="EI9" s="140"/>
      <c r="EJ9" s="316">
        <v>1983</v>
      </c>
      <c r="EK9" s="88">
        <f t="shared" si="14"/>
        <v>0.65243089982607949</v>
      </c>
      <c r="EL9" s="88">
        <f t="shared" si="15"/>
        <v>3.8305954801347665E-2</v>
      </c>
      <c r="EM9" s="88">
        <f t="shared" si="16"/>
        <v>0.36994046633402916</v>
      </c>
      <c r="EN9" s="88">
        <f t="shared" si="17"/>
        <v>0.10034935331096867</v>
      </c>
      <c r="EO9" s="88">
        <f t="shared" si="18"/>
        <v>0.30751567119870199</v>
      </c>
      <c r="EP9" s="88">
        <f t="shared" si="19"/>
        <v>0.74254528817900078</v>
      </c>
      <c r="ER9" s="316">
        <v>1983</v>
      </c>
      <c r="ES9" s="317">
        <f t="shared" si="35"/>
        <v>119483</v>
      </c>
      <c r="ET9" s="61">
        <v>26907</v>
      </c>
      <c r="EU9" s="61">
        <v>80904</v>
      </c>
      <c r="EV9" s="61">
        <v>11672</v>
      </c>
      <c r="EW9" s="88">
        <f t="shared" si="36"/>
        <v>0.22519521605584059</v>
      </c>
      <c r="EX9" s="88">
        <f t="shared" si="36"/>
        <v>0.67711724680498486</v>
      </c>
      <c r="EY9" s="88">
        <f t="shared" si="36"/>
        <v>9.7687537139174607E-2</v>
      </c>
      <c r="EZ9" s="88">
        <f t="shared" si="41"/>
        <v>-4.4223688059457089E-3</v>
      </c>
      <c r="FA9" s="88">
        <f t="shared" si="37"/>
        <v>2.3596789618938185E-3</v>
      </c>
      <c r="FB9" s="88">
        <f t="shared" si="37"/>
        <v>2.0626898440518904E-3</v>
      </c>
      <c r="FD9" s="316">
        <v>1983</v>
      </c>
      <c r="FF9" s="43"/>
      <c r="FG9" s="159">
        <v>3.9E-2</v>
      </c>
      <c r="FH9" s="55"/>
      <c r="FO9" s="316">
        <v>1983</v>
      </c>
      <c r="FP9" s="61">
        <v>186580.87495231561</v>
      </c>
      <c r="FQ9" s="61">
        <v>11846.53137729371</v>
      </c>
      <c r="FR9" s="61">
        <v>119700.25530258204</v>
      </c>
      <c r="FS9" s="61">
        <v>44205.767500736722</v>
      </c>
      <c r="FT9" s="61">
        <v>61030.108693556635</v>
      </c>
      <c r="FU9" s="61">
        <v>208059.28149195394</v>
      </c>
      <c r="FV9" s="285">
        <f t="shared" si="38"/>
        <v>631422.81931843865</v>
      </c>
    </row>
    <row r="10" spans="1:178">
      <c r="A10" s="316">
        <v>1984</v>
      </c>
      <c r="B10" s="61">
        <v>182887.3</v>
      </c>
      <c r="C10" s="61">
        <v>13027.3</v>
      </c>
      <c r="D10" s="61">
        <v>104642.2</v>
      </c>
      <c r="E10" s="61">
        <v>29470.3</v>
      </c>
      <c r="F10" s="61">
        <v>97650.3</v>
      </c>
      <c r="G10" s="61">
        <v>231281.7</v>
      </c>
      <c r="I10" s="316">
        <v>1984</v>
      </c>
      <c r="J10" s="61">
        <v>220855.5</v>
      </c>
      <c r="K10" s="61">
        <v>15663.3</v>
      </c>
      <c r="L10" s="61">
        <v>118405.7</v>
      </c>
      <c r="M10" s="61">
        <v>34599.9</v>
      </c>
      <c r="N10" s="61">
        <v>110731.2</v>
      </c>
      <c r="O10" s="61">
        <v>279948.5</v>
      </c>
      <c r="Q10" s="316">
        <v>1984</v>
      </c>
      <c r="R10" s="46">
        <f t="shared" si="0"/>
        <v>207373.31117354729</v>
      </c>
      <c r="S10" s="46">
        <f t="shared" si="0"/>
        <v>12146.587492443634</v>
      </c>
      <c r="T10" s="46">
        <f t="shared" si="0"/>
        <v>118513.50733941483</v>
      </c>
      <c r="U10" s="46">
        <f t="shared" si="0"/>
        <v>32014.243924553099</v>
      </c>
      <c r="V10" s="46">
        <f t="shared" si="0"/>
        <v>96760.937377383423</v>
      </c>
      <c r="W10" s="46">
        <f t="shared" si="0"/>
        <v>240542.97793889075</v>
      </c>
      <c r="Y10" s="316">
        <v>1984</v>
      </c>
      <c r="Z10" s="46">
        <f t="shared" si="1"/>
        <v>262235.30128871597</v>
      </c>
      <c r="AA10" s="46">
        <f t="shared" si="1"/>
        <v>15420.144930996363</v>
      </c>
      <c r="AB10" s="46">
        <f t="shared" si="1"/>
        <v>139291.59951169201</v>
      </c>
      <c r="AC10" s="46">
        <f t="shared" si="1"/>
        <v>39655.169689164301</v>
      </c>
      <c r="AD10" s="46">
        <f t="shared" si="1"/>
        <v>113210.18283435875</v>
      </c>
      <c r="AE10" s="46">
        <f t="shared" si="1"/>
        <v>307820.83127864031</v>
      </c>
      <c r="AG10" s="316">
        <v>1984</v>
      </c>
      <c r="AH10" s="48">
        <f t="shared" si="2"/>
        <v>0.79079098105572487</v>
      </c>
      <c r="AI10" s="48">
        <f t="shared" si="2"/>
        <v>0.7877090356023515</v>
      </c>
      <c r="AJ10" s="48">
        <f t="shared" si="2"/>
        <v>0.85083025648985333</v>
      </c>
      <c r="AK10" s="48">
        <f t="shared" si="2"/>
        <v>0.80731577182737235</v>
      </c>
      <c r="AL10" s="48">
        <f t="shared" si="2"/>
        <v>0.85470171458831823</v>
      </c>
      <c r="AM10" s="48">
        <f t="shared" si="2"/>
        <v>0.78143827024218038</v>
      </c>
      <c r="AO10" s="316">
        <v>1984</v>
      </c>
      <c r="AP10" s="88" t="e">
        <f>#REF!</f>
        <v>#REF!</v>
      </c>
      <c r="AS10" s="316">
        <v>1984</v>
      </c>
      <c r="AT10" s="308">
        <f t="shared" si="39"/>
        <v>1.814510183185658E-2</v>
      </c>
      <c r="AU10" s="308">
        <f t="shared" si="20"/>
        <v>1.7341054046201121E-2</v>
      </c>
      <c r="AV10" s="308">
        <f t="shared" si="20"/>
        <v>1.8025649548953471E-2</v>
      </c>
      <c r="AW10" s="308">
        <f t="shared" si="20"/>
        <v>1.8097766508849533E-2</v>
      </c>
      <c r="AX10" s="308">
        <f t="shared" si="20"/>
        <v>1.8494565480034364E-2</v>
      </c>
      <c r="AY10" s="308">
        <f t="shared" si="20"/>
        <v>1.5589915826551559E-2</v>
      </c>
      <c r="BA10" s="316">
        <v>1984</v>
      </c>
      <c r="BB10" s="61">
        <v>15096</v>
      </c>
      <c r="BC10" s="61">
        <v>872.5</v>
      </c>
      <c r="BD10" s="61">
        <v>10849.7</v>
      </c>
      <c r="BE10" s="61">
        <v>2885.4</v>
      </c>
      <c r="BF10" s="61">
        <v>3791.8</v>
      </c>
      <c r="BG10" s="61">
        <v>15279.8</v>
      </c>
      <c r="BI10" s="316">
        <v>1984</v>
      </c>
      <c r="BJ10" s="61">
        <v>18716.900000000001</v>
      </c>
      <c r="BK10" s="61">
        <v>1075</v>
      </c>
      <c r="BL10" s="61">
        <v>12521.8</v>
      </c>
      <c r="BM10" s="61">
        <v>3943.5</v>
      </c>
      <c r="BN10" s="61">
        <v>4362.8</v>
      </c>
      <c r="BO10" s="61">
        <v>18852.900000000001</v>
      </c>
      <c r="BQ10" s="316">
        <v>1984</v>
      </c>
      <c r="BR10" s="46">
        <f t="shared" si="21"/>
        <v>17292.032107595718</v>
      </c>
      <c r="BS10" s="46">
        <f t="shared" si="3"/>
        <v>865.58959762393044</v>
      </c>
      <c r="BT10" s="46">
        <f t="shared" si="3"/>
        <v>13549.514061727175</v>
      </c>
      <c r="BU10" s="46">
        <f t="shared" si="3"/>
        <v>3162.2785144576574</v>
      </c>
      <c r="BV10" s="46">
        <f t="shared" si="3"/>
        <v>3887.4042328484061</v>
      </c>
      <c r="BW10" s="46">
        <f t="shared" si="3"/>
        <v>15145.699502427869</v>
      </c>
      <c r="BY10" s="316">
        <v>1984</v>
      </c>
      <c r="BZ10" s="46">
        <f t="shared" si="4"/>
        <v>22316.352532801302</v>
      </c>
      <c r="CA10" s="46">
        <f t="shared" si="4"/>
        <v>1127.9637041126136</v>
      </c>
      <c r="CB10" s="46">
        <f t="shared" si="4"/>
        <v>16244.508444707952</v>
      </c>
      <c r="CC10" s="46">
        <f t="shared" si="4"/>
        <v>4607.9832275132276</v>
      </c>
      <c r="CD10" s="46">
        <f t="shared" si="4"/>
        <v>4619.53477023512</v>
      </c>
      <c r="CE10" s="46">
        <f t="shared" si="4"/>
        <v>19856.749755266505</v>
      </c>
      <c r="CG10" s="316">
        <v>1984</v>
      </c>
      <c r="CH10" s="48">
        <f t="shared" si="5"/>
        <v>0.77485924647315574</v>
      </c>
      <c r="CI10" s="48">
        <f t="shared" si="5"/>
        <v>0.76739135706933326</v>
      </c>
      <c r="CJ10" s="48">
        <f t="shared" si="5"/>
        <v>0.83409812662821836</v>
      </c>
      <c r="CK10" s="48">
        <f t="shared" si="5"/>
        <v>0.68626085606744536</v>
      </c>
      <c r="CL10" s="48">
        <f t="shared" si="5"/>
        <v>0.84151422734080839</v>
      </c>
      <c r="CM10" s="48">
        <f t="shared" si="5"/>
        <v>0.76274816820969671</v>
      </c>
      <c r="CO10" s="316">
        <v>1984</v>
      </c>
      <c r="CP10" s="88" t="e">
        <f>#REF!</f>
        <v>#REF!</v>
      </c>
      <c r="CS10" s="316">
        <v>1984</v>
      </c>
      <c r="CT10" s="308">
        <f t="shared" si="40"/>
        <v>1.6754390157684984E-2</v>
      </c>
      <c r="CU10" s="308">
        <f t="shared" si="22"/>
        <v>1.9272271208216507E-2</v>
      </c>
      <c r="CV10" s="308">
        <f t="shared" si="22"/>
        <v>1.8440956086482885E-2</v>
      </c>
      <c r="CW10" s="308">
        <f t="shared" si="22"/>
        <v>1.8899577804807111E-2</v>
      </c>
      <c r="CX10" s="308">
        <f t="shared" si="22"/>
        <v>1.4671265053910254E-2</v>
      </c>
      <c r="CY10" s="308">
        <f t="shared" si="22"/>
        <v>1.670253975430902E-2</v>
      </c>
      <c r="DA10" s="316">
        <v>1984</v>
      </c>
      <c r="DB10" s="46">
        <f t="shared" si="23"/>
        <v>16711.531660315664</v>
      </c>
      <c r="DC10" s="46">
        <f t="shared" si="24"/>
        <v>822.28386646190143</v>
      </c>
      <c r="DD10" s="46">
        <f t="shared" si="25"/>
        <v>12183.012694806408</v>
      </c>
      <c r="DE10" s="46">
        <f t="shared" si="26"/>
        <v>3614.9965709421949</v>
      </c>
      <c r="DF10" s="46">
        <f t="shared" si="27"/>
        <v>3362.7139486574806</v>
      </c>
      <c r="DG10" s="46">
        <f t="shared" si="28"/>
        <v>6866.4101649169206</v>
      </c>
      <c r="DI10" s="316">
        <v>1984</v>
      </c>
      <c r="DJ10" s="88">
        <f t="shared" si="29"/>
        <v>6.5119044445582391E-2</v>
      </c>
      <c r="DK10" s="88">
        <f t="shared" si="30"/>
        <v>5.4403768931519984E-2</v>
      </c>
      <c r="DL10" s="88">
        <f t="shared" si="31"/>
        <v>9.009098089776621E-2</v>
      </c>
      <c r="DM10" s="88">
        <f t="shared" si="32"/>
        <v>9.3502132766136226E-2</v>
      </c>
      <c r="DN10" s="88">
        <f t="shared" si="33"/>
        <v>3.0036739301081264E-2</v>
      </c>
      <c r="DO10" s="88">
        <f t="shared" si="34"/>
        <v>2.3289348824125106E-2</v>
      </c>
      <c r="DQ10" s="316">
        <v>1984</v>
      </c>
      <c r="DR10" s="61">
        <v>319663.59999999998</v>
      </c>
      <c r="DS10" s="43"/>
      <c r="DT10" s="61">
        <v>318529.3</v>
      </c>
      <c r="DU10" s="43"/>
      <c r="DV10" s="89">
        <v>-0.7</v>
      </c>
      <c r="DW10" s="46">
        <f t="shared" si="6"/>
        <v>321917.01913393755</v>
      </c>
      <c r="DX10" s="43"/>
      <c r="DY10" s="46">
        <f t="shared" si="7"/>
        <v>320774.72306142998</v>
      </c>
      <c r="DZ10" s="43"/>
      <c r="EB10" s="316">
        <v>1984</v>
      </c>
      <c r="EC10" s="88">
        <f t="shared" si="8"/>
        <v>5.4094467144822619E-2</v>
      </c>
      <c r="ED10" s="88">
        <f t="shared" si="9"/>
        <v>2.7078140821286205E-3</v>
      </c>
      <c r="EE10" s="88">
        <f t="shared" si="10"/>
        <v>4.2386790556469912E-2</v>
      </c>
      <c r="EF10" s="88">
        <f t="shared" si="11"/>
        <v>9.8925198691926682E-3</v>
      </c>
      <c r="EG10" s="88">
        <f t="shared" si="12"/>
        <v>1.2160922397321455E-2</v>
      </c>
      <c r="EH10" s="88">
        <f t="shared" si="13"/>
        <v>4.7380119295496487E-2</v>
      </c>
      <c r="EI10" s="140"/>
      <c r="EJ10" s="316">
        <v>1984</v>
      </c>
      <c r="EK10" s="88">
        <f t="shared" si="14"/>
        <v>0.64418250309178926</v>
      </c>
      <c r="EL10" s="88">
        <f t="shared" si="15"/>
        <v>3.7732045124926734E-2</v>
      </c>
      <c r="EM10" s="88">
        <f t="shared" si="16"/>
        <v>0.36814924435575064</v>
      </c>
      <c r="EN10" s="88">
        <f t="shared" si="17"/>
        <v>9.9448746172792993E-2</v>
      </c>
      <c r="EO10" s="88">
        <f t="shared" si="18"/>
        <v>0.30057726564970721</v>
      </c>
      <c r="EP10" s="88">
        <f t="shared" si="19"/>
        <v>0.74722044390827902</v>
      </c>
      <c r="ER10" s="316">
        <v>1984</v>
      </c>
      <c r="ES10" s="317">
        <f t="shared" si="35"/>
        <v>120236</v>
      </c>
      <c r="ET10" s="61">
        <v>26504</v>
      </c>
      <c r="EU10" s="61">
        <v>81776</v>
      </c>
      <c r="EV10" s="61">
        <v>11956</v>
      </c>
      <c r="EW10" s="88">
        <f t="shared" si="36"/>
        <v>0.22043314814198742</v>
      </c>
      <c r="EX10" s="88">
        <f t="shared" si="36"/>
        <v>0.6801290794770285</v>
      </c>
      <c r="EY10" s="88">
        <f t="shared" si="36"/>
        <v>9.9437772380984071E-2</v>
      </c>
      <c r="EZ10" s="88">
        <f t="shared" si="41"/>
        <v>-4.7620679138531685E-3</v>
      </c>
      <c r="FA10" s="88">
        <f t="shared" si="37"/>
        <v>3.011832672043635E-3</v>
      </c>
      <c r="FB10" s="88">
        <f t="shared" si="37"/>
        <v>1.7502352418094641E-3</v>
      </c>
      <c r="FD10" s="316">
        <v>1984</v>
      </c>
      <c r="FF10" s="43"/>
      <c r="FG10" s="159">
        <v>0.04</v>
      </c>
      <c r="FH10" s="55"/>
      <c r="FO10" s="316">
        <v>1984</v>
      </c>
      <c r="FP10" s="61">
        <v>183316.46164974963</v>
      </c>
      <c r="FQ10" s="61">
        <v>10878.346928778528</v>
      </c>
      <c r="FR10" s="61">
        <v>132872.6220074202</v>
      </c>
      <c r="FS10" s="61">
        <v>41202.14601206415</v>
      </c>
      <c r="FT10" s="61">
        <v>56797.668049522254</v>
      </c>
      <c r="FU10" s="61">
        <v>205529.40862902641</v>
      </c>
      <c r="FV10" s="285">
        <f t="shared" si="38"/>
        <v>630596.65327656118</v>
      </c>
    </row>
    <row r="11" spans="1:178">
      <c r="A11" s="316">
        <v>1985</v>
      </c>
      <c r="B11" s="61">
        <v>187832.8</v>
      </c>
      <c r="C11" s="61">
        <v>13257</v>
      </c>
      <c r="D11" s="61">
        <v>108033.7</v>
      </c>
      <c r="E11" s="61">
        <v>29886.5</v>
      </c>
      <c r="F11" s="61">
        <v>99596.800000000003</v>
      </c>
      <c r="G11" s="61">
        <v>240210.4</v>
      </c>
      <c r="I11" s="316">
        <v>1985</v>
      </c>
      <c r="J11" s="61">
        <v>226068.2</v>
      </c>
      <c r="K11" s="61">
        <v>15906.5</v>
      </c>
      <c r="L11" s="61">
        <v>122068.6</v>
      </c>
      <c r="M11" s="61">
        <v>35033.800000000003</v>
      </c>
      <c r="N11" s="61">
        <v>112699</v>
      </c>
      <c r="O11" s="61">
        <v>291324.2</v>
      </c>
      <c r="Q11" s="316">
        <v>1985</v>
      </c>
      <c r="R11" s="46">
        <f t="shared" si="0"/>
        <v>212980.94336238041</v>
      </c>
      <c r="S11" s="46">
        <f t="shared" si="0"/>
        <v>12360.758590600144</v>
      </c>
      <c r="T11" s="46">
        <f t="shared" si="0"/>
        <v>122354.58254752042</v>
      </c>
      <c r="U11" s="46">
        <f t="shared" si="0"/>
        <v>32466.371263650395</v>
      </c>
      <c r="V11" s="46">
        <f t="shared" si="0"/>
        <v>98689.709379159947</v>
      </c>
      <c r="W11" s="46">
        <f t="shared" si="0"/>
        <v>249829.21237560999</v>
      </c>
      <c r="Y11" s="316">
        <v>1985</v>
      </c>
      <c r="Z11" s="46">
        <f t="shared" si="1"/>
        <v>268424.6601909289</v>
      </c>
      <c r="AA11" s="46">
        <f t="shared" si="1"/>
        <v>15659.569525252895</v>
      </c>
      <c r="AB11" s="46">
        <f t="shared" si="1"/>
        <v>143600.60828281855</v>
      </c>
      <c r="AC11" s="46">
        <f t="shared" si="1"/>
        <v>40152.465291987668</v>
      </c>
      <c r="AD11" s="46">
        <f t="shared" si="1"/>
        <v>115222.03674528404</v>
      </c>
      <c r="AE11" s="46">
        <f t="shared" si="1"/>
        <v>320329.12273359165</v>
      </c>
      <c r="AG11" s="316">
        <v>1985</v>
      </c>
      <c r="AH11" s="48">
        <f t="shared" si="2"/>
        <v>0.79344775256821898</v>
      </c>
      <c r="AI11" s="48">
        <f t="shared" si="2"/>
        <v>0.78934217001731555</v>
      </c>
      <c r="AJ11" s="48">
        <f t="shared" si="2"/>
        <v>0.85204780126380453</v>
      </c>
      <c r="AK11" s="48">
        <f t="shared" si="2"/>
        <v>0.8085772823052283</v>
      </c>
      <c r="AL11" s="48">
        <f t="shared" si="2"/>
        <v>0.85651766074339286</v>
      </c>
      <c r="AM11" s="48">
        <f t="shared" si="2"/>
        <v>0.77991414031806794</v>
      </c>
      <c r="AO11" s="316">
        <v>1985</v>
      </c>
      <c r="AP11" s="88" t="e">
        <f>#REF!</f>
        <v>#REF!</v>
      </c>
      <c r="AS11" s="316">
        <v>1985</v>
      </c>
      <c r="AT11" s="308">
        <f t="shared" si="39"/>
        <v>3.3596381043032864E-3</v>
      </c>
      <c r="AU11" s="308">
        <f t="shared" si="20"/>
        <v>2.0732711460078601E-3</v>
      </c>
      <c r="AV11" s="308">
        <f t="shared" si="20"/>
        <v>1.4310078475279209E-3</v>
      </c>
      <c r="AW11" s="308">
        <f t="shared" si="20"/>
        <v>1.5625985789928798E-3</v>
      </c>
      <c r="AX11" s="308">
        <f t="shared" si="20"/>
        <v>2.1246548638893525E-3</v>
      </c>
      <c r="AY11" s="308">
        <f t="shared" si="20"/>
        <v>-1.9504162800217939E-3</v>
      </c>
      <c r="BA11" s="316">
        <v>1985</v>
      </c>
      <c r="BB11" s="61">
        <v>15768.9</v>
      </c>
      <c r="BC11" s="61">
        <v>832.7</v>
      </c>
      <c r="BD11" s="61">
        <v>11330.8</v>
      </c>
      <c r="BE11" s="61">
        <v>2598.6</v>
      </c>
      <c r="BF11" s="61">
        <v>4534.5</v>
      </c>
      <c r="BG11" s="61">
        <v>15146.7</v>
      </c>
      <c r="BI11" s="316">
        <v>1985</v>
      </c>
      <c r="BJ11" s="61">
        <v>19390.2</v>
      </c>
      <c r="BK11" s="61">
        <v>1019.9</v>
      </c>
      <c r="BL11" s="61">
        <v>12982.5</v>
      </c>
      <c r="BM11" s="61">
        <v>3525.7</v>
      </c>
      <c r="BN11" s="61">
        <v>5164.6000000000004</v>
      </c>
      <c r="BO11" s="61">
        <v>18682.5</v>
      </c>
      <c r="BQ11" s="316">
        <v>1985</v>
      </c>
      <c r="BR11" s="46">
        <f t="shared" si="21"/>
        <v>18062.819627813074</v>
      </c>
      <c r="BS11" s="46">
        <f t="shared" si="3"/>
        <v>826.10482285552666</v>
      </c>
      <c r="BT11" s="46">
        <f t="shared" si="3"/>
        <v>14150.329864477198</v>
      </c>
      <c r="BU11" s="46">
        <f t="shared" si="3"/>
        <v>2847.9576307165967</v>
      </c>
      <c r="BV11" s="46">
        <f t="shared" si="3"/>
        <v>4648.8302373150209</v>
      </c>
      <c r="BW11" s="46">
        <f t="shared" si="3"/>
        <v>15013.76763134493</v>
      </c>
      <c r="BY11" s="316">
        <v>1985</v>
      </c>
      <c r="BZ11" s="46">
        <f t="shared" si="4"/>
        <v>23119.135053428919</v>
      </c>
      <c r="CA11" s="46">
        <f t="shared" si="4"/>
        <v>1070.14900634833</v>
      </c>
      <c r="CB11" s="46">
        <f t="shared" si="4"/>
        <v>16842.173719706516</v>
      </c>
      <c r="CC11" s="46">
        <f t="shared" si="4"/>
        <v>4119.7835590828918</v>
      </c>
      <c r="CD11" s="46">
        <f t="shared" si="4"/>
        <v>5468.5177579435913</v>
      </c>
      <c r="CE11" s="46">
        <f t="shared" si="4"/>
        <v>19677.276562373241</v>
      </c>
      <c r="CG11" s="316">
        <v>1985</v>
      </c>
      <c r="CH11" s="48">
        <f t="shared" si="5"/>
        <v>0.78129305383049286</v>
      </c>
      <c r="CI11" s="48">
        <f t="shared" si="5"/>
        <v>0.77195308125776296</v>
      </c>
      <c r="CJ11" s="48">
        <f t="shared" si="5"/>
        <v>0.84017242073214859</v>
      </c>
      <c r="CK11" s="48">
        <f t="shared" si="5"/>
        <v>0.69128816838877394</v>
      </c>
      <c r="CL11" s="48">
        <f t="shared" si="5"/>
        <v>0.85010791645727235</v>
      </c>
      <c r="CM11" s="48">
        <f t="shared" si="5"/>
        <v>0.76300028531662545</v>
      </c>
      <c r="CO11" s="316">
        <v>1985</v>
      </c>
      <c r="CP11" s="88" t="e">
        <f>#REF!</f>
        <v>#REF!</v>
      </c>
      <c r="CS11" s="316">
        <v>1985</v>
      </c>
      <c r="CT11" s="308">
        <f t="shared" si="40"/>
        <v>8.3031949178140607E-3</v>
      </c>
      <c r="CU11" s="308">
        <f t="shared" si="22"/>
        <v>5.9444560411143765E-3</v>
      </c>
      <c r="CV11" s="308">
        <f t="shared" si="22"/>
        <v>7.2824694241733212E-3</v>
      </c>
      <c r="CW11" s="308">
        <f t="shared" si="22"/>
        <v>7.3256579868727911E-3</v>
      </c>
      <c r="CX11" s="308">
        <f t="shared" si="22"/>
        <v>1.0212173291020976E-2</v>
      </c>
      <c r="CY11" s="308">
        <f t="shared" si="22"/>
        <v>3.3053780715142089E-4</v>
      </c>
      <c r="DA11" s="316">
        <v>1985</v>
      </c>
      <c r="DB11" s="46">
        <f t="shared" si="23"/>
        <v>16929.776151215989</v>
      </c>
      <c r="DC11" s="46">
        <f t="shared" si="24"/>
        <v>830.72441209179783</v>
      </c>
      <c r="DD11" s="46">
        <f t="shared" si="25"/>
        <v>12533.164948579979</v>
      </c>
      <c r="DE11" s="46">
        <f t="shared" si="26"/>
        <v>3622.4879562595243</v>
      </c>
      <c r="DF11" s="46">
        <f t="shared" si="27"/>
        <v>3456.6638470183025</v>
      </c>
      <c r="DG11" s="46">
        <f t="shared" si="28"/>
        <v>7168.9851074219041</v>
      </c>
      <c r="DI11" s="316">
        <v>1985</v>
      </c>
      <c r="DJ11" s="88">
        <f t="shared" si="29"/>
        <v>6.455948557656864E-2</v>
      </c>
      <c r="DK11" s="88">
        <f t="shared" si="30"/>
        <v>5.3872672131760641E-2</v>
      </c>
      <c r="DL11" s="88">
        <f t="shared" si="31"/>
        <v>8.9977895239317401E-2</v>
      </c>
      <c r="DM11" s="88">
        <f t="shared" si="32"/>
        <v>9.1349702564741828E-2</v>
      </c>
      <c r="DN11" s="88">
        <f t="shared" si="33"/>
        <v>3.0533153118177118E-2</v>
      </c>
      <c r="DO11" s="88">
        <f t="shared" si="34"/>
        <v>2.3289473547462802E-2</v>
      </c>
      <c r="DQ11" s="316">
        <v>1985</v>
      </c>
      <c r="DR11" s="61">
        <v>340395.3</v>
      </c>
      <c r="DS11" s="43"/>
      <c r="DT11" s="61">
        <v>334964.8</v>
      </c>
      <c r="DU11" s="43"/>
      <c r="DV11" s="89">
        <v>0.1</v>
      </c>
      <c r="DW11" s="46">
        <f t="shared" si="6"/>
        <v>340055.24475524476</v>
      </c>
      <c r="DX11" s="43"/>
      <c r="DY11" s="46">
        <f t="shared" si="7"/>
        <v>334630.16983016988</v>
      </c>
      <c r="DZ11" s="43"/>
      <c r="EB11" s="316">
        <v>1985</v>
      </c>
      <c r="EC11" s="88">
        <f t="shared" si="8"/>
        <v>5.3064245093316725E-2</v>
      </c>
      <c r="ED11" s="88">
        <f t="shared" si="9"/>
        <v>2.4268984408877758E-3</v>
      </c>
      <c r="EE11" s="88">
        <f t="shared" si="10"/>
        <v>4.1570285678084275E-2</v>
      </c>
      <c r="EF11" s="88">
        <f t="shared" si="11"/>
        <v>8.3666185482484529E-3</v>
      </c>
      <c r="EG11" s="88">
        <f t="shared" si="12"/>
        <v>1.3657151662537706E-2</v>
      </c>
      <c r="EH11" s="88">
        <f t="shared" si="13"/>
        <v>4.4106859381856711E-2</v>
      </c>
      <c r="EI11" s="140"/>
      <c r="EJ11" s="316">
        <v>1985</v>
      </c>
      <c r="EK11" s="88">
        <f t="shared" si="14"/>
        <v>0.62631277313682887</v>
      </c>
      <c r="EL11" s="88">
        <f t="shared" si="15"/>
        <v>3.634926613026309E-2</v>
      </c>
      <c r="EM11" s="88">
        <f t="shared" si="16"/>
        <v>0.35980795601486842</v>
      </c>
      <c r="EN11" s="88">
        <f t="shared" si="17"/>
        <v>9.547381422397444E-2</v>
      </c>
      <c r="EO11" s="88">
        <f t="shared" si="18"/>
        <v>0.29021669537898764</v>
      </c>
      <c r="EP11" s="88">
        <f t="shared" si="19"/>
        <v>0.73467242816803169</v>
      </c>
      <c r="ER11" s="316">
        <v>1985</v>
      </c>
      <c r="ES11" s="317">
        <f t="shared" si="35"/>
        <v>121049</v>
      </c>
      <c r="ET11" s="61">
        <v>26042</v>
      </c>
      <c r="EU11" s="61">
        <v>82535</v>
      </c>
      <c r="EV11" s="61">
        <v>12472</v>
      </c>
      <c r="EW11" s="88">
        <f t="shared" si="36"/>
        <v>0.21513601929797024</v>
      </c>
      <c r="EX11" s="88">
        <f t="shared" si="36"/>
        <v>0.68183132450495254</v>
      </c>
      <c r="EY11" s="88">
        <f t="shared" si="36"/>
        <v>0.10303265619707722</v>
      </c>
      <c r="EZ11" s="88">
        <f t="shared" si="41"/>
        <v>-5.2971288440171738E-3</v>
      </c>
      <c r="FA11" s="88">
        <f t="shared" si="37"/>
        <v>1.7022450279240431E-3</v>
      </c>
      <c r="FB11" s="88">
        <f t="shared" si="37"/>
        <v>3.5948838160931446E-3</v>
      </c>
      <c r="FD11" s="316">
        <v>1985</v>
      </c>
      <c r="FE11" s="130"/>
      <c r="FF11" s="43"/>
      <c r="FG11" s="159">
        <v>4.2999999999999997E-2</v>
      </c>
      <c r="FH11" s="55"/>
      <c r="FJ11" s="130"/>
      <c r="FN11" s="130"/>
      <c r="FO11" s="316">
        <v>1985</v>
      </c>
      <c r="FP11" s="61">
        <v>188008.8058138889</v>
      </c>
      <c r="FQ11" s="61">
        <v>10689.203736029876</v>
      </c>
      <c r="FR11" s="61">
        <v>140469.11870846161</v>
      </c>
      <c r="FS11" s="61">
        <v>37619.325192198623</v>
      </c>
      <c r="FT11" s="61">
        <v>59616.226028088997</v>
      </c>
      <c r="FU11" s="61">
        <v>200436.81777592422</v>
      </c>
      <c r="FV11" s="285">
        <f t="shared" si="38"/>
        <v>636839.49725459225</v>
      </c>
    </row>
    <row r="12" spans="1:178">
      <c r="A12" s="316">
        <v>1986</v>
      </c>
      <c r="B12" s="61">
        <v>190496.9</v>
      </c>
      <c r="C12" s="61">
        <v>13216.2</v>
      </c>
      <c r="D12" s="61">
        <v>109794.9</v>
      </c>
      <c r="E12" s="61">
        <v>29576.5</v>
      </c>
      <c r="F12" s="61">
        <v>100219.1</v>
      </c>
      <c r="G12" s="61">
        <v>246865.2</v>
      </c>
      <c r="I12" s="316">
        <v>1986</v>
      </c>
      <c r="J12" s="61">
        <v>232471.2</v>
      </c>
      <c r="K12" s="61">
        <v>16178.4</v>
      </c>
      <c r="L12" s="61">
        <v>126622</v>
      </c>
      <c r="M12" s="61">
        <v>35393.699999999997</v>
      </c>
      <c r="N12" s="61">
        <v>115410.4</v>
      </c>
      <c r="O12" s="61">
        <v>303944</v>
      </c>
      <c r="Q12" s="316">
        <v>1986</v>
      </c>
      <c r="R12" s="46">
        <f t="shared" si="0"/>
        <v>216001.72850327013</v>
      </c>
      <c r="S12" s="46">
        <f t="shared" si="0"/>
        <v>12322.716880522716</v>
      </c>
      <c r="T12" s="46">
        <f t="shared" si="0"/>
        <v>124349.24616436119</v>
      </c>
      <c r="U12" s="46">
        <f t="shared" si="0"/>
        <v>32129.61135226125</v>
      </c>
      <c r="V12" s="46">
        <f t="shared" si="0"/>
        <v>99306.341702152771</v>
      </c>
      <c r="W12" s="46">
        <f t="shared" si="0"/>
        <v>256750.49239727939</v>
      </c>
      <c r="Y12" s="316">
        <v>1986</v>
      </c>
      <c r="Z12" s="46">
        <f t="shared" si="1"/>
        <v>276027.33539780241</v>
      </c>
      <c r="AA12" s="46">
        <f t="shared" si="1"/>
        <v>15927.248584374402</v>
      </c>
      <c r="AB12" s="46">
        <f t="shared" si="1"/>
        <v>148957.19474121148</v>
      </c>
      <c r="AC12" s="46">
        <f t="shared" si="1"/>
        <v>40564.94901509468</v>
      </c>
      <c r="AD12" s="46">
        <f t="shared" si="1"/>
        <v>117994.13792125866</v>
      </c>
      <c r="AE12" s="46">
        <f t="shared" si="1"/>
        <v>334205.37971146504</v>
      </c>
      <c r="AG12" s="316">
        <v>1986</v>
      </c>
      <c r="AH12" s="48">
        <f t="shared" si="2"/>
        <v>0.78253745482118586</v>
      </c>
      <c r="AI12" s="48">
        <f t="shared" si="2"/>
        <v>0.77368773490557874</v>
      </c>
      <c r="AJ12" s="48">
        <f t="shared" si="2"/>
        <v>0.83479852302802471</v>
      </c>
      <c r="AK12" s="48">
        <f t="shared" si="2"/>
        <v>0.79205353716346238</v>
      </c>
      <c r="AL12" s="48">
        <f t="shared" si="2"/>
        <v>0.84162097754740273</v>
      </c>
      <c r="AM12" s="48">
        <f t="shared" si="2"/>
        <v>0.76824165014621837</v>
      </c>
      <c r="AO12" s="316">
        <v>1986</v>
      </c>
      <c r="AP12" s="88" t="e">
        <f>#REF!</f>
        <v>#REF!</v>
      </c>
      <c r="AS12" s="316">
        <v>1986</v>
      </c>
      <c r="AT12" s="308">
        <f t="shared" si="39"/>
        <v>-1.3750492974135775E-2</v>
      </c>
      <c r="AU12" s="308">
        <f t="shared" si="20"/>
        <v>-1.9832254890668533E-2</v>
      </c>
      <c r="AV12" s="308">
        <f t="shared" si="20"/>
        <v>-2.0244495919354177E-2</v>
      </c>
      <c r="AW12" s="308">
        <f t="shared" si="20"/>
        <v>-2.0435579261709247E-2</v>
      </c>
      <c r="AX12" s="308">
        <f t="shared" si="20"/>
        <v>-1.7392149489434905E-2</v>
      </c>
      <c r="AY12" s="308">
        <f t="shared" si="20"/>
        <v>-1.4966378436335637E-2</v>
      </c>
      <c r="BA12" s="316">
        <v>1986</v>
      </c>
      <c r="BB12" s="61">
        <v>16729</v>
      </c>
      <c r="BC12" s="61">
        <v>852.5</v>
      </c>
      <c r="BD12" s="61">
        <v>12179.5</v>
      </c>
      <c r="BE12" s="61">
        <v>2531.4</v>
      </c>
      <c r="BF12" s="61">
        <v>5182</v>
      </c>
      <c r="BG12" s="61">
        <v>16180.7</v>
      </c>
      <c r="BI12" s="316">
        <v>1986</v>
      </c>
      <c r="BJ12" s="61">
        <v>20770.8</v>
      </c>
      <c r="BK12" s="61">
        <v>1057.5</v>
      </c>
      <c r="BL12" s="61">
        <v>14134.9</v>
      </c>
      <c r="BM12" s="61">
        <v>3478</v>
      </c>
      <c r="BN12" s="61">
        <v>5964</v>
      </c>
      <c r="BO12" s="61">
        <v>20155.599999999999</v>
      </c>
      <c r="BQ12" s="316">
        <v>1986</v>
      </c>
      <c r="BR12" s="46">
        <f t="shared" si="21"/>
        <v>19162.586455217861</v>
      </c>
      <c r="BS12" s="46">
        <f t="shared" si="3"/>
        <v>845.74800226292359</v>
      </c>
      <c r="BT12" s="46">
        <f t="shared" si="3"/>
        <v>15210.218394499949</v>
      </c>
      <c r="BU12" s="46">
        <f t="shared" si="3"/>
        <v>2774.3092228107412</v>
      </c>
      <c r="BV12" s="46">
        <f t="shared" si="3"/>
        <v>5312.6559245267263</v>
      </c>
      <c r="BW12" s="46">
        <f t="shared" si="3"/>
        <v>16038.692910832255</v>
      </c>
      <c r="BY12" s="316">
        <v>1986</v>
      </c>
      <c r="BZ12" s="46">
        <f t="shared" si="4"/>
        <v>24765.23864466387</v>
      </c>
      <c r="CA12" s="46">
        <f t="shared" si="4"/>
        <v>1109.6015042782224</v>
      </c>
      <c r="CB12" s="46">
        <f t="shared" si="4"/>
        <v>18337.180151024811</v>
      </c>
      <c r="CC12" s="46">
        <f t="shared" si="4"/>
        <v>4064.0460670193997</v>
      </c>
      <c r="CD12" s="46">
        <f t="shared" si="4"/>
        <v>6314.9595144591212</v>
      </c>
      <c r="CE12" s="46">
        <f t="shared" si="4"/>
        <v>21228.813888964007</v>
      </c>
      <c r="CG12" s="316">
        <v>1986</v>
      </c>
      <c r="CH12" s="48">
        <f t="shared" si="5"/>
        <v>0.77376950532018374</v>
      </c>
      <c r="CI12" s="48">
        <f t="shared" si="5"/>
        <v>0.76220877405268916</v>
      </c>
      <c r="CJ12" s="48">
        <f t="shared" si="5"/>
        <v>0.8294742304557603</v>
      </c>
      <c r="CK12" s="48">
        <f t="shared" si="5"/>
        <v>0.68264709037745708</v>
      </c>
      <c r="CL12" s="48">
        <f t="shared" si="5"/>
        <v>0.84128107430657972</v>
      </c>
      <c r="CM12" s="48">
        <f t="shared" si="5"/>
        <v>0.75551526310992423</v>
      </c>
      <c r="CO12" s="316">
        <v>1986</v>
      </c>
      <c r="CP12" s="88" t="e">
        <f>#REF!</f>
        <v>#REF!</v>
      </c>
      <c r="CS12" s="316">
        <v>1986</v>
      </c>
      <c r="CT12" s="308">
        <f t="shared" si="40"/>
        <v>-9.6296114158739288E-3</v>
      </c>
      <c r="CU12" s="308">
        <f t="shared" si="22"/>
        <v>-1.2622926757669184E-2</v>
      </c>
      <c r="CV12" s="308">
        <f t="shared" si="22"/>
        <v>-1.2733327127145699E-2</v>
      </c>
      <c r="CW12" s="308">
        <f t="shared" si="22"/>
        <v>-1.2499965146889669E-2</v>
      </c>
      <c r="CX12" s="308">
        <f t="shared" si="22"/>
        <v>-1.0383201920383778E-2</v>
      </c>
      <c r="CY12" s="308">
        <f t="shared" si="22"/>
        <v>-9.8099861176266234E-3</v>
      </c>
      <c r="DA12" s="316">
        <v>1986</v>
      </c>
      <c r="DB12" s="46">
        <f t="shared" si="23"/>
        <v>17162.563437790363</v>
      </c>
      <c r="DC12" s="46">
        <f t="shared" si="24"/>
        <v>841.92244515671564</v>
      </c>
      <c r="DD12" s="46">
        <f t="shared" si="25"/>
        <v>12980.593692631875</v>
      </c>
      <c r="DE12" s="46">
        <f t="shared" si="26"/>
        <v>3651.5623439123874</v>
      </c>
      <c r="DF12" s="46">
        <f t="shared" si="27"/>
        <v>3542.8583384845033</v>
      </c>
      <c r="DG12" s="46">
        <f t="shared" si="28"/>
        <v>7352.5569110906181</v>
      </c>
      <c r="DI12" s="316">
        <v>1986</v>
      </c>
      <c r="DJ12" s="88">
        <f t="shared" si="29"/>
        <v>6.3938102503632605E-2</v>
      </c>
      <c r="DK12" s="88">
        <f t="shared" si="30"/>
        <v>5.3764086158244441E-2</v>
      </c>
      <c r="DL12" s="88">
        <f t="shared" si="31"/>
        <v>9.0393723591106617E-2</v>
      </c>
      <c r="DM12" s="88">
        <f t="shared" si="32"/>
        <v>9.0942419534101385E-2</v>
      </c>
      <c r="DN12" s="88">
        <f t="shared" si="33"/>
        <v>3.0748096792599964E-2</v>
      </c>
      <c r="DO12" s="88">
        <f t="shared" si="34"/>
        <v>2.2953132853941363E-2</v>
      </c>
      <c r="DQ12" s="316">
        <v>1986</v>
      </c>
      <c r="DR12" s="61">
        <v>357276.1</v>
      </c>
      <c r="DS12" s="43"/>
      <c r="DT12" s="61">
        <v>345998.7</v>
      </c>
      <c r="DU12" s="43"/>
      <c r="DV12" s="89">
        <v>-1</v>
      </c>
      <c r="DW12" s="46">
        <f t="shared" si="6"/>
        <v>360884.94949494948</v>
      </c>
      <c r="DX12" s="43"/>
      <c r="DY12" s="46">
        <f t="shared" si="7"/>
        <v>349493.63636363635</v>
      </c>
      <c r="DZ12" s="43"/>
      <c r="EB12" s="316">
        <v>1986</v>
      </c>
      <c r="EC12" s="88">
        <f t="shared" si="8"/>
        <v>5.3635231842314286E-2</v>
      </c>
      <c r="ED12" s="88">
        <f t="shared" si="9"/>
        <v>2.367211247164094E-3</v>
      </c>
      <c r="EE12" s="88">
        <f t="shared" si="10"/>
        <v>4.2572728471061874E-2</v>
      </c>
      <c r="EF12" s="88">
        <f t="shared" si="11"/>
        <v>7.7651687946961503E-3</v>
      </c>
      <c r="EG12" s="88">
        <f t="shared" si="12"/>
        <v>1.4869888930512639E-2</v>
      </c>
      <c r="EH12" s="88">
        <f t="shared" si="13"/>
        <v>4.4891591995188752E-2</v>
      </c>
      <c r="EI12" s="140"/>
      <c r="EJ12" s="316">
        <v>1986</v>
      </c>
      <c r="EK12" s="88">
        <f t="shared" si="14"/>
        <v>0.59853349053641547</v>
      </c>
      <c r="EL12" s="88">
        <f t="shared" si="15"/>
        <v>3.4145832065781867E-2</v>
      </c>
      <c r="EM12" s="88">
        <f t="shared" si="16"/>
        <v>0.34456755910265918</v>
      </c>
      <c r="EN12" s="88">
        <f t="shared" si="17"/>
        <v>8.9030067330948356E-2</v>
      </c>
      <c r="EO12" s="88">
        <f t="shared" si="18"/>
        <v>0.27517451708953172</v>
      </c>
      <c r="EP12" s="88">
        <f t="shared" si="19"/>
        <v>0.71144693830151695</v>
      </c>
      <c r="ER12" s="316">
        <v>1986</v>
      </c>
      <c r="ES12" s="317">
        <f t="shared" si="35"/>
        <v>121672</v>
      </c>
      <c r="ET12" s="61">
        <v>25434</v>
      </c>
      <c r="EU12" s="61">
        <v>83368</v>
      </c>
      <c r="EV12" s="61">
        <v>12870</v>
      </c>
      <c r="EW12" s="88">
        <f t="shared" si="36"/>
        <v>0.20903741205864948</v>
      </c>
      <c r="EX12" s="88">
        <f t="shared" si="36"/>
        <v>0.68518640278782295</v>
      </c>
      <c r="EY12" s="88">
        <f t="shared" si="36"/>
        <v>0.10577618515352752</v>
      </c>
      <c r="EZ12" s="88">
        <f t="shared" si="41"/>
        <v>-6.0986072393207635E-3</v>
      </c>
      <c r="FA12" s="88">
        <f t="shared" si="37"/>
        <v>3.3550782828704051E-3</v>
      </c>
      <c r="FB12" s="88">
        <f t="shared" si="37"/>
        <v>2.7435289564503029E-3</v>
      </c>
      <c r="FD12" s="316">
        <v>1986</v>
      </c>
      <c r="FE12" s="130"/>
      <c r="FF12" s="43"/>
      <c r="FG12" s="159">
        <v>4.4999999999999998E-2</v>
      </c>
      <c r="FH12" s="55"/>
      <c r="FJ12" s="130"/>
      <c r="FN12" s="130"/>
      <c r="FO12" s="316">
        <v>1986</v>
      </c>
      <c r="FP12" s="61">
        <v>203669.28314025773</v>
      </c>
      <c r="FQ12" s="61">
        <v>10804.187502570989</v>
      </c>
      <c r="FR12" s="61">
        <v>148434.06157465052</v>
      </c>
      <c r="FS12" s="61">
        <v>37726.933350944273</v>
      </c>
      <c r="FT12" s="61">
        <v>62402.797154670094</v>
      </c>
      <c r="FU12" s="61">
        <v>219883.88842543331</v>
      </c>
      <c r="FV12" s="285">
        <f t="shared" si="38"/>
        <v>682921.15114852693</v>
      </c>
    </row>
    <row r="13" spans="1:178">
      <c r="A13" s="316">
        <v>1987</v>
      </c>
      <c r="B13" s="61">
        <v>205383.4</v>
      </c>
      <c r="C13" s="61">
        <v>13678.4</v>
      </c>
      <c r="D13" s="61">
        <v>116731.5</v>
      </c>
      <c r="E13" s="61">
        <v>30490.7</v>
      </c>
      <c r="F13" s="61">
        <v>105054.9</v>
      </c>
      <c r="G13" s="61">
        <v>263341.59999999998</v>
      </c>
      <c r="I13" s="316">
        <v>1987</v>
      </c>
      <c r="J13" s="61">
        <v>243148.1</v>
      </c>
      <c r="K13" s="61">
        <v>16355.1</v>
      </c>
      <c r="L13" s="61">
        <v>132085.79999999999</v>
      </c>
      <c r="M13" s="61">
        <v>35831.9</v>
      </c>
      <c r="N13" s="61">
        <v>118875.7</v>
      </c>
      <c r="O13" s="61">
        <v>318040.8</v>
      </c>
      <c r="Q13" s="316">
        <v>1987</v>
      </c>
      <c r="R13" s="46">
        <f t="shared" si="0"/>
        <v>232881.31935941498</v>
      </c>
      <c r="S13" s="46">
        <f t="shared" si="0"/>
        <v>12753.669782429284</v>
      </c>
      <c r="T13" s="46">
        <f t="shared" si="0"/>
        <v>132205.35770454846</v>
      </c>
      <c r="U13" s="46">
        <f t="shared" si="0"/>
        <v>33122.72719417078</v>
      </c>
      <c r="V13" s="46">
        <f t="shared" si="0"/>
        <v>104098.09903387165</v>
      </c>
      <c r="W13" s="46">
        <f t="shared" si="0"/>
        <v>273886.66150063829</v>
      </c>
      <c r="Y13" s="316">
        <v>1987</v>
      </c>
      <c r="Z13" s="46">
        <f t="shared" si="1"/>
        <v>288704.67460071784</v>
      </c>
      <c r="AA13" s="46">
        <f t="shared" si="1"/>
        <v>16101.205516138911</v>
      </c>
      <c r="AB13" s="46">
        <f t="shared" si="1"/>
        <v>155384.76910133084</v>
      </c>
      <c r="AC13" s="46">
        <f t="shared" si="1"/>
        <v>41067.172875793462</v>
      </c>
      <c r="AD13" s="46">
        <f t="shared" si="1"/>
        <v>121537.01695242515</v>
      </c>
      <c r="AE13" s="46">
        <f t="shared" si="1"/>
        <v>349705.69028419082</v>
      </c>
      <c r="AG13" s="316">
        <v>1987</v>
      </c>
      <c r="AH13" s="48">
        <f t="shared" si="2"/>
        <v>0.80664201118839773</v>
      </c>
      <c r="AI13" s="48">
        <f t="shared" si="2"/>
        <v>0.79209409318114399</v>
      </c>
      <c r="AJ13" s="48">
        <f t="shared" si="2"/>
        <v>0.8508257177917713</v>
      </c>
      <c r="AK13" s="48">
        <f t="shared" si="2"/>
        <v>0.80654997348732915</v>
      </c>
      <c r="AL13" s="48">
        <f t="shared" si="2"/>
        <v>0.85651352685922966</v>
      </c>
      <c r="AM13" s="48">
        <f t="shared" si="2"/>
        <v>0.78319189281153057</v>
      </c>
      <c r="AO13" s="316">
        <v>1987</v>
      </c>
      <c r="AP13" s="88" t="e">
        <f>#REF!</f>
        <v>#REF!</v>
      </c>
      <c r="AS13" s="316">
        <v>1987</v>
      </c>
      <c r="AT13" s="308">
        <f t="shared" si="39"/>
        <v>3.0803070471201677E-2</v>
      </c>
      <c r="AU13" s="308">
        <f t="shared" si="20"/>
        <v>2.3790422731480465E-2</v>
      </c>
      <c r="AV13" s="308">
        <f t="shared" si="20"/>
        <v>1.9198877719155405E-2</v>
      </c>
      <c r="AW13" s="308">
        <f t="shared" si="20"/>
        <v>1.8302344025609818E-2</v>
      </c>
      <c r="AX13" s="308">
        <f t="shared" si="20"/>
        <v>1.7695078555700627E-2</v>
      </c>
      <c r="AY13" s="308">
        <f t="shared" si="20"/>
        <v>1.946033863494212E-2</v>
      </c>
      <c r="BA13" s="316">
        <v>1987</v>
      </c>
      <c r="BB13" s="61">
        <v>20685.400000000001</v>
      </c>
      <c r="BC13" s="61">
        <v>788.1</v>
      </c>
      <c r="BD13" s="61">
        <v>13271.2</v>
      </c>
      <c r="BE13" s="61">
        <v>2620.1999999999998</v>
      </c>
      <c r="BF13" s="61">
        <v>5912.5</v>
      </c>
      <c r="BG13" s="61">
        <v>17642</v>
      </c>
      <c r="BI13" s="316">
        <v>1987</v>
      </c>
      <c r="BJ13" s="61">
        <v>25302.3</v>
      </c>
      <c r="BK13" s="61">
        <v>972</v>
      </c>
      <c r="BL13" s="61">
        <v>15380.2</v>
      </c>
      <c r="BM13" s="61">
        <v>3597.7</v>
      </c>
      <c r="BN13" s="61">
        <v>6801.3</v>
      </c>
      <c r="BO13" s="61">
        <v>21902.6</v>
      </c>
      <c r="BQ13" s="316">
        <v>1987</v>
      </c>
      <c r="BR13" s="46">
        <f t="shared" si="21"/>
        <v>23694.528415372319</v>
      </c>
      <c r="BS13" s="46">
        <f t="shared" si="3"/>
        <v>781.85806520048095</v>
      </c>
      <c r="BT13" s="46">
        <f t="shared" si="3"/>
        <v>16573.574478187755</v>
      </c>
      <c r="BU13" s="46">
        <f t="shared" si="3"/>
        <v>2871.6303332577645</v>
      </c>
      <c r="BV13" s="46">
        <f t="shared" si="3"/>
        <v>6061.5743253115143</v>
      </c>
      <c r="BW13" s="46">
        <f t="shared" si="3"/>
        <v>17487.168066455877</v>
      </c>
      <c r="BY13" s="316">
        <v>1987</v>
      </c>
      <c r="BZ13" s="46">
        <f t="shared" si="4"/>
        <v>30168.19273975382</v>
      </c>
      <c r="CA13" s="46">
        <f t="shared" si="4"/>
        <v>1019.8890422301959</v>
      </c>
      <c r="CB13" s="46">
        <f t="shared" si="4"/>
        <v>19952.705583965348</v>
      </c>
      <c r="CC13" s="46">
        <f t="shared" si="4"/>
        <v>4203.9156225749548</v>
      </c>
      <c r="CD13" s="46">
        <f t="shared" si="4"/>
        <v>7201.5315468965164</v>
      </c>
      <c r="CE13" s="46">
        <f t="shared" si="4"/>
        <v>23068.835414694826</v>
      </c>
      <c r="CG13" s="316">
        <v>1987</v>
      </c>
      <c r="CH13" s="48">
        <f t="shared" si="5"/>
        <v>0.78541424803843496</v>
      </c>
      <c r="CI13" s="48">
        <f t="shared" si="5"/>
        <v>0.76661090846783542</v>
      </c>
      <c r="CJ13" s="48">
        <f t="shared" si="5"/>
        <v>0.83064296260186521</v>
      </c>
      <c r="CK13" s="48">
        <f t="shared" si="5"/>
        <v>0.68308467416357233</v>
      </c>
      <c r="CL13" s="48">
        <f t="shared" si="5"/>
        <v>0.84170627953768196</v>
      </c>
      <c r="CM13" s="48">
        <f t="shared" si="5"/>
        <v>0.75804295067780347</v>
      </c>
      <c r="CO13" s="316">
        <v>1987</v>
      </c>
      <c r="CP13" s="88" t="e">
        <f>#REF!</f>
        <v>#REF!</v>
      </c>
      <c r="CS13" s="316">
        <v>1987</v>
      </c>
      <c r="CT13" s="308">
        <f t="shared" si="40"/>
        <v>1.5049368885935444E-2</v>
      </c>
      <c r="CU13" s="308">
        <f t="shared" si="22"/>
        <v>5.7754969045291649E-3</v>
      </c>
      <c r="CV13" s="308">
        <f t="shared" si="22"/>
        <v>1.409003562971245E-3</v>
      </c>
      <c r="CW13" s="308">
        <f t="shared" si="22"/>
        <v>6.4101025593377159E-4</v>
      </c>
      <c r="CX13" s="308">
        <f t="shared" si="22"/>
        <v>5.054258845091919E-4</v>
      </c>
      <c r="CY13" s="308">
        <f t="shared" si="22"/>
        <v>3.3456472573096807E-3</v>
      </c>
      <c r="DA13" s="316">
        <v>1987</v>
      </c>
      <c r="DB13" s="46">
        <f t="shared" si="23"/>
        <v>17490.853536838385</v>
      </c>
      <c r="DC13" s="46">
        <f t="shared" si="24"/>
        <v>845.93211046568672</v>
      </c>
      <c r="DD13" s="46">
        <f t="shared" si="25"/>
        <v>13525.131223845994</v>
      </c>
      <c r="DE13" s="46">
        <f t="shared" si="26"/>
        <v>3701.6917618761736</v>
      </c>
      <c r="DF13" s="46">
        <f t="shared" si="27"/>
        <v>3658.6525157300239</v>
      </c>
      <c r="DG13" s="46">
        <f t="shared" si="28"/>
        <v>7568.524841969047</v>
      </c>
      <c r="DI13" s="316">
        <v>1987</v>
      </c>
      <c r="DJ13" s="88">
        <f t="shared" si="29"/>
        <v>6.3366381853562026E-2</v>
      </c>
      <c r="DK13" s="88">
        <f t="shared" si="30"/>
        <v>5.3112256394089154E-2</v>
      </c>
      <c r="DL13" s="88">
        <f t="shared" si="31"/>
        <v>9.0798777778701295E-2</v>
      </c>
      <c r="DM13" s="88">
        <f t="shared" si="32"/>
        <v>9.1253455304448478E-2</v>
      </c>
      <c r="DN13" s="88">
        <f t="shared" si="33"/>
        <v>3.1007070183194711E-2</v>
      </c>
      <c r="DO13" s="88">
        <f t="shared" si="34"/>
        <v>2.2646328579460046E-2</v>
      </c>
      <c r="DQ13" s="316">
        <v>1987</v>
      </c>
      <c r="DR13" s="61">
        <v>373273</v>
      </c>
      <c r="DS13" s="43"/>
      <c r="DT13" s="61">
        <v>362083.7</v>
      </c>
      <c r="DU13" s="43"/>
      <c r="DV13" s="89">
        <v>-1</v>
      </c>
      <c r="DW13" s="46">
        <f t="shared" si="6"/>
        <v>377043.43434343435</v>
      </c>
      <c r="DX13" s="43"/>
      <c r="DY13" s="46">
        <f t="shared" si="7"/>
        <v>365741.11111111112</v>
      </c>
      <c r="DZ13" s="43"/>
      <c r="EB13" s="316">
        <v>1987</v>
      </c>
      <c r="EC13" s="88">
        <f t="shared" si="8"/>
        <v>6.3477745283940484E-2</v>
      </c>
      <c r="ED13" s="88">
        <f t="shared" si="9"/>
        <v>2.0946011771558106E-3</v>
      </c>
      <c r="EE13" s="88">
        <f t="shared" si="10"/>
        <v>4.4400678533373039E-2</v>
      </c>
      <c r="EF13" s="88">
        <f t="shared" si="11"/>
        <v>7.6931102256465496E-3</v>
      </c>
      <c r="EG13" s="88">
        <f t="shared" si="12"/>
        <v>1.6238984135770639E-2</v>
      </c>
      <c r="EH13" s="88">
        <f t="shared" si="13"/>
        <v>4.6848199753145491E-2</v>
      </c>
      <c r="EI13" s="140"/>
      <c r="EJ13" s="316">
        <v>1987</v>
      </c>
      <c r="EK13" s="88">
        <f t="shared" si="14"/>
        <v>0.61765117264259894</v>
      </c>
      <c r="EL13" s="88">
        <f t="shared" si="15"/>
        <v>3.3825465770642375E-2</v>
      </c>
      <c r="EM13" s="88">
        <f t="shared" si="16"/>
        <v>0.35063694434771059</v>
      </c>
      <c r="EN13" s="88">
        <f t="shared" si="17"/>
        <v>8.7848571748369353E-2</v>
      </c>
      <c r="EO13" s="88">
        <f t="shared" si="18"/>
        <v>0.27609047009436238</v>
      </c>
      <c r="EP13" s="88">
        <f t="shared" si="19"/>
        <v>0.72640612871981602</v>
      </c>
      <c r="ER13" s="316">
        <v>1987</v>
      </c>
      <c r="ES13" s="317">
        <f t="shared" si="35"/>
        <v>122264</v>
      </c>
      <c r="ET13" s="61">
        <v>24753</v>
      </c>
      <c r="EU13" s="61">
        <v>84189</v>
      </c>
      <c r="EV13" s="61">
        <v>13322</v>
      </c>
      <c r="EW13" s="88">
        <f t="shared" si="36"/>
        <v>0.20245534253745992</v>
      </c>
      <c r="EX13" s="88">
        <f t="shared" si="36"/>
        <v>0.68858372047372896</v>
      </c>
      <c r="EY13" s="88">
        <f t="shared" si="36"/>
        <v>0.1089609369888111</v>
      </c>
      <c r="EZ13" s="88">
        <f t="shared" si="41"/>
        <v>-6.5820695211895597E-3</v>
      </c>
      <c r="FA13" s="88">
        <f t="shared" si="37"/>
        <v>3.3973176859060095E-3</v>
      </c>
      <c r="FB13" s="88">
        <f t="shared" si="37"/>
        <v>3.184751835283578E-3</v>
      </c>
      <c r="FD13" s="316">
        <v>1987</v>
      </c>
      <c r="FE13" s="159">
        <v>5.0023503649634996E-2</v>
      </c>
      <c r="FF13" s="43"/>
      <c r="FG13" s="159">
        <v>4.7E-2</v>
      </c>
      <c r="FH13" s="55"/>
      <c r="FI13" s="319">
        <f>FE13-FG13</f>
        <v>3.0235036496349954E-3</v>
      </c>
      <c r="FJ13" s="130"/>
      <c r="FK13" s="345">
        <f t="shared" ref="FK13:FK46" si="42">SUM(EK13:EL13)-(24.0959475629*(EW13-EW12)+0.793461523015+0.837029275127*FE13)</f>
        <v>-2.525481956297948E-2</v>
      </c>
      <c r="FL13" s="345">
        <f t="shared" ref="FL13:FL46" si="43">EM13-(4.79228258068*(EW13-EW12) + 0.334886759052 + 1.54914698576*FE13)</f>
        <v>-3.0200437489054321E-2</v>
      </c>
      <c r="FM13" s="345">
        <f t="shared" ref="FM13:FM46" si="44">EG13-(-1.26996838471*(EW13-EW12) + 0.0104066687 + 0.130732498683*(FE13-FI13))</f>
        <v>-8.6711322002043893E-3</v>
      </c>
      <c r="FN13" s="130"/>
      <c r="FO13" s="316">
        <v>1987</v>
      </c>
      <c r="FP13" s="61">
        <v>247527.87236867321</v>
      </c>
      <c r="FQ13" s="61">
        <v>10735.465389144465</v>
      </c>
      <c r="FR13" s="61">
        <v>158980.90996544124</v>
      </c>
      <c r="FS13" s="61">
        <v>38865.962509917081</v>
      </c>
      <c r="FT13" s="61">
        <v>66344.736357248345</v>
      </c>
      <c r="FU13" s="61">
        <v>233292.84543566033</v>
      </c>
      <c r="FV13" s="285">
        <f t="shared" si="38"/>
        <v>755747.79202608461</v>
      </c>
    </row>
    <row r="14" spans="1:178">
      <c r="A14" s="316">
        <v>1988</v>
      </c>
      <c r="B14" s="61">
        <v>218530.8</v>
      </c>
      <c r="C14" s="61">
        <v>14009.8</v>
      </c>
      <c r="D14" s="61">
        <v>126032.5</v>
      </c>
      <c r="E14" s="61">
        <v>30960.400000000001</v>
      </c>
      <c r="F14" s="61">
        <v>110060.8</v>
      </c>
      <c r="G14" s="61">
        <v>280527</v>
      </c>
      <c r="I14" s="316">
        <v>1988</v>
      </c>
      <c r="J14" s="61">
        <v>256381.5</v>
      </c>
      <c r="K14" s="61">
        <v>16538.7</v>
      </c>
      <c r="L14" s="61">
        <v>140383.79999999999</v>
      </c>
      <c r="M14" s="61">
        <v>35783.199999999997</v>
      </c>
      <c r="N14" s="61">
        <v>122213.2</v>
      </c>
      <c r="O14" s="61">
        <v>333456.5</v>
      </c>
      <c r="Q14" s="316">
        <v>1988</v>
      </c>
      <c r="R14" s="46">
        <f t="shared" si="0"/>
        <v>247788.96943311117</v>
      </c>
      <c r="S14" s="46">
        <f t="shared" si="0"/>
        <v>13062.665437322918</v>
      </c>
      <c r="T14" s="46">
        <f t="shared" si="0"/>
        <v>142739.29269219111</v>
      </c>
      <c r="U14" s="46">
        <f t="shared" si="0"/>
        <v>33632.972776040078</v>
      </c>
      <c r="V14" s="46">
        <f t="shared" si="0"/>
        <v>109058.40715803968</v>
      </c>
      <c r="W14" s="46">
        <f t="shared" si="0"/>
        <v>291760.22128972242</v>
      </c>
      <c r="Y14" s="316">
        <v>1988</v>
      </c>
      <c r="Z14" s="46">
        <f t="shared" si="1"/>
        <v>304417.50328768324</v>
      </c>
      <c r="AA14" s="46">
        <f t="shared" si="1"/>
        <v>16281.955333184549</v>
      </c>
      <c r="AB14" s="46">
        <f t="shared" si="1"/>
        <v>165146.47561333168</v>
      </c>
      <c r="AC14" s="46">
        <f t="shared" si="1"/>
        <v>41011.35749008823</v>
      </c>
      <c r="AD14" s="46">
        <f t="shared" si="1"/>
        <v>124949.2348748325</v>
      </c>
      <c r="AE14" s="46">
        <f t="shared" si="1"/>
        <v>366656.21364381642</v>
      </c>
      <c r="AG14" s="316">
        <v>1988</v>
      </c>
      <c r="AH14" s="48">
        <f t="shared" si="2"/>
        <v>0.81397740523133955</v>
      </c>
      <c r="AI14" s="48">
        <f t="shared" si="2"/>
        <v>0.80227866801106262</v>
      </c>
      <c r="AJ14" s="48">
        <f t="shared" si="2"/>
        <v>0.8643193393142462</v>
      </c>
      <c r="AK14" s="48">
        <f t="shared" si="2"/>
        <v>0.82008923465087968</v>
      </c>
      <c r="AL14" s="48">
        <f t="shared" si="2"/>
        <v>0.87282172849868667</v>
      </c>
      <c r="AM14" s="48">
        <f t="shared" si="2"/>
        <v>0.79573237935945418</v>
      </c>
      <c r="AO14" s="316">
        <v>1988</v>
      </c>
      <c r="AP14" s="88" t="e">
        <f>#REF!</f>
        <v>#REF!</v>
      </c>
      <c r="AS14" s="316">
        <v>1988</v>
      </c>
      <c r="AT14" s="308">
        <f t="shared" si="39"/>
        <v>9.0937416365592938E-3</v>
      </c>
      <c r="AU14" s="308">
        <f t="shared" si="20"/>
        <v>1.2857784091049318E-2</v>
      </c>
      <c r="AV14" s="308">
        <f t="shared" si="20"/>
        <v>1.5859442469012608E-2</v>
      </c>
      <c r="AW14" s="308">
        <f t="shared" si="20"/>
        <v>1.6786636425031531E-2</v>
      </c>
      <c r="AX14" s="308">
        <f t="shared" si="20"/>
        <v>1.9040214927203758E-2</v>
      </c>
      <c r="AY14" s="308">
        <f t="shared" si="20"/>
        <v>1.6012022932087921E-2</v>
      </c>
      <c r="BA14" s="316">
        <v>1988</v>
      </c>
      <c r="BB14" s="61">
        <v>23763.3</v>
      </c>
      <c r="BC14" s="61">
        <v>817.4</v>
      </c>
      <c r="BD14" s="61">
        <v>16428.099999999999</v>
      </c>
      <c r="BE14" s="61">
        <v>2298.8000000000002</v>
      </c>
      <c r="BF14" s="61">
        <v>5967.4</v>
      </c>
      <c r="BG14" s="61">
        <v>19433.400000000001</v>
      </c>
      <c r="BI14" s="316">
        <v>1988</v>
      </c>
      <c r="BJ14" s="61">
        <v>28378.799999999999</v>
      </c>
      <c r="BK14" s="61">
        <v>984.3</v>
      </c>
      <c r="BL14" s="61">
        <v>18614.400000000001</v>
      </c>
      <c r="BM14" s="61">
        <v>3085.5</v>
      </c>
      <c r="BN14" s="61">
        <v>6715.7</v>
      </c>
      <c r="BO14" s="61">
        <v>23595</v>
      </c>
      <c r="BQ14" s="316">
        <v>1988</v>
      </c>
      <c r="BR14" s="46">
        <f t="shared" si="21"/>
        <v>27220.173991946831</v>
      </c>
      <c r="BS14" s="46">
        <f t="shared" si="3"/>
        <v>810.92600240435615</v>
      </c>
      <c r="BT14" s="46">
        <f t="shared" si="3"/>
        <v>20516.030116727667</v>
      </c>
      <c r="BU14" s="46">
        <f t="shared" si="3"/>
        <v>2519.3892871127964</v>
      </c>
      <c r="BV14" s="46">
        <f t="shared" si="3"/>
        <v>6117.8585418797338</v>
      </c>
      <c r="BW14" s="46">
        <f t="shared" si="3"/>
        <v>19262.846157049295</v>
      </c>
      <c r="BY14" s="316">
        <v>1988</v>
      </c>
      <c r="BZ14" s="46">
        <f t="shared" si="4"/>
        <v>33836.335357770862</v>
      </c>
      <c r="CA14" s="46">
        <f t="shared" si="4"/>
        <v>1032.7950455423681</v>
      </c>
      <c r="CB14" s="46">
        <f t="shared" si="4"/>
        <v>24148.427382099362</v>
      </c>
      <c r="CC14" s="46">
        <f t="shared" si="4"/>
        <v>3605.4094708994708</v>
      </c>
      <c r="CD14" s="46">
        <f t="shared" si="4"/>
        <v>7110.8943010149433</v>
      </c>
      <c r="CE14" s="46">
        <f t="shared" si="4"/>
        <v>24851.349684956327</v>
      </c>
      <c r="CG14" s="316">
        <v>1988</v>
      </c>
      <c r="CH14" s="48">
        <f t="shared" si="5"/>
        <v>0.80446578224658238</v>
      </c>
      <c r="CI14" s="48">
        <f t="shared" si="5"/>
        <v>0.78517611592385361</v>
      </c>
      <c r="CJ14" s="48">
        <f t="shared" si="5"/>
        <v>0.84958038020876248</v>
      </c>
      <c r="CK14" s="48">
        <f t="shared" si="5"/>
        <v>0.69878034865323191</v>
      </c>
      <c r="CL14" s="48">
        <f t="shared" si="5"/>
        <v>0.86035008859666595</v>
      </c>
      <c r="CM14" s="48">
        <f t="shared" si="5"/>
        <v>0.77512273583716007</v>
      </c>
      <c r="CO14" s="316">
        <v>1988</v>
      </c>
      <c r="CP14" s="88" t="e">
        <f>#REF!</f>
        <v>#REF!</v>
      </c>
      <c r="CS14" s="316">
        <v>1988</v>
      </c>
      <c r="CT14" s="308">
        <f t="shared" si="40"/>
        <v>2.4256669974766165E-2</v>
      </c>
      <c r="CU14" s="308">
        <f t="shared" si="22"/>
        <v>2.4217249260283902E-2</v>
      </c>
      <c r="CV14" s="308">
        <f t="shared" si="22"/>
        <v>2.2798504844462553E-2</v>
      </c>
      <c r="CW14" s="308">
        <f t="shared" si="22"/>
        <v>2.2977641108518077E-2</v>
      </c>
      <c r="CX14" s="308">
        <f t="shared" si="22"/>
        <v>2.2150017782003983E-2</v>
      </c>
      <c r="CY14" s="308">
        <f t="shared" si="22"/>
        <v>2.2531421397804285E-2</v>
      </c>
      <c r="DA14" s="316">
        <v>1988</v>
      </c>
      <c r="DB14" s="46">
        <f t="shared" si="23"/>
        <v>18123.506670805466</v>
      </c>
      <c r="DC14" s="46">
        <f t="shared" si="24"/>
        <v>852.04522849672981</v>
      </c>
      <c r="DD14" s="46">
        <f t="shared" si="25"/>
        <v>14386.720870098514</v>
      </c>
      <c r="DE14" s="46">
        <f t="shared" si="26"/>
        <v>3661.2248566047019</v>
      </c>
      <c r="DF14" s="46">
        <f t="shared" si="27"/>
        <v>3698.6763786075953</v>
      </c>
      <c r="DG14" s="46">
        <f t="shared" si="28"/>
        <v>7900.8263253307268</v>
      </c>
      <c r="DI14" s="316">
        <v>1988</v>
      </c>
      <c r="DJ14" s="88">
        <f t="shared" si="29"/>
        <v>6.277524496570934E-2</v>
      </c>
      <c r="DK14" s="88">
        <f t="shared" si="30"/>
        <v>5.2918101544799818E-2</v>
      </c>
      <c r="DL14" s="88">
        <f t="shared" si="31"/>
        <v>9.2587715985963354E-2</v>
      </c>
      <c r="DM14" s="88">
        <f t="shared" si="32"/>
        <v>8.9152103741788516E-2</v>
      </c>
      <c r="DN14" s="88">
        <f t="shared" si="33"/>
        <v>3.0432509134689534E-2</v>
      </c>
      <c r="DO14" s="88">
        <f t="shared" si="34"/>
        <v>2.2592787434800001E-2</v>
      </c>
      <c r="DQ14" s="316">
        <v>1988</v>
      </c>
      <c r="DR14" s="61">
        <v>400566.9</v>
      </c>
      <c r="DS14" s="43"/>
      <c r="DT14" s="61">
        <v>386204.4</v>
      </c>
      <c r="DU14" s="43"/>
      <c r="DV14" s="89">
        <v>1.1000000000000001</v>
      </c>
      <c r="DW14" s="46">
        <f t="shared" si="6"/>
        <v>396208.60534124635</v>
      </c>
      <c r="DX14" s="43"/>
      <c r="DY14" s="46">
        <f t="shared" si="7"/>
        <v>382002.37388724042</v>
      </c>
      <c r="DZ14" s="43"/>
      <c r="EB14" s="316">
        <v>1988</v>
      </c>
      <c r="EC14" s="88">
        <f t="shared" si="8"/>
        <v>6.7954126993385697E-2</v>
      </c>
      <c r="ED14" s="88">
        <f t="shared" si="9"/>
        <v>2.0244458601156412E-3</v>
      </c>
      <c r="EE14" s="88">
        <f t="shared" si="10"/>
        <v>5.1217487307931998E-2</v>
      </c>
      <c r="EF14" s="88">
        <f t="shared" si="11"/>
        <v>6.2895593398076483E-3</v>
      </c>
      <c r="EG14" s="88">
        <f t="shared" si="12"/>
        <v>1.5273000694465104E-2</v>
      </c>
      <c r="EH14" s="88">
        <f t="shared" si="13"/>
        <v>4.8088961312203513E-2</v>
      </c>
      <c r="EI14" s="140"/>
      <c r="EJ14" s="316">
        <v>1988</v>
      </c>
      <c r="EK14" s="88">
        <f t="shared" si="14"/>
        <v>0.62540027170711143</v>
      </c>
      <c r="EL14" s="88">
        <f t="shared" si="15"/>
        <v>3.2969161348911924E-2</v>
      </c>
      <c r="EM14" s="88">
        <f t="shared" si="16"/>
        <v>0.36026297957171499</v>
      </c>
      <c r="EN14" s="88">
        <f t="shared" si="17"/>
        <v>8.4887032544567503E-2</v>
      </c>
      <c r="EO14" s="88">
        <f t="shared" si="18"/>
        <v>0.27525501891638604</v>
      </c>
      <c r="EP14" s="88">
        <f t="shared" si="19"/>
        <v>0.73638032429516598</v>
      </c>
      <c r="ER14" s="316">
        <v>1988</v>
      </c>
      <c r="ES14" s="317">
        <f t="shared" si="35"/>
        <v>122783</v>
      </c>
      <c r="ET14" s="61">
        <v>23985</v>
      </c>
      <c r="EU14" s="61">
        <v>85013</v>
      </c>
      <c r="EV14" s="61">
        <v>13785</v>
      </c>
      <c r="EW14" s="88">
        <f t="shared" si="36"/>
        <v>0.19534463240025085</v>
      </c>
      <c r="EX14" s="88">
        <f t="shared" si="36"/>
        <v>0.69238412483812906</v>
      </c>
      <c r="EY14" s="88">
        <f t="shared" si="36"/>
        <v>0.11227124276162009</v>
      </c>
      <c r="EZ14" s="88">
        <f t="shared" si="41"/>
        <v>-7.1107101372090697E-3</v>
      </c>
      <c r="FA14" s="88">
        <f t="shared" si="37"/>
        <v>3.8004043644001007E-3</v>
      </c>
      <c r="FB14" s="88">
        <f t="shared" si="37"/>
        <v>3.3103057728089968E-3</v>
      </c>
      <c r="FD14" s="316">
        <v>1988</v>
      </c>
      <c r="FE14" s="159">
        <v>4.9711391941391937E-2</v>
      </c>
      <c r="FF14" s="43"/>
      <c r="FG14" s="159">
        <v>4.7E-2</v>
      </c>
      <c r="FH14" s="55"/>
      <c r="FI14" s="319">
        <f t="shared" ref="FI14:FI66" si="45">FE14-FG14</f>
        <v>2.7113919413919371E-3</v>
      </c>
      <c r="FK14" s="345">
        <f t="shared" si="42"/>
        <v>-5.362681720062823E-3</v>
      </c>
      <c r="FL14" s="345">
        <f t="shared" si="43"/>
        <v>-1.7557500137414528E-2</v>
      </c>
      <c r="FM14" s="345">
        <f t="shared" si="44"/>
        <v>-1.0308472510728322E-2</v>
      </c>
      <c r="FO14" s="316">
        <v>1988</v>
      </c>
      <c r="FP14" s="61">
        <v>276009.70308196789</v>
      </c>
      <c r="FQ14" s="61">
        <v>10574.240056545475</v>
      </c>
      <c r="FR14" s="61">
        <v>187138.826864426</v>
      </c>
      <c r="FS14" s="61">
        <v>40886.250045990455</v>
      </c>
      <c r="FT14" s="61">
        <v>68853.775936686056</v>
      </c>
      <c r="FU14" s="61">
        <v>247349.75768353729</v>
      </c>
      <c r="FV14" s="285">
        <f t="shared" si="38"/>
        <v>830812.55366915325</v>
      </c>
    </row>
    <row r="15" spans="1:178">
      <c r="A15" s="316">
        <v>1989</v>
      </c>
      <c r="B15" s="61">
        <v>245675.9</v>
      </c>
      <c r="C15" s="61">
        <v>15189.1</v>
      </c>
      <c r="D15" s="61">
        <v>139923.29999999999</v>
      </c>
      <c r="E15" s="61">
        <v>32989.1</v>
      </c>
      <c r="F15" s="61">
        <v>118030.1</v>
      </c>
      <c r="G15" s="61">
        <v>306996.2</v>
      </c>
      <c r="I15" s="316">
        <v>1989</v>
      </c>
      <c r="J15" s="61">
        <v>268830.40000000002</v>
      </c>
      <c r="K15" s="61">
        <v>16815.099999999999</v>
      </c>
      <c r="L15" s="61">
        <v>149821.4</v>
      </c>
      <c r="M15" s="61">
        <v>36101.199999999997</v>
      </c>
      <c r="N15" s="61">
        <v>127589.6</v>
      </c>
      <c r="O15" s="61">
        <v>347683.2</v>
      </c>
      <c r="Q15" s="316">
        <v>1989</v>
      </c>
      <c r="R15" s="46">
        <f t="shared" si="0"/>
        <v>278568.41267021431</v>
      </c>
      <c r="S15" s="46">
        <f t="shared" si="0"/>
        <v>14162.238689634509</v>
      </c>
      <c r="T15" s="46">
        <f t="shared" si="0"/>
        <v>158471.44881802122</v>
      </c>
      <c r="U15" s="46">
        <f t="shared" si="0"/>
        <v>35836.794815508314</v>
      </c>
      <c r="V15" s="46">
        <f t="shared" si="0"/>
        <v>116955.12573690305</v>
      </c>
      <c r="W15" s="46">
        <f t="shared" si="0"/>
        <v>319289.33488435659</v>
      </c>
      <c r="Y15" s="316">
        <v>1989</v>
      </c>
      <c r="Z15" s="46">
        <f t="shared" si="1"/>
        <v>319198.84693641786</v>
      </c>
      <c r="AA15" s="46">
        <f t="shared" si="1"/>
        <v>16554.064534880705</v>
      </c>
      <c r="AB15" s="46">
        <f t="shared" si="1"/>
        <v>176248.79923078883</v>
      </c>
      <c r="AC15" s="46">
        <f t="shared" si="1"/>
        <v>41375.819351572056</v>
      </c>
      <c r="AD15" s="46">
        <f t="shared" si="1"/>
        <v>130445.9984517706</v>
      </c>
      <c r="AE15" s="46">
        <f t="shared" si="1"/>
        <v>382299.35736615048</v>
      </c>
      <c r="AG15" s="316">
        <v>1989</v>
      </c>
      <c r="AH15" s="48">
        <f t="shared" si="2"/>
        <v>0.87271121228612447</v>
      </c>
      <c r="AI15" s="48">
        <f t="shared" si="2"/>
        <v>0.85551428531606644</v>
      </c>
      <c r="AJ15" s="48">
        <f t="shared" si="2"/>
        <v>0.89913491331371242</v>
      </c>
      <c r="AK15" s="48">
        <f t="shared" si="2"/>
        <v>0.86612894625727122</v>
      </c>
      <c r="AL15" s="48">
        <f t="shared" si="2"/>
        <v>0.89657886884237781</v>
      </c>
      <c r="AM15" s="48">
        <f t="shared" si="2"/>
        <v>0.83518145854102099</v>
      </c>
      <c r="AO15" s="316">
        <v>1989</v>
      </c>
      <c r="AP15" s="88" t="e">
        <f>#REF!</f>
        <v>#REF!</v>
      </c>
      <c r="AS15" s="316">
        <v>1989</v>
      </c>
      <c r="AT15" s="308">
        <f t="shared" si="39"/>
        <v>7.2156557021496592E-2</v>
      </c>
      <c r="AU15" s="308">
        <f t="shared" si="20"/>
        <v>6.6355518883458364E-2</v>
      </c>
      <c r="AV15" s="308">
        <f t="shared" si="20"/>
        <v>4.0280915184761401E-2</v>
      </c>
      <c r="AW15" s="308">
        <f t="shared" si="20"/>
        <v>5.6139880467996894E-2</v>
      </c>
      <c r="AX15" s="308">
        <f t="shared" si="20"/>
        <v>2.7218777406647687E-2</v>
      </c>
      <c r="AY15" s="308">
        <f t="shared" si="20"/>
        <v>4.9575812427442578E-2</v>
      </c>
      <c r="BA15" s="316">
        <v>1989</v>
      </c>
      <c r="BB15" s="61">
        <v>24901.9</v>
      </c>
      <c r="BC15" s="61">
        <v>947.6</v>
      </c>
      <c r="BD15" s="61">
        <v>18614.400000000001</v>
      </c>
      <c r="BE15" s="61">
        <v>2729</v>
      </c>
      <c r="BF15" s="61">
        <v>8175.9</v>
      </c>
      <c r="BG15" s="61">
        <v>19503.599999999999</v>
      </c>
      <c r="BI15" s="316">
        <v>1989</v>
      </c>
      <c r="BJ15" s="61">
        <v>28148.7</v>
      </c>
      <c r="BK15" s="61">
        <v>1082.8</v>
      </c>
      <c r="BL15" s="61">
        <v>20364.099999999999</v>
      </c>
      <c r="BM15" s="61">
        <v>3493.2</v>
      </c>
      <c r="BN15" s="61">
        <v>8936.2000000000007</v>
      </c>
      <c r="BO15" s="61">
        <v>22674.6</v>
      </c>
      <c r="BQ15" s="316">
        <v>1989</v>
      </c>
      <c r="BR15" s="46">
        <f t="shared" si="21"/>
        <v>28524.407415218462</v>
      </c>
      <c r="BS15" s="46">
        <f t="shared" si="3"/>
        <v>940.09478820451181</v>
      </c>
      <c r="BT15" s="46">
        <f t="shared" si="3"/>
        <v>23246.363913344547</v>
      </c>
      <c r="BU15" s="46">
        <f t="shared" si="3"/>
        <v>2990.8706127243872</v>
      </c>
      <c r="BV15" s="46">
        <f t="shared" si="3"/>
        <v>8382.0423723153344</v>
      </c>
      <c r="BW15" s="46">
        <f t="shared" si="3"/>
        <v>19332.43005900288</v>
      </c>
      <c r="BY15" s="316">
        <v>1989</v>
      </c>
      <c r="BZ15" s="46">
        <f t="shared" si="4"/>
        <v>33561.984759231709</v>
      </c>
      <c r="CA15" s="46">
        <f t="shared" si="4"/>
        <v>1136.1479988959425</v>
      </c>
      <c r="CB15" s="46">
        <f t="shared" si="4"/>
        <v>26418.310020833844</v>
      </c>
      <c r="CC15" s="46">
        <f t="shared" si="4"/>
        <v>4081.8072804232797</v>
      </c>
      <c r="CD15" s="46">
        <f t="shared" si="4"/>
        <v>9462.0625776508386</v>
      </c>
      <c r="CE15" s="46">
        <f t="shared" si="4"/>
        <v>23881.94166418778</v>
      </c>
      <c r="CG15" s="316">
        <v>1989</v>
      </c>
      <c r="CH15" s="48">
        <f t="shared" si="5"/>
        <v>0.84990228140105484</v>
      </c>
      <c r="CI15" s="48">
        <f t="shared" si="5"/>
        <v>0.82744042951979291</v>
      </c>
      <c r="CJ15" s="48">
        <f t="shared" si="5"/>
        <v>0.87993379951299466</v>
      </c>
      <c r="CK15" s="48">
        <f t="shared" si="5"/>
        <v>0.7327319511307836</v>
      </c>
      <c r="CL15" s="48">
        <f t="shared" si="5"/>
        <v>0.88585784584785077</v>
      </c>
      <c r="CM15" s="48">
        <f t="shared" si="5"/>
        <v>0.80949992805622117</v>
      </c>
      <c r="CO15" s="316">
        <v>1989</v>
      </c>
      <c r="CP15" s="88" t="e">
        <f>#REF!</f>
        <v>#REF!</v>
      </c>
      <c r="CS15" s="316">
        <v>1989</v>
      </c>
      <c r="CT15" s="308">
        <f t="shared" si="40"/>
        <v>5.648033783063422E-2</v>
      </c>
      <c r="CU15" s="308">
        <f t="shared" si="22"/>
        <v>5.3827813580664463E-2</v>
      </c>
      <c r="CV15" s="308">
        <f t="shared" si="22"/>
        <v>3.57275426920447E-2</v>
      </c>
      <c r="CW15" s="308">
        <f t="shared" si="22"/>
        <v>4.858694515807005E-2</v>
      </c>
      <c r="CX15" s="308">
        <f t="shared" si="22"/>
        <v>2.9648113703098389E-2</v>
      </c>
      <c r="CY15" s="308">
        <f t="shared" si="22"/>
        <v>4.4350643620242325E-2</v>
      </c>
      <c r="DA15" s="316">
        <v>1989</v>
      </c>
      <c r="DB15" s="46">
        <f t="shared" si="23"/>
        <v>18780.64111049709</v>
      </c>
      <c r="DC15" s="46">
        <f t="shared" si="24"/>
        <v>864.03879719978681</v>
      </c>
      <c r="DD15" s="46">
        <f t="shared" si="25"/>
        <v>15315.986403376693</v>
      </c>
      <c r="DE15" s="46">
        <f t="shared" si="26"/>
        <v>3717.3454189394542</v>
      </c>
      <c r="DF15" s="46">
        <f t="shared" si="27"/>
        <v>3965.2990007127373</v>
      </c>
      <c r="DG15" s="46">
        <f t="shared" si="28"/>
        <v>8238.7979418537179</v>
      </c>
      <c r="DI15" s="316">
        <v>1989</v>
      </c>
      <c r="DJ15" s="88">
        <f t="shared" si="29"/>
        <v>6.1693696675348027E-2</v>
      </c>
      <c r="DK15" s="88">
        <f t="shared" si="30"/>
        <v>5.3067262470544531E-2</v>
      </c>
      <c r="DL15" s="88">
        <f t="shared" si="31"/>
        <v>9.2741830223716196E-2</v>
      </c>
      <c r="DM15" s="88">
        <f t="shared" si="32"/>
        <v>9.0641852560912561E-2</v>
      </c>
      <c r="DN15" s="88">
        <f t="shared" si="33"/>
        <v>3.173528036954338E-2</v>
      </c>
      <c r="DO15" s="88">
        <f t="shared" si="34"/>
        <v>2.2470089515126E-2</v>
      </c>
      <c r="DQ15" s="316">
        <v>1989</v>
      </c>
      <c r="DR15" s="61">
        <v>428994.1</v>
      </c>
      <c r="DS15" s="43"/>
      <c r="DT15" s="61">
        <v>405228</v>
      </c>
      <c r="DU15" s="43"/>
      <c r="DV15" s="89">
        <v>1.4</v>
      </c>
      <c r="DW15" s="46">
        <f t="shared" si="6"/>
        <v>423071.10453648912</v>
      </c>
      <c r="DX15" s="43"/>
      <c r="DY15" s="46">
        <f t="shared" si="7"/>
        <v>399633.13609467453</v>
      </c>
      <c r="DZ15" s="43"/>
      <c r="EB15" s="316">
        <v>1989</v>
      </c>
      <c r="EC15" s="88">
        <f t="shared" si="8"/>
        <v>6.6491374625474955E-2</v>
      </c>
      <c r="ED15" s="88">
        <f t="shared" si="9"/>
        <v>2.1913932807106481E-3</v>
      </c>
      <c r="EE15" s="88">
        <f t="shared" si="10"/>
        <v>5.4188073713238825E-2</v>
      </c>
      <c r="EF15" s="88">
        <f t="shared" si="11"/>
        <v>6.9718222528570616E-3</v>
      </c>
      <c r="EG15" s="88">
        <f t="shared" si="12"/>
        <v>1.9538829024257756E-2</v>
      </c>
      <c r="EH15" s="88">
        <f t="shared" si="13"/>
        <v>4.5064559300472616E-2</v>
      </c>
      <c r="EI15" s="140"/>
      <c r="EJ15" s="316">
        <v>1989</v>
      </c>
      <c r="EK15" s="88">
        <f t="shared" si="14"/>
        <v>0.65844348546424614</v>
      </c>
      <c r="EL15" s="88">
        <f t="shared" si="15"/>
        <v>3.3474842733942946E-2</v>
      </c>
      <c r="EM15" s="88">
        <f t="shared" si="16"/>
        <v>0.37457403050874949</v>
      </c>
      <c r="EN15" s="88">
        <f t="shared" si="17"/>
        <v>8.4706316340773524E-2</v>
      </c>
      <c r="EO15" s="88">
        <f t="shared" si="18"/>
        <v>0.27644319000475692</v>
      </c>
      <c r="EP15" s="88">
        <f t="shared" si="19"/>
        <v>0.75469426169902476</v>
      </c>
      <c r="ER15" s="316">
        <v>1989</v>
      </c>
      <c r="ES15" s="317">
        <f t="shared" si="35"/>
        <v>123255</v>
      </c>
      <c r="ET15" s="61">
        <v>23201</v>
      </c>
      <c r="EU15" s="61">
        <v>85745</v>
      </c>
      <c r="EV15" s="61">
        <v>14309</v>
      </c>
      <c r="EW15" s="88">
        <f t="shared" si="36"/>
        <v>0.1882357713683015</v>
      </c>
      <c r="EX15" s="88">
        <f t="shared" si="36"/>
        <v>0.69567157518964751</v>
      </c>
      <c r="EY15" s="88">
        <f t="shared" si="36"/>
        <v>0.11609265344205104</v>
      </c>
      <c r="EZ15" s="88">
        <f t="shared" si="41"/>
        <v>-7.1088610319493539E-3</v>
      </c>
      <c r="FA15" s="88">
        <f t="shared" si="37"/>
        <v>3.2874503515184506E-3</v>
      </c>
      <c r="FB15" s="88">
        <f t="shared" si="37"/>
        <v>3.821410680430945E-3</v>
      </c>
      <c r="FD15" s="316">
        <v>1989</v>
      </c>
      <c r="FE15" s="159">
        <v>5.1545140562248966E-2</v>
      </c>
      <c r="FF15" s="43"/>
      <c r="FG15" s="159">
        <v>4.4999999999999998E-2</v>
      </c>
      <c r="FH15" s="55"/>
      <c r="FI15" s="319">
        <f t="shared" si="45"/>
        <v>6.5451405622489675E-3</v>
      </c>
      <c r="FK15" s="345">
        <f t="shared" si="42"/>
        <v>2.6606756199845427E-2</v>
      </c>
      <c r="FL15" s="345">
        <f t="shared" si="43"/>
        <v>-6.096056783948256E-3</v>
      </c>
      <c r="FM15" s="345">
        <f t="shared" si="44"/>
        <v>-5.7788308783498256E-3</v>
      </c>
      <c r="FO15" s="316">
        <v>1989</v>
      </c>
      <c r="FP15" s="61">
        <v>276475.52717596584</v>
      </c>
      <c r="FQ15" s="61">
        <v>10528.880638940507</v>
      </c>
      <c r="FR15" s="61">
        <v>216600.90022876172</v>
      </c>
      <c r="FS15" s="61">
        <v>38756.208790382501</v>
      </c>
      <c r="FT15" s="61">
        <v>78110.645520670441</v>
      </c>
      <c r="FU15" s="61">
        <v>242065.11969696454</v>
      </c>
      <c r="FV15" s="285">
        <f t="shared" si="38"/>
        <v>862537.2820516855</v>
      </c>
    </row>
    <row r="16" spans="1:178">
      <c r="A16" s="316">
        <v>1990</v>
      </c>
      <c r="B16" s="61">
        <v>269745.2</v>
      </c>
      <c r="C16" s="61">
        <v>16478.400000000001</v>
      </c>
      <c r="D16" s="61">
        <v>158781.1</v>
      </c>
      <c r="E16" s="61">
        <v>35087</v>
      </c>
      <c r="F16" s="61">
        <v>130789.8</v>
      </c>
      <c r="G16" s="61">
        <v>340265.8</v>
      </c>
      <c r="I16" s="316">
        <v>1990</v>
      </c>
      <c r="J16" s="61">
        <v>280611</v>
      </c>
      <c r="K16" s="61">
        <v>17298.7</v>
      </c>
      <c r="L16" s="61">
        <v>160798.5</v>
      </c>
      <c r="M16" s="61">
        <v>36290.400000000001</v>
      </c>
      <c r="N16" s="61">
        <v>133502.39999999999</v>
      </c>
      <c r="O16" s="61">
        <v>362833.1</v>
      </c>
      <c r="Q16" s="316">
        <v>1990</v>
      </c>
      <c r="R16" s="46">
        <f t="shared" si="0"/>
        <v>305860.24998548697</v>
      </c>
      <c r="S16" s="46">
        <f t="shared" si="0"/>
        <v>15364.375375978385</v>
      </c>
      <c r="T16" s="46">
        <f t="shared" si="0"/>
        <v>179829.02748805322</v>
      </c>
      <c r="U16" s="46">
        <f t="shared" si="0"/>
        <v>38115.790357776968</v>
      </c>
      <c r="V16" s="46">
        <f t="shared" si="0"/>
        <v>129598.61513380402</v>
      </c>
      <c r="W16" s="46">
        <f t="shared" si="0"/>
        <v>353891.15880227013</v>
      </c>
      <c r="Y16" s="316">
        <v>1990</v>
      </c>
      <c r="Z16" s="46">
        <f t="shared" si="1"/>
        <v>333186.67694455368</v>
      </c>
      <c r="AA16" s="46">
        <f t="shared" si="1"/>
        <v>17030.157190236208</v>
      </c>
      <c r="AB16" s="46">
        <f t="shared" si="1"/>
        <v>189162.17938900582</v>
      </c>
      <c r="AC16" s="46">
        <f t="shared" si="1"/>
        <v>41592.662698090113</v>
      </c>
      <c r="AD16" s="46">
        <f t="shared" si="1"/>
        <v>136491.1706260358</v>
      </c>
      <c r="AE16" s="46">
        <f t="shared" si="1"/>
        <v>398957.61705244367</v>
      </c>
      <c r="AG16" s="316">
        <v>1990</v>
      </c>
      <c r="AH16" s="48">
        <f t="shared" si="2"/>
        <v>0.91798463489098592</v>
      </c>
      <c r="AI16" s="48">
        <f t="shared" si="2"/>
        <v>0.90218635120920343</v>
      </c>
      <c r="AJ16" s="48">
        <f t="shared" si="2"/>
        <v>0.95066058167071932</v>
      </c>
      <c r="AK16" s="48">
        <f t="shared" si="2"/>
        <v>0.91640659398147173</v>
      </c>
      <c r="AL16" s="48">
        <f t="shared" si="2"/>
        <v>0.94950182154187623</v>
      </c>
      <c r="AM16" s="48">
        <f t="shared" si="2"/>
        <v>0.88703948408572564</v>
      </c>
      <c r="AO16" s="316">
        <v>1990</v>
      </c>
      <c r="AP16" s="88" t="e">
        <f>#REF!</f>
        <v>#REF!</v>
      </c>
      <c r="AS16" s="316">
        <v>1990</v>
      </c>
      <c r="AT16" s="308">
        <f t="shared" si="39"/>
        <v>5.1876751401262133E-2</v>
      </c>
      <c r="AU16" s="308">
        <f t="shared" si="20"/>
        <v>5.4554396921489445E-2</v>
      </c>
      <c r="AV16" s="308">
        <f t="shared" si="20"/>
        <v>5.7305825404011745E-2</v>
      </c>
      <c r="AW16" s="308">
        <f t="shared" si="20"/>
        <v>5.8048686562735208E-2</v>
      </c>
      <c r="AX16" s="308">
        <f t="shared" si="20"/>
        <v>5.902766007393212E-2</v>
      </c>
      <c r="AY16" s="308">
        <f t="shared" si="20"/>
        <v>6.2091926268688313E-2</v>
      </c>
      <c r="BA16" s="316">
        <v>1990</v>
      </c>
      <c r="BB16" s="61">
        <v>26201.5</v>
      </c>
      <c r="BC16" s="61">
        <v>1200.2</v>
      </c>
      <c r="BD16" s="61">
        <v>21731.599999999999</v>
      </c>
      <c r="BE16" s="61">
        <v>2782.8</v>
      </c>
      <c r="BF16" s="61">
        <v>9235.2999999999993</v>
      </c>
      <c r="BG16" s="61">
        <v>21669.7</v>
      </c>
      <c r="BI16" s="316">
        <v>1990</v>
      </c>
      <c r="BJ16" s="61">
        <v>27952.9</v>
      </c>
      <c r="BK16" s="61">
        <v>1299.5</v>
      </c>
      <c r="BL16" s="61">
        <v>22616.9</v>
      </c>
      <c r="BM16" s="61">
        <v>3373.6</v>
      </c>
      <c r="BN16" s="61">
        <v>9641.1</v>
      </c>
      <c r="BO16" s="61">
        <v>23847.8</v>
      </c>
      <c r="BQ16" s="316">
        <v>1990</v>
      </c>
      <c r="BR16" s="46">
        <f t="shared" si="21"/>
        <v>30013.0616896641</v>
      </c>
      <c r="BS16" s="46">
        <f t="shared" si="3"/>
        <v>1190.6941376140303</v>
      </c>
      <c r="BT16" s="46">
        <f t="shared" si="3"/>
        <v>27139.240696409139</v>
      </c>
      <c r="BU16" s="46">
        <f t="shared" si="3"/>
        <v>3049.8331773871109</v>
      </c>
      <c r="BV16" s="46">
        <f t="shared" si="3"/>
        <v>9468.1534658011715</v>
      </c>
      <c r="BW16" s="46">
        <f t="shared" si="3"/>
        <v>21479.519660451133</v>
      </c>
      <c r="BY16" s="316">
        <v>1990</v>
      </c>
      <c r="BZ16" s="46">
        <f t="shared" si="4"/>
        <v>33328.53040376032</v>
      </c>
      <c r="CA16" s="46">
        <f t="shared" si="4"/>
        <v>1363.5244962738061</v>
      </c>
      <c r="CB16" s="46">
        <f t="shared" si="4"/>
        <v>29340.863377718488</v>
      </c>
      <c r="CC16" s="46">
        <f t="shared" si="4"/>
        <v>3942.0545749559078</v>
      </c>
      <c r="CD16" s="46">
        <f t="shared" si="4"/>
        <v>10208.443355944306</v>
      </c>
      <c r="CE16" s="46">
        <f t="shared" si="4"/>
        <v>25117.610384272157</v>
      </c>
      <c r="CG16" s="316">
        <v>1990</v>
      </c>
      <c r="CH16" s="48">
        <f t="shared" si="5"/>
        <v>0.90052160494534894</v>
      </c>
      <c r="CI16" s="48">
        <f t="shared" si="5"/>
        <v>0.87324733869315818</v>
      </c>
      <c r="CJ16" s="48">
        <f t="shared" si="5"/>
        <v>0.92496394352930777</v>
      </c>
      <c r="CK16" s="48">
        <f t="shared" si="5"/>
        <v>0.77366589411594422</v>
      </c>
      <c r="CL16" s="48">
        <f t="shared" si="5"/>
        <v>0.92748258825258911</v>
      </c>
      <c r="CM16" s="48">
        <f t="shared" si="5"/>
        <v>0.8551577690647244</v>
      </c>
      <c r="CO16" s="316">
        <v>1990</v>
      </c>
      <c r="CP16" s="88" t="e">
        <f>#REF!</f>
        <v>#REF!</v>
      </c>
      <c r="CS16" s="316">
        <v>1990</v>
      </c>
      <c r="CT16" s="308">
        <f t="shared" si="40"/>
        <v>5.9558992430104762E-2</v>
      </c>
      <c r="CU16" s="308">
        <f t="shared" si="22"/>
        <v>5.5359766744718319E-2</v>
      </c>
      <c r="CV16" s="308">
        <f t="shared" si="22"/>
        <v>5.1174467944333335E-2</v>
      </c>
      <c r="CW16" s="308">
        <f t="shared" si="22"/>
        <v>5.5864826041760018E-2</v>
      </c>
      <c r="CX16" s="308">
        <f t="shared" si="22"/>
        <v>4.6988060894690653E-2</v>
      </c>
      <c r="CY16" s="308">
        <f t="shared" si="22"/>
        <v>5.6402526332691938E-2</v>
      </c>
      <c r="DA16" s="316">
        <v>1990</v>
      </c>
      <c r="DB16" s="46">
        <f t="shared" si="23"/>
        <v>19340.700395624503</v>
      </c>
      <c r="DC16" s="46">
        <f t="shared" si="24"/>
        <v>887.43184091830244</v>
      </c>
      <c r="DD16" s="46">
        <f t="shared" si="25"/>
        <v>16427.483219501504</v>
      </c>
      <c r="DE16" s="46">
        <f t="shared" si="26"/>
        <v>3725.2112284378509</v>
      </c>
      <c r="DF16" s="46">
        <f t="shared" si="27"/>
        <v>4163.2711816791052</v>
      </c>
      <c r="DG16" s="46">
        <f t="shared" si="28"/>
        <v>8459.3506979789599</v>
      </c>
      <c r="DI16" s="316">
        <v>1990</v>
      </c>
      <c r="DJ16" s="88">
        <f t="shared" si="29"/>
        <v>6.0591385530528036E-2</v>
      </c>
      <c r="DK16" s="88">
        <f t="shared" si="30"/>
        <v>5.3608093592266377E-2</v>
      </c>
      <c r="DL16" s="88">
        <f t="shared" si="31"/>
        <v>9.320621355264129E-2</v>
      </c>
      <c r="DM16" s="88">
        <f t="shared" si="32"/>
        <v>9.0033533760010317E-2</v>
      </c>
      <c r="DN16" s="88">
        <f t="shared" si="33"/>
        <v>3.1915668024254336E-2</v>
      </c>
      <c r="DO16" s="88">
        <f t="shared" si="34"/>
        <v>2.212755667772924E-2</v>
      </c>
      <c r="DQ16" s="316">
        <v>1990</v>
      </c>
      <c r="DR16" s="61">
        <v>461295.1</v>
      </c>
      <c r="DS16" s="43"/>
      <c r="DT16" s="61">
        <v>424844.79999999999</v>
      </c>
      <c r="DU16" s="43"/>
      <c r="DV16" s="89">
        <v>2.2999999999999998</v>
      </c>
      <c r="DW16" s="46">
        <f t="shared" si="6"/>
        <v>450923.85141739983</v>
      </c>
      <c r="DX16" s="43"/>
      <c r="DY16" s="46">
        <f t="shared" si="7"/>
        <v>415293.0596285435</v>
      </c>
      <c r="DZ16" s="43"/>
      <c r="EB16" s="316">
        <v>1990</v>
      </c>
      <c r="EC16" s="88">
        <f t="shared" si="8"/>
        <v>6.5062606755771094E-2</v>
      </c>
      <c r="ED16" s="88">
        <f t="shared" si="9"/>
        <v>2.5811983210184334E-3</v>
      </c>
      <c r="EE16" s="88">
        <f t="shared" si="10"/>
        <v>5.8832709682823732E-2</v>
      </c>
      <c r="EF16" s="88">
        <f t="shared" si="11"/>
        <v>6.6114579959490379E-3</v>
      </c>
      <c r="EG16" s="88">
        <f t="shared" si="12"/>
        <v>2.0525155081424391E-2</v>
      </c>
      <c r="EH16" s="88">
        <f t="shared" si="13"/>
        <v>4.6563511427828164E-2</v>
      </c>
      <c r="EI16" s="140"/>
      <c r="EJ16" s="316">
        <v>1990</v>
      </c>
      <c r="EK16" s="88">
        <f t="shared" si="14"/>
        <v>0.67829689874259047</v>
      </c>
      <c r="EL16" s="88">
        <f t="shared" si="15"/>
        <v>3.4073104200816107E-2</v>
      </c>
      <c r="EM16" s="88">
        <f t="shared" si="16"/>
        <v>0.39880132071699537</v>
      </c>
      <c r="EN16" s="88">
        <f t="shared" si="17"/>
        <v>8.4528219649430136E-2</v>
      </c>
      <c r="EO16" s="88">
        <f t="shared" si="18"/>
        <v>0.28740687529930736</v>
      </c>
      <c r="EP16" s="88">
        <f t="shared" si="19"/>
        <v>0.78481357260183848</v>
      </c>
      <c r="ER16" s="316">
        <v>1990</v>
      </c>
      <c r="ES16" s="317">
        <f t="shared" si="35"/>
        <v>123612</v>
      </c>
      <c r="ET16" s="61">
        <v>22544</v>
      </c>
      <c r="EU16" s="61">
        <v>86140</v>
      </c>
      <c r="EV16" s="61">
        <v>14928</v>
      </c>
      <c r="EW16" s="88">
        <f t="shared" si="36"/>
        <v>0.18237711549040547</v>
      </c>
      <c r="EX16" s="88">
        <f t="shared" si="36"/>
        <v>0.69685791023525223</v>
      </c>
      <c r="EY16" s="88">
        <f t="shared" si="36"/>
        <v>0.1207649742743423</v>
      </c>
      <c r="EZ16" s="88">
        <f t="shared" si="41"/>
        <v>-5.858655877896024E-3</v>
      </c>
      <c r="FA16" s="88">
        <f t="shared" si="37"/>
        <v>1.186335045604725E-3</v>
      </c>
      <c r="FB16" s="88">
        <f t="shared" si="37"/>
        <v>4.6723208322912574E-3</v>
      </c>
      <c r="FD16" s="316">
        <v>1990</v>
      </c>
      <c r="FE16" s="159">
        <v>6.8722398373983737E-2</v>
      </c>
      <c r="FF16" s="43"/>
      <c r="FG16" s="159">
        <v>0.04</v>
      </c>
      <c r="FH16" s="55"/>
      <c r="FI16" s="319">
        <f t="shared" si="45"/>
        <v>2.8722398373983736E-2</v>
      </c>
      <c r="FK16" s="345">
        <f t="shared" si="42"/>
        <v>2.5556854553004937E-3</v>
      </c>
      <c r="FL16" s="345">
        <f t="shared" si="43"/>
        <v>-1.4470200120419885E-2</v>
      </c>
      <c r="FM16" s="345">
        <f t="shared" si="44"/>
        <v>-2.5511213077189683E-3</v>
      </c>
      <c r="FO16" s="316">
        <v>1990</v>
      </c>
      <c r="FP16" s="61">
        <v>291705.86100284825</v>
      </c>
      <c r="FQ16" s="61">
        <v>11211.751863833022</v>
      </c>
      <c r="FR16" s="61">
        <v>245539.27533971323</v>
      </c>
      <c r="FS16" s="61">
        <v>41245.022416101732</v>
      </c>
      <c r="FT16" s="61">
        <v>91079.487514409862</v>
      </c>
      <c r="FU16" s="61">
        <v>249237.29668246288</v>
      </c>
      <c r="FV16" s="285">
        <f t="shared" si="38"/>
        <v>930018.694819369</v>
      </c>
    </row>
    <row r="17" spans="1:178">
      <c r="A17" s="316">
        <v>1991</v>
      </c>
      <c r="B17" s="61">
        <v>285087.09999999998</v>
      </c>
      <c r="C17" s="61">
        <v>17215</v>
      </c>
      <c r="D17" s="61">
        <v>172317.7</v>
      </c>
      <c r="E17" s="61">
        <v>37015.199999999997</v>
      </c>
      <c r="F17" s="61">
        <v>141373.9</v>
      </c>
      <c r="G17" s="61">
        <v>362422.4</v>
      </c>
      <c r="I17" s="316">
        <v>1991</v>
      </c>
      <c r="J17" s="61">
        <v>290398.40000000002</v>
      </c>
      <c r="K17" s="61">
        <v>17684.900000000001</v>
      </c>
      <c r="L17" s="61">
        <v>170411.4</v>
      </c>
      <c r="M17" s="61">
        <v>37365.4</v>
      </c>
      <c r="N17" s="61">
        <v>141355.29999999999</v>
      </c>
      <c r="O17" s="61">
        <v>376886.4</v>
      </c>
      <c r="Q17" s="316">
        <v>1991</v>
      </c>
      <c r="R17" s="46">
        <f t="shared" si="0"/>
        <v>323256.21243172267</v>
      </c>
      <c r="S17" s="46">
        <f t="shared" si="0"/>
        <v>16051.177426052764</v>
      </c>
      <c r="T17" s="46">
        <f t="shared" si="0"/>
        <v>195160.03107408946</v>
      </c>
      <c r="U17" s="46">
        <f t="shared" si="0"/>
        <v>40210.437006617438</v>
      </c>
      <c r="V17" s="46">
        <f t="shared" si="0"/>
        <v>140086.3190865411</v>
      </c>
      <c r="W17" s="46">
        <f t="shared" si="0"/>
        <v>376934.98174632859</v>
      </c>
      <c r="Y17" s="316">
        <v>1991</v>
      </c>
      <c r="Z17" s="46">
        <f t="shared" si="1"/>
        <v>344807.85815957066</v>
      </c>
      <c r="AA17" s="46">
        <f t="shared" si="1"/>
        <v>17410.361870753775</v>
      </c>
      <c r="AB17" s="46">
        <f t="shared" si="1"/>
        <v>200470.72464439424</v>
      </c>
      <c r="AC17" s="46">
        <f t="shared" si="1"/>
        <v>42824.72716694267</v>
      </c>
      <c r="AD17" s="46">
        <f t="shared" si="1"/>
        <v>144519.87658045458</v>
      </c>
      <c r="AE17" s="46">
        <f t="shared" si="1"/>
        <v>414410.09666282963</v>
      </c>
      <c r="AG17" s="316">
        <v>1991</v>
      </c>
      <c r="AH17" s="48">
        <f t="shared" si="2"/>
        <v>0.93749665148909023</v>
      </c>
      <c r="AI17" s="48">
        <f t="shared" si="2"/>
        <v>0.92193244145119158</v>
      </c>
      <c r="AJ17" s="48">
        <f t="shared" si="2"/>
        <v>0.97350888225836874</v>
      </c>
      <c r="AK17" s="48">
        <f t="shared" si="2"/>
        <v>0.93895372292428148</v>
      </c>
      <c r="AL17" s="48">
        <f t="shared" si="2"/>
        <v>0.96932216108387481</v>
      </c>
      <c r="AM17" s="48">
        <f t="shared" si="2"/>
        <v>0.90956997617026847</v>
      </c>
      <c r="AO17" s="316">
        <v>1991</v>
      </c>
      <c r="AP17" s="88" t="e">
        <f>#REF!</f>
        <v>#REF!</v>
      </c>
      <c r="AS17" s="316">
        <v>1991</v>
      </c>
      <c r="AT17" s="308">
        <f t="shared" si="39"/>
        <v>2.1255275803631957E-2</v>
      </c>
      <c r="AU17" s="308">
        <f t="shared" si="20"/>
        <v>2.1886930804841276E-2</v>
      </c>
      <c r="AV17" s="308">
        <f t="shared" si="20"/>
        <v>2.4034130612100357E-2</v>
      </c>
      <c r="AW17" s="308">
        <f t="shared" si="20"/>
        <v>2.4603848434623599E-2</v>
      </c>
      <c r="AX17" s="308">
        <f t="shared" si="20"/>
        <v>2.0874461841276615E-2</v>
      </c>
      <c r="AY17" s="308">
        <f t="shared" si="20"/>
        <v>2.5399649608343067E-2</v>
      </c>
      <c r="BA17" s="316">
        <v>1991</v>
      </c>
      <c r="BB17" s="61">
        <v>25629.8</v>
      </c>
      <c r="BC17" s="61">
        <v>1166.4000000000001</v>
      </c>
      <c r="BD17" s="61">
        <v>21987.9</v>
      </c>
      <c r="BE17" s="61">
        <v>3763.3</v>
      </c>
      <c r="BF17" s="61">
        <v>11646.9</v>
      </c>
      <c r="BG17" s="61">
        <v>21778.799999999999</v>
      </c>
      <c r="BI17" s="316">
        <v>1991</v>
      </c>
      <c r="BJ17" s="61">
        <v>26542.1</v>
      </c>
      <c r="BK17" s="61">
        <v>1220.0999999999999</v>
      </c>
      <c r="BL17" s="61">
        <v>22066.400000000001</v>
      </c>
      <c r="BM17" s="61">
        <v>4397.5</v>
      </c>
      <c r="BN17" s="61">
        <v>11783.4</v>
      </c>
      <c r="BO17" s="61">
        <v>23059.8</v>
      </c>
      <c r="BQ17" s="316">
        <v>1991</v>
      </c>
      <c r="BR17" s="46">
        <f t="shared" si="21"/>
        <v>29358.195847327555</v>
      </c>
      <c r="BS17" s="46">
        <f t="shared" si="3"/>
        <v>1157.1618414539284</v>
      </c>
      <c r="BT17" s="46">
        <f t="shared" si="3"/>
        <v>27459.317791077261</v>
      </c>
      <c r="BU17" s="46">
        <f t="shared" si="3"/>
        <v>4124.420438572989</v>
      </c>
      <c r="BV17" s="46">
        <f t="shared" si="3"/>
        <v>11940.558141136687</v>
      </c>
      <c r="BW17" s="46">
        <f t="shared" si="3"/>
        <v>21587.662163344816</v>
      </c>
      <c r="BY17" s="316">
        <v>1991</v>
      </c>
      <c r="BZ17" s="46">
        <f t="shared" si="4"/>
        <v>31646.419041661029</v>
      </c>
      <c r="CA17" s="46">
        <f t="shared" si="4"/>
        <v>1280.2125724537673</v>
      </c>
      <c r="CB17" s="46">
        <f t="shared" si="4"/>
        <v>28626.700725479055</v>
      </c>
      <c r="CC17" s="46">
        <f t="shared" si="4"/>
        <v>5138.4826278659611</v>
      </c>
      <c r="CD17" s="46">
        <f t="shared" si="4"/>
        <v>12476.80984954353</v>
      </c>
      <c r="CE17" s="46">
        <f t="shared" si="4"/>
        <v>24287.652191784528</v>
      </c>
      <c r="CG17" s="316">
        <v>1991</v>
      </c>
      <c r="CH17" s="48">
        <f t="shared" si="5"/>
        <v>0.92769408787385599</v>
      </c>
      <c r="CI17" s="48">
        <f t="shared" si="5"/>
        <v>0.90388257884080214</v>
      </c>
      <c r="CJ17" s="48">
        <f t="shared" si="5"/>
        <v>0.95922048630065249</v>
      </c>
      <c r="CK17" s="48">
        <f t="shared" si="5"/>
        <v>0.80265337790698776</v>
      </c>
      <c r="CL17" s="48">
        <f t="shared" si="5"/>
        <v>0.95702012654889812</v>
      </c>
      <c r="CM17" s="48">
        <f t="shared" si="5"/>
        <v>0.88883281071716747</v>
      </c>
      <c r="CO17" s="316">
        <v>1991</v>
      </c>
      <c r="CP17" s="88" t="e">
        <f>#REF!</f>
        <v>#REF!</v>
      </c>
      <c r="CS17" s="316">
        <v>1991</v>
      </c>
      <c r="CT17" s="308">
        <f t="shared" si="40"/>
        <v>3.0174159930517197E-2</v>
      </c>
      <c r="CU17" s="308">
        <f t="shared" si="22"/>
        <v>3.5081973674824463E-2</v>
      </c>
      <c r="CV17" s="308">
        <f t="shared" si="22"/>
        <v>3.7035543937674831E-2</v>
      </c>
      <c r="CW17" s="308">
        <f t="shared" si="22"/>
        <v>3.7467702804925951E-2</v>
      </c>
      <c r="CX17" s="308">
        <f t="shared" si="22"/>
        <v>3.1847000332328346E-2</v>
      </c>
      <c r="CY17" s="308">
        <f t="shared" si="22"/>
        <v>3.9378747256512803E-2</v>
      </c>
      <c r="DA17" s="316">
        <v>1991</v>
      </c>
      <c r="DB17" s="46">
        <f t="shared" si="23"/>
        <v>20025.237826644043</v>
      </c>
      <c r="DC17" s="46">
        <f t="shared" si="24"/>
        <v>900.00789193620039</v>
      </c>
      <c r="DD17" s="46">
        <f t="shared" si="25"/>
        <v>17318.155470090631</v>
      </c>
      <c r="DE17" s="46">
        <f t="shared" si="26"/>
        <v>3906.418159013404</v>
      </c>
      <c r="DF17" s="46">
        <f t="shared" si="27"/>
        <v>4448.1038951247501</v>
      </c>
      <c r="DG17" s="46">
        <f t="shared" si="28"/>
        <v>8835.1725813985722</v>
      </c>
      <c r="DI17" s="316">
        <v>1991</v>
      </c>
      <c r="DJ17" s="88">
        <f t="shared" si="29"/>
        <v>6.0102156575655895E-2</v>
      </c>
      <c r="DK17" s="88">
        <f t="shared" si="30"/>
        <v>5.2847891060700029E-2</v>
      </c>
      <c r="DL17" s="88">
        <f t="shared" si="31"/>
        <v>9.1551892275867741E-2</v>
      </c>
      <c r="DM17" s="88">
        <f t="shared" si="32"/>
        <v>9.3920848188273898E-2</v>
      </c>
      <c r="DN17" s="88">
        <f t="shared" si="33"/>
        <v>3.2588949708049986E-2</v>
      </c>
      <c r="DO17" s="88">
        <f t="shared" si="34"/>
        <v>2.2145642052592202E-2</v>
      </c>
      <c r="DQ17" s="316">
        <v>1991</v>
      </c>
      <c r="DR17" s="61">
        <v>491418.9</v>
      </c>
      <c r="DS17" s="43"/>
      <c r="DT17" s="61">
        <v>439813.6</v>
      </c>
      <c r="DU17" s="43"/>
      <c r="DV17" s="89">
        <v>2.4</v>
      </c>
      <c r="DW17" s="46">
        <f t="shared" si="6"/>
        <v>479901.26953125</v>
      </c>
      <c r="DX17" s="43"/>
      <c r="DY17" s="46">
        <f t="shared" si="7"/>
        <v>429505.46874999994</v>
      </c>
      <c r="DZ17" s="43"/>
      <c r="EB17" s="316">
        <v>1991</v>
      </c>
      <c r="EC17" s="88">
        <f t="shared" si="8"/>
        <v>5.9741690535971559E-2</v>
      </c>
      <c r="ED17" s="88">
        <f t="shared" si="9"/>
        <v>2.3547361354110076E-3</v>
      </c>
      <c r="EE17" s="88">
        <f t="shared" si="10"/>
        <v>5.5877618445438829E-2</v>
      </c>
      <c r="EF17" s="88">
        <f t="shared" si="11"/>
        <v>8.3928811825776106E-3</v>
      </c>
      <c r="EG17" s="88">
        <f t="shared" si="12"/>
        <v>2.4298125572982006E-2</v>
      </c>
      <c r="EH17" s="88">
        <f t="shared" si="13"/>
        <v>4.3929246846925944E-2</v>
      </c>
      <c r="EI17" s="140"/>
      <c r="EJ17" s="316">
        <v>1991</v>
      </c>
      <c r="EK17" s="88">
        <f t="shared" si="14"/>
        <v>0.67358899205969491</v>
      </c>
      <c r="EL17" s="88">
        <f t="shared" si="15"/>
        <v>3.3446832598986384E-2</v>
      </c>
      <c r="EM17" s="88">
        <f t="shared" si="16"/>
        <v>0.40666704479593196</v>
      </c>
      <c r="EN17" s="88">
        <f t="shared" si="17"/>
        <v>8.3788978191063179E-2</v>
      </c>
      <c r="EO17" s="88">
        <f t="shared" si="18"/>
        <v>0.29190653990845306</v>
      </c>
      <c r="EP17" s="88">
        <f t="shared" si="19"/>
        <v>0.78544276849799732</v>
      </c>
      <c r="ER17" s="316">
        <v>1991</v>
      </c>
      <c r="ES17" s="317">
        <f t="shared" si="35"/>
        <v>124043</v>
      </c>
      <c r="ET17" s="61">
        <v>21904</v>
      </c>
      <c r="EU17" s="61">
        <v>86557</v>
      </c>
      <c r="EV17" s="61">
        <v>15582</v>
      </c>
      <c r="EW17" s="88">
        <f t="shared" si="36"/>
        <v>0.17658392654160252</v>
      </c>
      <c r="EX17" s="88">
        <f t="shared" si="36"/>
        <v>0.69779834412260267</v>
      </c>
      <c r="EY17" s="88">
        <f t="shared" si="36"/>
        <v>0.12561772933579485</v>
      </c>
      <c r="EZ17" s="88">
        <f t="shared" si="41"/>
        <v>-5.7931889488029575E-3</v>
      </c>
      <c r="FA17" s="88">
        <f t="shared" si="37"/>
        <v>9.4043388735043365E-4</v>
      </c>
      <c r="FB17" s="88">
        <f t="shared" si="37"/>
        <v>4.8527550614525516E-3</v>
      </c>
      <c r="FD17" s="316">
        <v>1991</v>
      </c>
      <c r="FE17" s="159">
        <v>6.3770000000000021E-2</v>
      </c>
      <c r="FF17" s="43"/>
      <c r="FG17" s="159">
        <v>3.3000000000000002E-2</v>
      </c>
      <c r="FH17" s="55"/>
      <c r="FI17" s="319">
        <f t="shared" si="45"/>
        <v>3.077000000000002E-2</v>
      </c>
      <c r="FK17" s="345">
        <f t="shared" si="42"/>
        <v>-2.1067809883956734E-4</v>
      </c>
      <c r="FL17" s="345">
        <f t="shared" si="43"/>
        <v>7.5378094795308659E-4</v>
      </c>
      <c r="FM17" s="345">
        <f t="shared" si="44"/>
        <v>2.2201176048118922E-3</v>
      </c>
      <c r="FO17" s="316">
        <v>1991</v>
      </c>
      <c r="FP17" s="61">
        <v>266617.62469571969</v>
      </c>
      <c r="FQ17" s="61">
        <v>12650.259388392455</v>
      </c>
      <c r="FR17" s="61">
        <v>250607.73863147068</v>
      </c>
      <c r="FS17" s="61">
        <v>46835.513427197802</v>
      </c>
      <c r="FT17" s="61">
        <v>96262.083044016399</v>
      </c>
      <c r="FU17" s="61">
        <v>257100.85993504935</v>
      </c>
      <c r="FV17" s="285">
        <f t="shared" si="38"/>
        <v>930074.07912184636</v>
      </c>
    </row>
    <row r="18" spans="1:178">
      <c r="A18" s="316">
        <v>1992</v>
      </c>
      <c r="B18" s="61">
        <v>295838.5</v>
      </c>
      <c r="C18" s="61">
        <v>17709.900000000001</v>
      </c>
      <c r="D18" s="61">
        <v>179126</v>
      </c>
      <c r="E18" s="61">
        <v>38823.5</v>
      </c>
      <c r="F18" s="61">
        <v>148370.4</v>
      </c>
      <c r="G18" s="61">
        <v>379254.6</v>
      </c>
      <c r="I18" s="316">
        <v>1992</v>
      </c>
      <c r="J18" s="61">
        <v>298293.59999999998</v>
      </c>
      <c r="K18" s="61">
        <v>18116.900000000001</v>
      </c>
      <c r="L18" s="61">
        <v>177148.79999999999</v>
      </c>
      <c r="M18" s="61">
        <v>39202.800000000003</v>
      </c>
      <c r="N18" s="61">
        <v>148629.9</v>
      </c>
      <c r="O18" s="61">
        <v>393822.9</v>
      </c>
      <c r="Q18" s="316">
        <v>1992</v>
      </c>
      <c r="R18" s="46">
        <f t="shared" si="0"/>
        <v>335447.07214560808</v>
      </c>
      <c r="S18" s="46">
        <f t="shared" si="0"/>
        <v>16512.619639712568</v>
      </c>
      <c r="T18" s="46">
        <f t="shared" si="0"/>
        <v>202870.83524314302</v>
      </c>
      <c r="U18" s="46">
        <f t="shared" si="0"/>
        <v>42174.833612310948</v>
      </c>
      <c r="V18" s="46">
        <f t="shared" si="0"/>
        <v>147019.09756608357</v>
      </c>
      <c r="W18" s="46">
        <f t="shared" si="0"/>
        <v>394441.19824881444</v>
      </c>
      <c r="Y18" s="316">
        <v>1992</v>
      </c>
      <c r="Z18" s="46">
        <f t="shared" si="1"/>
        <v>354182.31408543466</v>
      </c>
      <c r="AA18" s="46">
        <f t="shared" si="1"/>
        <v>17835.655557919981</v>
      </c>
      <c r="AB18" s="46">
        <f t="shared" si="1"/>
        <v>208396.55272995154</v>
      </c>
      <c r="AC18" s="46">
        <f t="shared" si="1"/>
        <v>44930.583218170294</v>
      </c>
      <c r="AD18" s="46">
        <f t="shared" si="1"/>
        <v>151957.33590580124</v>
      </c>
      <c r="AE18" s="46">
        <f t="shared" si="1"/>
        <v>433032.83444835339</v>
      </c>
      <c r="AG18" s="316">
        <v>1992</v>
      </c>
      <c r="AH18" s="48">
        <f t="shared" si="2"/>
        <v>0.94710283039342469</v>
      </c>
      <c r="AI18" s="48">
        <f t="shared" si="2"/>
        <v>0.92582072949822614</v>
      </c>
      <c r="AJ18" s="48">
        <f t="shared" si="2"/>
        <v>0.9734846022430661</v>
      </c>
      <c r="AK18" s="48">
        <f t="shared" si="2"/>
        <v>0.93866650712103605</v>
      </c>
      <c r="AL18" s="48">
        <f t="shared" si="2"/>
        <v>0.96750246830611131</v>
      </c>
      <c r="AM18" s="48">
        <f t="shared" si="2"/>
        <v>0.91088057733843353</v>
      </c>
      <c r="AO18" s="316">
        <v>1992</v>
      </c>
      <c r="AP18" s="88" t="e">
        <f>#REF!</f>
        <v>#REF!</v>
      </c>
      <c r="AS18" s="316">
        <v>1992</v>
      </c>
      <c r="AT18" s="308">
        <f t="shared" si="39"/>
        <v>1.0246627429630006E-2</v>
      </c>
      <c r="AU18" s="308">
        <f t="shared" si="20"/>
        <v>4.2175411908860205E-3</v>
      </c>
      <c r="AV18" s="308">
        <f t="shared" si="20"/>
        <v>-2.4940722930355541E-5</v>
      </c>
      <c r="AW18" s="308">
        <f t="shared" si="20"/>
        <v>-3.0588920010976572E-4</v>
      </c>
      <c r="AX18" s="308">
        <f t="shared" si="20"/>
        <v>-1.877283787393047E-3</v>
      </c>
      <c r="AY18" s="308">
        <f t="shared" si="20"/>
        <v>1.4409019674146428E-3</v>
      </c>
      <c r="BA18" s="316">
        <v>1992</v>
      </c>
      <c r="BB18" s="61">
        <v>24523</v>
      </c>
      <c r="BC18" s="61">
        <v>1238.4000000000001</v>
      </c>
      <c r="BD18" s="61">
        <v>20091.2</v>
      </c>
      <c r="BE18" s="61">
        <v>4658.8</v>
      </c>
      <c r="BF18" s="61">
        <v>11203.4</v>
      </c>
      <c r="BG18" s="61">
        <v>25372.3</v>
      </c>
      <c r="BI18" s="316">
        <v>1992</v>
      </c>
      <c r="BJ18" s="61">
        <v>25011.4</v>
      </c>
      <c r="BK18" s="61">
        <v>1279.0999999999999</v>
      </c>
      <c r="BL18" s="61">
        <v>19895.599999999999</v>
      </c>
      <c r="BM18" s="61">
        <v>5372.6</v>
      </c>
      <c r="BN18" s="61">
        <v>11216.6</v>
      </c>
      <c r="BO18" s="61">
        <v>26470</v>
      </c>
      <c r="BQ18" s="316">
        <v>1992</v>
      </c>
      <c r="BR18" s="46">
        <f t="shared" si="21"/>
        <v>28090.388405840607</v>
      </c>
      <c r="BS18" s="46">
        <f t="shared" si="3"/>
        <v>1228.5915847535537</v>
      </c>
      <c r="BT18" s="46">
        <f t="shared" si="3"/>
        <v>25090.647383519638</v>
      </c>
      <c r="BU18" s="46">
        <f t="shared" si="3"/>
        <v>5105.8512314255677</v>
      </c>
      <c r="BV18" s="46">
        <f t="shared" si="3"/>
        <v>11485.875990899793</v>
      </c>
      <c r="BW18" s="46">
        <f t="shared" si="3"/>
        <v>25149.624437849361</v>
      </c>
      <c r="BY18" s="316">
        <v>1992</v>
      </c>
      <c r="BZ18" s="46">
        <f t="shared" si="4"/>
        <v>29821.349675368594</v>
      </c>
      <c r="CA18" s="46">
        <f t="shared" si="4"/>
        <v>1342.1194176097154</v>
      </c>
      <c r="CB18" s="46">
        <f t="shared" si="4"/>
        <v>25810.525819972492</v>
      </c>
      <c r="CC18" s="46">
        <f t="shared" si="4"/>
        <v>6277.8878377425044</v>
      </c>
      <c r="CD18" s="46">
        <f t="shared" si="4"/>
        <v>11876.655749477228</v>
      </c>
      <c r="CE18" s="46">
        <f t="shared" si="4"/>
        <v>27879.433191811568</v>
      </c>
      <c r="CG18" s="316">
        <v>1992</v>
      </c>
      <c r="CH18" s="48">
        <f t="shared" si="5"/>
        <v>0.94195563620121125</v>
      </c>
      <c r="CI18" s="48">
        <f t="shared" si="5"/>
        <v>0.91541152645093815</v>
      </c>
      <c r="CJ18" s="48">
        <f t="shared" si="5"/>
        <v>0.97210911387571175</v>
      </c>
      <c r="CK18" s="48">
        <f t="shared" si="5"/>
        <v>0.81330717645659711</v>
      </c>
      <c r="CL18" s="48">
        <f t="shared" si="5"/>
        <v>0.9670968185977239</v>
      </c>
      <c r="CM18" s="48">
        <f t="shared" si="5"/>
        <v>0.90208521331186975</v>
      </c>
      <c r="CO18" s="316">
        <v>1992</v>
      </c>
      <c r="CP18" s="88" t="e">
        <f>#REF!</f>
        <v>#REF!</v>
      </c>
      <c r="CS18" s="316">
        <v>1992</v>
      </c>
      <c r="CT18" s="308">
        <f t="shared" si="40"/>
        <v>1.5373115463138021E-2</v>
      </c>
      <c r="CU18" s="308">
        <f t="shared" si="22"/>
        <v>1.2754917375353614E-2</v>
      </c>
      <c r="CV18" s="308">
        <f t="shared" si="22"/>
        <v>1.3436564125903772E-2</v>
      </c>
      <c r="CW18" s="308">
        <f t="shared" si="22"/>
        <v>1.3273224585923282E-2</v>
      </c>
      <c r="CX18" s="308">
        <f t="shared" si="22"/>
        <v>1.052923733711153E-2</v>
      </c>
      <c r="CY18" s="308">
        <f t="shared" si="22"/>
        <v>1.490989355355743E-2</v>
      </c>
      <c r="DA18" s="316">
        <v>1992</v>
      </c>
      <c r="DB18" s="46">
        <f t="shared" si="23"/>
        <v>20446.893749504601</v>
      </c>
      <c r="DC18" s="46">
        <f t="shared" si="24"/>
        <v>916.82573044350943</v>
      </c>
      <c r="DD18" s="46">
        <f t="shared" si="25"/>
        <v>17884.697734415196</v>
      </c>
      <c r="DE18" s="46">
        <f t="shared" si="26"/>
        <v>4172.0317865148809</v>
      </c>
      <c r="DF18" s="46">
        <f t="shared" si="27"/>
        <v>4439.1964241305686</v>
      </c>
      <c r="DG18" s="46">
        <f t="shared" si="28"/>
        <v>9256.6954062878103</v>
      </c>
      <c r="DI18" s="316">
        <v>1992</v>
      </c>
      <c r="DJ18" s="88">
        <f t="shared" si="29"/>
        <v>5.929938447064672E-2</v>
      </c>
      <c r="DK18" s="88">
        <f t="shared" si="30"/>
        <v>5.2659774521034458E-2</v>
      </c>
      <c r="DL18" s="88">
        <f t="shared" si="31"/>
        <v>8.9213513674577846E-2</v>
      </c>
      <c r="DM18" s="88">
        <f t="shared" si="32"/>
        <v>9.7421094365672034E-2</v>
      </c>
      <c r="DN18" s="88">
        <f t="shared" si="33"/>
        <v>3.0716857287511289E-2</v>
      </c>
      <c r="DO18" s="88">
        <f t="shared" si="34"/>
        <v>2.2337041208286966E-2</v>
      </c>
      <c r="DQ18" s="316">
        <v>1992</v>
      </c>
      <c r="DR18" s="61">
        <v>504161.2</v>
      </c>
      <c r="DS18" s="43"/>
      <c r="DT18" s="61">
        <v>443774.5</v>
      </c>
      <c r="DU18" s="43"/>
      <c r="DV18" s="89">
        <v>0.8</v>
      </c>
      <c r="DW18" s="46">
        <f t="shared" si="6"/>
        <v>500159.92063492065</v>
      </c>
      <c r="DX18" s="43"/>
      <c r="DY18" s="46">
        <f t="shared" si="7"/>
        <v>440252.48015873018</v>
      </c>
      <c r="DZ18" s="43"/>
      <c r="EB18" s="316">
        <v>1992</v>
      </c>
      <c r="EC18" s="88">
        <f t="shared" si="8"/>
        <v>5.5717077009973408E-2</v>
      </c>
      <c r="ED18" s="88">
        <f t="shared" si="9"/>
        <v>2.436902293856714E-3</v>
      </c>
      <c r="EE18" s="88">
        <f t="shared" si="10"/>
        <v>4.9767112946255361E-2</v>
      </c>
      <c r="EF18" s="88">
        <f t="shared" si="11"/>
        <v>1.0127418038963665E-2</v>
      </c>
      <c r="EG18" s="88">
        <f t="shared" si="12"/>
        <v>2.2782149818152988E-2</v>
      </c>
      <c r="EH18" s="88">
        <f t="shared" si="13"/>
        <v>4.9884093495987714E-2</v>
      </c>
      <c r="EI18" s="140"/>
      <c r="EJ18" s="316">
        <v>1992</v>
      </c>
      <c r="EK18" s="88">
        <f t="shared" si="14"/>
        <v>0.67067963326565583</v>
      </c>
      <c r="EL18" s="88">
        <f t="shared" si="15"/>
        <v>3.3014679822307366E-2</v>
      </c>
      <c r="EM18" s="88">
        <f t="shared" si="16"/>
        <v>0.40561193904863796</v>
      </c>
      <c r="EN18" s="88">
        <f t="shared" si="17"/>
        <v>8.4322697346026293E-2</v>
      </c>
      <c r="EO18" s="88">
        <f t="shared" si="18"/>
        <v>0.29394417965248465</v>
      </c>
      <c r="EP18" s="88">
        <f t="shared" si="19"/>
        <v>0.7886301600258111</v>
      </c>
      <c r="ER18" s="316">
        <v>1992</v>
      </c>
      <c r="ES18" s="317">
        <f t="shared" si="35"/>
        <v>124451</v>
      </c>
      <c r="ET18" s="61">
        <v>21364</v>
      </c>
      <c r="EU18" s="61">
        <v>86845</v>
      </c>
      <c r="EV18" s="61">
        <v>16242</v>
      </c>
      <c r="EW18" s="88">
        <f t="shared" si="36"/>
        <v>0.17166595688262851</v>
      </c>
      <c r="EX18" s="88">
        <f t="shared" si="36"/>
        <v>0.69782484672682421</v>
      </c>
      <c r="EY18" s="88">
        <f t="shared" si="36"/>
        <v>0.13050919639054728</v>
      </c>
      <c r="EZ18" s="88">
        <f t="shared" si="41"/>
        <v>-4.9179696589740085E-3</v>
      </c>
      <c r="FA18" s="88">
        <f t="shared" si="37"/>
        <v>2.6502604221545489E-5</v>
      </c>
      <c r="FB18" s="88">
        <f t="shared" si="37"/>
        <v>4.8914670547524353E-3</v>
      </c>
      <c r="FD18" s="316">
        <v>1992</v>
      </c>
      <c r="FE18" s="159">
        <v>5.3482348178137684E-2</v>
      </c>
      <c r="FF18" s="43"/>
      <c r="FG18" s="159">
        <v>2.5000000000000001E-2</v>
      </c>
      <c r="FH18" s="55"/>
      <c r="FI18" s="319">
        <f t="shared" si="45"/>
        <v>2.8482348178137683E-2</v>
      </c>
      <c r="FK18" s="345">
        <f t="shared" si="42"/>
        <v>-1.6030362036102308E-2</v>
      </c>
      <c r="FL18" s="345">
        <f t="shared" si="43"/>
        <v>1.1441461854123036E-2</v>
      </c>
      <c r="FM18" s="345">
        <f t="shared" si="44"/>
        <v>2.8615026672179772E-3</v>
      </c>
      <c r="FO18" s="316">
        <v>1992</v>
      </c>
      <c r="FP18" s="61">
        <v>249693.19601185148</v>
      </c>
      <c r="FQ18" s="61">
        <v>14400.42202977142</v>
      </c>
      <c r="FR18" s="61">
        <v>231691.50632899883</v>
      </c>
      <c r="FS18" s="61">
        <v>55326.119467974335</v>
      </c>
      <c r="FT18" s="61">
        <v>100604.31713659353</v>
      </c>
      <c r="FU18" s="61">
        <v>284527.81732235401</v>
      </c>
      <c r="FV18" s="285">
        <f t="shared" si="38"/>
        <v>936243.37829754362</v>
      </c>
    </row>
    <row r="19" spans="1:178">
      <c r="A19" s="316">
        <v>1993</v>
      </c>
      <c r="B19" s="61">
        <v>307163.5</v>
      </c>
      <c r="C19" s="61">
        <v>18384.2</v>
      </c>
      <c r="D19" s="61">
        <v>179014.8</v>
      </c>
      <c r="E19" s="61">
        <v>40578.300000000003</v>
      </c>
      <c r="F19" s="61">
        <v>161304.20000000001</v>
      </c>
      <c r="G19" s="61">
        <v>387212.1</v>
      </c>
      <c r="I19" s="316">
        <v>1993</v>
      </c>
      <c r="J19" s="61">
        <v>305995.59999999998</v>
      </c>
      <c r="K19" s="61">
        <v>18701.599999999999</v>
      </c>
      <c r="L19" s="61">
        <v>178080.7</v>
      </c>
      <c r="M19" s="61">
        <v>41237.699999999997</v>
      </c>
      <c r="N19" s="61">
        <v>164049.70000000001</v>
      </c>
      <c r="O19" s="61">
        <v>403440</v>
      </c>
      <c r="Q19" s="316">
        <v>1993</v>
      </c>
      <c r="R19" s="46">
        <f t="shared" si="0"/>
        <v>348288.32875030633</v>
      </c>
      <c r="S19" s="46">
        <f t="shared" si="0"/>
        <v>17141.333490330482</v>
      </c>
      <c r="T19" s="46">
        <f t="shared" si="0"/>
        <v>202744.89463776446</v>
      </c>
      <c r="U19" s="46">
        <f t="shared" si="0"/>
        <v>44081.111975232459</v>
      </c>
      <c r="V19" s="46">
        <f t="shared" si="0"/>
        <v>159835.10132492101</v>
      </c>
      <c r="W19" s="46">
        <f t="shared" si="0"/>
        <v>402717.34265171667</v>
      </c>
      <c r="Y19" s="316">
        <v>1993</v>
      </c>
      <c r="Z19" s="46">
        <f t="shared" si="1"/>
        <v>363327.37178391038</v>
      </c>
      <c r="AA19" s="46">
        <f t="shared" si="1"/>
        <v>18411.278749785906</v>
      </c>
      <c r="AB19" s="46">
        <f t="shared" si="1"/>
        <v>209492.83307443623</v>
      </c>
      <c r="AC19" s="46">
        <f t="shared" si="1"/>
        <v>47262.795299721976</v>
      </c>
      <c r="AD19" s="46">
        <f t="shared" si="1"/>
        <v>167722.34502038907</v>
      </c>
      <c r="AE19" s="46">
        <f t="shared" si="1"/>
        <v>443607.43554994813</v>
      </c>
      <c r="AG19" s="316">
        <v>1993</v>
      </c>
      <c r="AH19" s="48">
        <f t="shared" si="2"/>
        <v>0.95860745927353763</v>
      </c>
      <c r="AI19" s="48">
        <f t="shared" si="2"/>
        <v>0.93102351679563855</v>
      </c>
      <c r="AJ19" s="48">
        <f t="shared" si="2"/>
        <v>0.96778916807013571</v>
      </c>
      <c r="AK19" s="48">
        <f t="shared" si="2"/>
        <v>0.93268101676355497</v>
      </c>
      <c r="AL19" s="48">
        <f t="shared" si="2"/>
        <v>0.95297440126711053</v>
      </c>
      <c r="AM19" s="48">
        <f t="shared" si="2"/>
        <v>0.90782369811376296</v>
      </c>
      <c r="AO19" s="316">
        <v>1993</v>
      </c>
      <c r="AP19" s="88" t="e">
        <f>#REF!</f>
        <v>#REF!</v>
      </c>
      <c r="AS19" s="316">
        <v>1993</v>
      </c>
      <c r="AT19" s="308">
        <f t="shared" si="39"/>
        <v>1.2147180338732522E-2</v>
      </c>
      <c r="AU19" s="308">
        <f t="shared" si="20"/>
        <v>5.6196487415356433E-3</v>
      </c>
      <c r="AV19" s="308">
        <f t="shared" si="20"/>
        <v>-5.850564210062692E-3</v>
      </c>
      <c r="AW19" s="308">
        <f t="shared" si="20"/>
        <v>-6.3765888226257061E-3</v>
      </c>
      <c r="AX19" s="308">
        <f t="shared" si="20"/>
        <v>-1.5016051653528373E-2</v>
      </c>
      <c r="AY19" s="308">
        <f t="shared" si="20"/>
        <v>-3.3559604856244762E-3</v>
      </c>
      <c r="BA19" s="316">
        <v>1993</v>
      </c>
      <c r="BB19" s="61">
        <v>25036.9</v>
      </c>
      <c r="BC19" s="61">
        <v>1411.3</v>
      </c>
      <c r="BD19" s="61">
        <v>14379.8</v>
      </c>
      <c r="BE19" s="61">
        <v>5297.6</v>
      </c>
      <c r="BF19" s="61">
        <v>11178.2</v>
      </c>
      <c r="BG19" s="61">
        <v>26978</v>
      </c>
      <c r="BI19" s="316">
        <v>1993</v>
      </c>
      <c r="BJ19" s="61">
        <v>25127</v>
      </c>
      <c r="BK19" s="61">
        <v>1447</v>
      </c>
      <c r="BL19" s="61">
        <v>14290.6</v>
      </c>
      <c r="BM19" s="61">
        <v>6132.3</v>
      </c>
      <c r="BN19" s="61">
        <v>11316.7</v>
      </c>
      <c r="BO19" s="61">
        <v>28140.9</v>
      </c>
      <c r="BQ19" s="316">
        <v>1993</v>
      </c>
      <c r="BR19" s="46">
        <f>BB19/BB$20*BR$20</f>
        <v>28679.046017134558</v>
      </c>
      <c r="BS19" s="46">
        <f t="shared" si="3"/>
        <v>1400.1221766494593</v>
      </c>
      <c r="BT19" s="46">
        <f t="shared" si="3"/>
        <v>17958.035918488476</v>
      </c>
      <c r="BU19" s="46">
        <f t="shared" si="3"/>
        <v>5805.9494899115853</v>
      </c>
      <c r="BV19" s="46">
        <f t="shared" si="3"/>
        <v>11460.040612802903</v>
      </c>
      <c r="BW19" s="46">
        <f t="shared" si="3"/>
        <v>26741.232292078374</v>
      </c>
      <c r="BY19" s="316">
        <v>1993</v>
      </c>
      <c r="BZ19" s="46">
        <f>BJ19/BJ$20*BZ$20</f>
        <v>29959.180745299607</v>
      </c>
      <c r="CA19" s="46">
        <f t="shared" si="4"/>
        <v>1518.2916091636764</v>
      </c>
      <c r="CB19" s="46">
        <f t="shared" si="4"/>
        <v>18539.169478824413</v>
      </c>
      <c r="CC19" s="46">
        <f t="shared" si="4"/>
        <v>7165.5979576719574</v>
      </c>
      <c r="CD19" s="46">
        <f t="shared" si="4"/>
        <v>11982.646267149486</v>
      </c>
      <c r="CE19" s="46">
        <f t="shared" si="4"/>
        <v>29639.302663673981</v>
      </c>
      <c r="CG19" s="316">
        <v>1993</v>
      </c>
      <c r="CH19" s="48">
        <f t="shared" si="5"/>
        <v>0.95727070312608953</v>
      </c>
      <c r="CI19" s="48">
        <f t="shared" si="5"/>
        <v>0.92216947534913363</v>
      </c>
      <c r="CJ19" s="48">
        <f t="shared" si="5"/>
        <v>0.96865374357790346</v>
      </c>
      <c r="CK19" s="48">
        <f t="shared" si="5"/>
        <v>0.81025331370920084</v>
      </c>
      <c r="CL19" s="48">
        <f t="shared" si="5"/>
        <v>0.95638645732376237</v>
      </c>
      <c r="CM19" s="48">
        <f t="shared" si="5"/>
        <v>0.90222204602851563</v>
      </c>
      <c r="CO19" s="316">
        <v>1993</v>
      </c>
      <c r="CP19" s="88" t="e">
        <f>#REF!</f>
        <v>#REF!</v>
      </c>
      <c r="CS19" s="316">
        <v>1993</v>
      </c>
      <c r="CT19" s="308">
        <f t="shared" si="40"/>
        <v>1.6258798542404751E-2</v>
      </c>
      <c r="CU19" s="308">
        <f t="shared" si="22"/>
        <v>7.3824162171041152E-3</v>
      </c>
      <c r="CV19" s="308">
        <f t="shared" si="22"/>
        <v>-3.5545086950496962E-3</v>
      </c>
      <c r="CW19" s="308">
        <f t="shared" si="22"/>
        <v>-3.7548700365602761E-3</v>
      </c>
      <c r="CX19" s="308">
        <f t="shared" si="22"/>
        <v>-1.1074755978921935E-2</v>
      </c>
      <c r="CY19" s="308">
        <f t="shared" si="22"/>
        <v>1.5168491249673011E-4</v>
      </c>
      <c r="DA19" s="316">
        <v>1993</v>
      </c>
      <c r="DB19" s="46">
        <f t="shared" si="23"/>
        <v>20814.123046823886</v>
      </c>
      <c r="DC19" s="46">
        <f t="shared" si="24"/>
        <v>942.66841729775138</v>
      </c>
      <c r="DD19" s="46">
        <f t="shared" si="25"/>
        <v>17442.889134339719</v>
      </c>
      <c r="DE19" s="46">
        <f t="shared" si="26"/>
        <v>4833.3858761202746</v>
      </c>
      <c r="DF19" s="46">
        <f t="shared" si="27"/>
        <v>-3782.3628474383386</v>
      </c>
      <c r="DG19" s="46">
        <f t="shared" si="28"/>
        <v>19064.701562079237</v>
      </c>
      <c r="DI19" s="316">
        <v>1993</v>
      </c>
      <c r="DJ19" s="88">
        <f t="shared" si="29"/>
        <v>5.8766692234675427E-2</v>
      </c>
      <c r="DK19" s="88">
        <f t="shared" si="30"/>
        <v>5.2853028824003973E-2</v>
      </c>
      <c r="DL19" s="88">
        <f t="shared" si="31"/>
        <v>8.3700468677823575E-2</v>
      </c>
      <c r="DM19" s="88">
        <f t="shared" si="32"/>
        <v>0.1075745189562911</v>
      </c>
      <c r="DN19" s="88">
        <f t="shared" si="33"/>
        <v>-2.489095261437747E-2</v>
      </c>
      <c r="DO19" s="88">
        <f t="shared" si="34"/>
        <v>4.4025995364453202E-2</v>
      </c>
      <c r="DQ19" s="316">
        <v>1993</v>
      </c>
      <c r="DR19" s="61">
        <v>504497.8</v>
      </c>
      <c r="DS19" s="43"/>
      <c r="DT19" s="61">
        <v>441736.6</v>
      </c>
      <c r="DU19" s="43"/>
      <c r="DV19" s="89">
        <v>-1.7</v>
      </c>
      <c r="DW19" s="46">
        <f t="shared" si="6"/>
        <v>513222.58392675483</v>
      </c>
      <c r="DX19" s="43"/>
      <c r="DY19" s="46">
        <f t="shared" si="7"/>
        <v>449375.99186164798</v>
      </c>
      <c r="DZ19" s="43"/>
      <c r="EB19" s="316">
        <v>1993</v>
      </c>
      <c r="EC19" s="88">
        <f t="shared" si="8"/>
        <v>5.6846721664860697E-2</v>
      </c>
      <c r="ED19" s="88">
        <f t="shared" si="9"/>
        <v>2.7752790530493083E-3</v>
      </c>
      <c r="EE19" s="88">
        <f t="shared" si="10"/>
        <v>3.5595865667775908E-2</v>
      </c>
      <c r="EF19" s="88">
        <f t="shared" si="11"/>
        <v>1.1508374248433957E-2</v>
      </c>
      <c r="EG19" s="88">
        <f t="shared" si="12"/>
        <v>2.2715739519187008E-2</v>
      </c>
      <c r="EH19" s="88">
        <f t="shared" si="13"/>
        <v>5.3005646986128335E-2</v>
      </c>
      <c r="EI19" s="140"/>
      <c r="EJ19" s="316">
        <v>1993</v>
      </c>
      <c r="EK19" s="88">
        <f t="shared" si="14"/>
        <v>0.67863016877685323</v>
      </c>
      <c r="EL19" s="88">
        <f t="shared" si="15"/>
        <v>3.3399413874539916E-2</v>
      </c>
      <c r="EM19" s="88">
        <f t="shared" si="16"/>
        <v>0.39504281570489003</v>
      </c>
      <c r="EN19" s="88">
        <f t="shared" si="17"/>
        <v>8.5890826623334152E-2</v>
      </c>
      <c r="EO19" s="88">
        <f t="shared" si="18"/>
        <v>0.31143427107590432</v>
      </c>
      <c r="EP19" s="88">
        <f t="shared" si="19"/>
        <v>0.78468359589801484</v>
      </c>
      <c r="ER19" s="316">
        <v>1993</v>
      </c>
      <c r="ES19" s="317">
        <f t="shared" si="35"/>
        <v>124764</v>
      </c>
      <c r="ET19" s="61">
        <v>20841</v>
      </c>
      <c r="EU19" s="61">
        <v>87023</v>
      </c>
      <c r="EV19" s="61">
        <v>16900</v>
      </c>
      <c r="EW19" s="88">
        <f t="shared" si="36"/>
        <v>0.16704337789747042</v>
      </c>
      <c r="EX19" s="88">
        <f t="shared" si="36"/>
        <v>0.69750088166458268</v>
      </c>
      <c r="EY19" s="88">
        <f t="shared" si="36"/>
        <v>0.13545574043794684</v>
      </c>
      <c r="EZ19" s="88">
        <f t="shared" si="41"/>
        <v>-4.6225789851580823E-3</v>
      </c>
      <c r="FA19" s="88">
        <f t="shared" si="37"/>
        <v>-3.2396506224152688E-4</v>
      </c>
      <c r="FB19" s="88">
        <f t="shared" si="37"/>
        <v>4.9465440473995537E-3</v>
      </c>
      <c r="FD19" s="316">
        <v>1993</v>
      </c>
      <c r="FE19" s="159">
        <v>4.3461382113821161E-2</v>
      </c>
      <c r="FF19" s="43"/>
      <c r="FG19" s="159">
        <v>0.02</v>
      </c>
      <c r="FH19" s="55"/>
      <c r="FI19" s="319">
        <f t="shared" si="45"/>
        <v>2.346138211382116E-2</v>
      </c>
      <c r="FK19" s="345">
        <f t="shared" si="42"/>
        <v>-6.4249686986234122E-3</v>
      </c>
      <c r="FL19" s="345">
        <f t="shared" si="43"/>
        <v>1.4980692302690946E-2</v>
      </c>
      <c r="FM19" s="345">
        <f t="shared" si="44"/>
        <v>3.8238916785514054E-3</v>
      </c>
      <c r="FO19" s="316">
        <v>1993</v>
      </c>
      <c r="FP19" s="61">
        <v>256914.81187267735</v>
      </c>
      <c r="FQ19" s="61">
        <v>16210.053168005768</v>
      </c>
      <c r="FR19" s="61">
        <v>173169.5629921793</v>
      </c>
      <c r="FS19" s="61">
        <v>57791.663358336991</v>
      </c>
      <c r="FT19" s="61">
        <v>100293.00251845777</v>
      </c>
      <c r="FU19" s="61">
        <v>307141.71781202551</v>
      </c>
      <c r="FV19" s="285">
        <f t="shared" si="38"/>
        <v>911520.81172168278</v>
      </c>
    </row>
    <row r="20" spans="1:178">
      <c r="A20" s="316">
        <v>1994</v>
      </c>
      <c r="B20" s="61">
        <v>318334</v>
      </c>
      <c r="C20" s="61">
        <v>19023.7</v>
      </c>
      <c r="D20" s="61">
        <v>177181.7</v>
      </c>
      <c r="E20" s="61">
        <v>42297.3</v>
      </c>
      <c r="F20" s="61">
        <v>166168.4</v>
      </c>
      <c r="G20" s="61">
        <v>410533.3</v>
      </c>
      <c r="I20" s="316">
        <v>1994</v>
      </c>
      <c r="J20" s="61">
        <v>314902.59999999998</v>
      </c>
      <c r="K20" s="61">
        <v>19267.099999999999</v>
      </c>
      <c r="L20" s="61">
        <v>176466.5</v>
      </c>
      <c r="M20" s="61">
        <v>43054.9</v>
      </c>
      <c r="N20" s="61">
        <v>168889.7</v>
      </c>
      <c r="O20" s="61">
        <v>423331.7</v>
      </c>
      <c r="Q20" s="316">
        <v>1994</v>
      </c>
      <c r="R20" s="75">
        <v>360954.4</v>
      </c>
      <c r="S20" s="75">
        <v>17737.599999999999</v>
      </c>
      <c r="T20" s="75">
        <v>200668.79999999999</v>
      </c>
      <c r="U20" s="75">
        <v>45948.5</v>
      </c>
      <c r="V20" s="75">
        <v>164655</v>
      </c>
      <c r="W20" s="75">
        <v>426972.4</v>
      </c>
      <c r="Y20" s="316">
        <v>1994</v>
      </c>
      <c r="Z20" s="75">
        <v>373903.2</v>
      </c>
      <c r="AA20" s="75">
        <v>18968</v>
      </c>
      <c r="AB20" s="75">
        <v>207593.9</v>
      </c>
      <c r="AC20" s="75">
        <v>49345.5</v>
      </c>
      <c r="AD20" s="75">
        <v>172670.7</v>
      </c>
      <c r="AE20" s="75">
        <v>465479.6</v>
      </c>
      <c r="AG20" s="316">
        <v>1994</v>
      </c>
      <c r="AH20" s="48">
        <f t="shared" si="2"/>
        <v>0.96536857667973963</v>
      </c>
      <c r="AI20" s="48">
        <f t="shared" si="2"/>
        <v>0.93513285533530144</v>
      </c>
      <c r="AJ20" s="48">
        <f t="shared" si="2"/>
        <v>0.96664111999437363</v>
      </c>
      <c r="AK20" s="48">
        <f t="shared" si="2"/>
        <v>0.93115886960310468</v>
      </c>
      <c r="AL20" s="48">
        <f t="shared" si="2"/>
        <v>0.95357811139932824</v>
      </c>
      <c r="AM20" s="48">
        <f t="shared" si="2"/>
        <v>0.91727414047790723</v>
      </c>
      <c r="AO20" s="316">
        <v>1994</v>
      </c>
      <c r="AP20" s="88" t="e">
        <f>#REF!</f>
        <v>#REF!</v>
      </c>
      <c r="AS20" s="316">
        <v>1994</v>
      </c>
      <c r="AT20" s="308">
        <f t="shared" si="39"/>
        <v>7.0530615433828103E-3</v>
      </c>
      <c r="AU20" s="308">
        <f t="shared" si="20"/>
        <v>4.4137859737487517E-3</v>
      </c>
      <c r="AV20" s="308">
        <f t="shared" si="20"/>
        <v>-1.1862584472311921E-3</v>
      </c>
      <c r="AW20" s="308">
        <f t="shared" si="20"/>
        <v>-1.632012588539844E-3</v>
      </c>
      <c r="AX20" s="308">
        <f t="shared" si="20"/>
        <v>6.3350089091063211E-4</v>
      </c>
      <c r="AY20" s="308">
        <f t="shared" si="20"/>
        <v>1.0409997429875473E-2</v>
      </c>
      <c r="BA20" s="316">
        <v>1994</v>
      </c>
      <c r="BB20" s="61">
        <v>26647.9</v>
      </c>
      <c r="BC20" s="61">
        <v>1414.1</v>
      </c>
      <c r="BD20" s="61">
        <v>12130.8</v>
      </c>
      <c r="BE20" s="61">
        <v>4852.1000000000004</v>
      </c>
      <c r="BF20" s="61">
        <v>9582.2000000000007</v>
      </c>
      <c r="BG20" s="61">
        <v>28337.599999999999</v>
      </c>
      <c r="BI20" s="316">
        <v>1994</v>
      </c>
      <c r="BJ20" s="61">
        <v>26614.799999999999</v>
      </c>
      <c r="BK20" s="61">
        <v>1449.2</v>
      </c>
      <c r="BL20" s="61">
        <v>12143.7</v>
      </c>
      <c r="BM20" s="61">
        <v>5670</v>
      </c>
      <c r="BN20" s="61">
        <v>9803.5</v>
      </c>
      <c r="BO20" s="61">
        <v>29583.200000000001</v>
      </c>
      <c r="BQ20" s="316">
        <v>1994</v>
      </c>
      <c r="BR20" s="75">
        <v>30524.400000000001</v>
      </c>
      <c r="BS20" s="75">
        <v>1402.9</v>
      </c>
      <c r="BT20" s="75">
        <v>15149.4</v>
      </c>
      <c r="BU20" s="75">
        <v>5317.7</v>
      </c>
      <c r="BV20" s="75">
        <v>9823.7999999999993</v>
      </c>
      <c r="BW20" s="75">
        <v>28088.9</v>
      </c>
      <c r="BY20" s="316">
        <v>1994</v>
      </c>
      <c r="BZ20" s="75">
        <v>31733.1</v>
      </c>
      <c r="CA20" s="75">
        <v>1520.6</v>
      </c>
      <c r="CB20" s="75">
        <v>15754</v>
      </c>
      <c r="CC20" s="75">
        <v>6625.4</v>
      </c>
      <c r="CD20" s="75">
        <v>10380.4</v>
      </c>
      <c r="CE20" s="75">
        <v>31158.400000000001</v>
      </c>
      <c r="CG20" s="316">
        <v>1994</v>
      </c>
      <c r="CH20" s="48">
        <f t="shared" si="5"/>
        <v>0.9619104342153777</v>
      </c>
      <c r="CI20" s="48">
        <f t="shared" si="5"/>
        <v>0.92259634354859932</v>
      </c>
      <c r="CJ20" s="48">
        <f t="shared" si="5"/>
        <v>0.96162244509330963</v>
      </c>
      <c r="CK20" s="48">
        <f t="shared" si="5"/>
        <v>0.80262323784224354</v>
      </c>
      <c r="CL20" s="48">
        <f t="shared" si="5"/>
        <v>0.94637971561789525</v>
      </c>
      <c r="CM20" s="48">
        <f t="shared" si="5"/>
        <v>0.90148723939611786</v>
      </c>
      <c r="CO20" s="316">
        <v>1994</v>
      </c>
      <c r="CP20" s="88" t="e">
        <f>#REF!</f>
        <v>#REF!</v>
      </c>
      <c r="CS20" s="316">
        <v>1994</v>
      </c>
      <c r="CT20" s="308">
        <f t="shared" si="40"/>
        <v>4.8468328489910117E-3</v>
      </c>
      <c r="CU20" s="308">
        <f t="shared" si="22"/>
        <v>4.6289560745238489E-4</v>
      </c>
      <c r="CV20" s="308">
        <f t="shared" si="22"/>
        <v>-7.2588358133242048E-3</v>
      </c>
      <c r="CW20" s="308">
        <f t="shared" si="22"/>
        <v>-9.4169017736294158E-3</v>
      </c>
      <c r="CX20" s="308">
        <f t="shared" si="22"/>
        <v>-1.046307340431063E-2</v>
      </c>
      <c r="CY20" s="308">
        <f t="shared" si="22"/>
        <v>-8.1444100776772999E-4</v>
      </c>
      <c r="DA20" s="316">
        <v>1994</v>
      </c>
      <c r="DB20" s="46">
        <f t="shared" si="23"/>
        <v>21157.271783910364</v>
      </c>
      <c r="DC20" s="46">
        <f t="shared" si="24"/>
        <v>963.87874978590617</v>
      </c>
      <c r="DD20" s="46">
        <f t="shared" si="25"/>
        <v>17652.933074436238</v>
      </c>
      <c r="DE20" s="46">
        <f t="shared" si="26"/>
        <v>4542.695299721976</v>
      </c>
      <c r="DF20" s="46">
        <f t="shared" si="27"/>
        <v>5432.0450203890559</v>
      </c>
      <c r="DG20" s="46">
        <f t="shared" si="28"/>
        <v>9286.2355499481564</v>
      </c>
      <c r="DI20" s="316">
        <v>1994</v>
      </c>
      <c r="DJ20" s="88">
        <f t="shared" si="29"/>
        <v>5.8231978724943657E-2</v>
      </c>
      <c r="DK20" s="88">
        <f t="shared" si="30"/>
        <v>5.2352623784869615E-2</v>
      </c>
      <c r="DL20" s="88">
        <f t="shared" si="31"/>
        <v>8.4265093060075527E-2</v>
      </c>
      <c r="DM20" s="88">
        <f t="shared" si="32"/>
        <v>9.6115671341781561E-2</v>
      </c>
      <c r="DN20" s="88">
        <f t="shared" si="33"/>
        <v>3.238712778389017E-2</v>
      </c>
      <c r="DO20" s="88">
        <f t="shared" si="34"/>
        <v>2.0933453332304591E-2</v>
      </c>
      <c r="DQ20" s="316">
        <v>1994</v>
      </c>
      <c r="DR20" s="61">
        <v>510916.1</v>
      </c>
      <c r="DS20" s="43"/>
      <c r="DT20" s="61">
        <v>446522.3</v>
      </c>
      <c r="DU20" s="43"/>
      <c r="DV20" s="89">
        <v>-2.4</v>
      </c>
      <c r="DW20" s="46">
        <f t="shared" si="6"/>
        <v>523479.61065573769</v>
      </c>
      <c r="DX20" s="43"/>
      <c r="DY20" s="46">
        <f t="shared" si="7"/>
        <v>457502.35655737703</v>
      </c>
      <c r="DZ20" s="43"/>
      <c r="EB20" s="316">
        <v>1994</v>
      </c>
      <c r="EC20" s="88">
        <f t="shared" si="8"/>
        <v>5.974444727813432E-2</v>
      </c>
      <c r="ED20" s="88">
        <f t="shared" si="9"/>
        <v>2.7458520097526778E-3</v>
      </c>
      <c r="EE20" s="88">
        <f t="shared" si="10"/>
        <v>2.9651443749766353E-2</v>
      </c>
      <c r="EF20" s="88">
        <f t="shared" si="11"/>
        <v>1.0408166820344867E-2</v>
      </c>
      <c r="EG20" s="88">
        <f t="shared" si="12"/>
        <v>1.9227814508096339E-2</v>
      </c>
      <c r="EH20" s="88">
        <f t="shared" si="13"/>
        <v>5.4977519792388616E-2</v>
      </c>
      <c r="EI20" s="140"/>
      <c r="EJ20" s="316">
        <v>1994</v>
      </c>
      <c r="EK20" s="88">
        <f t="shared" si="14"/>
        <v>0.68952905261744546</v>
      </c>
      <c r="EL20" s="88">
        <f t="shared" si="15"/>
        <v>3.3884032231515114E-2</v>
      </c>
      <c r="EM20" s="88">
        <f t="shared" si="16"/>
        <v>0.3833364202067619</v>
      </c>
      <c r="EN20" s="88">
        <f t="shared" si="17"/>
        <v>8.7775147426358266E-2</v>
      </c>
      <c r="EO20" s="88">
        <f t="shared" si="18"/>
        <v>0.31453947135351579</v>
      </c>
      <c r="EP20" s="88">
        <f t="shared" si="19"/>
        <v>0.81564284703496337</v>
      </c>
      <c r="ER20" s="316">
        <v>1994</v>
      </c>
      <c r="ES20" s="317">
        <f t="shared" si="35"/>
        <v>125034</v>
      </c>
      <c r="ET20" s="61">
        <v>20415</v>
      </c>
      <c r="EU20" s="61">
        <v>87034</v>
      </c>
      <c r="EV20" s="61">
        <v>17585</v>
      </c>
      <c r="EW20" s="88">
        <f t="shared" si="36"/>
        <v>0.16327558903978118</v>
      </c>
      <c r="EX20" s="88">
        <f t="shared" si="36"/>
        <v>0.69608266551497988</v>
      </c>
      <c r="EY20" s="88">
        <f t="shared" si="36"/>
        <v>0.14064174544523889</v>
      </c>
      <c r="EZ20" s="88">
        <f t="shared" si="41"/>
        <v>-3.7677888576892471E-3</v>
      </c>
      <c r="FA20" s="88">
        <f t="shared" si="37"/>
        <v>-1.4182161496028023E-3</v>
      </c>
      <c r="FB20" s="88">
        <f t="shared" si="37"/>
        <v>5.1860050072920494E-3</v>
      </c>
      <c r="FD20" s="316">
        <v>1994</v>
      </c>
      <c r="FE20" s="159">
        <v>4.3577651821862337E-2</v>
      </c>
      <c r="FF20" s="43"/>
      <c r="FG20" s="159">
        <v>1.7000000000000001E-2</v>
      </c>
      <c r="FH20" s="55"/>
      <c r="FI20" s="319">
        <f t="shared" si="45"/>
        <v>2.6577651821862336E-2</v>
      </c>
      <c r="FK20" s="345">
        <f t="shared" si="42"/>
        <v>-1.5735765739270491E-2</v>
      </c>
      <c r="FL20" s="345">
        <f t="shared" si="43"/>
        <v>-1.0022179011905386E-3</v>
      </c>
      <c r="FM20" s="345">
        <f t="shared" si="44"/>
        <v>1.8137206009573893E-3</v>
      </c>
      <c r="FO20" s="316">
        <v>1994</v>
      </c>
      <c r="FP20" s="61">
        <v>273139.35492519301</v>
      </c>
      <c r="FQ20" s="61">
        <v>18854.491624605209</v>
      </c>
      <c r="FR20" s="61">
        <v>134648.41893150099</v>
      </c>
      <c r="FS20" s="61">
        <v>52698.94915362668</v>
      </c>
      <c r="FT20" s="61">
        <v>92083.147856277501</v>
      </c>
      <c r="FU20" s="61">
        <v>307844.33882815018</v>
      </c>
      <c r="FV20" s="285">
        <f t="shared" si="38"/>
        <v>879268.70131935354</v>
      </c>
    </row>
    <row r="21" spans="1:178">
      <c r="A21" s="316">
        <v>1995</v>
      </c>
      <c r="B21" s="61">
        <v>320686.2</v>
      </c>
      <c r="C21" s="61">
        <v>19482.5</v>
      </c>
      <c r="D21" s="61">
        <v>173589.5</v>
      </c>
      <c r="E21" s="61">
        <v>43465.599999999999</v>
      </c>
      <c r="F21" s="61">
        <v>170925.6</v>
      </c>
      <c r="G21" s="61">
        <v>428225.3</v>
      </c>
      <c r="I21" s="316">
        <v>1995</v>
      </c>
      <c r="J21" s="61">
        <v>319719.8</v>
      </c>
      <c r="K21" s="61">
        <v>19794.900000000001</v>
      </c>
      <c r="L21" s="61">
        <v>173521.2</v>
      </c>
      <c r="M21" s="61">
        <v>44388</v>
      </c>
      <c r="N21" s="61">
        <v>174180.8</v>
      </c>
      <c r="O21" s="61">
        <v>441862.2</v>
      </c>
      <c r="Q21" s="316">
        <v>1995</v>
      </c>
      <c r="R21" s="75">
        <v>362515.8</v>
      </c>
      <c r="S21" s="75">
        <v>18129.8</v>
      </c>
      <c r="T21" s="75">
        <v>198031.1</v>
      </c>
      <c r="U21" s="75">
        <v>47307.7</v>
      </c>
      <c r="V21" s="75">
        <v>169493.9</v>
      </c>
      <c r="W21" s="75">
        <v>445087.9</v>
      </c>
      <c r="Y21" s="316">
        <v>1995</v>
      </c>
      <c r="Z21" s="75">
        <v>379139</v>
      </c>
      <c r="AA21" s="75">
        <v>19457.7</v>
      </c>
      <c r="AB21" s="75">
        <v>205735</v>
      </c>
      <c r="AC21" s="75">
        <v>50848.6</v>
      </c>
      <c r="AD21" s="75">
        <v>178276</v>
      </c>
      <c r="AE21" s="75">
        <v>485919.9</v>
      </c>
      <c r="AG21" s="316">
        <v>1995</v>
      </c>
      <c r="AH21" s="48">
        <f t="shared" si="2"/>
        <v>0.9561553941957962</v>
      </c>
      <c r="AI21" s="48">
        <f t="shared" si="2"/>
        <v>0.93175452391598179</v>
      </c>
      <c r="AJ21" s="48">
        <f t="shared" si="2"/>
        <v>0.96255425668943062</v>
      </c>
      <c r="AK21" s="48">
        <f t="shared" si="2"/>
        <v>0.93036386449184438</v>
      </c>
      <c r="AL21" s="48">
        <f t="shared" si="2"/>
        <v>0.95073874217505439</v>
      </c>
      <c r="AM21" s="48">
        <f t="shared" si="2"/>
        <v>0.91596968965461179</v>
      </c>
      <c r="AO21" s="316">
        <v>1995</v>
      </c>
      <c r="AP21" s="88" t="e">
        <f>#REF!</f>
        <v>#REF!</v>
      </c>
      <c r="AS21" s="316">
        <v>1995</v>
      </c>
      <c r="AT21" s="308">
        <f t="shared" si="39"/>
        <v>-9.5436941977445899E-3</v>
      </c>
      <c r="AU21" s="308">
        <f t="shared" si="20"/>
        <v>-3.6126753541434464E-3</v>
      </c>
      <c r="AV21" s="308">
        <f t="shared" si="20"/>
        <v>-4.2279013590553749E-3</v>
      </c>
      <c r="AW21" s="308">
        <f t="shared" si="20"/>
        <v>-8.5378031312655089E-4</v>
      </c>
      <c r="AX21" s="308">
        <f t="shared" si="20"/>
        <v>-2.9775947982983997E-3</v>
      </c>
      <c r="AY21" s="308">
        <f t="shared" si="20"/>
        <v>-1.422094841369681E-3</v>
      </c>
      <c r="BA21" s="316">
        <v>1995</v>
      </c>
      <c r="BB21" s="61">
        <v>25194.3</v>
      </c>
      <c r="BC21" s="61">
        <v>1533.3</v>
      </c>
      <c r="BD21" s="61">
        <v>11353.3</v>
      </c>
      <c r="BE21" s="61">
        <v>4663</v>
      </c>
      <c r="BF21" s="61">
        <v>10716.3</v>
      </c>
      <c r="BG21" s="61">
        <v>28480.799999999999</v>
      </c>
      <c r="BI21" s="316">
        <v>1995</v>
      </c>
      <c r="BJ21" s="61">
        <v>25330.2</v>
      </c>
      <c r="BK21" s="61">
        <v>1578.4</v>
      </c>
      <c r="BL21" s="61">
        <v>11436.4</v>
      </c>
      <c r="BM21" s="61">
        <v>5486.6</v>
      </c>
      <c r="BN21" s="61">
        <v>11012.2</v>
      </c>
      <c r="BO21" s="61">
        <v>29754.799999999999</v>
      </c>
      <c r="BQ21" s="316">
        <v>1995</v>
      </c>
      <c r="BR21" s="75">
        <v>29031.8</v>
      </c>
      <c r="BS21" s="75">
        <v>1528</v>
      </c>
      <c r="BT21" s="75">
        <v>14312.3</v>
      </c>
      <c r="BU21" s="75">
        <v>5133.5</v>
      </c>
      <c r="BV21" s="75">
        <v>10821</v>
      </c>
      <c r="BW21" s="75">
        <v>28372</v>
      </c>
      <c r="BY21" s="316">
        <v>1995</v>
      </c>
      <c r="BZ21" s="75">
        <v>30403.200000000001</v>
      </c>
      <c r="CA21" s="75">
        <v>1663.5</v>
      </c>
      <c r="CB21" s="75">
        <v>14972.9</v>
      </c>
      <c r="CC21" s="75">
        <v>6267.1</v>
      </c>
      <c r="CD21" s="75">
        <v>11486.7</v>
      </c>
      <c r="CE21" s="75">
        <v>31498.1</v>
      </c>
      <c r="CG21" s="316">
        <v>1995</v>
      </c>
      <c r="CH21" s="48">
        <f t="shared" si="5"/>
        <v>0.95489290600989363</v>
      </c>
      <c r="CI21" s="48">
        <f t="shared" si="5"/>
        <v>0.91854523594830173</v>
      </c>
      <c r="CJ21" s="48">
        <f t="shared" si="5"/>
        <v>0.95588029039130695</v>
      </c>
      <c r="CK21" s="48">
        <f t="shared" si="5"/>
        <v>0.81911889071500366</v>
      </c>
      <c r="CL21" s="48">
        <f t="shared" si="5"/>
        <v>0.94204601843871605</v>
      </c>
      <c r="CM21" s="48">
        <f t="shared" si="5"/>
        <v>0.90075274381629378</v>
      </c>
      <c r="CO21" s="316">
        <v>1995</v>
      </c>
      <c r="CP21" s="88" t="e">
        <f>#REF!</f>
        <v>#REF!</v>
      </c>
      <c r="CS21" s="316">
        <v>1995</v>
      </c>
      <c r="CT21" s="308">
        <f t="shared" si="40"/>
        <v>-7.2954070939132976E-3</v>
      </c>
      <c r="CU21" s="308">
        <f t="shared" si="22"/>
        <v>-4.3909859697858211E-3</v>
      </c>
      <c r="CV21" s="308">
        <f t="shared" si="22"/>
        <v>-5.9713193377526341E-3</v>
      </c>
      <c r="CW21" s="308">
        <f t="shared" si="22"/>
        <v>2.055217453846292E-2</v>
      </c>
      <c r="CX21" s="308">
        <f t="shared" si="22"/>
        <v>-4.579237178968576E-3</v>
      </c>
      <c r="CY21" s="308">
        <f t="shared" si="22"/>
        <v>-8.1475981880352322E-4</v>
      </c>
      <c r="DA21" s="316">
        <v>1995</v>
      </c>
      <c r="DB21" s="46">
        <f t="shared" si="23"/>
        <v>25167.400000000012</v>
      </c>
      <c r="DC21" s="46">
        <f t="shared" si="24"/>
        <v>1173.7999999999993</v>
      </c>
      <c r="DD21" s="46">
        <f t="shared" si="25"/>
        <v>16831.799999999996</v>
      </c>
      <c r="DE21" s="46">
        <f t="shared" si="26"/>
        <v>4764.0000000000018</v>
      </c>
      <c r="DF21" s="46">
        <f t="shared" si="27"/>
        <v>5881.4000000000124</v>
      </c>
      <c r="DG21" s="46">
        <f t="shared" si="28"/>
        <v>11057.799999999952</v>
      </c>
      <c r="DI21" s="316">
        <v>1995</v>
      </c>
      <c r="DJ21" s="88">
        <f t="shared" si="29"/>
        <v>6.7309934763864043E-2</v>
      </c>
      <c r="DK21" s="88">
        <f t="shared" si="30"/>
        <v>6.1883171657528428E-2</v>
      </c>
      <c r="DL21" s="88">
        <f t="shared" si="31"/>
        <v>8.1080417102814661E-2</v>
      </c>
      <c r="DM21" s="88">
        <f t="shared" si="32"/>
        <v>9.6543757789464127E-2</v>
      </c>
      <c r="DN21" s="88">
        <f t="shared" si="33"/>
        <v>3.4061366520202974E-2</v>
      </c>
      <c r="DO21" s="88">
        <f t="shared" si="34"/>
        <v>2.3755713461986201E-2</v>
      </c>
      <c r="DQ21" s="316">
        <v>1995</v>
      </c>
      <c r="DR21" s="61">
        <v>521613.5</v>
      </c>
      <c r="DS21" s="43"/>
      <c r="DT21" s="61">
        <v>458270.3</v>
      </c>
      <c r="DU21" s="43"/>
      <c r="DV21" s="89">
        <v>-1.4</v>
      </c>
      <c r="DW21" s="46">
        <f t="shared" si="6"/>
        <v>529019.77687626774</v>
      </c>
      <c r="DX21" s="43"/>
      <c r="DY21" s="46">
        <f t="shared" si="7"/>
        <v>464777.18052738335</v>
      </c>
      <c r="DZ21" s="43"/>
      <c r="EB21" s="316">
        <v>1995</v>
      </c>
      <c r="EC21" s="88">
        <f t="shared" si="8"/>
        <v>5.5657685240125113E-2</v>
      </c>
      <c r="ED21" s="88">
        <f t="shared" si="9"/>
        <v>2.9293720350412711E-3</v>
      </c>
      <c r="EE21" s="88">
        <f t="shared" si="10"/>
        <v>2.7438515299163076E-2</v>
      </c>
      <c r="EF21" s="88">
        <f t="shared" si="11"/>
        <v>9.841578103327463E-3</v>
      </c>
      <c r="EG21" s="88">
        <f t="shared" si="12"/>
        <v>2.0745245282186908E-2</v>
      </c>
      <c r="EH21" s="88">
        <f t="shared" si="13"/>
        <v>5.4392763990962656E-2</v>
      </c>
      <c r="EI21" s="140"/>
      <c r="EJ21" s="316">
        <v>1995</v>
      </c>
      <c r="EK21" s="88">
        <f t="shared" si="14"/>
        <v>0.685259447464454</v>
      </c>
      <c r="EL21" s="88">
        <f t="shared" si="15"/>
        <v>3.42705524301039E-2</v>
      </c>
      <c r="EM21" s="88">
        <f t="shared" si="16"/>
        <v>0.37433591078451767</v>
      </c>
      <c r="EN21" s="88">
        <f t="shared" si="17"/>
        <v>8.9425201226578682E-2</v>
      </c>
      <c r="EO21" s="88">
        <f t="shared" si="18"/>
        <v>0.32039236982938518</v>
      </c>
      <c r="EP21" s="88">
        <f t="shared" si="19"/>
        <v>0.84134453843698453</v>
      </c>
      <c r="ER21" s="316">
        <v>1995</v>
      </c>
      <c r="ES21" s="317">
        <f t="shared" si="35"/>
        <v>125570</v>
      </c>
      <c r="ET21" s="61">
        <v>20033</v>
      </c>
      <c r="EU21" s="61">
        <v>87260</v>
      </c>
      <c r="EV21" s="61">
        <v>18277</v>
      </c>
      <c r="EW21" s="88">
        <f t="shared" si="36"/>
        <v>0.15953651349844708</v>
      </c>
      <c r="EX21" s="88">
        <f t="shared" si="36"/>
        <v>0.6949112049056303</v>
      </c>
      <c r="EY21" s="88">
        <f t="shared" si="36"/>
        <v>0.14555228159592259</v>
      </c>
      <c r="EZ21" s="88">
        <f t="shared" si="41"/>
        <v>-3.739075541334097E-3</v>
      </c>
      <c r="FA21" s="88">
        <f t="shared" si="37"/>
        <v>-1.1714606093495838E-3</v>
      </c>
      <c r="FB21" s="88">
        <f t="shared" si="37"/>
        <v>4.9105361506837086E-3</v>
      </c>
      <c r="FD21" s="316">
        <v>1995</v>
      </c>
      <c r="FE21" s="159">
        <v>3.4601927710843354E-2</v>
      </c>
      <c r="FF21" s="43"/>
      <c r="FG21" s="159">
        <v>1.4999999999999999E-2</v>
      </c>
      <c r="FH21" s="55"/>
      <c r="FI21" s="319">
        <f t="shared" si="45"/>
        <v>1.9601927710843355E-2</v>
      </c>
      <c r="FK21" s="345">
        <f t="shared" si="42"/>
        <v>-1.2797781412537734E-2</v>
      </c>
      <c r="FL21" s="345">
        <f t="shared" si="43"/>
        <v>3.7643863023613111E-3</v>
      </c>
      <c r="FM21" s="345">
        <f t="shared" si="44"/>
        <v>3.6290813764051771E-3</v>
      </c>
      <c r="FO21" s="316">
        <v>1995</v>
      </c>
      <c r="FP21" s="61">
        <v>261032.82362725239</v>
      </c>
      <c r="FQ21" s="61">
        <v>16770.87984979598</v>
      </c>
      <c r="FR21" s="61">
        <v>122844.29150569983</v>
      </c>
      <c r="FS21" s="61">
        <v>48053.394024849236</v>
      </c>
      <c r="FT21" s="61">
        <v>94882.371677233547</v>
      </c>
      <c r="FU21" s="61">
        <v>309328.09627163329</v>
      </c>
      <c r="FV21" s="285">
        <f t="shared" si="38"/>
        <v>852911.85695646424</v>
      </c>
    </row>
    <row r="22" spans="1:178">
      <c r="A22" s="316">
        <v>1996</v>
      </c>
      <c r="B22" s="61">
        <v>337087.8</v>
      </c>
      <c r="C22" s="61">
        <v>20451.3</v>
      </c>
      <c r="D22" s="61">
        <v>174457.5</v>
      </c>
      <c r="E22" s="61">
        <v>44840.5</v>
      </c>
      <c r="F22" s="61">
        <v>178895.5</v>
      </c>
      <c r="G22" s="61">
        <v>450831.2</v>
      </c>
      <c r="I22" s="316">
        <v>1996</v>
      </c>
      <c r="J22" s="61">
        <v>329745.09999999998</v>
      </c>
      <c r="K22" s="61">
        <v>20457.599999999999</v>
      </c>
      <c r="L22" s="61">
        <v>171877.9</v>
      </c>
      <c r="M22" s="61">
        <v>45135.199999999997</v>
      </c>
      <c r="N22" s="61">
        <v>180876.6</v>
      </c>
      <c r="O22" s="61">
        <v>460090.2</v>
      </c>
      <c r="Q22" s="316">
        <v>1996</v>
      </c>
      <c r="R22" s="75">
        <v>379462.2</v>
      </c>
      <c r="S22" s="75">
        <v>19011.2</v>
      </c>
      <c r="T22" s="75">
        <v>201130</v>
      </c>
      <c r="U22" s="75">
        <v>48914.6</v>
      </c>
      <c r="V22" s="75">
        <v>177547.1</v>
      </c>
      <c r="W22" s="75">
        <v>468772.8</v>
      </c>
      <c r="Y22" s="316">
        <v>1996</v>
      </c>
      <c r="Z22" s="75">
        <v>390368.7</v>
      </c>
      <c r="AA22" s="75">
        <v>20096.8</v>
      </c>
      <c r="AB22" s="75">
        <v>206070.5</v>
      </c>
      <c r="AC22" s="75">
        <v>51840.7</v>
      </c>
      <c r="AD22" s="75">
        <v>185281</v>
      </c>
      <c r="AE22" s="75">
        <v>506172.6</v>
      </c>
      <c r="AG22" s="316">
        <v>1996</v>
      </c>
      <c r="AH22" s="48">
        <f t="shared" ref="AH22:AM46" si="46">R22/Z22</f>
        <v>0.97206102845848041</v>
      </c>
      <c r="AI22" s="48">
        <f t="shared" si="46"/>
        <v>0.9459814497830501</v>
      </c>
      <c r="AJ22" s="48">
        <f t="shared" si="46"/>
        <v>0.97602519526084519</v>
      </c>
      <c r="AK22" s="48">
        <f t="shared" si="46"/>
        <v>0.94355593192221554</v>
      </c>
      <c r="AL22" s="48">
        <f t="shared" si="46"/>
        <v>0.95825853703293917</v>
      </c>
      <c r="AM22" s="48">
        <f t="shared" si="46"/>
        <v>0.92611255528252623</v>
      </c>
      <c r="AO22" s="316">
        <v>1996</v>
      </c>
      <c r="AP22" s="88" t="e">
        <f>#REF!</f>
        <v>#REF!</v>
      </c>
      <c r="AS22" s="316">
        <v>1996</v>
      </c>
      <c r="AT22" s="308">
        <f t="shared" si="39"/>
        <v>1.6634988788681193E-2</v>
      </c>
      <c r="AU22" s="308">
        <f t="shared" si="20"/>
        <v>1.5268963554129433E-2</v>
      </c>
      <c r="AV22" s="308">
        <f t="shared" si="20"/>
        <v>1.3994991428063486E-2</v>
      </c>
      <c r="AW22" s="308">
        <f t="shared" si="20"/>
        <v>1.4179470993939125E-2</v>
      </c>
      <c r="AX22" s="308">
        <f t="shared" si="20"/>
        <v>7.909422982681269E-3</v>
      </c>
      <c r="AY22" s="308">
        <f t="shared" si="20"/>
        <v>1.1073363826852312E-2</v>
      </c>
      <c r="BA22" s="316">
        <v>1996</v>
      </c>
      <c r="BB22" s="61">
        <v>28157.1</v>
      </c>
      <c r="BC22" s="61">
        <v>1547</v>
      </c>
      <c r="BD22" s="61">
        <v>11551.9</v>
      </c>
      <c r="BE22" s="61">
        <v>4186.8</v>
      </c>
      <c r="BF22" s="61">
        <v>8774.2000000000007</v>
      </c>
      <c r="BG22" s="61">
        <v>30596.400000000001</v>
      </c>
      <c r="BI22" s="316">
        <v>1996</v>
      </c>
      <c r="BJ22" s="61">
        <v>28132.6</v>
      </c>
      <c r="BK22" s="61">
        <v>1582.4</v>
      </c>
      <c r="BL22" s="61">
        <v>11589</v>
      </c>
      <c r="BM22" s="61">
        <v>4898.7</v>
      </c>
      <c r="BN22" s="61">
        <v>9023.2999999999993</v>
      </c>
      <c r="BO22" s="61">
        <v>31841.4</v>
      </c>
      <c r="BQ22" s="316">
        <v>1996</v>
      </c>
      <c r="BR22" s="75">
        <v>32313.1</v>
      </c>
      <c r="BS22" s="75">
        <v>1557.4</v>
      </c>
      <c r="BT22" s="75">
        <v>15300.8</v>
      </c>
      <c r="BU22" s="75">
        <v>4671.3999999999996</v>
      </c>
      <c r="BV22" s="75">
        <v>8898.7999999999993</v>
      </c>
      <c r="BW22" s="75">
        <v>30465.3</v>
      </c>
      <c r="BY22" s="316">
        <v>1996</v>
      </c>
      <c r="BZ22" s="75">
        <v>33702.699999999997</v>
      </c>
      <c r="CA22" s="75">
        <v>1685.9</v>
      </c>
      <c r="CB22" s="75">
        <v>15954.3</v>
      </c>
      <c r="CC22" s="75">
        <v>5675.6</v>
      </c>
      <c r="CD22" s="75">
        <v>9455.9</v>
      </c>
      <c r="CE22" s="75">
        <v>33706</v>
      </c>
      <c r="CG22" s="316">
        <v>1996</v>
      </c>
      <c r="CH22" s="48">
        <f t="shared" ref="CH22:CM46" si="47">BR22/BZ22</f>
        <v>0.95876888201835464</v>
      </c>
      <c r="CI22" s="48">
        <f t="shared" si="47"/>
        <v>0.92377958360519608</v>
      </c>
      <c r="CJ22" s="48">
        <f t="shared" si="47"/>
        <v>0.95903925587459182</v>
      </c>
      <c r="CK22" s="48">
        <f t="shared" si="47"/>
        <v>0.82306716470505314</v>
      </c>
      <c r="CL22" s="48">
        <f t="shared" si="47"/>
        <v>0.94108440233081991</v>
      </c>
      <c r="CM22" s="48">
        <f t="shared" si="47"/>
        <v>0.90385391324986653</v>
      </c>
      <c r="CO22" s="316">
        <v>1996</v>
      </c>
      <c r="CP22" s="88" t="e">
        <f>#REF!</f>
        <v>#REF!</v>
      </c>
      <c r="CS22" s="316">
        <v>1996</v>
      </c>
      <c r="CT22" s="308">
        <f t="shared" si="40"/>
        <v>4.0590688066342029E-3</v>
      </c>
      <c r="CU22" s="308">
        <f t="shared" si="22"/>
        <v>5.6985191932223955E-3</v>
      </c>
      <c r="CV22" s="308">
        <f t="shared" si="22"/>
        <v>3.3047710210571957E-3</v>
      </c>
      <c r="CW22" s="308">
        <f t="shared" si="22"/>
        <v>4.8201476425517864E-3</v>
      </c>
      <c r="CX22" s="308">
        <f t="shared" si="22"/>
        <v>-1.0207740270372634E-3</v>
      </c>
      <c r="CY22" s="308">
        <f t="shared" si="22"/>
        <v>3.4428642653185904E-3</v>
      </c>
      <c r="DA22" s="316">
        <v>1996</v>
      </c>
      <c r="DB22" s="46">
        <f t="shared" si="23"/>
        <v>22472.999999999985</v>
      </c>
      <c r="DC22" s="46">
        <f t="shared" si="24"/>
        <v>1046.8000000000015</v>
      </c>
      <c r="DD22" s="46">
        <f t="shared" si="25"/>
        <v>15618.8</v>
      </c>
      <c r="DE22" s="46">
        <f t="shared" si="26"/>
        <v>4683.5000000000018</v>
      </c>
      <c r="DF22" s="46">
        <f t="shared" si="27"/>
        <v>2450.8999999999996</v>
      </c>
      <c r="DG22" s="46">
        <f t="shared" si="28"/>
        <v>13453.300000000047</v>
      </c>
      <c r="DI22" s="316">
        <v>1996</v>
      </c>
      <c r="DJ22" s="88">
        <f t="shared" si="29"/>
        <v>5.9273775580987412E-2</v>
      </c>
      <c r="DK22" s="88">
        <f t="shared" si="30"/>
        <v>5.3798753192823484E-2</v>
      </c>
      <c r="DL22" s="88">
        <f t="shared" si="31"/>
        <v>7.5917077794249888E-2</v>
      </c>
      <c r="DM22" s="88">
        <f t="shared" si="32"/>
        <v>9.2106764001368802E-2</v>
      </c>
      <c r="DN22" s="88">
        <f t="shared" si="33"/>
        <v>1.3747784334402834E-2</v>
      </c>
      <c r="DO22" s="88">
        <f t="shared" si="34"/>
        <v>2.7686250347022309E-2</v>
      </c>
      <c r="DQ22" s="316">
        <v>1996</v>
      </c>
      <c r="DR22" s="61">
        <v>535562.1</v>
      </c>
      <c r="DS22" s="43"/>
      <c r="DT22" s="61">
        <v>472631.9</v>
      </c>
      <c r="DU22" s="43"/>
      <c r="DV22" s="89">
        <v>0.4</v>
      </c>
      <c r="DW22" s="46">
        <f t="shared" si="6"/>
        <v>533428.38645418326</v>
      </c>
      <c r="DX22" s="43"/>
      <c r="DY22" s="46">
        <f t="shared" si="7"/>
        <v>470748.90438247012</v>
      </c>
      <c r="DZ22" s="43"/>
      <c r="EB22" s="316">
        <v>1996</v>
      </c>
      <c r="EC22" s="88">
        <f t="shared" si="8"/>
        <v>6.0334926612618779E-2</v>
      </c>
      <c r="ED22" s="88">
        <f t="shared" si="9"/>
        <v>2.9079727635693419E-3</v>
      </c>
      <c r="EE22" s="88">
        <f t="shared" si="10"/>
        <v>2.8569609387968268E-2</v>
      </c>
      <c r="EF22" s="88">
        <f t="shared" si="11"/>
        <v>8.7224245330280083E-3</v>
      </c>
      <c r="EG22" s="88">
        <f t="shared" si="12"/>
        <v>1.6615813553647652E-2</v>
      </c>
      <c r="EH22" s="88">
        <f t="shared" si="13"/>
        <v>5.6884719811203965E-2</v>
      </c>
      <c r="EI22" s="140"/>
      <c r="EJ22" s="316">
        <v>1996</v>
      </c>
      <c r="EK22" s="88">
        <f t="shared" si="14"/>
        <v>0.71136484228439623</v>
      </c>
      <c r="EL22" s="88">
        <f t="shared" si="15"/>
        <v>3.5639648137909687E-2</v>
      </c>
      <c r="EM22" s="88">
        <f t="shared" si="16"/>
        <v>0.37705155013769648</v>
      </c>
      <c r="EN22" s="88">
        <f t="shared" si="17"/>
        <v>9.1698532065655883E-2</v>
      </c>
      <c r="EO22" s="88">
        <f t="shared" si="18"/>
        <v>0.33284149195770202</v>
      </c>
      <c r="EP22" s="88">
        <f t="shared" si="19"/>
        <v>0.8787923775786225</v>
      </c>
      <c r="ER22" s="316">
        <v>1996</v>
      </c>
      <c r="ES22" s="317">
        <f t="shared" si="35"/>
        <v>125864</v>
      </c>
      <c r="ET22" s="61">
        <v>19686</v>
      </c>
      <c r="EU22" s="61">
        <v>87161</v>
      </c>
      <c r="EV22" s="61">
        <v>19017</v>
      </c>
      <c r="EW22" s="88">
        <f t="shared" si="36"/>
        <v>0.15640691540075002</v>
      </c>
      <c r="EX22" s="88">
        <f t="shared" si="36"/>
        <v>0.69250143011504484</v>
      </c>
      <c r="EY22" s="88">
        <f t="shared" si="36"/>
        <v>0.15109165448420517</v>
      </c>
      <c r="EZ22" s="88">
        <f t="shared" si="41"/>
        <v>-3.1295980976970561E-3</v>
      </c>
      <c r="FA22" s="88">
        <f t="shared" si="37"/>
        <v>-2.4097747905854616E-3</v>
      </c>
      <c r="FB22" s="88">
        <f t="shared" si="37"/>
        <v>5.5393728882825732E-3</v>
      </c>
      <c r="FD22" s="316">
        <v>1996</v>
      </c>
      <c r="FE22" s="159">
        <v>3.1179838056680155E-2</v>
      </c>
      <c r="FF22" s="43"/>
      <c r="FG22" s="159">
        <v>1.3999999999999999E-2</v>
      </c>
      <c r="FH22" s="55"/>
      <c r="FI22" s="319">
        <f t="shared" si="45"/>
        <v>1.7179838056680156E-2</v>
      </c>
      <c r="FK22" s="345">
        <f t="shared" si="42"/>
        <v>2.8551618152056202E-3</v>
      </c>
      <c r="FL22" s="345">
        <f t="shared" si="43"/>
        <v>8.8605573918283387E-3</v>
      </c>
      <c r="FM22" s="345">
        <f t="shared" si="44"/>
        <v>4.0439923116183593E-4</v>
      </c>
      <c r="FO22" s="316">
        <v>1996</v>
      </c>
      <c r="FP22" s="61">
        <v>294042.70406954671</v>
      </c>
      <c r="FQ22" s="61">
        <v>16066.356323495169</v>
      </c>
      <c r="FR22" s="61">
        <v>130122.78759462836</v>
      </c>
      <c r="FS22" s="61">
        <v>46134.702004971121</v>
      </c>
      <c r="FT22" s="61">
        <v>91429.568433127468</v>
      </c>
      <c r="FU22" s="61">
        <v>335999.3103311382</v>
      </c>
      <c r="FV22" s="285">
        <f t="shared" si="38"/>
        <v>913795.428756907</v>
      </c>
    </row>
    <row r="23" spans="1:178">
      <c r="A23" s="316">
        <v>1997</v>
      </c>
      <c r="B23" s="61">
        <v>342073.3</v>
      </c>
      <c r="C23" s="61">
        <v>21159.3</v>
      </c>
      <c r="D23" s="61">
        <v>171303.8</v>
      </c>
      <c r="E23" s="61">
        <v>45243</v>
      </c>
      <c r="F23" s="61">
        <v>182705</v>
      </c>
      <c r="G23" s="61">
        <v>466963.6</v>
      </c>
      <c r="I23" s="316">
        <v>1997</v>
      </c>
      <c r="J23" s="61">
        <v>336086</v>
      </c>
      <c r="K23" s="61">
        <v>21112.9</v>
      </c>
      <c r="L23" s="61">
        <v>170452.9</v>
      </c>
      <c r="M23" s="61">
        <v>45440.7</v>
      </c>
      <c r="N23" s="61">
        <v>186793</v>
      </c>
      <c r="O23" s="61">
        <v>475789.6</v>
      </c>
      <c r="Q23" s="316">
        <v>1997</v>
      </c>
      <c r="R23" s="75">
        <v>385610.1</v>
      </c>
      <c r="S23" s="75">
        <v>19651</v>
      </c>
      <c r="T23" s="75">
        <v>199331.7</v>
      </c>
      <c r="U23" s="75">
        <v>49428.5</v>
      </c>
      <c r="V23" s="75">
        <v>181383.4</v>
      </c>
      <c r="W23" s="75">
        <v>485926.3</v>
      </c>
      <c r="Y23" s="316">
        <v>1997</v>
      </c>
      <c r="Z23" s="75">
        <v>397826.5</v>
      </c>
      <c r="AA23" s="75">
        <v>20712.2</v>
      </c>
      <c r="AB23" s="75">
        <v>206274.2</v>
      </c>
      <c r="AC23" s="75">
        <v>52259.6</v>
      </c>
      <c r="AD23" s="75">
        <v>191387.1</v>
      </c>
      <c r="AE23" s="75">
        <v>523905.8</v>
      </c>
      <c r="AG23" s="316">
        <v>1997</v>
      </c>
      <c r="AH23" s="48">
        <f t="shared" si="46"/>
        <v>0.96929214117209384</v>
      </c>
      <c r="AI23" s="48">
        <f t="shared" si="46"/>
        <v>0.94876449628721238</v>
      </c>
      <c r="AJ23" s="48">
        <f t="shared" si="46"/>
        <v>0.96634334298715008</v>
      </c>
      <c r="AK23" s="48">
        <f t="shared" si="46"/>
        <v>0.94582622140238348</v>
      </c>
      <c r="AL23" s="48">
        <f t="shared" si="46"/>
        <v>0.94773054192262696</v>
      </c>
      <c r="AM23" s="48">
        <f t="shared" si="46"/>
        <v>0.92750700603047342</v>
      </c>
      <c r="AO23" s="316">
        <v>1997</v>
      </c>
      <c r="AP23" s="88" t="e">
        <f>#REF!</f>
        <v>#REF!</v>
      </c>
      <c r="AS23" s="316">
        <v>1997</v>
      </c>
      <c r="AT23" s="308">
        <f t="shared" si="39"/>
        <v>-2.848470626147348E-3</v>
      </c>
      <c r="AU23" s="308">
        <f t="shared" si="39"/>
        <v>2.9419673132073942E-3</v>
      </c>
      <c r="AV23" s="308">
        <f t="shared" si="39"/>
        <v>-9.9196745337168934E-3</v>
      </c>
      <c r="AW23" s="308">
        <f t="shared" si="39"/>
        <v>2.4060995255923423E-3</v>
      </c>
      <c r="AX23" s="308">
        <f t="shared" si="39"/>
        <v>-1.0986591513090116E-2</v>
      </c>
      <c r="AY23" s="308">
        <f t="shared" si="39"/>
        <v>1.5057033186660629E-3</v>
      </c>
      <c r="BA23" s="316">
        <v>1997</v>
      </c>
      <c r="BB23" s="61">
        <v>25312.5</v>
      </c>
      <c r="BC23" s="61">
        <v>1593.2</v>
      </c>
      <c r="BD23" s="61">
        <v>11686.7</v>
      </c>
      <c r="BE23" s="61">
        <v>3923.8</v>
      </c>
      <c r="BF23" s="61">
        <v>9266.4</v>
      </c>
      <c r="BG23" s="61">
        <v>27980.5</v>
      </c>
      <c r="BI23" s="316">
        <v>1997</v>
      </c>
      <c r="BJ23" s="61">
        <v>24858</v>
      </c>
      <c r="BK23" s="61">
        <v>1599.2</v>
      </c>
      <c r="BL23" s="61">
        <v>11622.3</v>
      </c>
      <c r="BM23" s="61">
        <v>4516.2</v>
      </c>
      <c r="BN23" s="61">
        <v>9484.5</v>
      </c>
      <c r="BO23" s="61">
        <v>28694.6</v>
      </c>
      <c r="BQ23" s="316">
        <v>1997</v>
      </c>
      <c r="BR23" s="75">
        <v>29648.3</v>
      </c>
      <c r="BS23" s="75">
        <v>1593.8</v>
      </c>
      <c r="BT23" s="75">
        <v>15312.8</v>
      </c>
      <c r="BU23" s="75">
        <v>4337.6000000000004</v>
      </c>
      <c r="BV23" s="75">
        <v>9309.7999999999993</v>
      </c>
      <c r="BW23" s="75">
        <v>27928.9</v>
      </c>
      <c r="BY23" s="316">
        <v>1997</v>
      </c>
      <c r="BZ23" s="75">
        <v>30418.3</v>
      </c>
      <c r="CA23" s="75">
        <v>1693.8</v>
      </c>
      <c r="CB23" s="75">
        <v>15846.1</v>
      </c>
      <c r="CC23" s="75">
        <v>5182.5</v>
      </c>
      <c r="CD23" s="75">
        <v>9845.5</v>
      </c>
      <c r="CE23" s="75">
        <v>30450.1</v>
      </c>
      <c r="CG23" s="316">
        <v>1997</v>
      </c>
      <c r="CH23" s="48">
        <f t="shared" si="47"/>
        <v>0.974686290818356</v>
      </c>
      <c r="CI23" s="48">
        <f t="shared" si="47"/>
        <v>0.94096115243830436</v>
      </c>
      <c r="CJ23" s="48">
        <f t="shared" si="47"/>
        <v>0.96634503126952365</v>
      </c>
      <c r="CK23" s="48">
        <f t="shared" si="47"/>
        <v>0.8369705740472746</v>
      </c>
      <c r="CL23" s="48">
        <f t="shared" si="47"/>
        <v>0.9455893555431415</v>
      </c>
      <c r="CM23" s="48">
        <f t="shared" si="47"/>
        <v>0.91720224235716807</v>
      </c>
      <c r="CO23" s="316">
        <v>1997</v>
      </c>
      <c r="CP23" s="88" t="e">
        <f>#REF!</f>
        <v>#REF!</v>
      </c>
      <c r="CS23" s="316">
        <v>1997</v>
      </c>
      <c r="CT23" s="308">
        <f t="shared" si="40"/>
        <v>1.6601924716718841E-2</v>
      </c>
      <c r="CU23" s="308">
        <f t="shared" si="40"/>
        <v>1.8599208228931019E-2</v>
      </c>
      <c r="CV23" s="308">
        <f t="shared" si="40"/>
        <v>7.6178064142633506E-3</v>
      </c>
      <c r="CW23" s="308">
        <f t="shared" si="40"/>
        <v>1.689219293203581E-2</v>
      </c>
      <c r="CX23" s="308">
        <f t="shared" si="40"/>
        <v>4.7869810626592901E-3</v>
      </c>
      <c r="CY23" s="308">
        <f t="shared" si="40"/>
        <v>1.4768237335286649E-2</v>
      </c>
      <c r="DA23" s="316">
        <v>1997</v>
      </c>
      <c r="DB23" s="46">
        <f t="shared" si="23"/>
        <v>22960.500000000011</v>
      </c>
      <c r="DC23" s="46">
        <f t="shared" si="24"/>
        <v>1078.3999999999985</v>
      </c>
      <c r="DD23" s="46">
        <f t="shared" si="25"/>
        <v>15642.399999999989</v>
      </c>
      <c r="DE23" s="46">
        <f t="shared" si="26"/>
        <v>4763.5999999999985</v>
      </c>
      <c r="DF23" s="46">
        <f t="shared" si="27"/>
        <v>3739.3999999999942</v>
      </c>
      <c r="DG23" s="46">
        <f t="shared" si="28"/>
        <v>12716.899999999987</v>
      </c>
      <c r="DI23" s="316">
        <v>1997</v>
      </c>
      <c r="DJ23" s="88">
        <f t="shared" si="29"/>
        <v>5.8817471790130742E-2</v>
      </c>
      <c r="DK23" s="88">
        <f t="shared" si="30"/>
        <v>5.3660284224354052E-2</v>
      </c>
      <c r="DL23" s="88">
        <f t="shared" si="31"/>
        <v>7.5908002358416118E-2</v>
      </c>
      <c r="DM23" s="88">
        <f t="shared" si="32"/>
        <v>9.1889191311074092E-2</v>
      </c>
      <c r="DN23" s="88">
        <f t="shared" si="33"/>
        <v>2.0182317668838112E-2</v>
      </c>
      <c r="DO23" s="88">
        <f t="shared" si="34"/>
        <v>2.5123643595089871E-2</v>
      </c>
      <c r="DQ23" s="316">
        <v>1997</v>
      </c>
      <c r="DR23" s="61">
        <v>543545.4</v>
      </c>
      <c r="DS23" s="43"/>
      <c r="DT23" s="61">
        <v>477269.5</v>
      </c>
      <c r="DU23" s="43"/>
      <c r="DV23" s="89">
        <v>0.3</v>
      </c>
      <c r="DW23" s="46">
        <f t="shared" si="6"/>
        <v>541919.6410767698</v>
      </c>
      <c r="DX23" s="43"/>
      <c r="DY23" s="46">
        <f t="shared" si="7"/>
        <v>475841.97407776676</v>
      </c>
      <c r="DZ23" s="43"/>
      <c r="EB23" s="316">
        <v>1997</v>
      </c>
      <c r="EC23" s="88">
        <f t="shared" si="8"/>
        <v>5.4546133588840966E-2</v>
      </c>
      <c r="ED23" s="88">
        <f t="shared" si="9"/>
        <v>2.9322297640638666E-3</v>
      </c>
      <c r="EE23" s="88">
        <f t="shared" si="10"/>
        <v>2.8172071734946149E-2</v>
      </c>
      <c r="EF23" s="88">
        <f t="shared" si="11"/>
        <v>7.9801981582403245E-3</v>
      </c>
      <c r="EG23" s="88">
        <f t="shared" si="12"/>
        <v>1.7127916085758428E-2</v>
      </c>
      <c r="EH23" s="88">
        <f t="shared" si="13"/>
        <v>5.1382828370914374E-2</v>
      </c>
      <c r="EI23" s="140"/>
      <c r="EJ23" s="316">
        <v>1997</v>
      </c>
      <c r="EK23" s="88">
        <f t="shared" si="14"/>
        <v>0.71156324807458571</v>
      </c>
      <c r="EL23" s="88">
        <f t="shared" si="15"/>
        <v>3.6261833878090032E-2</v>
      </c>
      <c r="EM23" s="88">
        <f t="shared" si="16"/>
        <v>0.36782519933017549</v>
      </c>
      <c r="EN23" s="88">
        <f t="shared" si="17"/>
        <v>9.1210017599265836E-2</v>
      </c>
      <c r="EO23" s="88">
        <f t="shared" si="18"/>
        <v>0.33470534420859777</v>
      </c>
      <c r="EP23" s="88">
        <f t="shared" si="19"/>
        <v>0.89667593341788909</v>
      </c>
      <c r="ER23" s="316">
        <v>1997</v>
      </c>
      <c r="ES23" s="317">
        <f t="shared" si="35"/>
        <v>126166</v>
      </c>
      <c r="ET23" s="61">
        <v>19366</v>
      </c>
      <c r="EU23" s="61">
        <v>87042</v>
      </c>
      <c r="EV23" s="61">
        <v>19758</v>
      </c>
      <c r="EW23" s="88">
        <f t="shared" si="36"/>
        <v>0.15349618756241776</v>
      </c>
      <c r="EX23" s="88">
        <f t="shared" si="36"/>
        <v>0.68990060713662948</v>
      </c>
      <c r="EY23" s="88">
        <f t="shared" si="36"/>
        <v>0.1566032053009527</v>
      </c>
      <c r="EZ23" s="88">
        <f t="shared" si="41"/>
        <v>-2.9107278383322666E-3</v>
      </c>
      <c r="FA23" s="88">
        <f t="shared" si="41"/>
        <v>-2.6008229784153514E-3</v>
      </c>
      <c r="FB23" s="88">
        <f t="shared" si="41"/>
        <v>5.5115508167475347E-3</v>
      </c>
      <c r="FD23" s="316">
        <v>1997</v>
      </c>
      <c r="FE23" s="159">
        <v>2.3731061224489789E-2</v>
      </c>
      <c r="FF23" s="43"/>
      <c r="FG23" s="159">
        <v>1.1000000000000001E-2</v>
      </c>
      <c r="FH23" s="55"/>
      <c r="FI23" s="319">
        <f t="shared" si="45"/>
        <v>1.2731061224489788E-2</v>
      </c>
      <c r="FK23" s="345">
        <f t="shared" si="42"/>
        <v>4.636711325274212E-3</v>
      </c>
      <c r="FL23" s="345">
        <f t="shared" si="43"/>
        <v>1.0124568630111186E-2</v>
      </c>
      <c r="FM23" s="345">
        <f t="shared" si="44"/>
        <v>1.5866575690681693E-3</v>
      </c>
      <c r="FO23" s="316">
        <v>1997</v>
      </c>
      <c r="FP23" s="61">
        <v>255267.77226008195</v>
      </c>
      <c r="FQ23" s="61">
        <v>15564.097344000067</v>
      </c>
      <c r="FR23" s="61">
        <v>131622.87104308646</v>
      </c>
      <c r="FS23" s="61">
        <v>45080.024366319471</v>
      </c>
      <c r="FT23" s="61">
        <v>86974.314633486239</v>
      </c>
      <c r="FU23" s="61">
        <v>307638.1702635102</v>
      </c>
      <c r="FV23" s="285">
        <f t="shared" si="38"/>
        <v>842147.24991048442</v>
      </c>
    </row>
    <row r="24" spans="1:178">
      <c r="A24" s="316">
        <v>1998</v>
      </c>
      <c r="B24" s="61">
        <v>338508.7</v>
      </c>
      <c r="C24" s="61">
        <v>21174.3</v>
      </c>
      <c r="D24" s="61">
        <v>166233.29999999999</v>
      </c>
      <c r="E24" s="61">
        <v>44510.400000000001</v>
      </c>
      <c r="F24" s="61">
        <v>183110.8</v>
      </c>
      <c r="G24" s="61">
        <v>474684.4</v>
      </c>
      <c r="I24" s="316">
        <v>1998</v>
      </c>
      <c r="J24" s="61">
        <v>338919.7</v>
      </c>
      <c r="K24" s="61">
        <v>21539.7</v>
      </c>
      <c r="L24" s="61">
        <v>168944.5</v>
      </c>
      <c r="M24" s="61">
        <v>45673.8</v>
      </c>
      <c r="N24" s="61">
        <v>191392.7</v>
      </c>
      <c r="O24" s="61">
        <v>493127.7</v>
      </c>
      <c r="Q24" s="316">
        <v>1998</v>
      </c>
      <c r="R24" s="75">
        <v>381653.1</v>
      </c>
      <c r="S24" s="75">
        <v>19631.400000000001</v>
      </c>
      <c r="T24" s="75">
        <v>195249.3</v>
      </c>
      <c r="U24" s="75">
        <v>48635.6</v>
      </c>
      <c r="V24" s="75">
        <v>181776</v>
      </c>
      <c r="W24" s="75">
        <v>494359</v>
      </c>
      <c r="Y24" s="316">
        <v>1998</v>
      </c>
      <c r="Z24" s="75">
        <v>400893.5</v>
      </c>
      <c r="AA24" s="75">
        <v>21083.8</v>
      </c>
      <c r="AB24" s="75">
        <v>206188.2</v>
      </c>
      <c r="AC24" s="75">
        <v>52490.5</v>
      </c>
      <c r="AD24" s="75">
        <v>196069.4</v>
      </c>
      <c r="AE24" s="75">
        <v>543475</v>
      </c>
      <c r="AG24" s="316">
        <v>1998</v>
      </c>
      <c r="AH24" s="48">
        <f t="shared" si="46"/>
        <v>0.95200620613704134</v>
      </c>
      <c r="AI24" s="48">
        <f t="shared" si="46"/>
        <v>0.93111298722241731</v>
      </c>
      <c r="AJ24" s="48">
        <f t="shared" si="46"/>
        <v>0.94694701248665047</v>
      </c>
      <c r="AK24" s="48">
        <f t="shared" si="46"/>
        <v>0.92656004419847393</v>
      </c>
      <c r="AL24" s="48">
        <f t="shared" si="46"/>
        <v>0.92710030223992124</v>
      </c>
      <c r="AM24" s="48">
        <f t="shared" si="46"/>
        <v>0.90962601775610652</v>
      </c>
      <c r="AO24" s="316">
        <v>1998</v>
      </c>
      <c r="AP24" s="88" t="e">
        <f>#REF!</f>
        <v>#REF!</v>
      </c>
      <c r="AS24" s="316">
        <v>1998</v>
      </c>
      <c r="AT24" s="308">
        <f t="shared" si="39"/>
        <v>-1.7833565651476202E-2</v>
      </c>
      <c r="AU24" s="308">
        <f t="shared" si="39"/>
        <v>-1.8604731873790081E-2</v>
      </c>
      <c r="AV24" s="308">
        <f t="shared" si="39"/>
        <v>-2.0071882981613887E-2</v>
      </c>
      <c r="AW24" s="308">
        <f t="shared" si="39"/>
        <v>-2.0369679723346468E-2</v>
      </c>
      <c r="AX24" s="308">
        <f t="shared" si="39"/>
        <v>-2.176804352095052E-2</v>
      </c>
      <c r="AY24" s="308">
        <f t="shared" si="39"/>
        <v>-1.9278547933447521E-2</v>
      </c>
      <c r="BA24" s="316">
        <v>1998</v>
      </c>
      <c r="BB24" s="61">
        <v>21493.599999999999</v>
      </c>
      <c r="BC24" s="61">
        <v>1363.4</v>
      </c>
      <c r="BD24" s="61">
        <v>11428.7</v>
      </c>
      <c r="BE24" s="61">
        <v>3600.8</v>
      </c>
      <c r="BF24" s="61">
        <v>9974.2999999999993</v>
      </c>
      <c r="BG24" s="61">
        <v>27357.3</v>
      </c>
      <c r="BI24" s="316">
        <v>1998</v>
      </c>
      <c r="BJ24" s="61">
        <v>21538.1</v>
      </c>
      <c r="BK24" s="61">
        <v>1393.1</v>
      </c>
      <c r="BL24" s="61">
        <v>11609.5</v>
      </c>
      <c r="BM24" s="61">
        <v>4227.2</v>
      </c>
      <c r="BN24" s="61">
        <v>10411.9</v>
      </c>
      <c r="BO24" s="61">
        <v>28528.1</v>
      </c>
      <c r="BQ24" s="316">
        <v>1998</v>
      </c>
      <c r="BR24" s="75">
        <v>25188.1</v>
      </c>
      <c r="BS24" s="75">
        <v>1367.7</v>
      </c>
      <c r="BT24" s="75">
        <v>15010.5</v>
      </c>
      <c r="BU24" s="75">
        <v>3870.5</v>
      </c>
      <c r="BV24" s="75">
        <v>9876.5</v>
      </c>
      <c r="BW24" s="75">
        <v>27454.400000000001</v>
      </c>
      <c r="BY24" s="316">
        <v>1998</v>
      </c>
      <c r="BZ24" s="75">
        <v>26324.5</v>
      </c>
      <c r="CA24" s="75">
        <v>1478.3</v>
      </c>
      <c r="CB24" s="75">
        <v>15854.3</v>
      </c>
      <c r="CC24" s="75">
        <v>4711.2</v>
      </c>
      <c r="CD24" s="75">
        <v>10652</v>
      </c>
      <c r="CE24" s="75">
        <v>30436.7</v>
      </c>
      <c r="CG24" s="316">
        <v>1998</v>
      </c>
      <c r="CH24" s="48">
        <f t="shared" si="47"/>
        <v>0.95683108890957091</v>
      </c>
      <c r="CI24" s="48">
        <f t="shared" si="47"/>
        <v>0.92518433335588179</v>
      </c>
      <c r="CJ24" s="48">
        <f t="shared" si="47"/>
        <v>0.94677784575793322</v>
      </c>
      <c r="CK24" s="48">
        <f t="shared" si="47"/>
        <v>0.82155289522839192</v>
      </c>
      <c r="CL24" s="48">
        <f t="shared" si="47"/>
        <v>0.92719677055951932</v>
      </c>
      <c r="CM24" s="48">
        <f t="shared" si="47"/>
        <v>0.90201631582924569</v>
      </c>
      <c r="CO24" s="316">
        <v>1998</v>
      </c>
      <c r="CP24" s="88" t="e">
        <f>#REF!</f>
        <v>#REF!</v>
      </c>
      <c r="CS24" s="316">
        <v>1998</v>
      </c>
      <c r="CT24" s="308">
        <f t="shared" si="40"/>
        <v>-1.8318921766914076E-2</v>
      </c>
      <c r="CU24" s="308">
        <f t="shared" si="40"/>
        <v>-1.6766706087217531E-2</v>
      </c>
      <c r="CV24" s="308">
        <f t="shared" si="40"/>
        <v>-2.0248653305418585E-2</v>
      </c>
      <c r="CW24" s="308">
        <f t="shared" si="40"/>
        <v>-1.8420813463403629E-2</v>
      </c>
      <c r="CX24" s="308">
        <f t="shared" si="40"/>
        <v>-1.9450922195562992E-2</v>
      </c>
      <c r="CY24" s="308">
        <f t="shared" si="40"/>
        <v>-1.6556791759356426E-2</v>
      </c>
      <c r="DA24" s="316">
        <v>1998</v>
      </c>
      <c r="DB24" s="46">
        <f t="shared" si="23"/>
        <v>23257.5</v>
      </c>
      <c r="DC24" s="46">
        <f t="shared" si="24"/>
        <v>1106.7000000000014</v>
      </c>
      <c r="DD24" s="46">
        <f t="shared" si="25"/>
        <v>15940.3</v>
      </c>
      <c r="DE24" s="46">
        <f t="shared" si="26"/>
        <v>4480.2999999999984</v>
      </c>
      <c r="DF24" s="46">
        <f t="shared" si="27"/>
        <v>5969.7000000000116</v>
      </c>
      <c r="DG24" s="46">
        <f t="shared" si="28"/>
        <v>10867.499999999989</v>
      </c>
      <c r="DI24" s="316">
        <v>1998</v>
      </c>
      <c r="DJ24" s="88">
        <f t="shared" si="29"/>
        <v>5.8461414712192378E-2</v>
      </c>
      <c r="DK24" s="88">
        <f t="shared" si="30"/>
        <v>5.3432276629233076E-2</v>
      </c>
      <c r="DL24" s="88">
        <f t="shared" si="31"/>
        <v>7.7277235834631752E-2</v>
      </c>
      <c r="DM24" s="88">
        <f t="shared" si="32"/>
        <v>8.5731616774716968E-2</v>
      </c>
      <c r="DN24" s="88">
        <f t="shared" si="33"/>
        <v>3.1191757438197305E-2</v>
      </c>
      <c r="DO24" s="88">
        <f t="shared" si="34"/>
        <v>2.0743232848347906E-2</v>
      </c>
      <c r="DQ24" s="316">
        <v>1998</v>
      </c>
      <c r="DR24" s="61">
        <v>536497.4</v>
      </c>
      <c r="DS24" s="43"/>
      <c r="DT24" s="61">
        <v>471206.6</v>
      </c>
      <c r="DU24" s="43"/>
      <c r="DV24" s="89">
        <v>-1.9</v>
      </c>
      <c r="DW24" s="46">
        <f t="shared" si="6"/>
        <v>546888.27726809378</v>
      </c>
      <c r="DX24" s="43"/>
      <c r="DY24" s="46">
        <f t="shared" si="7"/>
        <v>480332.92558613658</v>
      </c>
      <c r="DZ24" s="43"/>
      <c r="EB24" s="316">
        <v>1998</v>
      </c>
      <c r="EC24" s="88">
        <f t="shared" si="8"/>
        <v>4.694915576478096E-2</v>
      </c>
      <c r="ED24" s="88">
        <f t="shared" si="9"/>
        <v>2.549313379710694E-3</v>
      </c>
      <c r="EE24" s="88">
        <f t="shared" si="10"/>
        <v>2.7978700362760376E-2</v>
      </c>
      <c r="EF24" s="88">
        <f t="shared" si="11"/>
        <v>7.2143872458654973E-3</v>
      </c>
      <c r="EG24" s="88">
        <f t="shared" si="12"/>
        <v>1.8409222486446344E-2</v>
      </c>
      <c r="EH24" s="88">
        <f t="shared" si="13"/>
        <v>5.1173407364136343E-2</v>
      </c>
      <c r="EI24" s="140"/>
      <c r="EJ24" s="316">
        <v>1998</v>
      </c>
      <c r="EK24" s="88">
        <f t="shared" si="14"/>
        <v>0.69786301126529215</v>
      </c>
      <c r="EL24" s="88">
        <f t="shared" si="15"/>
        <v>3.589654563097603E-2</v>
      </c>
      <c r="EM24" s="88">
        <f t="shared" si="16"/>
        <v>0.35701862357580855</v>
      </c>
      <c r="EN24" s="88">
        <f t="shared" si="17"/>
        <v>8.8931509453727076E-2</v>
      </c>
      <c r="EO24" s="88">
        <f t="shared" si="18"/>
        <v>0.33238233027783548</v>
      </c>
      <c r="EP24" s="88">
        <f t="shared" si="19"/>
        <v>0.90394879639677661</v>
      </c>
      <c r="ER24" s="316">
        <v>1998</v>
      </c>
      <c r="ES24" s="317">
        <f t="shared" si="35"/>
        <v>126487</v>
      </c>
      <c r="ET24" s="61">
        <v>19059</v>
      </c>
      <c r="EU24" s="61">
        <v>86920</v>
      </c>
      <c r="EV24" s="61">
        <v>20508</v>
      </c>
      <c r="EW24" s="88">
        <f t="shared" si="36"/>
        <v>0.15067951647204852</v>
      </c>
      <c r="EX24" s="88">
        <f t="shared" si="36"/>
        <v>0.68718524433340977</v>
      </c>
      <c r="EY24" s="88">
        <f t="shared" si="36"/>
        <v>0.16213523919454173</v>
      </c>
      <c r="EZ24" s="88">
        <f t="shared" si="41"/>
        <v>-2.8166710903692327E-3</v>
      </c>
      <c r="FA24" s="88">
        <f t="shared" si="41"/>
        <v>-2.7153628032197119E-3</v>
      </c>
      <c r="FB24" s="88">
        <f t="shared" si="41"/>
        <v>5.5320338935890279E-3</v>
      </c>
      <c r="FD24" s="316">
        <v>1998</v>
      </c>
      <c r="FE24" s="159">
        <v>1.5285263157894748E-2</v>
      </c>
      <c r="FF24" s="43"/>
      <c r="FG24" s="159">
        <v>9.0000000000000011E-3</v>
      </c>
      <c r="FH24" s="55"/>
      <c r="FI24" s="319">
        <f t="shared" si="45"/>
        <v>6.2852631578947469E-3</v>
      </c>
      <c r="FK24" s="345">
        <f t="shared" si="42"/>
        <v>-4.6258199644364506E-3</v>
      </c>
      <c r="FL24" s="345">
        <f t="shared" si="43"/>
        <v>1.1951028978088918E-2</v>
      </c>
      <c r="FM24" s="345">
        <f t="shared" si="44"/>
        <v>3.2488780634037755E-3</v>
      </c>
      <c r="FO24" s="316">
        <v>1998</v>
      </c>
      <c r="FP24" s="61">
        <v>219038.39408450801</v>
      </c>
      <c r="FQ24" s="61">
        <v>13458.214968442178</v>
      </c>
      <c r="FR24" s="61">
        <v>118461.50946285276</v>
      </c>
      <c r="FS24" s="61">
        <v>41086.205086666465</v>
      </c>
      <c r="FT24" s="61">
        <v>84051.186621772213</v>
      </c>
      <c r="FU24" s="61">
        <v>316032.85761857359</v>
      </c>
      <c r="FV24" s="285">
        <f t="shared" si="38"/>
        <v>792128.36784281523</v>
      </c>
    </row>
    <row r="25" spans="1:178">
      <c r="A25" s="316">
        <v>1999</v>
      </c>
      <c r="B25" s="61">
        <v>338387.5</v>
      </c>
      <c r="C25" s="61">
        <v>21310</v>
      </c>
      <c r="D25" s="61">
        <v>162497.60000000001</v>
      </c>
      <c r="E25" s="61">
        <v>43812.1</v>
      </c>
      <c r="F25" s="61">
        <v>183519.4</v>
      </c>
      <c r="G25" s="61">
        <v>484834.2</v>
      </c>
      <c r="I25" s="316">
        <v>1999</v>
      </c>
      <c r="J25" s="61">
        <v>341760.6</v>
      </c>
      <c r="K25" s="61">
        <v>21890.9</v>
      </c>
      <c r="L25" s="61">
        <v>167390.39999999999</v>
      </c>
      <c r="M25" s="61">
        <v>45581</v>
      </c>
      <c r="N25" s="61">
        <v>194460.2</v>
      </c>
      <c r="O25" s="61">
        <v>510149.4</v>
      </c>
      <c r="Q25" s="316">
        <v>1999</v>
      </c>
      <c r="R25" s="75">
        <v>380830.8</v>
      </c>
      <c r="S25" s="75">
        <v>19685.8</v>
      </c>
      <c r="T25" s="75">
        <v>192072.1</v>
      </c>
      <c r="U25" s="75">
        <v>48092.9</v>
      </c>
      <c r="V25" s="75">
        <v>182668.79999999999</v>
      </c>
      <c r="W25" s="75">
        <v>504783.2</v>
      </c>
      <c r="Y25" s="316">
        <v>1999</v>
      </c>
      <c r="Z25" s="75">
        <v>403933.2</v>
      </c>
      <c r="AA25" s="75">
        <v>21364.1</v>
      </c>
      <c r="AB25" s="75">
        <v>205659.5</v>
      </c>
      <c r="AC25" s="75">
        <v>52639.199999999997</v>
      </c>
      <c r="AD25" s="75">
        <v>199731.8</v>
      </c>
      <c r="AE25" s="75">
        <v>562159.5</v>
      </c>
      <c r="AG25" s="316">
        <v>1999</v>
      </c>
      <c r="AH25" s="48">
        <f t="shared" si="46"/>
        <v>0.94280638481808376</v>
      </c>
      <c r="AI25" s="48">
        <f t="shared" si="46"/>
        <v>0.92144298145018988</v>
      </c>
      <c r="AJ25" s="48">
        <f t="shared" si="46"/>
        <v>0.93393254384066871</v>
      </c>
      <c r="AK25" s="48">
        <f t="shared" si="46"/>
        <v>0.91363280596969565</v>
      </c>
      <c r="AL25" s="48">
        <f t="shared" si="46"/>
        <v>0.91457043895864354</v>
      </c>
      <c r="AM25" s="48">
        <f t="shared" si="46"/>
        <v>0.89793590609070917</v>
      </c>
      <c r="AO25" s="316">
        <v>1999</v>
      </c>
      <c r="AP25" s="88" t="e">
        <f>#REF!</f>
        <v>#REF!</v>
      </c>
      <c r="AS25" s="316">
        <v>1999</v>
      </c>
      <c r="AT25" s="308">
        <f t="shared" si="39"/>
        <v>-9.6636148584448023E-3</v>
      </c>
      <c r="AU25" s="308">
        <f t="shared" si="39"/>
        <v>-1.0385426800966213E-2</v>
      </c>
      <c r="AV25" s="308">
        <f t="shared" si="39"/>
        <v>-1.3743608115734163E-2</v>
      </c>
      <c r="AW25" s="308">
        <f t="shared" si="39"/>
        <v>-1.3951862385735647E-2</v>
      </c>
      <c r="AX25" s="308">
        <f t="shared" si="39"/>
        <v>-1.3515110771730843E-2</v>
      </c>
      <c r="AY25" s="308">
        <f t="shared" si="39"/>
        <v>-1.2851558153794795E-2</v>
      </c>
      <c r="BA25" s="316">
        <v>1999</v>
      </c>
      <c r="BB25" s="61">
        <v>21258.2</v>
      </c>
      <c r="BC25" s="61">
        <v>1283</v>
      </c>
      <c r="BD25" s="61">
        <v>10904.4</v>
      </c>
      <c r="BE25" s="61">
        <v>3384.8</v>
      </c>
      <c r="BF25" s="61">
        <v>6758.6</v>
      </c>
      <c r="BG25" s="61">
        <v>28594.1</v>
      </c>
      <c r="BI25" s="316">
        <v>1999</v>
      </c>
      <c r="BJ25" s="61">
        <v>21560.9</v>
      </c>
      <c r="BK25" s="61">
        <v>1329.9</v>
      </c>
      <c r="BL25" s="61">
        <v>11294.8</v>
      </c>
      <c r="BM25" s="61">
        <v>4043.2</v>
      </c>
      <c r="BN25" s="61">
        <v>7180.9</v>
      </c>
      <c r="BO25" s="61">
        <v>30406.5</v>
      </c>
      <c r="BQ25" s="316">
        <v>1999</v>
      </c>
      <c r="BR25" s="75">
        <v>24877</v>
      </c>
      <c r="BS25" s="75">
        <v>1277.2</v>
      </c>
      <c r="BT25" s="75">
        <v>14186</v>
      </c>
      <c r="BU25" s="75">
        <v>3890.6</v>
      </c>
      <c r="BV25" s="75">
        <v>6941.1</v>
      </c>
      <c r="BW25" s="75">
        <v>28399.4</v>
      </c>
      <c r="BY25" s="316">
        <v>1999</v>
      </c>
      <c r="BZ25" s="75">
        <v>26331.3</v>
      </c>
      <c r="CA25" s="75">
        <v>1401.4</v>
      </c>
      <c r="CB25" s="75">
        <v>15274.7</v>
      </c>
      <c r="CC25" s="75">
        <v>4823.6000000000004</v>
      </c>
      <c r="CD25" s="75">
        <v>7615.4</v>
      </c>
      <c r="CE25" s="75">
        <v>32113.8</v>
      </c>
      <c r="CG25" s="316">
        <v>1999</v>
      </c>
      <c r="CH25" s="48">
        <f t="shared" si="47"/>
        <v>0.94476915306118581</v>
      </c>
      <c r="CI25" s="48">
        <f t="shared" si="47"/>
        <v>0.91137433994576844</v>
      </c>
      <c r="CJ25" s="48">
        <f t="shared" si="47"/>
        <v>0.92872527774686242</v>
      </c>
      <c r="CK25" s="48">
        <f t="shared" si="47"/>
        <v>0.80657600132680973</v>
      </c>
      <c r="CL25" s="48">
        <f t="shared" si="47"/>
        <v>0.91145573443285988</v>
      </c>
      <c r="CM25" s="48">
        <f t="shared" si="47"/>
        <v>0.88433632893024194</v>
      </c>
      <c r="CO25" s="316">
        <v>1999</v>
      </c>
      <c r="CP25" s="88" t="e">
        <f>#REF!</f>
        <v>#REF!</v>
      </c>
      <c r="CS25" s="316">
        <v>1999</v>
      </c>
      <c r="CT25" s="308">
        <f t="shared" si="40"/>
        <v>-1.2606128697313923E-2</v>
      </c>
      <c r="CU25" s="308">
        <f t="shared" si="40"/>
        <v>-1.4926748013577962E-2</v>
      </c>
      <c r="CV25" s="308">
        <f t="shared" si="40"/>
        <v>-1.9067374772187451E-2</v>
      </c>
      <c r="CW25" s="308">
        <f t="shared" si="40"/>
        <v>-1.8229981281264407E-2</v>
      </c>
      <c r="CX25" s="308">
        <f t="shared" si="40"/>
        <v>-1.6977017852597198E-2</v>
      </c>
      <c r="CY25" s="308">
        <f t="shared" si="40"/>
        <v>-1.9600517849558075E-2</v>
      </c>
      <c r="DA25" s="316">
        <v>1999</v>
      </c>
      <c r="DB25" s="46">
        <f t="shared" si="23"/>
        <v>23291.599999999988</v>
      </c>
      <c r="DC25" s="46">
        <f t="shared" si="24"/>
        <v>1121.1000000000008</v>
      </c>
      <c r="DD25" s="46">
        <f t="shared" si="25"/>
        <v>15803.400000000012</v>
      </c>
      <c r="DE25" s="46">
        <f t="shared" si="26"/>
        <v>4674.9000000000033</v>
      </c>
      <c r="DF25" s="46">
        <f t="shared" si="27"/>
        <v>3953.0000000000055</v>
      </c>
      <c r="DG25" s="46">
        <f t="shared" si="28"/>
        <v>13429.3</v>
      </c>
      <c r="DI25" s="316">
        <v>1999</v>
      </c>
      <c r="DJ25" s="88">
        <f t="shared" si="29"/>
        <v>5.8099220865391897E-2</v>
      </c>
      <c r="DK25" s="88">
        <f t="shared" si="30"/>
        <v>5.3173526593877807E-2</v>
      </c>
      <c r="DL25" s="88">
        <f t="shared" si="31"/>
        <v>7.6645511236821562E-2</v>
      </c>
      <c r="DM25" s="88">
        <f t="shared" si="32"/>
        <v>8.906183023594752E-2</v>
      </c>
      <c r="DN25" s="88">
        <f t="shared" si="33"/>
        <v>2.0161228626190551E-2</v>
      </c>
      <c r="DO25" s="88">
        <f t="shared" si="34"/>
        <v>2.4710060260361561E-2</v>
      </c>
      <c r="DQ25" s="316">
        <v>1999</v>
      </c>
      <c r="DR25" s="61">
        <v>528069.9</v>
      </c>
      <c r="DS25" s="43"/>
      <c r="DT25" s="61">
        <v>469633.1</v>
      </c>
      <c r="DU25" s="43"/>
      <c r="DV25" s="89">
        <v>-3</v>
      </c>
      <c r="DW25" s="46">
        <f t="shared" si="6"/>
        <v>544401.95876288658</v>
      </c>
      <c r="DX25" s="43"/>
      <c r="DY25" s="46">
        <f t="shared" si="7"/>
        <v>484157.8350515464</v>
      </c>
      <c r="DZ25" s="43"/>
      <c r="EB25" s="316">
        <v>1999</v>
      </c>
      <c r="EC25" s="88">
        <f t="shared" si="8"/>
        <v>4.7109293674947199E-2</v>
      </c>
      <c r="ED25" s="88">
        <f t="shared" si="9"/>
        <v>2.4186192017382549E-3</v>
      </c>
      <c r="EE25" s="88">
        <f t="shared" si="10"/>
        <v>2.6863867832648668E-2</v>
      </c>
      <c r="EF25" s="88">
        <f t="shared" si="11"/>
        <v>7.3675852382421338E-3</v>
      </c>
      <c r="EG25" s="88">
        <f t="shared" si="12"/>
        <v>1.3144282603496241E-2</v>
      </c>
      <c r="EH25" s="88">
        <f t="shared" si="13"/>
        <v>5.3779622735550731E-2</v>
      </c>
      <c r="EI25" s="140"/>
      <c r="EJ25" s="316">
        <v>1999</v>
      </c>
      <c r="EK25" s="88">
        <f t="shared" si="14"/>
        <v>0.69953973138783332</v>
      </c>
      <c r="EL25" s="88">
        <f t="shared" si="15"/>
        <v>3.6160413611910087E-2</v>
      </c>
      <c r="EM25" s="88">
        <f t="shared" si="16"/>
        <v>0.35281302153370225</v>
      </c>
      <c r="EN25" s="88">
        <f t="shared" si="17"/>
        <v>8.8340791626260087E-2</v>
      </c>
      <c r="EO25" s="88">
        <f t="shared" si="18"/>
        <v>0.33554030631172121</v>
      </c>
      <c r="EP25" s="88">
        <f t="shared" si="19"/>
        <v>0.92722517227359491</v>
      </c>
      <c r="ER25" s="316">
        <v>1999</v>
      </c>
      <c r="ES25" s="317">
        <f t="shared" si="35"/>
        <v>126686</v>
      </c>
      <c r="ET25" s="61">
        <v>18742</v>
      </c>
      <c r="EU25" s="61">
        <v>86758</v>
      </c>
      <c r="EV25" s="61">
        <v>21186</v>
      </c>
      <c r="EW25" s="88">
        <f t="shared" si="36"/>
        <v>0.14794057749080403</v>
      </c>
      <c r="EX25" s="88">
        <f t="shared" si="36"/>
        <v>0.68482705271300692</v>
      </c>
      <c r="EY25" s="88">
        <f t="shared" si="36"/>
        <v>0.167232369796189</v>
      </c>
      <c r="EZ25" s="88">
        <f t="shared" si="41"/>
        <v>-2.7389389812444986E-3</v>
      </c>
      <c r="FA25" s="88">
        <f t="shared" si="41"/>
        <v>-2.3581916204028497E-3</v>
      </c>
      <c r="FB25" s="88">
        <f t="shared" si="41"/>
        <v>5.0971306016472651E-3</v>
      </c>
      <c r="FD25" s="316">
        <v>1999</v>
      </c>
      <c r="FE25" s="159">
        <v>1.7434979591836732E-2</v>
      </c>
      <c r="FF25" s="43"/>
      <c r="FG25" s="159">
        <v>8.0000000000000002E-3</v>
      </c>
      <c r="FH25" s="55"/>
      <c r="FI25" s="319">
        <f t="shared" si="45"/>
        <v>9.434979591836732E-3</v>
      </c>
      <c r="FK25" s="345">
        <f t="shared" si="42"/>
        <v>-6.357636274815448E-3</v>
      </c>
      <c r="FL25" s="345">
        <f t="shared" si="43"/>
        <v>4.0426859695847361E-3</v>
      </c>
      <c r="FM25" s="345">
        <f t="shared" si="44"/>
        <v>-1.7866119997980885E-3</v>
      </c>
      <c r="FO25" s="316">
        <v>1999</v>
      </c>
      <c r="FP25" s="61">
        <v>224087.45780971562</v>
      </c>
      <c r="FQ25" s="61">
        <v>12346.873871953054</v>
      </c>
      <c r="FR25" s="61">
        <v>106171.27402252714</v>
      </c>
      <c r="FS25" s="61">
        <v>39279.185919731259</v>
      </c>
      <c r="FT25" s="61">
        <v>76108.415206839811</v>
      </c>
      <c r="FU25" s="61">
        <v>321962.11012480356</v>
      </c>
      <c r="FV25" s="285">
        <f t="shared" si="38"/>
        <v>779955.31695557036</v>
      </c>
    </row>
    <row r="26" spans="1:178">
      <c r="A26" s="316">
        <v>2000</v>
      </c>
      <c r="B26" s="61">
        <v>341085.8</v>
      </c>
      <c r="C26" s="61">
        <v>21494.7</v>
      </c>
      <c r="D26" s="61">
        <v>161614.5</v>
      </c>
      <c r="E26" s="61">
        <v>43573.2</v>
      </c>
      <c r="F26" s="61">
        <v>187043.5</v>
      </c>
      <c r="G26" s="61">
        <v>500109.9</v>
      </c>
      <c r="I26" s="316">
        <v>2000</v>
      </c>
      <c r="J26" s="61">
        <v>344601.2</v>
      </c>
      <c r="K26" s="61">
        <v>22043.8</v>
      </c>
      <c r="L26" s="61">
        <v>165995.29999999999</v>
      </c>
      <c r="M26" s="61">
        <v>45212.3</v>
      </c>
      <c r="N26" s="61">
        <v>197679.2</v>
      </c>
      <c r="O26" s="61">
        <v>525035.80000000005</v>
      </c>
      <c r="Q26" s="316">
        <v>2000</v>
      </c>
      <c r="R26" s="75">
        <v>383484.8</v>
      </c>
      <c r="S26" s="75">
        <v>19774.7</v>
      </c>
      <c r="T26" s="75">
        <v>192225</v>
      </c>
      <c r="U26" s="75">
        <v>47993.4</v>
      </c>
      <c r="V26" s="75">
        <v>186384.7</v>
      </c>
      <c r="W26" s="75">
        <v>520876.5</v>
      </c>
      <c r="Y26" s="316">
        <v>2000</v>
      </c>
      <c r="Z26" s="75">
        <v>407297.5</v>
      </c>
      <c r="AA26" s="75">
        <v>21427.5</v>
      </c>
      <c r="AB26" s="75">
        <v>205301.1</v>
      </c>
      <c r="AC26" s="75">
        <v>52396.3</v>
      </c>
      <c r="AD26" s="75">
        <v>203309.6</v>
      </c>
      <c r="AE26" s="75">
        <v>578866.30000000005</v>
      </c>
      <c r="AG26" s="316">
        <v>2000</v>
      </c>
      <c r="AH26" s="48">
        <f t="shared" si="46"/>
        <v>0.94153487315782691</v>
      </c>
      <c r="AI26" s="48">
        <f t="shared" si="46"/>
        <v>0.92286547660716367</v>
      </c>
      <c r="AJ26" s="48">
        <f t="shared" si="46"/>
        <v>0.93630769635428157</v>
      </c>
      <c r="AK26" s="48">
        <f t="shared" si="46"/>
        <v>0.91596925737122659</v>
      </c>
      <c r="AL26" s="48">
        <f t="shared" si="46"/>
        <v>0.91675307019442276</v>
      </c>
      <c r="AM26" s="48">
        <f t="shared" si="46"/>
        <v>0.8998217723159907</v>
      </c>
      <c r="AO26" s="316">
        <v>2000</v>
      </c>
      <c r="AP26" s="88" t="e">
        <f>#REF!</f>
        <v>#REF!</v>
      </c>
      <c r="AS26" s="316">
        <v>2000</v>
      </c>
      <c r="AT26" s="308">
        <f t="shared" si="39"/>
        <v>-1.3486455763684901E-3</v>
      </c>
      <c r="AU26" s="308">
        <f t="shared" si="39"/>
        <v>1.5437690509454427E-3</v>
      </c>
      <c r="AV26" s="308">
        <f t="shared" si="39"/>
        <v>2.5431735185557081E-3</v>
      </c>
      <c r="AW26" s="308">
        <f t="shared" si="39"/>
        <v>2.557319949835879E-3</v>
      </c>
      <c r="AX26" s="308">
        <f t="shared" si="39"/>
        <v>2.386509712980045E-3</v>
      </c>
      <c r="AY26" s="308">
        <f t="shared" si="39"/>
        <v>2.1002236490261783E-3</v>
      </c>
      <c r="BA26" s="316">
        <v>2000</v>
      </c>
      <c r="BB26" s="61">
        <v>21276.1</v>
      </c>
      <c r="BC26" s="61">
        <v>1103.9000000000001</v>
      </c>
      <c r="BD26" s="61">
        <v>11092.9</v>
      </c>
      <c r="BE26" s="61">
        <v>2980.4</v>
      </c>
      <c r="BF26" s="61">
        <v>8728.4</v>
      </c>
      <c r="BG26" s="61">
        <v>25240.2</v>
      </c>
      <c r="BI26" s="316">
        <v>2000</v>
      </c>
      <c r="BJ26" s="61">
        <v>21572.799999999999</v>
      </c>
      <c r="BK26" s="61">
        <v>1141.3</v>
      </c>
      <c r="BL26" s="61">
        <v>11464</v>
      </c>
      <c r="BM26" s="61">
        <v>3551.8</v>
      </c>
      <c r="BN26" s="61">
        <v>9258.5</v>
      </c>
      <c r="BO26" s="61">
        <v>26737.3</v>
      </c>
      <c r="BQ26" s="316">
        <v>2000</v>
      </c>
      <c r="BR26" s="75">
        <v>25163.8</v>
      </c>
      <c r="BS26" s="75">
        <v>1090.9000000000001</v>
      </c>
      <c r="BT26" s="75">
        <v>14498.5</v>
      </c>
      <c r="BU26" s="75">
        <v>3413.8</v>
      </c>
      <c r="BV26" s="75">
        <v>8937.1</v>
      </c>
      <c r="BW26" s="75">
        <v>25016.1</v>
      </c>
      <c r="BY26" s="316">
        <v>2000</v>
      </c>
      <c r="BZ26" s="75">
        <v>26664.1</v>
      </c>
      <c r="CA26" s="75">
        <v>1194</v>
      </c>
      <c r="CB26" s="75">
        <v>15581.5</v>
      </c>
      <c r="CC26" s="75">
        <v>4216.7</v>
      </c>
      <c r="CD26" s="75">
        <v>9792.4</v>
      </c>
      <c r="CE26" s="75">
        <v>28184.5</v>
      </c>
      <c r="CG26" s="316">
        <v>2000</v>
      </c>
      <c r="CH26" s="48">
        <f t="shared" si="47"/>
        <v>0.94373333433342965</v>
      </c>
      <c r="CI26" s="48">
        <f t="shared" si="47"/>
        <v>0.91365159128978235</v>
      </c>
      <c r="CJ26" s="48">
        <f t="shared" si="47"/>
        <v>0.93049449667875361</v>
      </c>
      <c r="CK26" s="48">
        <f t="shared" si="47"/>
        <v>0.80959043802025288</v>
      </c>
      <c r="CL26" s="48">
        <f t="shared" si="47"/>
        <v>0.91265675421755654</v>
      </c>
      <c r="CM26" s="48">
        <f t="shared" si="47"/>
        <v>0.88758360091539668</v>
      </c>
      <c r="CO26" s="316">
        <v>2000</v>
      </c>
      <c r="CP26" s="88" t="e">
        <f>#REF!</f>
        <v>#REF!</v>
      </c>
      <c r="CS26" s="316">
        <v>2000</v>
      </c>
      <c r="CT26" s="308">
        <f t="shared" si="40"/>
        <v>-1.0963722983545754E-3</v>
      </c>
      <c r="CU26" s="308">
        <f t="shared" si="40"/>
        <v>2.4987003080967352E-3</v>
      </c>
      <c r="CV26" s="308">
        <f t="shared" si="40"/>
        <v>1.9049970688678197E-3</v>
      </c>
      <c r="CW26" s="308">
        <f t="shared" si="40"/>
        <v>3.7373250487051646E-3</v>
      </c>
      <c r="CX26" s="308">
        <f t="shared" si="40"/>
        <v>1.3176940352939148E-3</v>
      </c>
      <c r="CY26" s="308">
        <f t="shared" si="40"/>
        <v>3.6719875446968864E-3</v>
      </c>
      <c r="DA26" s="316">
        <v>2000</v>
      </c>
      <c r="DB26" s="46">
        <f t="shared" si="23"/>
        <v>23299.80000000001</v>
      </c>
      <c r="DC26" s="46">
        <f t="shared" si="24"/>
        <v>1130.5999999999985</v>
      </c>
      <c r="DD26" s="46">
        <f t="shared" si="25"/>
        <v>15939.899999999994</v>
      </c>
      <c r="DE26" s="46">
        <f t="shared" si="26"/>
        <v>4459.599999999994</v>
      </c>
      <c r="DF26" s="46">
        <f t="shared" si="27"/>
        <v>6214.5999999999822</v>
      </c>
      <c r="DG26" s="46">
        <f t="shared" si="28"/>
        <v>11477.699999999953</v>
      </c>
      <c r="DI26" s="316">
        <v>2000</v>
      </c>
      <c r="DJ26" s="88">
        <f t="shared" si="29"/>
        <v>5.7682309847271802E-2</v>
      </c>
      <c r="DK26" s="88">
        <f t="shared" si="30"/>
        <v>5.2920553639048622E-2</v>
      </c>
      <c r="DL26" s="88">
        <f t="shared" si="31"/>
        <v>7.7506266425815457E-2</v>
      </c>
      <c r="DM26" s="88">
        <f t="shared" si="32"/>
        <v>8.4720132524810296E-2</v>
      </c>
      <c r="DN26" s="88">
        <f t="shared" si="33"/>
        <v>3.1114724846018422E-2</v>
      </c>
      <c r="DO26" s="88">
        <f t="shared" si="34"/>
        <v>2.0417159187027797E-2</v>
      </c>
      <c r="DQ26" s="316">
        <v>2000</v>
      </c>
      <c r="DR26" s="61">
        <v>535417.69999999995</v>
      </c>
      <c r="DS26" s="43"/>
      <c r="DT26" s="61">
        <v>482616.8</v>
      </c>
      <c r="DU26" s="43"/>
      <c r="DV26" s="89">
        <v>-1.2</v>
      </c>
      <c r="DW26" s="46">
        <f t="shared" si="6"/>
        <v>541920.74898785423</v>
      </c>
      <c r="DX26" s="43"/>
      <c r="DY26" s="46">
        <f t="shared" si="7"/>
        <v>488478.54251012148</v>
      </c>
      <c r="DZ26" s="43"/>
      <c r="EB26" s="316">
        <v>2000</v>
      </c>
      <c r="EC26" s="88">
        <f t="shared" si="8"/>
        <v>4.6998446259808001E-2</v>
      </c>
      <c r="ED26" s="88">
        <f t="shared" si="9"/>
        <v>2.0374746669749623E-3</v>
      </c>
      <c r="EE26" s="88">
        <f t="shared" si="10"/>
        <v>2.7078858244693818E-2</v>
      </c>
      <c r="EF26" s="88">
        <f t="shared" si="11"/>
        <v>6.3759565662472508E-3</v>
      </c>
      <c r="EG26" s="88">
        <f t="shared" si="12"/>
        <v>1.6691827707601001E-2</v>
      </c>
      <c r="EH26" s="88">
        <f t="shared" si="13"/>
        <v>4.6722586870026901E-2</v>
      </c>
      <c r="EI26" s="140"/>
      <c r="EJ26" s="316">
        <v>2000</v>
      </c>
      <c r="EK26" s="88">
        <f t="shared" si="14"/>
        <v>0.70764000218894518</v>
      </c>
      <c r="EL26" s="88">
        <f t="shared" si="15"/>
        <v>3.6490021902525822E-2</v>
      </c>
      <c r="EM26" s="88">
        <f t="shared" si="16"/>
        <v>0.35471053721234841</v>
      </c>
      <c r="EN26" s="88">
        <f t="shared" si="17"/>
        <v>8.8561657935477295E-2</v>
      </c>
      <c r="EO26" s="88">
        <f t="shared" si="18"/>
        <v>0.34393350014390639</v>
      </c>
      <c r="EP26" s="88">
        <f t="shared" si="19"/>
        <v>0.96116729424522207</v>
      </c>
      <c r="ER26" s="316">
        <v>2000</v>
      </c>
      <c r="ES26" s="317">
        <f t="shared" si="35"/>
        <v>126926</v>
      </c>
      <c r="ET26" s="318">
        <v>18505</v>
      </c>
      <c r="EU26" s="318">
        <v>86380</v>
      </c>
      <c r="EV26" s="318">
        <v>22041</v>
      </c>
      <c r="EW26" s="88">
        <f t="shared" si="36"/>
        <v>0.14579361202590485</v>
      </c>
      <c r="EX26" s="88">
        <f t="shared" si="36"/>
        <v>0.68055402360430484</v>
      </c>
      <c r="EY26" s="88">
        <f t="shared" si="36"/>
        <v>0.17365236436979029</v>
      </c>
      <c r="EZ26" s="88">
        <f t="shared" si="41"/>
        <v>-2.1469654648991754E-3</v>
      </c>
      <c r="FA26" s="88">
        <f t="shared" si="41"/>
        <v>-4.2730291087020866E-3</v>
      </c>
      <c r="FB26" s="88">
        <f t="shared" si="41"/>
        <v>6.4199945736012898E-3</v>
      </c>
      <c r="FD26" s="316">
        <v>2000</v>
      </c>
      <c r="FE26" s="159">
        <v>1.7461935483870965E-2</v>
      </c>
      <c r="FF26" s="43"/>
      <c r="FG26" s="159">
        <v>9.0000000000000011E-3</v>
      </c>
      <c r="FH26" s="55"/>
      <c r="FI26" s="319">
        <f t="shared" si="45"/>
        <v>8.4619354838709644E-3</v>
      </c>
      <c r="FK26" s="345">
        <f t="shared" si="42"/>
        <v>-1.221448286234017E-2</v>
      </c>
      <c r="FL26" s="345">
        <f t="shared" si="43"/>
        <v>3.0615386387319865E-3</v>
      </c>
      <c r="FM26" s="345">
        <f t="shared" si="44"/>
        <v>2.3819882559678422E-3</v>
      </c>
      <c r="FO26" s="316">
        <v>2000</v>
      </c>
      <c r="FP26" s="61">
        <v>222438.65014101149</v>
      </c>
      <c r="FQ26" s="61">
        <v>10892.9707798491</v>
      </c>
      <c r="FR26" s="61">
        <v>105896.07585302283</v>
      </c>
      <c r="FS26" s="61">
        <v>34486.799161285642</v>
      </c>
      <c r="FT26" s="61">
        <v>73298.295024147359</v>
      </c>
      <c r="FU26" s="61">
        <v>288365.18616223783</v>
      </c>
      <c r="FV26" s="285">
        <f t="shared" si="38"/>
        <v>735377.97712155432</v>
      </c>
    </row>
    <row r="27" spans="1:178">
      <c r="A27" s="316">
        <v>2001</v>
      </c>
      <c r="B27" s="61">
        <v>337903</v>
      </c>
      <c r="C27" s="61">
        <v>21243.3</v>
      </c>
      <c r="D27" s="61">
        <v>156625.79999999999</v>
      </c>
      <c r="E27" s="61">
        <v>42297.7</v>
      </c>
      <c r="F27" s="61">
        <v>185914.4</v>
      </c>
      <c r="G27" s="61">
        <v>504881</v>
      </c>
      <c r="I27" s="316">
        <v>2001</v>
      </c>
      <c r="J27" s="61">
        <v>346483.6</v>
      </c>
      <c r="K27" s="61">
        <v>22129.4</v>
      </c>
      <c r="L27" s="61">
        <v>163649.1</v>
      </c>
      <c r="M27" s="61">
        <v>44619.3</v>
      </c>
      <c r="N27" s="61">
        <v>199616.9</v>
      </c>
      <c r="O27" s="61">
        <v>539312.19999999995</v>
      </c>
      <c r="Q27" s="316">
        <v>2001</v>
      </c>
      <c r="R27" s="75">
        <v>380328.1</v>
      </c>
      <c r="S27" s="75">
        <v>19504.599999999999</v>
      </c>
      <c r="T27" s="75">
        <v>188057.60000000001</v>
      </c>
      <c r="U27" s="75">
        <v>46802.2</v>
      </c>
      <c r="V27" s="75">
        <v>185254.8</v>
      </c>
      <c r="W27" s="75">
        <v>526198.4</v>
      </c>
      <c r="Y27" s="316">
        <v>2001</v>
      </c>
      <c r="Z27" s="75">
        <v>409765.9</v>
      </c>
      <c r="AA27" s="75">
        <v>21446.7</v>
      </c>
      <c r="AB27" s="75">
        <v>204072.1</v>
      </c>
      <c r="AC27" s="75">
        <v>51887.7</v>
      </c>
      <c r="AD27" s="75">
        <v>205375</v>
      </c>
      <c r="AE27" s="75">
        <v>595141.80000000005</v>
      </c>
      <c r="AG27" s="316">
        <v>2001</v>
      </c>
      <c r="AH27" s="48">
        <f t="shared" si="46"/>
        <v>0.92815946861366438</v>
      </c>
      <c r="AI27" s="48">
        <f t="shared" si="46"/>
        <v>0.90944527596320168</v>
      </c>
      <c r="AJ27" s="48">
        <f t="shared" si="46"/>
        <v>0.92152528444603643</v>
      </c>
      <c r="AK27" s="48">
        <f t="shared" si="46"/>
        <v>0.90199025973400249</v>
      </c>
      <c r="AL27" s="48">
        <f t="shared" si="46"/>
        <v>0.90203189287888008</v>
      </c>
      <c r="AM27" s="48">
        <f t="shared" si="46"/>
        <v>0.88415634727723713</v>
      </c>
      <c r="AO27" s="316">
        <v>2001</v>
      </c>
      <c r="AP27" s="88" t="e">
        <f>#REF!</f>
        <v>#REF!</v>
      </c>
      <c r="AS27" s="316">
        <v>2001</v>
      </c>
      <c r="AT27" s="308">
        <f t="shared" si="39"/>
        <v>-1.4205957660710533E-2</v>
      </c>
      <c r="AU27" s="308">
        <f t="shared" si="39"/>
        <v>-1.4541881762984765E-2</v>
      </c>
      <c r="AV27" s="308">
        <f t="shared" si="39"/>
        <v>-1.5787985045731978E-2</v>
      </c>
      <c r="AW27" s="308">
        <f t="shared" si="39"/>
        <v>-1.5261426652399823E-2</v>
      </c>
      <c r="AX27" s="308">
        <f t="shared" si="39"/>
        <v>-1.6057952565591838E-2</v>
      </c>
      <c r="AY27" s="308">
        <f t="shared" si="39"/>
        <v>-1.7409475432488608E-2</v>
      </c>
      <c r="BA27" s="316">
        <v>2001</v>
      </c>
      <c r="BB27" s="61">
        <v>20112.099999999999</v>
      </c>
      <c r="BC27" s="61">
        <v>1028.0999999999999</v>
      </c>
      <c r="BD27" s="61">
        <v>9928.1</v>
      </c>
      <c r="BE27" s="61">
        <v>2708.5</v>
      </c>
      <c r="BF27" s="61">
        <v>7565.2</v>
      </c>
      <c r="BG27" s="61">
        <v>24637.3</v>
      </c>
      <c r="BI27" s="316">
        <v>2001</v>
      </c>
      <c r="BJ27" s="61">
        <v>20615.599999999999</v>
      </c>
      <c r="BK27" s="61">
        <v>1075.2</v>
      </c>
      <c r="BL27" s="61">
        <v>10396.799999999999</v>
      </c>
      <c r="BM27" s="61">
        <v>3263.5</v>
      </c>
      <c r="BN27" s="61">
        <v>8100.8</v>
      </c>
      <c r="BO27" s="61">
        <v>26412.7</v>
      </c>
      <c r="BQ27" s="316">
        <v>2001</v>
      </c>
      <c r="BR27" s="75">
        <v>24082.799999999999</v>
      </c>
      <c r="BS27" s="75">
        <v>1039.4000000000001</v>
      </c>
      <c r="BT27" s="75">
        <v>13524.4</v>
      </c>
      <c r="BU27" s="75">
        <v>3123.2</v>
      </c>
      <c r="BV27" s="75">
        <v>7608.2</v>
      </c>
      <c r="BW27" s="75">
        <v>24589.200000000001</v>
      </c>
      <c r="BY27" s="316">
        <v>2001</v>
      </c>
      <c r="BZ27" s="75">
        <v>25798.400000000001</v>
      </c>
      <c r="CA27" s="75">
        <v>1150</v>
      </c>
      <c r="CB27" s="75">
        <v>14711.8</v>
      </c>
      <c r="CC27" s="75">
        <v>3902.6</v>
      </c>
      <c r="CD27" s="75">
        <v>8416.9</v>
      </c>
      <c r="CE27" s="75">
        <v>28035.5</v>
      </c>
      <c r="CG27" s="316">
        <v>2001</v>
      </c>
      <c r="CH27" s="48">
        <f t="shared" si="47"/>
        <v>0.93349975192259982</v>
      </c>
      <c r="CI27" s="48">
        <f t="shared" si="47"/>
        <v>0.90382608695652178</v>
      </c>
      <c r="CJ27" s="48">
        <f t="shared" si="47"/>
        <v>0.91928927799453497</v>
      </c>
      <c r="CK27" s="48">
        <f t="shared" si="47"/>
        <v>0.80028698816173827</v>
      </c>
      <c r="CL27" s="48">
        <f t="shared" si="47"/>
        <v>0.90391949530112037</v>
      </c>
      <c r="CM27" s="48">
        <f t="shared" si="47"/>
        <v>0.87707371011752955</v>
      </c>
      <c r="CO27" s="316">
        <v>2001</v>
      </c>
      <c r="CP27" s="88" t="e">
        <f>#REF!</f>
        <v>#REF!</v>
      </c>
      <c r="CS27" s="316">
        <v>2001</v>
      </c>
      <c r="CT27" s="308">
        <f t="shared" si="40"/>
        <v>-1.0843722520470167E-2</v>
      </c>
      <c r="CU27" s="308">
        <f t="shared" si="40"/>
        <v>-1.0754104110287988E-2</v>
      </c>
      <c r="CV27" s="308">
        <f t="shared" si="40"/>
        <v>-1.2042219190133707E-2</v>
      </c>
      <c r="CW27" s="308">
        <f t="shared" si="40"/>
        <v>-1.1491551062862038E-2</v>
      </c>
      <c r="CX27" s="308">
        <f t="shared" si="40"/>
        <v>-9.5734336880318738E-3</v>
      </c>
      <c r="CY27" s="308">
        <f t="shared" si="40"/>
        <v>-1.1841015073991823E-2</v>
      </c>
      <c r="DA27" s="316">
        <v>2001</v>
      </c>
      <c r="DB27" s="46">
        <f t="shared" si="23"/>
        <v>23329.999999999978</v>
      </c>
      <c r="DC27" s="46">
        <f t="shared" si="24"/>
        <v>1130.7999999999993</v>
      </c>
      <c r="DD27" s="46">
        <f t="shared" si="25"/>
        <v>15940.8</v>
      </c>
      <c r="DE27" s="46">
        <f t="shared" si="26"/>
        <v>4411.2000000000062</v>
      </c>
      <c r="DF27" s="46">
        <f t="shared" si="27"/>
        <v>6351.5000000000055</v>
      </c>
      <c r="DG27" s="46">
        <f t="shared" si="28"/>
        <v>11760</v>
      </c>
      <c r="DI27" s="316">
        <v>2001</v>
      </c>
      <c r="DJ27" s="88">
        <f t="shared" si="29"/>
        <v>5.7279998035833703E-2</v>
      </c>
      <c r="DK27" s="88">
        <f t="shared" si="30"/>
        <v>5.277330533193323E-2</v>
      </c>
      <c r="DL27" s="88">
        <f t="shared" si="31"/>
        <v>7.7645955136139061E-2</v>
      </c>
      <c r="DM27" s="88">
        <f t="shared" si="32"/>
        <v>8.4189150760645426E-2</v>
      </c>
      <c r="DN27" s="88">
        <f t="shared" si="33"/>
        <v>3.1240531681730747E-2</v>
      </c>
      <c r="DO27" s="88">
        <f t="shared" si="34"/>
        <v>2.0315572006869287E-2</v>
      </c>
      <c r="DQ27" s="316">
        <v>2001</v>
      </c>
      <c r="DR27" s="61">
        <v>531653.9</v>
      </c>
      <c r="DS27" s="43"/>
      <c r="DT27" s="61">
        <v>484480.2</v>
      </c>
      <c r="DU27" s="43"/>
      <c r="DV27" s="89">
        <v>-1.7</v>
      </c>
      <c r="DW27" s="46">
        <f t="shared" si="6"/>
        <v>540848.32146490342</v>
      </c>
      <c r="DX27" s="43"/>
      <c r="DY27" s="46">
        <f t="shared" si="7"/>
        <v>492858.7995930824</v>
      </c>
      <c r="DZ27" s="43"/>
      <c r="EB27" s="316">
        <v>2001</v>
      </c>
      <c r="EC27" s="88">
        <f t="shared" si="8"/>
        <v>4.5297890225201018E-2</v>
      </c>
      <c r="ED27" s="88">
        <f t="shared" si="9"/>
        <v>1.9550312712838182E-3</v>
      </c>
      <c r="EE27" s="88">
        <f t="shared" si="10"/>
        <v>2.5438353786175552E-2</v>
      </c>
      <c r="EF27" s="88">
        <f t="shared" si="11"/>
        <v>5.8744984283948627E-3</v>
      </c>
      <c r="EG27" s="88">
        <f t="shared" si="12"/>
        <v>1.4310437673832542E-2</v>
      </c>
      <c r="EH27" s="88">
        <f t="shared" si="13"/>
        <v>4.6250389586157459E-2</v>
      </c>
      <c r="EI27" s="140"/>
      <c r="EJ27" s="316">
        <v>2001</v>
      </c>
      <c r="EK27" s="88">
        <f t="shared" si="14"/>
        <v>0.70320658289161408</v>
      </c>
      <c r="EL27" s="88">
        <f t="shared" si="15"/>
        <v>3.6062975932274734E-2</v>
      </c>
      <c r="EM27" s="88">
        <f t="shared" si="16"/>
        <v>0.3477085765758513</v>
      </c>
      <c r="EN27" s="88">
        <f t="shared" si="17"/>
        <v>8.6534797544041323E-2</v>
      </c>
      <c r="EO27" s="88">
        <f t="shared" si="18"/>
        <v>0.34252634730978171</v>
      </c>
      <c r="EP27" s="88">
        <f t="shared" si="19"/>
        <v>0.97291306844546788</v>
      </c>
      <c r="ER27" s="316">
        <v>2001</v>
      </c>
      <c r="ES27" s="317">
        <f t="shared" si="35"/>
        <v>127291</v>
      </c>
      <c r="ET27" s="318">
        <v>18283</v>
      </c>
      <c r="EU27" s="318">
        <v>86139</v>
      </c>
      <c r="EV27" s="318">
        <v>22869</v>
      </c>
      <c r="EW27" s="88">
        <f t="shared" si="36"/>
        <v>0.14363152147441688</v>
      </c>
      <c r="EX27" s="88">
        <f t="shared" si="36"/>
        <v>0.67670927245445478</v>
      </c>
      <c r="EY27" s="88">
        <f t="shared" si="36"/>
        <v>0.17965920607112837</v>
      </c>
      <c r="EZ27" s="88">
        <f t="shared" si="41"/>
        <v>-2.1620905514879718E-3</v>
      </c>
      <c r="FA27" s="88">
        <f t="shared" si="41"/>
        <v>-3.8447511498500564E-3</v>
      </c>
      <c r="FB27" s="88">
        <f t="shared" si="41"/>
        <v>6.0068417013380837E-3</v>
      </c>
      <c r="FD27" s="316">
        <v>2001</v>
      </c>
      <c r="FE27" s="159">
        <v>1.3287439024390255E-2</v>
      </c>
      <c r="FF27" s="43"/>
      <c r="FG27" s="159">
        <v>9.0000000000000011E-3</v>
      </c>
      <c r="FH27" s="55"/>
      <c r="FI27" s="319">
        <f t="shared" si="45"/>
        <v>4.2874390243902542E-3</v>
      </c>
      <c r="FK27" s="345">
        <f t="shared" si="42"/>
        <v>-1.3216319091094997E-2</v>
      </c>
      <c r="FL27" s="345">
        <f t="shared" si="43"/>
        <v>2.5989702984959839E-3</v>
      </c>
      <c r="FM27" s="345">
        <f t="shared" si="44"/>
        <v>-1.8610159584391342E-5</v>
      </c>
      <c r="FO27" s="316">
        <v>2001</v>
      </c>
      <c r="FP27" s="61">
        <v>211600.13096553594</v>
      </c>
      <c r="FQ27" s="61">
        <v>10655.395056802863</v>
      </c>
      <c r="FR27" s="61">
        <v>98030.729515460524</v>
      </c>
      <c r="FS27" s="61">
        <v>31315.076687863988</v>
      </c>
      <c r="FT27" s="61">
        <v>71034.623706564613</v>
      </c>
      <c r="FU27" s="61">
        <v>289550.86796045094</v>
      </c>
      <c r="FV27" s="285">
        <f t="shared" si="38"/>
        <v>712186.82389267883</v>
      </c>
    </row>
    <row r="28" spans="1:178">
      <c r="A28" s="316">
        <v>2002</v>
      </c>
      <c r="B28" s="61">
        <v>335870.4</v>
      </c>
      <c r="C28" s="61">
        <v>21063.7</v>
      </c>
      <c r="D28" s="61">
        <v>152422</v>
      </c>
      <c r="E28" s="61">
        <v>41358.300000000003</v>
      </c>
      <c r="F28" s="61">
        <v>184982.5</v>
      </c>
      <c r="G28" s="61">
        <v>511975.7</v>
      </c>
      <c r="I28" s="316">
        <v>2002</v>
      </c>
      <c r="J28" s="61">
        <v>347765.2</v>
      </c>
      <c r="K28" s="61">
        <v>22136.6</v>
      </c>
      <c r="L28" s="61">
        <v>160561.79999999999</v>
      </c>
      <c r="M28" s="61">
        <v>43996.4</v>
      </c>
      <c r="N28" s="61">
        <v>200318.3</v>
      </c>
      <c r="O28" s="61">
        <v>551853.9</v>
      </c>
      <c r="Q28" s="316">
        <v>2002</v>
      </c>
      <c r="R28" s="75">
        <v>378123</v>
      </c>
      <c r="S28" s="75">
        <v>19257.099999999999</v>
      </c>
      <c r="T28" s="75">
        <v>184406.39999999999</v>
      </c>
      <c r="U28" s="75">
        <v>45936.3</v>
      </c>
      <c r="V28" s="75">
        <v>184519.5</v>
      </c>
      <c r="W28" s="75">
        <v>533665</v>
      </c>
      <c r="Y28" s="316">
        <v>2002</v>
      </c>
      <c r="Z28" s="75">
        <v>411582.4</v>
      </c>
      <c r="AA28" s="75">
        <v>21368</v>
      </c>
      <c r="AB28" s="75">
        <v>201892</v>
      </c>
      <c r="AC28" s="75">
        <v>51390</v>
      </c>
      <c r="AD28" s="75">
        <v>206334.9</v>
      </c>
      <c r="AE28" s="75">
        <v>609422.9</v>
      </c>
      <c r="AG28" s="316">
        <v>2002</v>
      </c>
      <c r="AH28" s="48">
        <f t="shared" si="46"/>
        <v>0.91870546456796987</v>
      </c>
      <c r="AI28" s="48">
        <f t="shared" si="46"/>
        <v>0.90121209284912007</v>
      </c>
      <c r="AJ28" s="48">
        <f t="shared" si="46"/>
        <v>0.91339131813048557</v>
      </c>
      <c r="AK28" s="48">
        <f t="shared" si="46"/>
        <v>0.89387624051371872</v>
      </c>
      <c r="AL28" s="48">
        <f t="shared" si="46"/>
        <v>0.89427188517308509</v>
      </c>
      <c r="AM28" s="48">
        <f t="shared" si="46"/>
        <v>0.87568911506279135</v>
      </c>
      <c r="AO28" s="316">
        <v>2002</v>
      </c>
      <c r="AP28" s="88" t="e">
        <f>#REF!</f>
        <v>#REF!</v>
      </c>
      <c r="AS28" s="316">
        <v>2002</v>
      </c>
      <c r="AT28" s="308">
        <f t="shared" si="39"/>
        <v>-1.0185754027608462E-2</v>
      </c>
      <c r="AU28" s="308">
        <f t="shared" si="39"/>
        <v>-9.0529725445676057E-3</v>
      </c>
      <c r="AV28" s="308">
        <f t="shared" si="39"/>
        <v>-8.8266339001652483E-3</v>
      </c>
      <c r="AW28" s="308">
        <f t="shared" si="39"/>
        <v>-8.9956838587997856E-3</v>
      </c>
      <c r="AX28" s="308">
        <f t="shared" si="39"/>
        <v>-8.6028085781185704E-3</v>
      </c>
      <c r="AY28" s="308">
        <f t="shared" si="39"/>
        <v>-9.5766232301793819E-3</v>
      </c>
      <c r="BA28" s="316">
        <v>2002</v>
      </c>
      <c r="BB28" s="61">
        <v>19249.900000000001</v>
      </c>
      <c r="BC28" s="61">
        <v>940.5</v>
      </c>
      <c r="BD28" s="61">
        <v>8945.1</v>
      </c>
      <c r="BE28" s="61">
        <v>2604.6</v>
      </c>
      <c r="BF28" s="61">
        <v>6371.4</v>
      </c>
      <c r="BG28" s="61">
        <v>22963.1</v>
      </c>
      <c r="BI28" s="316">
        <v>2002</v>
      </c>
      <c r="BJ28" s="61">
        <v>19986.3</v>
      </c>
      <c r="BK28" s="61">
        <v>995.3</v>
      </c>
      <c r="BL28" s="61">
        <v>9468</v>
      </c>
      <c r="BM28" s="61">
        <v>3176.7</v>
      </c>
      <c r="BN28" s="61">
        <v>6902.8</v>
      </c>
      <c r="BO28" s="61">
        <v>24954.799999999999</v>
      </c>
      <c r="BQ28" s="316">
        <v>2002</v>
      </c>
      <c r="BR28" s="75">
        <v>23184.6</v>
      </c>
      <c r="BS28" s="75">
        <v>940.8</v>
      </c>
      <c r="BT28" s="75">
        <v>12459.8</v>
      </c>
      <c r="BU28" s="75">
        <v>3065.5</v>
      </c>
      <c r="BV28" s="75">
        <v>6567</v>
      </c>
      <c r="BW28" s="75">
        <v>22757.7</v>
      </c>
      <c r="BY28" s="316">
        <v>2002</v>
      </c>
      <c r="BZ28" s="75">
        <v>25157.1</v>
      </c>
      <c r="CA28" s="75">
        <v>1053</v>
      </c>
      <c r="CB28" s="75">
        <v>13697</v>
      </c>
      <c r="CC28" s="75">
        <v>3875.6</v>
      </c>
      <c r="CD28" s="75">
        <v>7351.6</v>
      </c>
      <c r="CE28" s="75">
        <v>26311.7</v>
      </c>
      <c r="CG28" s="316">
        <v>2002</v>
      </c>
      <c r="CH28" s="48">
        <f t="shared" si="47"/>
        <v>0.92159271140155263</v>
      </c>
      <c r="CI28" s="48">
        <f t="shared" si="47"/>
        <v>0.89344729344729346</v>
      </c>
      <c r="CJ28" s="48">
        <f t="shared" si="47"/>
        <v>0.90967365116448851</v>
      </c>
      <c r="CK28" s="48">
        <f t="shared" si="47"/>
        <v>0.79097430075343178</v>
      </c>
      <c r="CL28" s="48">
        <f t="shared" si="47"/>
        <v>0.89327493334784258</v>
      </c>
      <c r="CM28" s="48">
        <f t="shared" si="47"/>
        <v>0.86492700965730074</v>
      </c>
      <c r="CO28" s="316">
        <v>2002</v>
      </c>
      <c r="CP28" s="88" t="e">
        <f>#REF!</f>
        <v>#REF!</v>
      </c>
      <c r="CS28" s="316">
        <v>2002</v>
      </c>
      <c r="CT28" s="308">
        <f t="shared" si="40"/>
        <v>-1.2755269079101406E-2</v>
      </c>
      <c r="CU28" s="308">
        <f t="shared" si="40"/>
        <v>-1.148317542391053E-2</v>
      </c>
      <c r="CV28" s="308">
        <f t="shared" si="40"/>
        <v>-1.0459848776897873E-2</v>
      </c>
      <c r="CW28" s="308">
        <f t="shared" si="40"/>
        <v>-1.1636684771918815E-2</v>
      </c>
      <c r="CX28" s="308">
        <f t="shared" si="40"/>
        <v>-1.1776006611885048E-2</v>
      </c>
      <c r="CY28" s="308">
        <f t="shared" si="40"/>
        <v>-1.3849121596178238E-2</v>
      </c>
      <c r="DA28" s="316">
        <v>2002</v>
      </c>
      <c r="DB28" s="46">
        <f t="shared" si="23"/>
        <v>23340.6</v>
      </c>
      <c r="DC28" s="46">
        <f t="shared" si="24"/>
        <v>1131.7000000000007</v>
      </c>
      <c r="DD28" s="46">
        <f t="shared" si="25"/>
        <v>15877.100000000006</v>
      </c>
      <c r="DE28" s="46">
        <f t="shared" si="26"/>
        <v>4373.2999999999975</v>
      </c>
      <c r="DF28" s="46">
        <f t="shared" si="27"/>
        <v>6391.7000000000062</v>
      </c>
      <c r="DG28" s="46">
        <f t="shared" si="28"/>
        <v>12030.600000000024</v>
      </c>
      <c r="DI28" s="316">
        <v>2002</v>
      </c>
      <c r="DJ28" s="88">
        <f t="shared" si="29"/>
        <v>5.696081591952868E-2</v>
      </c>
      <c r="DK28" s="88">
        <f t="shared" si="30"/>
        <v>5.276802491758642E-2</v>
      </c>
      <c r="DL28" s="88">
        <f t="shared" si="31"/>
        <v>7.7801424104519942E-2</v>
      </c>
      <c r="DM28" s="88">
        <f t="shared" si="32"/>
        <v>8.4283943979016174E-2</v>
      </c>
      <c r="DN28" s="88">
        <f t="shared" si="33"/>
        <v>3.1122093730979943E-2</v>
      </c>
      <c r="DO28" s="88">
        <f t="shared" si="34"/>
        <v>2.0214678249788575E-2</v>
      </c>
      <c r="DQ28" s="316">
        <v>2002</v>
      </c>
      <c r="DR28" s="61">
        <v>524478.69999999995</v>
      </c>
      <c r="DS28" s="61">
        <v>523.46600000000001</v>
      </c>
      <c r="DT28" s="61">
        <v>484683.5</v>
      </c>
      <c r="DU28" s="61">
        <v>486.54559999999998</v>
      </c>
      <c r="DV28" s="89">
        <v>-2.7</v>
      </c>
      <c r="DW28" s="46">
        <f t="shared" si="6"/>
        <v>539032.57965056528</v>
      </c>
      <c r="DX28" s="61">
        <v>537.43942505133475</v>
      </c>
      <c r="DY28" s="46">
        <f t="shared" si="7"/>
        <v>498133.09352517989</v>
      </c>
      <c r="DZ28" s="61">
        <v>499.53347022587269</v>
      </c>
      <c r="EB28" s="316">
        <v>2002</v>
      </c>
      <c r="EC28" s="88">
        <f t="shared" si="8"/>
        <v>4.4205036353239892E-2</v>
      </c>
      <c r="ED28" s="88">
        <f t="shared" si="9"/>
        <v>1.7937811392531289E-3</v>
      </c>
      <c r="EE28" s="88">
        <f t="shared" si="10"/>
        <v>2.3756541495393427E-2</v>
      </c>
      <c r="EF28" s="88">
        <f t="shared" si="11"/>
        <v>5.844851278040462E-3</v>
      </c>
      <c r="EG28" s="88">
        <f t="shared" si="12"/>
        <v>1.2521004189493302E-2</v>
      </c>
      <c r="EH28" s="88">
        <f t="shared" si="13"/>
        <v>4.3391085281442324E-2</v>
      </c>
      <c r="EI28" s="140"/>
      <c r="EJ28" s="316">
        <v>2002</v>
      </c>
      <c r="EK28" s="88">
        <f t="shared" si="14"/>
        <v>0.70148450070517632</v>
      </c>
      <c r="EL28" s="88">
        <f t="shared" si="15"/>
        <v>3.5725298853890537E-2</v>
      </c>
      <c r="EM28" s="88">
        <f t="shared" si="16"/>
        <v>0.34210622318885398</v>
      </c>
      <c r="EN28" s="88">
        <f t="shared" si="17"/>
        <v>8.5219895297940607E-2</v>
      </c>
      <c r="EO28" s="88">
        <f t="shared" si="18"/>
        <v>0.34231604353046174</v>
      </c>
      <c r="EP28" s="88">
        <f t="shared" si="19"/>
        <v>0.99004219809117122</v>
      </c>
      <c r="ER28" s="316">
        <v>2002</v>
      </c>
      <c r="ES28" s="317">
        <f t="shared" si="35"/>
        <v>127436</v>
      </c>
      <c r="ET28" s="318">
        <v>18102</v>
      </c>
      <c r="EU28" s="318">
        <v>85706</v>
      </c>
      <c r="EV28" s="318">
        <v>23628</v>
      </c>
      <c r="EW28" s="88">
        <f t="shared" si="36"/>
        <v>0.14204777299978028</v>
      </c>
      <c r="EX28" s="88">
        <f t="shared" si="36"/>
        <v>0.67254151103298909</v>
      </c>
      <c r="EY28" s="88">
        <f t="shared" si="36"/>
        <v>0.1854107159672306</v>
      </c>
      <c r="EZ28" s="88">
        <f t="shared" si="41"/>
        <v>-1.5837484746366037E-3</v>
      </c>
      <c r="FA28" s="88">
        <f t="shared" si="41"/>
        <v>-4.1677614214656877E-3</v>
      </c>
      <c r="FB28" s="88">
        <f t="shared" si="41"/>
        <v>5.751509896102236E-3</v>
      </c>
      <c r="FD28" s="316">
        <v>2002</v>
      </c>
      <c r="FE28" s="159">
        <v>1.2699065040650411E-2</v>
      </c>
      <c r="FF28" s="159">
        <v>1.1000000000000001E-2</v>
      </c>
      <c r="FG28" s="159">
        <v>0.01</v>
      </c>
      <c r="FH28" s="159">
        <v>0.01</v>
      </c>
      <c r="FI28" s="319">
        <f t="shared" si="45"/>
        <v>2.6990650406504106E-3</v>
      </c>
      <c r="FK28" s="345">
        <f t="shared" si="42"/>
        <v>-2.871929246403282E-2</v>
      </c>
      <c r="FL28" s="345">
        <f t="shared" si="43"/>
        <v>-4.8634839656602757E-3</v>
      </c>
      <c r="FM28" s="345">
        <f t="shared" si="44"/>
        <v>-1.2042999894578722E-3</v>
      </c>
      <c r="FO28" s="316">
        <v>2002</v>
      </c>
      <c r="FP28" s="61">
        <v>202702.63081743242</v>
      </c>
      <c r="FQ28" s="61">
        <v>10173.553061078926</v>
      </c>
      <c r="FR28" s="61">
        <v>90025.963727167808</v>
      </c>
      <c r="FS28" s="61">
        <v>29690.450854777802</v>
      </c>
      <c r="FT28" s="61">
        <v>62842.394694031776</v>
      </c>
      <c r="FU28" s="61">
        <v>270958.53636404313</v>
      </c>
      <c r="FV28" s="285">
        <f t="shared" si="38"/>
        <v>666393.52951853187</v>
      </c>
    </row>
    <row r="29" spans="1:178">
      <c r="A29" s="316">
        <v>2003</v>
      </c>
      <c r="B29" s="61">
        <v>338468.8</v>
      </c>
      <c r="C29" s="61">
        <v>21090.799999999999</v>
      </c>
      <c r="D29" s="61">
        <v>150556.9</v>
      </c>
      <c r="E29" s="61">
        <v>40955.800000000003</v>
      </c>
      <c r="F29" s="61">
        <v>186665.3</v>
      </c>
      <c r="G29" s="61">
        <v>526334.4</v>
      </c>
      <c r="I29" s="316">
        <v>2003</v>
      </c>
      <c r="J29" s="61">
        <v>348845.8</v>
      </c>
      <c r="K29" s="61">
        <v>22020</v>
      </c>
      <c r="L29" s="61">
        <v>157663.1</v>
      </c>
      <c r="M29" s="61">
        <v>43297.8</v>
      </c>
      <c r="N29" s="61">
        <v>200675</v>
      </c>
      <c r="O29" s="61">
        <v>562040.19999999995</v>
      </c>
      <c r="Q29" s="316">
        <v>2003</v>
      </c>
      <c r="R29" s="75">
        <v>380660</v>
      </c>
      <c r="S29" s="75">
        <v>19201.400000000001</v>
      </c>
      <c r="T29" s="75">
        <v>183528.8</v>
      </c>
      <c r="U29" s="75">
        <v>45683</v>
      </c>
      <c r="V29" s="75">
        <v>186334.4</v>
      </c>
      <c r="W29" s="75">
        <v>548938.30000000005</v>
      </c>
      <c r="Y29" s="316">
        <v>2003</v>
      </c>
      <c r="Z29" s="75">
        <v>413311.2</v>
      </c>
      <c r="AA29" s="75">
        <v>21163.200000000001</v>
      </c>
      <c r="AB29" s="75">
        <v>199719.8</v>
      </c>
      <c r="AC29" s="75">
        <v>50780.800000000003</v>
      </c>
      <c r="AD29" s="75">
        <v>206947.7</v>
      </c>
      <c r="AE29" s="75">
        <v>621223.19999999995</v>
      </c>
      <c r="AG29" s="316">
        <v>2003</v>
      </c>
      <c r="AH29" s="48">
        <f t="shared" si="46"/>
        <v>0.92100093101759639</v>
      </c>
      <c r="AI29" s="48">
        <f t="shared" si="46"/>
        <v>0.90730135329250783</v>
      </c>
      <c r="AJ29" s="48">
        <f t="shared" si="46"/>
        <v>0.91893142292351582</v>
      </c>
      <c r="AK29" s="48">
        <f t="shared" si="46"/>
        <v>0.89961166425105543</v>
      </c>
      <c r="AL29" s="48">
        <f t="shared" si="46"/>
        <v>0.90039367434380757</v>
      </c>
      <c r="AM29" s="48">
        <f t="shared" si="46"/>
        <v>0.88364101662655237</v>
      </c>
      <c r="AO29" s="316">
        <v>2003</v>
      </c>
      <c r="AP29" s="88" t="e">
        <f>#REF!</f>
        <v>#REF!</v>
      </c>
      <c r="AS29" s="316">
        <v>2003</v>
      </c>
      <c r="AT29" s="308">
        <f t="shared" si="39"/>
        <v>2.4985880003511873E-3</v>
      </c>
      <c r="AU29" s="308">
        <f t="shared" si="39"/>
        <v>6.7567451565557768E-3</v>
      </c>
      <c r="AV29" s="308">
        <f t="shared" si="39"/>
        <v>6.0654230920100805E-3</v>
      </c>
      <c r="AW29" s="308">
        <f t="shared" si="39"/>
        <v>6.416351030921863E-3</v>
      </c>
      <c r="AX29" s="308">
        <f t="shared" si="39"/>
        <v>6.8455570081324968E-3</v>
      </c>
      <c r="AY29" s="308">
        <f t="shared" si="39"/>
        <v>9.0807358764426471E-3</v>
      </c>
      <c r="BA29" s="316">
        <v>2003</v>
      </c>
      <c r="BB29" s="61">
        <v>18975.099999999999</v>
      </c>
      <c r="BC29" s="61">
        <v>820.5</v>
      </c>
      <c r="BD29" s="61">
        <v>8894.2000000000007</v>
      </c>
      <c r="BE29" s="61">
        <v>2492.5</v>
      </c>
      <c r="BF29" s="61">
        <v>6089.4</v>
      </c>
      <c r="BG29" s="61">
        <v>21077</v>
      </c>
      <c r="BI29" s="316">
        <v>2003</v>
      </c>
      <c r="BJ29" s="61">
        <v>19720.099999999999</v>
      </c>
      <c r="BK29" s="61">
        <v>867.1</v>
      </c>
      <c r="BL29" s="61">
        <v>9411</v>
      </c>
      <c r="BM29" s="61">
        <v>3035.4</v>
      </c>
      <c r="BN29" s="61">
        <v>6596.4</v>
      </c>
      <c r="BO29" s="61">
        <v>22838.5</v>
      </c>
      <c r="BQ29" s="316">
        <v>2003</v>
      </c>
      <c r="BR29" s="75">
        <v>23019.200000000001</v>
      </c>
      <c r="BS29" s="75">
        <v>826</v>
      </c>
      <c r="BT29" s="75">
        <v>12348.1</v>
      </c>
      <c r="BU29" s="75">
        <v>2944.7</v>
      </c>
      <c r="BV29" s="75">
        <v>6296</v>
      </c>
      <c r="BW29" s="75">
        <v>20861.2</v>
      </c>
      <c r="BY29" s="316">
        <v>2003</v>
      </c>
      <c r="BZ29" s="75">
        <v>25042.3</v>
      </c>
      <c r="CA29" s="75">
        <v>922.7</v>
      </c>
      <c r="CB29" s="75">
        <v>13565</v>
      </c>
      <c r="CC29" s="75">
        <v>3717.9</v>
      </c>
      <c r="CD29" s="75">
        <v>7052</v>
      </c>
      <c r="CE29" s="75">
        <v>24061.9</v>
      </c>
      <c r="CG29" s="316">
        <v>2003</v>
      </c>
      <c r="CH29" s="48">
        <f t="shared" si="47"/>
        <v>0.91921269212492474</v>
      </c>
      <c r="CI29" s="48">
        <f t="shared" si="47"/>
        <v>0.89519887287308975</v>
      </c>
      <c r="CJ29" s="48">
        <f t="shared" si="47"/>
        <v>0.91029119056395136</v>
      </c>
      <c r="CK29" s="48">
        <f t="shared" si="47"/>
        <v>0.79203313698593281</v>
      </c>
      <c r="CL29" s="48">
        <f t="shared" si="47"/>
        <v>0.89279636982416333</v>
      </c>
      <c r="CM29" s="48">
        <f t="shared" si="47"/>
        <v>0.86698057925600225</v>
      </c>
      <c r="CO29" s="316">
        <v>2003</v>
      </c>
      <c r="CP29" s="88" t="e">
        <f>#REF!</f>
        <v>#REF!</v>
      </c>
      <c r="CS29" s="316">
        <v>2003</v>
      </c>
      <c r="CT29" s="308">
        <f t="shared" si="40"/>
        <v>-2.5825066183611245E-3</v>
      </c>
      <c r="CU29" s="308">
        <f t="shared" si="40"/>
        <v>1.960473145582009E-3</v>
      </c>
      <c r="CV29" s="308">
        <f t="shared" si="40"/>
        <v>6.7885818026303113E-4</v>
      </c>
      <c r="CW29" s="308">
        <f t="shared" si="40"/>
        <v>1.3386480843846638E-3</v>
      </c>
      <c r="CX29" s="308">
        <f t="shared" si="40"/>
        <v>-5.3574045997872854E-4</v>
      </c>
      <c r="CY29" s="308">
        <f t="shared" si="40"/>
        <v>2.3742692455808179E-3</v>
      </c>
      <c r="DA29" s="316">
        <v>2003</v>
      </c>
      <c r="DB29" s="46">
        <f t="shared" si="23"/>
        <v>23313.500000000011</v>
      </c>
      <c r="DC29" s="46">
        <f t="shared" si="24"/>
        <v>1127.4999999999993</v>
      </c>
      <c r="DD29" s="46">
        <f t="shared" si="25"/>
        <v>15737.200000000012</v>
      </c>
      <c r="DE29" s="46">
        <f t="shared" si="26"/>
        <v>4327.0999999999967</v>
      </c>
      <c r="DF29" s="46">
        <f t="shared" si="27"/>
        <v>6439.1999999999825</v>
      </c>
      <c r="DG29" s="46">
        <f t="shared" si="28"/>
        <v>12261.600000000071</v>
      </c>
      <c r="DI29" s="316">
        <v>2003</v>
      </c>
      <c r="DJ29" s="88">
        <f t="shared" si="29"/>
        <v>5.664357853980153E-2</v>
      </c>
      <c r="DK29" s="88">
        <f t="shared" si="30"/>
        <v>5.2765818045675747E-2</v>
      </c>
      <c r="DL29" s="88">
        <f t="shared" si="31"/>
        <v>7.7948606185485367E-2</v>
      </c>
      <c r="DM29" s="88">
        <f t="shared" si="32"/>
        <v>8.4201206460400788E-2</v>
      </c>
      <c r="DN29" s="88">
        <f t="shared" si="33"/>
        <v>3.1207517487346941E-2</v>
      </c>
      <c r="DO29" s="88">
        <f t="shared" si="34"/>
        <v>2.0120018463369315E-2</v>
      </c>
      <c r="DQ29" s="316">
        <v>2003</v>
      </c>
      <c r="DR29" s="61">
        <v>523968.6</v>
      </c>
      <c r="DS29" s="61">
        <v>526.22259999999994</v>
      </c>
      <c r="DT29" s="61">
        <v>492124</v>
      </c>
      <c r="DU29" s="61">
        <v>495.92520000000002</v>
      </c>
      <c r="DV29" s="89">
        <v>-2.2000000000000002</v>
      </c>
      <c r="DW29" s="46">
        <f t="shared" si="6"/>
        <v>535755.21472392639</v>
      </c>
      <c r="DX29" s="61">
        <v>535.86822810590627</v>
      </c>
      <c r="DY29" s="46">
        <f t="shared" si="7"/>
        <v>503194.27402862988</v>
      </c>
      <c r="DZ29" s="61">
        <v>505.01547861507129</v>
      </c>
      <c r="EB29" s="316">
        <v>2003</v>
      </c>
      <c r="EC29" s="88">
        <f t="shared" si="8"/>
        <v>4.3932403582962798E-2</v>
      </c>
      <c r="ED29" s="88">
        <f t="shared" si="9"/>
        <v>1.5764303433450021E-3</v>
      </c>
      <c r="EE29" s="88">
        <f t="shared" si="10"/>
        <v>2.3566488526220848E-2</v>
      </c>
      <c r="EF29" s="88">
        <f t="shared" si="11"/>
        <v>5.6199932591380472E-3</v>
      </c>
      <c r="EG29" s="88">
        <f t="shared" si="12"/>
        <v>1.201598721755464E-2</v>
      </c>
      <c r="EH29" s="88">
        <f t="shared" si="13"/>
        <v>3.9813836172625613E-2</v>
      </c>
      <c r="EI29" s="140"/>
      <c r="EJ29" s="316">
        <v>2003</v>
      </c>
      <c r="EK29" s="88">
        <f t="shared" si="14"/>
        <v>0.71051104970794055</v>
      </c>
      <c r="EL29" s="88">
        <f t="shared" si="15"/>
        <v>3.5839875137555953E-2</v>
      </c>
      <c r="EM29" s="88">
        <f t="shared" si="16"/>
        <v>0.34256092139872502</v>
      </c>
      <c r="EN29" s="88">
        <f t="shared" si="17"/>
        <v>8.5268418756391129E-2</v>
      </c>
      <c r="EO29" s="88">
        <f t="shared" si="18"/>
        <v>0.34779764130904028</v>
      </c>
      <c r="EP29" s="88">
        <f t="shared" si="19"/>
        <v>1.0246065458884368</v>
      </c>
      <c r="ER29" s="316">
        <v>2003</v>
      </c>
      <c r="ES29" s="317">
        <f t="shared" si="35"/>
        <v>127620</v>
      </c>
      <c r="ET29" s="318">
        <v>17905</v>
      </c>
      <c r="EU29" s="318">
        <v>85404</v>
      </c>
      <c r="EV29" s="318">
        <v>24311</v>
      </c>
      <c r="EW29" s="88">
        <f t="shared" si="36"/>
        <v>0.14029932612443191</v>
      </c>
      <c r="EX29" s="88">
        <f t="shared" si="36"/>
        <v>0.6692054536906441</v>
      </c>
      <c r="EY29" s="88">
        <f t="shared" si="36"/>
        <v>0.19049522018492399</v>
      </c>
      <c r="EZ29" s="88">
        <f t="shared" si="41"/>
        <v>-1.748446875348364E-3</v>
      </c>
      <c r="FA29" s="88">
        <f t="shared" si="41"/>
        <v>-3.3360573423449891E-3</v>
      </c>
      <c r="FB29" s="88">
        <f t="shared" si="41"/>
        <v>5.0845042176933808E-3</v>
      </c>
      <c r="FD29" s="316">
        <v>2003</v>
      </c>
      <c r="FE29" s="159">
        <v>9.9291020408163264E-3</v>
      </c>
      <c r="FF29" s="159">
        <v>1.1000000000000001E-2</v>
      </c>
      <c r="FG29" s="159">
        <v>1.1000000000000001E-2</v>
      </c>
      <c r="FH29" s="159">
        <v>1.1000000000000001E-2</v>
      </c>
      <c r="FI29" s="319">
        <f t="shared" si="45"/>
        <v>-1.0708979591836747E-3</v>
      </c>
      <c r="FK29" s="345">
        <f t="shared" si="42"/>
        <v>-1.3291063028479488E-2</v>
      </c>
      <c r="FL29" s="345">
        <f t="shared" si="43"/>
        <v>6.7157535286727077E-4</v>
      </c>
      <c r="FM29" s="345">
        <f t="shared" si="44"/>
        <v>-2.0492112219957677E-3</v>
      </c>
      <c r="FO29" s="316">
        <v>2003</v>
      </c>
      <c r="FP29" s="61">
        <v>201541.57704602586</v>
      </c>
      <c r="FQ29" s="61">
        <v>9360.8434453524096</v>
      </c>
      <c r="FR29" s="61">
        <v>86942.955019569912</v>
      </c>
      <c r="FS29" s="61">
        <v>28165.556551721071</v>
      </c>
      <c r="FT29" s="61">
        <v>57583.46796415031</v>
      </c>
      <c r="FU29" s="61">
        <v>241013.9918968468</v>
      </c>
      <c r="FV29" s="285">
        <f t="shared" si="38"/>
        <v>624608.39192366635</v>
      </c>
    </row>
    <row r="30" spans="1:178">
      <c r="A30" s="316">
        <v>2004</v>
      </c>
      <c r="B30" s="61">
        <v>342265.59999999998</v>
      </c>
      <c r="C30" s="61">
        <v>21178.5</v>
      </c>
      <c r="D30" s="61">
        <v>149319.1</v>
      </c>
      <c r="E30" s="61">
        <v>40601.800000000003</v>
      </c>
      <c r="F30" s="61">
        <v>190483.7</v>
      </c>
      <c r="G30" s="61">
        <v>540276.5</v>
      </c>
      <c r="I30" s="316">
        <v>2004</v>
      </c>
      <c r="J30" s="61">
        <v>350322.4</v>
      </c>
      <c r="K30" s="61">
        <v>21856.7</v>
      </c>
      <c r="L30" s="61">
        <v>154749.20000000001</v>
      </c>
      <c r="M30" s="61">
        <v>42405.4</v>
      </c>
      <c r="N30" s="61">
        <v>202095</v>
      </c>
      <c r="O30" s="61">
        <v>568771.5</v>
      </c>
      <c r="Q30" s="316">
        <v>2004</v>
      </c>
      <c r="R30" s="75">
        <v>384698.7</v>
      </c>
      <c r="S30" s="75">
        <v>19171.2</v>
      </c>
      <c r="T30" s="75">
        <v>182984.9</v>
      </c>
      <c r="U30" s="75">
        <v>45355.4</v>
      </c>
      <c r="V30" s="75">
        <v>190237.4</v>
      </c>
      <c r="W30" s="75">
        <v>563249.19999999995</v>
      </c>
      <c r="Y30" s="316">
        <v>2004</v>
      </c>
      <c r="Z30" s="75">
        <v>415787</v>
      </c>
      <c r="AA30" s="75">
        <v>20905.7</v>
      </c>
      <c r="AB30" s="75">
        <v>197309.9</v>
      </c>
      <c r="AC30" s="75">
        <v>49861.3</v>
      </c>
      <c r="AD30" s="75">
        <v>208751.6</v>
      </c>
      <c r="AE30" s="75">
        <v>629255.9</v>
      </c>
      <c r="AG30" s="316">
        <v>2004</v>
      </c>
      <c r="AH30" s="48">
        <f t="shared" si="46"/>
        <v>0.92523022605324368</v>
      </c>
      <c r="AI30" s="48">
        <f t="shared" si="46"/>
        <v>0.91703219696063754</v>
      </c>
      <c r="AJ30" s="48">
        <f t="shared" si="46"/>
        <v>0.92739847316328272</v>
      </c>
      <c r="AK30" s="48">
        <f t="shared" si="46"/>
        <v>0.90963131727411839</v>
      </c>
      <c r="AL30" s="48">
        <f t="shared" si="46"/>
        <v>0.91130990133728307</v>
      </c>
      <c r="AM30" s="48">
        <f t="shared" si="46"/>
        <v>0.89510356597371588</v>
      </c>
      <c r="AO30" s="316">
        <v>2004</v>
      </c>
      <c r="AP30" s="88" t="e">
        <f>#REF!</f>
        <v>#REF!</v>
      </c>
      <c r="AS30" s="316">
        <v>2004</v>
      </c>
      <c r="AT30" s="308">
        <f t="shared" si="39"/>
        <v>4.5920638006027303E-3</v>
      </c>
      <c r="AU30" s="308">
        <f t="shared" si="39"/>
        <v>1.0725040399000241E-2</v>
      </c>
      <c r="AV30" s="308">
        <f t="shared" si="39"/>
        <v>9.2140175300889915E-3</v>
      </c>
      <c r="AW30" s="308">
        <f t="shared" si="39"/>
        <v>1.1137753567706854E-2</v>
      </c>
      <c r="AX30" s="308">
        <f t="shared" si="39"/>
        <v>1.2123837943920579E-2</v>
      </c>
      <c r="AY30" s="308">
        <f t="shared" si="39"/>
        <v>1.2971952559336586E-2</v>
      </c>
      <c r="BA30" s="316">
        <v>2004</v>
      </c>
      <c r="BB30" s="61">
        <v>19381.5</v>
      </c>
      <c r="BC30" s="61">
        <v>774</v>
      </c>
      <c r="BD30" s="61">
        <v>8703.2000000000007</v>
      </c>
      <c r="BE30" s="61">
        <v>2288.6999999999998</v>
      </c>
      <c r="BF30" s="61">
        <v>6453.9</v>
      </c>
      <c r="BG30" s="61">
        <v>18924.400000000001</v>
      </c>
      <c r="BI30" s="316">
        <v>2004</v>
      </c>
      <c r="BJ30" s="61">
        <v>20056.8</v>
      </c>
      <c r="BK30" s="61">
        <v>811.4</v>
      </c>
      <c r="BL30" s="61">
        <v>9154.9</v>
      </c>
      <c r="BM30" s="61">
        <v>2766.6</v>
      </c>
      <c r="BN30" s="61">
        <v>6941.2</v>
      </c>
      <c r="BO30" s="61">
        <v>20318.599999999999</v>
      </c>
      <c r="BQ30" s="316">
        <v>2004</v>
      </c>
      <c r="BR30" s="75">
        <v>23727.8</v>
      </c>
      <c r="BS30" s="75">
        <v>775.2</v>
      </c>
      <c r="BT30" s="75">
        <v>12049.8</v>
      </c>
      <c r="BU30" s="75">
        <v>2670</v>
      </c>
      <c r="BV30" s="75">
        <v>6682.5</v>
      </c>
      <c r="BW30" s="75">
        <v>18684.2</v>
      </c>
      <c r="BY30" s="316">
        <v>2004</v>
      </c>
      <c r="BZ30" s="75">
        <v>25771.7</v>
      </c>
      <c r="CA30" s="75">
        <v>859.1</v>
      </c>
      <c r="CB30" s="75">
        <v>13165.1</v>
      </c>
      <c r="CC30" s="75">
        <v>3325.6</v>
      </c>
      <c r="CD30" s="75">
        <v>7434.8</v>
      </c>
      <c r="CE30" s="75">
        <v>21355.5</v>
      </c>
      <c r="CG30" s="316">
        <v>2004</v>
      </c>
      <c r="CH30" s="48">
        <f t="shared" si="47"/>
        <v>0.92069207696814714</v>
      </c>
      <c r="CI30" s="48">
        <f t="shared" si="47"/>
        <v>0.90233965778139913</v>
      </c>
      <c r="CJ30" s="48">
        <f t="shared" si="47"/>
        <v>0.91528359070572951</v>
      </c>
      <c r="CK30" s="48">
        <f t="shared" si="47"/>
        <v>0.80286264132788066</v>
      </c>
      <c r="CL30" s="48">
        <f t="shared" si="47"/>
        <v>0.89881368698552755</v>
      </c>
      <c r="CM30" s="48">
        <f t="shared" si="47"/>
        <v>0.87491278593336619</v>
      </c>
      <c r="CO30" s="316">
        <v>2004</v>
      </c>
      <c r="CP30" s="88" t="e">
        <f>#REF!</f>
        <v>#REF!</v>
      </c>
      <c r="CS30" s="316">
        <v>2004</v>
      </c>
      <c r="CT30" s="308">
        <f t="shared" si="40"/>
        <v>1.6094042824872368E-3</v>
      </c>
      <c r="CU30" s="308">
        <f t="shared" si="40"/>
        <v>7.976758153628305E-3</v>
      </c>
      <c r="CV30" s="308">
        <f t="shared" si="40"/>
        <v>5.4843990511268537E-3</v>
      </c>
      <c r="CW30" s="308">
        <f t="shared" si="40"/>
        <v>1.3673044518262678E-2</v>
      </c>
      <c r="CX30" s="308">
        <f t="shared" si="40"/>
        <v>6.7398539742600239E-3</v>
      </c>
      <c r="CY30" s="308">
        <f t="shared" si="40"/>
        <v>9.1492322517430225E-3</v>
      </c>
      <c r="DA30" s="316">
        <v>2004</v>
      </c>
      <c r="DB30" s="46">
        <f t="shared" si="23"/>
        <v>23295.900000000012</v>
      </c>
      <c r="DC30" s="46">
        <f t="shared" si="24"/>
        <v>1116.5999999999999</v>
      </c>
      <c r="DD30" s="46">
        <f t="shared" si="25"/>
        <v>15574.999999999995</v>
      </c>
      <c r="DE30" s="46">
        <f t="shared" si="26"/>
        <v>4245.1000000000004</v>
      </c>
      <c r="DF30" s="46">
        <f t="shared" si="27"/>
        <v>5630.900000000006</v>
      </c>
      <c r="DG30" s="46">
        <f t="shared" si="28"/>
        <v>13322.79999999993</v>
      </c>
      <c r="DI30" s="316">
        <v>2004</v>
      </c>
      <c r="DJ30" s="88">
        <f t="shared" si="29"/>
        <v>5.6364066591953019E-2</v>
      </c>
      <c r="DK30" s="88">
        <f t="shared" si="30"/>
        <v>5.2761397142209114E-2</v>
      </c>
      <c r="DL30" s="88">
        <f t="shared" si="31"/>
        <v>7.798425594257552E-2</v>
      </c>
      <c r="DM30" s="88">
        <f t="shared" si="32"/>
        <v>8.3596556178713213E-2</v>
      </c>
      <c r="DN30" s="88">
        <f t="shared" si="33"/>
        <v>2.7209290076671572E-2</v>
      </c>
      <c r="DO30" s="88">
        <f t="shared" si="34"/>
        <v>2.1446076064126279E-2</v>
      </c>
      <c r="DQ30" s="316">
        <v>2004</v>
      </c>
      <c r="DR30" s="61">
        <v>529400.9</v>
      </c>
      <c r="DS30" s="61">
        <v>529.6336</v>
      </c>
      <c r="DT30" s="61">
        <v>502882.4</v>
      </c>
      <c r="DU30" s="61">
        <v>504.26499999999999</v>
      </c>
      <c r="DV30" s="89">
        <v>-1.2</v>
      </c>
      <c r="DW30" s="46">
        <f t="shared" si="6"/>
        <v>535830.87044534413</v>
      </c>
      <c r="DX30" s="61">
        <v>536.60952380952381</v>
      </c>
      <c r="DY30" s="46">
        <f t="shared" si="7"/>
        <v>508990.28340080974</v>
      </c>
      <c r="DZ30" s="61">
        <v>510.9067882472138</v>
      </c>
      <c r="EB30" s="316">
        <v>2004</v>
      </c>
      <c r="EC30" s="88">
        <f t="shared" si="8"/>
        <v>4.4820097585780448E-2</v>
      </c>
      <c r="ED30" s="88">
        <f t="shared" si="9"/>
        <v>1.4642967172892982E-3</v>
      </c>
      <c r="EE30" s="88">
        <f t="shared" si="10"/>
        <v>2.2761200443746882E-2</v>
      </c>
      <c r="EF30" s="88">
        <f t="shared" si="11"/>
        <v>5.0434368358648427E-3</v>
      </c>
      <c r="EG30" s="88">
        <f t="shared" si="12"/>
        <v>1.2622759047066221E-2</v>
      </c>
      <c r="EH30" s="88">
        <f t="shared" si="13"/>
        <v>3.5293102070661386E-2</v>
      </c>
      <c r="EI30" s="140"/>
      <c r="EJ30" s="316">
        <v>2004</v>
      </c>
      <c r="EK30" s="88">
        <f t="shared" si="14"/>
        <v>0.71794799668833209</v>
      </c>
      <c r="EL30" s="88">
        <f t="shared" si="15"/>
        <v>3.5778453720044678E-2</v>
      </c>
      <c r="EM30" s="88">
        <f t="shared" si="16"/>
        <v>0.34149749499859178</v>
      </c>
      <c r="EN30" s="88">
        <f t="shared" si="17"/>
        <v>8.4644992481123477E-2</v>
      </c>
      <c r="EO30" s="88">
        <f t="shared" si="18"/>
        <v>0.3550325494346534</v>
      </c>
      <c r="EP30" s="88">
        <f t="shared" si="19"/>
        <v>1.0511697460280101</v>
      </c>
      <c r="ER30" s="316">
        <v>2004</v>
      </c>
      <c r="ES30" s="317">
        <f t="shared" si="35"/>
        <v>127687</v>
      </c>
      <c r="ET30" s="318">
        <v>17734</v>
      </c>
      <c r="EU30" s="318">
        <v>85077</v>
      </c>
      <c r="EV30" s="318">
        <v>24876</v>
      </c>
      <c r="EW30" s="88">
        <f t="shared" si="36"/>
        <v>0.1388864958844675</v>
      </c>
      <c r="EX30" s="88">
        <f t="shared" si="36"/>
        <v>0.6662933579769279</v>
      </c>
      <c r="EY30" s="88">
        <f t="shared" si="36"/>
        <v>0.19482014613860454</v>
      </c>
      <c r="EZ30" s="88">
        <f t="shared" si="41"/>
        <v>-1.4128302399644133E-3</v>
      </c>
      <c r="FA30" s="88">
        <f t="shared" si="41"/>
        <v>-2.9120957137162007E-3</v>
      </c>
      <c r="FB30" s="88">
        <f t="shared" si="41"/>
        <v>4.3249259536805584E-3</v>
      </c>
      <c r="FD30" s="316">
        <v>2004</v>
      </c>
      <c r="FE30" s="159">
        <v>1.5047926829268294E-2</v>
      </c>
      <c r="FF30" s="159">
        <v>1.4999999999999999E-2</v>
      </c>
      <c r="FG30" s="159">
        <v>1.1000000000000001E-2</v>
      </c>
      <c r="FH30" s="159">
        <v>1.1000000000000001E-2</v>
      </c>
      <c r="FI30" s="319">
        <f t="shared" si="45"/>
        <v>4.0479268292682932E-3</v>
      </c>
      <c r="FK30" s="345">
        <f t="shared" si="42"/>
        <v>-1.8287144515227949E-2</v>
      </c>
      <c r="FL30" s="345">
        <f t="shared" si="43"/>
        <v>-9.9300327944668032E-3</v>
      </c>
      <c r="FM30" s="345">
        <f t="shared" si="44"/>
        <v>-1.0162168761638276E-3</v>
      </c>
      <c r="FO30" s="316">
        <v>2004</v>
      </c>
      <c r="FP30" s="61">
        <v>202900.01836176991</v>
      </c>
      <c r="FQ30" s="61">
        <v>7832.0515599617529</v>
      </c>
      <c r="FR30" s="61">
        <v>97161.654479727003</v>
      </c>
      <c r="FS30" s="61">
        <v>20962.026390163614</v>
      </c>
      <c r="FT30" s="61">
        <v>53719.721920954609</v>
      </c>
      <c r="FU30" s="61">
        <v>215353.05639483486</v>
      </c>
      <c r="FV30" s="285">
        <f t="shared" si="38"/>
        <v>597928.52910741174</v>
      </c>
    </row>
    <row r="31" spans="1:178">
      <c r="A31" s="316">
        <v>2005</v>
      </c>
      <c r="B31" s="61">
        <v>344289</v>
      </c>
      <c r="C31" s="61">
        <v>21015.3</v>
      </c>
      <c r="D31" s="61">
        <v>148386.20000000001</v>
      </c>
      <c r="E31" s="61">
        <v>40009.1</v>
      </c>
      <c r="F31" s="61">
        <v>194135.4</v>
      </c>
      <c r="G31" s="61">
        <v>550721.5</v>
      </c>
      <c r="I31" s="316">
        <v>2005</v>
      </c>
      <c r="J31" s="61">
        <v>351749.2</v>
      </c>
      <c r="K31" s="61">
        <v>21599.599999999999</v>
      </c>
      <c r="L31" s="61">
        <v>152389.9</v>
      </c>
      <c r="M31" s="61">
        <v>41537.9</v>
      </c>
      <c r="N31" s="61">
        <v>203389.7</v>
      </c>
      <c r="O31" s="61">
        <v>573998.30000000005</v>
      </c>
      <c r="Q31" s="316">
        <v>2005</v>
      </c>
      <c r="R31" s="75">
        <v>388113.7</v>
      </c>
      <c r="S31" s="75">
        <v>18962.8</v>
      </c>
      <c r="T31" s="75">
        <v>183492.3</v>
      </c>
      <c r="U31" s="75">
        <v>44786.400000000001</v>
      </c>
      <c r="V31" s="75">
        <v>194431.4</v>
      </c>
      <c r="W31" s="75">
        <v>576320.6</v>
      </c>
      <c r="Y31" s="316">
        <v>2005</v>
      </c>
      <c r="Z31" s="75">
        <v>418194.3</v>
      </c>
      <c r="AA31" s="75">
        <v>20548</v>
      </c>
      <c r="AB31" s="75">
        <v>195633.3</v>
      </c>
      <c r="AC31" s="75">
        <v>48834.1</v>
      </c>
      <c r="AD31" s="75">
        <v>210334.2</v>
      </c>
      <c r="AE31" s="75">
        <v>635788.19999999995</v>
      </c>
      <c r="AG31" s="316">
        <v>2005</v>
      </c>
      <c r="AH31" s="48">
        <f t="shared" si="46"/>
        <v>0.92807027738063386</v>
      </c>
      <c r="AI31" s="48">
        <f t="shared" si="46"/>
        <v>0.92285380572318465</v>
      </c>
      <c r="AJ31" s="48">
        <f t="shared" si="46"/>
        <v>0.93794001327994769</v>
      </c>
      <c r="AK31" s="48">
        <f t="shared" si="46"/>
        <v>0.91711324668622951</v>
      </c>
      <c r="AL31" s="48">
        <f t="shared" si="46"/>
        <v>0.92439270456254852</v>
      </c>
      <c r="AM31" s="48">
        <f t="shared" si="46"/>
        <v>0.9064663358017655</v>
      </c>
      <c r="AO31" s="316">
        <v>2005</v>
      </c>
      <c r="AP31" s="88" t="e">
        <f>#REF!</f>
        <v>#REF!</v>
      </c>
      <c r="AS31" s="316">
        <v>2005</v>
      </c>
      <c r="AT31" s="308">
        <f t="shared" si="39"/>
        <v>3.0695617668101693E-3</v>
      </c>
      <c r="AU31" s="308">
        <f t="shared" si="39"/>
        <v>6.3483144668659008E-3</v>
      </c>
      <c r="AV31" s="308">
        <f t="shared" si="39"/>
        <v>1.1366786146098207E-2</v>
      </c>
      <c r="AW31" s="308">
        <f t="shared" si="39"/>
        <v>8.2252328718541712E-3</v>
      </c>
      <c r="AX31" s="308">
        <f t="shared" si="39"/>
        <v>1.4356042007299008E-2</v>
      </c>
      <c r="AY31" s="308">
        <f t="shared" si="39"/>
        <v>1.269436326699136E-2</v>
      </c>
      <c r="BA31" s="316">
        <v>2005</v>
      </c>
      <c r="BB31" s="61">
        <v>19366.099999999999</v>
      </c>
      <c r="BC31" s="61">
        <v>680.5</v>
      </c>
      <c r="BD31" s="61">
        <v>9086.2000000000007</v>
      </c>
      <c r="BE31" s="61">
        <v>2318.6999999999998</v>
      </c>
      <c r="BF31" s="61">
        <v>7226.1</v>
      </c>
      <c r="BG31" s="61">
        <v>17180.3</v>
      </c>
      <c r="BI31" s="316">
        <v>2005</v>
      </c>
      <c r="BJ31" s="61">
        <v>19956.599999999999</v>
      </c>
      <c r="BK31" s="61">
        <v>707.2</v>
      </c>
      <c r="BL31" s="61">
        <v>9431.1</v>
      </c>
      <c r="BM31" s="61">
        <v>2772.6</v>
      </c>
      <c r="BN31" s="61">
        <v>7647.5</v>
      </c>
      <c r="BO31" s="61">
        <v>18160.7</v>
      </c>
      <c r="BQ31" s="316">
        <v>2005</v>
      </c>
      <c r="BR31" s="75">
        <v>23758</v>
      </c>
      <c r="BS31" s="75">
        <v>678.3</v>
      </c>
      <c r="BT31" s="75">
        <v>12695.3</v>
      </c>
      <c r="BU31" s="75">
        <v>2593</v>
      </c>
      <c r="BV31" s="75">
        <v>7446.9</v>
      </c>
      <c r="BW31" s="75">
        <v>16949.900000000001</v>
      </c>
      <c r="BY31" s="316">
        <v>2005</v>
      </c>
      <c r="BZ31" s="75">
        <v>25738.7</v>
      </c>
      <c r="CA31" s="75">
        <v>744.5</v>
      </c>
      <c r="CB31" s="75">
        <v>13677.1</v>
      </c>
      <c r="CC31" s="75">
        <v>3192.1</v>
      </c>
      <c r="CD31" s="75">
        <v>8155.5</v>
      </c>
      <c r="CE31" s="75">
        <v>19075.8</v>
      </c>
      <c r="CG31" s="316">
        <v>2005</v>
      </c>
      <c r="CH31" s="48">
        <f t="shared" si="47"/>
        <v>0.92304584147606517</v>
      </c>
      <c r="CI31" s="48">
        <f t="shared" si="47"/>
        <v>0.91108126259234379</v>
      </c>
      <c r="CJ31" s="48">
        <f t="shared" si="47"/>
        <v>0.92821577673629641</v>
      </c>
      <c r="CK31" s="48">
        <f t="shared" si="47"/>
        <v>0.81231790983991736</v>
      </c>
      <c r="CL31" s="48">
        <f t="shared" si="47"/>
        <v>0.91311384954938379</v>
      </c>
      <c r="CM31" s="48">
        <f t="shared" si="47"/>
        <v>0.88855513268119823</v>
      </c>
      <c r="CO31" s="316">
        <v>2005</v>
      </c>
      <c r="CP31" s="88" t="e">
        <f>#REF!</f>
        <v>#REF!</v>
      </c>
      <c r="CS31" s="316">
        <v>2005</v>
      </c>
      <c r="CT31" s="308">
        <f t="shared" si="40"/>
        <v>2.5565165236014487E-3</v>
      </c>
      <c r="CU31" s="308">
        <f t="shared" si="40"/>
        <v>9.6877098723975319E-3</v>
      </c>
      <c r="CV31" s="308">
        <f t="shared" si="40"/>
        <v>1.4129157522200897E-2</v>
      </c>
      <c r="CW31" s="308">
        <f t="shared" si="40"/>
        <v>1.1776944181134619E-2</v>
      </c>
      <c r="CX31" s="308">
        <f t="shared" si="40"/>
        <v>1.5910040947214155E-2</v>
      </c>
      <c r="CY31" s="308">
        <f t="shared" si="40"/>
        <v>1.5592807611421788E-2</v>
      </c>
      <c r="DA31" s="316">
        <v>2005</v>
      </c>
      <c r="DB31" s="46">
        <f t="shared" si="23"/>
        <v>23331.400000000012</v>
      </c>
      <c r="DC31" s="46">
        <f t="shared" si="24"/>
        <v>1102.2000000000007</v>
      </c>
      <c r="DD31" s="46">
        <f t="shared" si="25"/>
        <v>15353.700000000006</v>
      </c>
      <c r="DE31" s="46">
        <f t="shared" si="26"/>
        <v>4219.3000000000047</v>
      </c>
      <c r="DF31" s="46">
        <f t="shared" si="27"/>
        <v>6572.8999999999942</v>
      </c>
      <c r="DG31" s="46">
        <f t="shared" si="28"/>
        <v>12543.500000000069</v>
      </c>
      <c r="DI31" s="316">
        <v>2005</v>
      </c>
      <c r="DJ31" s="88">
        <f t="shared" si="29"/>
        <v>5.6113827512644723E-2</v>
      </c>
      <c r="DK31" s="88">
        <f t="shared" si="30"/>
        <v>5.2722463251649102E-2</v>
      </c>
      <c r="DL31" s="88">
        <f t="shared" si="31"/>
        <v>7.7815152711546695E-2</v>
      </c>
      <c r="DM31" s="88">
        <f t="shared" si="32"/>
        <v>8.4620737927009609E-2</v>
      </c>
      <c r="DN31" s="88">
        <f t="shared" si="33"/>
        <v>3.1486704772562192E-2</v>
      </c>
      <c r="DO31" s="88">
        <f t="shared" si="34"/>
        <v>1.9933861565700168E-2</v>
      </c>
      <c r="DQ31" s="316">
        <v>2005</v>
      </c>
      <c r="DR31" s="61">
        <v>532515.6</v>
      </c>
      <c r="DS31" s="61">
        <v>534.10969999999998</v>
      </c>
      <c r="DT31" s="61">
        <v>511953.9</v>
      </c>
      <c r="DU31" s="61">
        <v>515.13760000000002</v>
      </c>
      <c r="DV31" s="89">
        <v>-0.4</v>
      </c>
      <c r="DW31" s="46">
        <f t="shared" si="6"/>
        <v>534654.21686746983</v>
      </c>
      <c r="DX31" s="61">
        <v>534.10969999999998</v>
      </c>
      <c r="DY31" s="46">
        <f t="shared" si="7"/>
        <v>514009.93975903618</v>
      </c>
      <c r="DZ31" s="61">
        <v>515.13760000000002</v>
      </c>
      <c r="EB31" s="316">
        <v>2005</v>
      </c>
      <c r="EC31" s="88">
        <f t="shared" si="8"/>
        <v>4.4614655420423366E-2</v>
      </c>
      <c r="ED31" s="88">
        <f t="shared" si="9"/>
        <v>1.2737655009543382E-3</v>
      </c>
      <c r="EE31" s="88">
        <f t="shared" si="10"/>
        <v>2.384024054882148E-2</v>
      </c>
      <c r="EF31" s="88">
        <f t="shared" si="11"/>
        <v>4.8693409169609306E-3</v>
      </c>
      <c r="EG31" s="88">
        <f t="shared" si="12"/>
        <v>1.398437904917715E-2</v>
      </c>
      <c r="EH31" s="88">
        <f t="shared" si="13"/>
        <v>3.1829865641494828E-2</v>
      </c>
      <c r="EI31" s="140"/>
      <c r="EJ31" s="316">
        <v>2005</v>
      </c>
      <c r="EK31" s="88">
        <f t="shared" si="14"/>
        <v>0.72591534445188088</v>
      </c>
      <c r="EL31" s="88">
        <f t="shared" si="15"/>
        <v>3.546740940547094E-2</v>
      </c>
      <c r="EM31" s="88">
        <f t="shared" si="16"/>
        <v>0.34319807870417318</v>
      </c>
      <c r="EN31" s="88">
        <f t="shared" si="17"/>
        <v>8.3767037810723297E-2</v>
      </c>
      <c r="EO31" s="88">
        <f t="shared" si="18"/>
        <v>0.36365821846345914</v>
      </c>
      <c r="EP31" s="88">
        <f t="shared" si="19"/>
        <v>1.0779314589093729</v>
      </c>
      <c r="ER31" s="316">
        <v>2005</v>
      </c>
      <c r="ES31" s="317">
        <f t="shared" si="35"/>
        <v>127768</v>
      </c>
      <c r="ET31" s="318">
        <v>17585</v>
      </c>
      <c r="EU31" s="318">
        <v>84422</v>
      </c>
      <c r="EV31" s="318">
        <v>25761</v>
      </c>
      <c r="EW31" s="88">
        <f t="shared" si="36"/>
        <v>0.13763227099117151</v>
      </c>
      <c r="EX31" s="88">
        <f t="shared" si="36"/>
        <v>0.66074447435977712</v>
      </c>
      <c r="EY31" s="88">
        <f t="shared" si="36"/>
        <v>0.2016232546490514</v>
      </c>
      <c r="EZ31" s="88">
        <f t="shared" si="41"/>
        <v>-1.254224893295991E-3</v>
      </c>
      <c r="FA31" s="88">
        <f t="shared" si="41"/>
        <v>-5.5488836171507794E-3</v>
      </c>
      <c r="FB31" s="88">
        <f t="shared" si="41"/>
        <v>6.8031085104468536E-3</v>
      </c>
      <c r="FD31" s="316">
        <v>2005</v>
      </c>
      <c r="FE31" s="159">
        <v>1.3845183673469395E-2</v>
      </c>
      <c r="FF31" s="159">
        <v>1.3999999999999999E-2</v>
      </c>
      <c r="FG31" s="159">
        <v>0.01</v>
      </c>
      <c r="FH31" s="159">
        <v>9.0000000000000011E-3</v>
      </c>
      <c r="FI31" s="319">
        <f t="shared" si="45"/>
        <v>3.8451836734693951E-3</v>
      </c>
      <c r="FK31" s="345">
        <f t="shared" si="42"/>
        <v>-1.3445855950908303E-2</v>
      </c>
      <c r="FL31" s="345">
        <f t="shared" si="43"/>
        <v>-7.1263047944779001E-3</v>
      </c>
      <c r="FM31" s="345">
        <f t="shared" si="44"/>
        <v>6.7755940054496817E-4</v>
      </c>
      <c r="FO31" s="316">
        <v>2005</v>
      </c>
      <c r="FP31" s="61">
        <v>201316.05242418451</v>
      </c>
      <c r="FQ31" s="61">
        <v>6258.6123983698853</v>
      </c>
      <c r="FR31" s="61">
        <v>103304.50755456537</v>
      </c>
      <c r="FS31" s="61">
        <v>17301.983807989003</v>
      </c>
      <c r="FT31" s="61">
        <v>54181.746940259531</v>
      </c>
      <c r="FU31" s="61">
        <v>196635.03038323642</v>
      </c>
      <c r="FV31" s="285">
        <f t="shared" si="38"/>
        <v>578997.93350860476</v>
      </c>
    </row>
    <row r="32" spans="1:178">
      <c r="A32" s="316">
        <v>2006</v>
      </c>
      <c r="B32" s="61">
        <v>352916.6</v>
      </c>
      <c r="C32" s="61">
        <v>21083.9</v>
      </c>
      <c r="D32" s="61">
        <v>149747.6</v>
      </c>
      <c r="E32" s="61">
        <v>39708.9</v>
      </c>
      <c r="F32" s="61">
        <v>198094.2</v>
      </c>
      <c r="G32" s="61">
        <v>561557.6</v>
      </c>
      <c r="I32" s="316">
        <v>2006</v>
      </c>
      <c r="J32" s="61">
        <v>353367.2</v>
      </c>
      <c r="K32" s="61">
        <v>21276.2</v>
      </c>
      <c r="L32" s="61">
        <v>150985.29999999999</v>
      </c>
      <c r="M32" s="61">
        <v>40478.300000000003</v>
      </c>
      <c r="N32" s="61">
        <v>203323.9</v>
      </c>
      <c r="O32" s="61">
        <v>578317.1</v>
      </c>
      <c r="Q32" s="316">
        <v>2006</v>
      </c>
      <c r="R32" s="75">
        <v>397962.8</v>
      </c>
      <c r="S32" s="75">
        <v>18909.3</v>
      </c>
      <c r="T32" s="75">
        <v>185962.4</v>
      </c>
      <c r="U32" s="75">
        <v>44498.5</v>
      </c>
      <c r="V32" s="75">
        <v>198541.4</v>
      </c>
      <c r="W32" s="75">
        <v>588222.4</v>
      </c>
      <c r="Y32" s="316">
        <v>2006</v>
      </c>
      <c r="Z32" s="75">
        <v>420672.9</v>
      </c>
      <c r="AA32" s="75">
        <v>20124</v>
      </c>
      <c r="AB32" s="75">
        <v>194934.6</v>
      </c>
      <c r="AC32" s="75">
        <v>47708.2</v>
      </c>
      <c r="AD32" s="75">
        <v>210484.9</v>
      </c>
      <c r="AE32" s="75">
        <v>641353.1</v>
      </c>
      <c r="AG32" s="316">
        <v>2006</v>
      </c>
      <c r="AH32" s="48">
        <f t="shared" si="46"/>
        <v>0.94601482529537784</v>
      </c>
      <c r="AI32" s="48">
        <f t="shared" si="46"/>
        <v>0.93963923673225991</v>
      </c>
      <c r="AJ32" s="48">
        <f t="shared" si="46"/>
        <v>0.95397328129536774</v>
      </c>
      <c r="AK32" s="48">
        <f t="shared" si="46"/>
        <v>0.93272225738971504</v>
      </c>
      <c r="AL32" s="48">
        <f t="shared" si="46"/>
        <v>0.94325721227508486</v>
      </c>
      <c r="AM32" s="48">
        <f t="shared" si="46"/>
        <v>0.91715842645806189</v>
      </c>
      <c r="AO32" s="316">
        <v>2006</v>
      </c>
      <c r="AP32" s="88" t="e">
        <f>#REF!</f>
        <v>#REF!</v>
      </c>
      <c r="AS32" s="316">
        <v>2006</v>
      </c>
      <c r="AT32" s="308">
        <f t="shared" si="39"/>
        <v>1.933533305838675E-2</v>
      </c>
      <c r="AU32" s="308">
        <f t="shared" si="39"/>
        <v>1.8188613304706003E-2</v>
      </c>
      <c r="AV32" s="308">
        <f t="shared" si="39"/>
        <v>1.7094129462877028E-2</v>
      </c>
      <c r="AW32" s="308">
        <f t="shared" si="39"/>
        <v>1.7019720039902264E-2</v>
      </c>
      <c r="AX32" s="308">
        <f t="shared" si="39"/>
        <v>2.0407460616495898E-2</v>
      </c>
      <c r="AY32" s="308">
        <f t="shared" si="39"/>
        <v>1.179535326796155E-2</v>
      </c>
      <c r="BA32" s="316">
        <v>2006</v>
      </c>
      <c r="BB32" s="61">
        <v>19809.3</v>
      </c>
      <c r="BC32" s="61">
        <v>612.5</v>
      </c>
      <c r="BD32" s="61">
        <v>10036</v>
      </c>
      <c r="BE32" s="61">
        <v>2050.5</v>
      </c>
      <c r="BF32" s="61">
        <v>6113.6</v>
      </c>
      <c r="BG32" s="61">
        <v>16664.599999999999</v>
      </c>
      <c r="BI32" s="316">
        <v>2006</v>
      </c>
      <c r="BJ32" s="61">
        <v>20103.900000000001</v>
      </c>
      <c r="BK32" s="61">
        <v>626.4</v>
      </c>
      <c r="BL32" s="61">
        <v>10253</v>
      </c>
      <c r="BM32" s="61">
        <v>2410.6999999999998</v>
      </c>
      <c r="BN32" s="61">
        <v>6350.9</v>
      </c>
      <c r="BO32" s="61">
        <v>17324.900000000001</v>
      </c>
      <c r="BQ32" s="316">
        <v>2006</v>
      </c>
      <c r="BR32" s="75">
        <v>24180.799999999999</v>
      </c>
      <c r="BS32" s="75">
        <v>609.20000000000005</v>
      </c>
      <c r="BT32" s="75">
        <v>13757.7</v>
      </c>
      <c r="BU32" s="75">
        <v>2414.6</v>
      </c>
      <c r="BV32" s="75">
        <v>6327.7</v>
      </c>
      <c r="BW32" s="75">
        <v>16434.5</v>
      </c>
      <c r="BY32" s="316">
        <v>2006</v>
      </c>
      <c r="BZ32" s="75">
        <v>25846.5</v>
      </c>
      <c r="CA32" s="75">
        <v>658.5</v>
      </c>
      <c r="CB32" s="75">
        <v>14600.6</v>
      </c>
      <c r="CC32" s="75">
        <v>2928.2</v>
      </c>
      <c r="CD32" s="75">
        <v>6800.1</v>
      </c>
      <c r="CE32" s="75">
        <v>18187.900000000001</v>
      </c>
      <c r="CG32" s="316">
        <v>2006</v>
      </c>
      <c r="CH32" s="48">
        <f t="shared" si="47"/>
        <v>0.93555413692376144</v>
      </c>
      <c r="CI32" s="48">
        <f t="shared" si="47"/>
        <v>0.92513287775246777</v>
      </c>
      <c r="CJ32" s="48">
        <f t="shared" si="47"/>
        <v>0.94226949577414632</v>
      </c>
      <c r="CK32" s="48">
        <f t="shared" si="47"/>
        <v>0.8246021446622499</v>
      </c>
      <c r="CL32" s="48">
        <f t="shared" si="47"/>
        <v>0.93053043337597974</v>
      </c>
      <c r="CM32" s="48">
        <f t="shared" si="47"/>
        <v>0.90359524738974806</v>
      </c>
      <c r="CO32" s="316">
        <v>2006</v>
      </c>
      <c r="CP32" s="88" t="e">
        <f>#REF!</f>
        <v>#REF!</v>
      </c>
      <c r="CS32" s="316">
        <v>2006</v>
      </c>
      <c r="CT32" s="308">
        <f t="shared" si="40"/>
        <v>1.3551109691035457E-2</v>
      </c>
      <c r="CU32" s="308">
        <f t="shared" si="40"/>
        <v>1.5423009710618274E-2</v>
      </c>
      <c r="CV32" s="308">
        <f t="shared" si="40"/>
        <v>1.5140573334428975E-2</v>
      </c>
      <c r="CW32" s="308">
        <f t="shared" si="40"/>
        <v>1.5122447349158463E-2</v>
      </c>
      <c r="CX32" s="308">
        <f t="shared" si="40"/>
        <v>1.9073836012005518E-2</v>
      </c>
      <c r="CY32" s="308">
        <f t="shared" si="40"/>
        <v>1.6926484531316177E-2</v>
      </c>
      <c r="DA32" s="316">
        <v>2006</v>
      </c>
      <c r="DB32" s="46">
        <f t="shared" si="23"/>
        <v>23367.899999999965</v>
      </c>
      <c r="DC32" s="46">
        <f t="shared" si="24"/>
        <v>1082.5</v>
      </c>
      <c r="DD32" s="46">
        <f t="shared" si="25"/>
        <v>15299.299999999983</v>
      </c>
      <c r="DE32" s="46">
        <f t="shared" si="26"/>
        <v>4054.1000000000013</v>
      </c>
      <c r="DF32" s="46">
        <f t="shared" si="27"/>
        <v>6649.4000000000178</v>
      </c>
      <c r="DG32" s="46">
        <f t="shared" si="28"/>
        <v>12622.999999999978</v>
      </c>
      <c r="DI32" s="316">
        <v>2006</v>
      </c>
      <c r="DJ32" s="88">
        <f t="shared" si="29"/>
        <v>5.5878093029962307E-2</v>
      </c>
      <c r="DK32" s="88">
        <f t="shared" si="30"/>
        <v>5.2681526182596847E-2</v>
      </c>
      <c r="DL32" s="88">
        <f t="shared" si="31"/>
        <v>7.8203966298171043E-2</v>
      </c>
      <c r="DM32" s="88">
        <f t="shared" si="32"/>
        <v>8.3017809276714455E-2</v>
      </c>
      <c r="DN32" s="88">
        <f t="shared" si="33"/>
        <v>3.1613498898419835E-2</v>
      </c>
      <c r="DO32" s="88">
        <f t="shared" si="34"/>
        <v>1.9854096065324865E-2</v>
      </c>
      <c r="DQ32" s="316">
        <v>2006</v>
      </c>
      <c r="DR32" s="61">
        <v>535170.19999999995</v>
      </c>
      <c r="DS32" s="61">
        <v>537.26099999999997</v>
      </c>
      <c r="DT32" s="61">
        <v>518979.7</v>
      </c>
      <c r="DU32" s="61">
        <v>521.7876</v>
      </c>
      <c r="DV32" s="89">
        <v>0.3</v>
      </c>
      <c r="DW32" s="46">
        <f t="shared" si="6"/>
        <v>533569.49152542371</v>
      </c>
      <c r="DX32" s="61">
        <v>533.52631578947376</v>
      </c>
      <c r="DY32" s="46">
        <f t="shared" si="7"/>
        <v>517427.41774675978</v>
      </c>
      <c r="DZ32" s="61">
        <v>518.16047666335658</v>
      </c>
      <c r="EB32" s="316">
        <v>2006</v>
      </c>
      <c r="EC32" s="88">
        <f t="shared" si="8"/>
        <v>4.5183382781776714E-2</v>
      </c>
      <c r="ED32" s="88">
        <f t="shared" si="9"/>
        <v>1.1383294510793017E-3</v>
      </c>
      <c r="EE32" s="88">
        <f t="shared" si="10"/>
        <v>2.5707148865912195E-2</v>
      </c>
      <c r="EF32" s="88">
        <f t="shared" si="11"/>
        <v>4.5118356739594244E-3</v>
      </c>
      <c r="EG32" s="88">
        <f t="shared" si="12"/>
        <v>1.1823715147069102E-2</v>
      </c>
      <c r="EH32" s="88">
        <f t="shared" si="13"/>
        <v>3.0708922133556766E-2</v>
      </c>
      <c r="EI32" s="140"/>
      <c r="EJ32" s="316">
        <v>2006</v>
      </c>
      <c r="EK32" s="88">
        <f t="shared" si="14"/>
        <v>0.7458499901526654</v>
      </c>
      <c r="EL32" s="88">
        <f t="shared" si="15"/>
        <v>3.543924512239284E-2</v>
      </c>
      <c r="EM32" s="88">
        <f t="shared" si="16"/>
        <v>0.3485251742342903</v>
      </c>
      <c r="EN32" s="88">
        <f t="shared" si="17"/>
        <v>8.3397759254906195E-2</v>
      </c>
      <c r="EO32" s="88">
        <f t="shared" si="18"/>
        <v>0.37210036022185095</v>
      </c>
      <c r="EP32" s="88">
        <f t="shared" si="19"/>
        <v>1.1024288482430451</v>
      </c>
      <c r="ER32" s="316">
        <v>2006</v>
      </c>
      <c r="ES32" s="317">
        <f t="shared" si="35"/>
        <v>127770</v>
      </c>
      <c r="ET32" s="318">
        <v>17435</v>
      </c>
      <c r="EU32" s="318">
        <v>83731</v>
      </c>
      <c r="EV32" s="318">
        <v>26604</v>
      </c>
      <c r="EW32" s="88">
        <f t="shared" si="36"/>
        <v>0.13645613211238944</v>
      </c>
      <c r="EX32" s="88">
        <f t="shared" si="36"/>
        <v>0.65532597636377865</v>
      </c>
      <c r="EY32" s="88">
        <f t="shared" si="36"/>
        <v>0.20821789152383188</v>
      </c>
      <c r="EZ32" s="88">
        <f t="shared" si="41"/>
        <v>-1.1761388787820681E-3</v>
      </c>
      <c r="FA32" s="88">
        <f t="shared" si="41"/>
        <v>-5.4184979959984725E-3</v>
      </c>
      <c r="FB32" s="88">
        <f t="shared" si="41"/>
        <v>6.5946368747804851E-3</v>
      </c>
      <c r="FD32" s="316">
        <v>2006</v>
      </c>
      <c r="FE32" s="159">
        <v>1.7417016129032258E-2</v>
      </c>
      <c r="FF32" s="159">
        <v>1.7000000000000001E-2</v>
      </c>
      <c r="FG32" s="159">
        <v>6.0000000000000001E-3</v>
      </c>
      <c r="FH32" s="159">
        <v>5.0000000000000001E-3</v>
      </c>
      <c r="FI32" s="319">
        <f t="shared" si="45"/>
        <v>1.1417016129032257E-2</v>
      </c>
      <c r="FK32" s="345">
        <f t="shared" si="42"/>
        <v>1.5893406245198749E-3</v>
      </c>
      <c r="FL32" s="345">
        <f t="shared" si="43"/>
        <v>-7.7067129936855272E-3</v>
      </c>
      <c r="FM32" s="345">
        <f t="shared" si="44"/>
        <v>-8.6100773711039226E-4</v>
      </c>
      <c r="FO32" s="316">
        <v>2006</v>
      </c>
      <c r="FP32" s="61">
        <v>203157.5818433786</v>
      </c>
      <c r="FQ32" s="61">
        <v>6371.8726568111861</v>
      </c>
      <c r="FR32" s="61">
        <v>106796.92237607279</v>
      </c>
      <c r="FS32" s="61">
        <v>16224.427528678531</v>
      </c>
      <c r="FT32" s="61">
        <v>54666.049505975912</v>
      </c>
      <c r="FU32" s="61">
        <v>177831.62141183708</v>
      </c>
      <c r="FV32" s="285">
        <f t="shared" si="38"/>
        <v>565048.47532275412</v>
      </c>
    </row>
    <row r="33" spans="1:178">
      <c r="A33" s="316">
        <v>2007</v>
      </c>
      <c r="B33" s="61">
        <v>357722.7</v>
      </c>
      <c r="C33" s="61">
        <v>21039.9</v>
      </c>
      <c r="D33" s="61">
        <v>149919</v>
      </c>
      <c r="E33" s="61">
        <v>39257.300000000003</v>
      </c>
      <c r="F33" s="61">
        <v>202086.5</v>
      </c>
      <c r="G33" s="61">
        <v>578772.30000000005</v>
      </c>
      <c r="I33" s="316">
        <v>2007</v>
      </c>
      <c r="J33" s="61">
        <v>353066.7</v>
      </c>
      <c r="K33" s="61">
        <v>20900.400000000001</v>
      </c>
      <c r="L33" s="61">
        <v>149031.29999999999</v>
      </c>
      <c r="M33" s="61">
        <v>39349.300000000003</v>
      </c>
      <c r="N33" s="61">
        <v>202792</v>
      </c>
      <c r="O33" s="61">
        <v>581291.1</v>
      </c>
      <c r="Q33" s="316">
        <v>2007</v>
      </c>
      <c r="R33" s="75">
        <v>403714.8</v>
      </c>
      <c r="S33" s="75">
        <v>18765.5</v>
      </c>
      <c r="T33" s="75">
        <v>187429</v>
      </c>
      <c r="U33" s="75">
        <v>44088.2</v>
      </c>
      <c r="V33" s="75">
        <v>202436.4</v>
      </c>
      <c r="W33" s="75">
        <v>606659.1</v>
      </c>
      <c r="Y33" s="316">
        <v>2007</v>
      </c>
      <c r="Z33" s="75">
        <v>420606.4</v>
      </c>
      <c r="AA33" s="75">
        <v>19658.7</v>
      </c>
      <c r="AB33" s="75">
        <v>193626.9</v>
      </c>
      <c r="AC33" s="75">
        <v>46462.2</v>
      </c>
      <c r="AD33" s="75">
        <v>209997.3</v>
      </c>
      <c r="AE33" s="75">
        <v>645609.80000000005</v>
      </c>
      <c r="AG33" s="316">
        <v>2007</v>
      </c>
      <c r="AH33" s="48">
        <f t="shared" si="46"/>
        <v>0.95983988831363476</v>
      </c>
      <c r="AI33" s="48">
        <f t="shared" si="46"/>
        <v>0.95456464567850363</v>
      </c>
      <c r="AJ33" s="48">
        <f t="shared" si="46"/>
        <v>0.96799050131980635</v>
      </c>
      <c r="AK33" s="48">
        <f t="shared" si="46"/>
        <v>0.94890470102578006</v>
      </c>
      <c r="AL33" s="48">
        <f t="shared" si="46"/>
        <v>0.96399525136751762</v>
      </c>
      <c r="AM33" s="48">
        <f t="shared" si="46"/>
        <v>0.93966835695492845</v>
      </c>
      <c r="AO33" s="316">
        <v>2007</v>
      </c>
      <c r="AP33" s="88" t="e">
        <f>#REF!</f>
        <v>#REF!</v>
      </c>
      <c r="AS33" s="316">
        <v>2007</v>
      </c>
      <c r="AT33" s="308">
        <f t="shared" si="39"/>
        <v>1.4614002496145195E-2</v>
      </c>
      <c r="AU33" s="308">
        <f t="shared" si="39"/>
        <v>1.5884190828545197E-2</v>
      </c>
      <c r="AV33" s="308">
        <f t="shared" si="39"/>
        <v>1.4693514272648311E-2</v>
      </c>
      <c r="AW33" s="308">
        <f t="shared" si="39"/>
        <v>1.734969173069012E-2</v>
      </c>
      <c r="AX33" s="308">
        <f t="shared" si="39"/>
        <v>2.1985561120082764E-2</v>
      </c>
      <c r="AY33" s="308">
        <f t="shared" si="39"/>
        <v>2.454312128363334E-2</v>
      </c>
      <c r="BA33" s="316">
        <v>2007</v>
      </c>
      <c r="BB33" s="61">
        <v>18279.8</v>
      </c>
      <c r="BC33" s="61">
        <v>555.6</v>
      </c>
      <c r="BD33" s="61">
        <v>9540.6</v>
      </c>
      <c r="BE33" s="61">
        <v>1937.4</v>
      </c>
      <c r="BF33" s="61">
        <v>5763.2</v>
      </c>
      <c r="BG33" s="61">
        <v>15652.7</v>
      </c>
      <c r="BI33" s="316">
        <v>2007</v>
      </c>
      <c r="BJ33" s="61">
        <v>18184.3</v>
      </c>
      <c r="BK33" s="61">
        <v>557.6</v>
      </c>
      <c r="BL33" s="61">
        <v>9593.2000000000007</v>
      </c>
      <c r="BM33" s="61">
        <v>2236.8000000000002</v>
      </c>
      <c r="BN33" s="61">
        <v>5880.5</v>
      </c>
      <c r="BO33" s="61">
        <v>16007.2</v>
      </c>
      <c r="BQ33" s="316">
        <v>2007</v>
      </c>
      <c r="BR33" s="75">
        <v>22294.1</v>
      </c>
      <c r="BS33" s="75">
        <v>560.20000000000005</v>
      </c>
      <c r="BT33" s="75">
        <v>13354.7</v>
      </c>
      <c r="BU33" s="75">
        <v>2265.1</v>
      </c>
      <c r="BV33" s="75">
        <v>5838.4</v>
      </c>
      <c r="BW33" s="75">
        <v>15557.3</v>
      </c>
      <c r="BY33" s="316">
        <v>2007</v>
      </c>
      <c r="BZ33" s="75">
        <v>23377.7</v>
      </c>
      <c r="CA33" s="75">
        <v>594.5</v>
      </c>
      <c r="CB33" s="75">
        <v>13962.9</v>
      </c>
      <c r="CC33" s="75">
        <v>2700</v>
      </c>
      <c r="CD33" s="75">
        <v>6165.3</v>
      </c>
      <c r="CE33" s="75">
        <v>16941.3</v>
      </c>
      <c r="CG33" s="316">
        <v>2007</v>
      </c>
      <c r="CH33" s="48">
        <f t="shared" si="47"/>
        <v>0.95364813476090449</v>
      </c>
      <c r="CI33" s="48">
        <f t="shared" si="47"/>
        <v>0.94230445752733394</v>
      </c>
      <c r="CJ33" s="48">
        <f t="shared" si="47"/>
        <v>0.95644171339764672</v>
      </c>
      <c r="CK33" s="48">
        <f t="shared" si="47"/>
        <v>0.83892592592592585</v>
      </c>
      <c r="CL33" s="48">
        <f t="shared" si="47"/>
        <v>0.94697743824307001</v>
      </c>
      <c r="CM33" s="48">
        <f t="shared" si="47"/>
        <v>0.91830615123986947</v>
      </c>
      <c r="CO33" s="316">
        <v>2007</v>
      </c>
      <c r="CP33" s="88" t="e">
        <f>#REF!</f>
        <v>#REF!</v>
      </c>
      <c r="CS33" s="316">
        <v>2007</v>
      </c>
      <c r="CT33" s="308">
        <f t="shared" si="40"/>
        <v>1.9340407062533815E-2</v>
      </c>
      <c r="CU33" s="308">
        <f t="shared" si="40"/>
        <v>1.8561203679825056E-2</v>
      </c>
      <c r="CV33" s="308">
        <f t="shared" si="40"/>
        <v>1.504051408547058E-2</v>
      </c>
      <c r="CW33" s="308">
        <f t="shared" si="40"/>
        <v>1.7370536029278627E-2</v>
      </c>
      <c r="CX33" s="308">
        <f t="shared" si="40"/>
        <v>1.7674870457939029E-2</v>
      </c>
      <c r="CY33" s="308">
        <f t="shared" si="40"/>
        <v>1.6280413041809716E-2</v>
      </c>
      <c r="DA33" s="316">
        <v>2007</v>
      </c>
      <c r="DB33" s="46">
        <f t="shared" si="23"/>
        <v>23444.2</v>
      </c>
      <c r="DC33" s="46">
        <f t="shared" si="24"/>
        <v>1059.7999999999993</v>
      </c>
      <c r="DD33" s="46">
        <f t="shared" si="25"/>
        <v>15270.600000000011</v>
      </c>
      <c r="DE33" s="46">
        <f t="shared" si="26"/>
        <v>3946</v>
      </c>
      <c r="DF33" s="46">
        <f t="shared" si="27"/>
        <v>6652.900000000006</v>
      </c>
      <c r="DG33" s="46">
        <f t="shared" si="28"/>
        <v>12684.599999999929</v>
      </c>
      <c r="DI33" s="316">
        <v>2007</v>
      </c>
      <c r="DJ33" s="88">
        <f t="shared" si="29"/>
        <v>5.5730236009973545E-2</v>
      </c>
      <c r="DK33" s="88">
        <f t="shared" si="30"/>
        <v>5.2663486384416577E-2</v>
      </c>
      <c r="DL33" s="88">
        <f t="shared" si="31"/>
        <v>7.833704226956123E-2</v>
      </c>
      <c r="DM33" s="88">
        <f t="shared" si="32"/>
        <v>8.2711148188361755E-2</v>
      </c>
      <c r="DN33" s="88">
        <f t="shared" si="33"/>
        <v>3.1607492984057316E-2</v>
      </c>
      <c r="DO33" s="88">
        <f t="shared" si="34"/>
        <v>1.9777872750595466E-2</v>
      </c>
      <c r="DQ33" s="316">
        <v>2007</v>
      </c>
      <c r="DR33" s="61">
        <v>539281.69999999995</v>
      </c>
      <c r="DS33" s="61">
        <v>538.48400000000004</v>
      </c>
      <c r="DT33" s="61">
        <v>526681.19999999995</v>
      </c>
      <c r="DU33" s="61">
        <v>527.27</v>
      </c>
      <c r="DV33" s="89">
        <v>1.6</v>
      </c>
      <c r="DW33" s="46">
        <f t="shared" si="6"/>
        <v>530789.07480314956</v>
      </c>
      <c r="DX33" s="61">
        <v>530.00393700787401</v>
      </c>
      <c r="DY33" s="46">
        <f t="shared" si="7"/>
        <v>518387.00787401572</v>
      </c>
      <c r="DZ33" s="61">
        <v>518.96653543307082</v>
      </c>
      <c r="EB33" s="316">
        <v>2007</v>
      </c>
      <c r="EC33" s="88">
        <f t="shared" si="8"/>
        <v>4.1340360705731348E-2</v>
      </c>
      <c r="ED33" s="88">
        <f t="shared" si="9"/>
        <v>1.0387891893976749E-3</v>
      </c>
      <c r="EE33" s="88">
        <f t="shared" si="10"/>
        <v>2.4763866454211227E-2</v>
      </c>
      <c r="EF33" s="88">
        <f t="shared" si="11"/>
        <v>4.2002166956527547E-3</v>
      </c>
      <c r="EG33" s="88">
        <f t="shared" si="12"/>
        <v>1.0826252772901435E-2</v>
      </c>
      <c r="EH33" s="88">
        <f t="shared" si="13"/>
        <v>2.8848188247440995E-2</v>
      </c>
      <c r="EI33" s="140"/>
      <c r="EJ33" s="316">
        <v>2007</v>
      </c>
      <c r="EK33" s="88">
        <f t="shared" si="14"/>
        <v>0.76059365040571569</v>
      </c>
      <c r="EL33" s="88">
        <f t="shared" si="15"/>
        <v>3.5353968065298717E-2</v>
      </c>
      <c r="EM33" s="88">
        <f t="shared" si="16"/>
        <v>0.35311389947035104</v>
      </c>
      <c r="EN33" s="88">
        <f t="shared" si="17"/>
        <v>8.3061619187152103E-2</v>
      </c>
      <c r="EO33" s="88">
        <f t="shared" si="18"/>
        <v>0.38138765398492108</v>
      </c>
      <c r="EP33" s="88">
        <f t="shared" si="19"/>
        <v>1.1429381816590476</v>
      </c>
      <c r="ER33" s="316">
        <v>2007</v>
      </c>
      <c r="ES33" s="317">
        <f t="shared" si="35"/>
        <v>127772</v>
      </c>
      <c r="ET33" s="318">
        <v>17293</v>
      </c>
      <c r="EU33" s="318">
        <v>83015</v>
      </c>
      <c r="EV33" s="318">
        <v>27464</v>
      </c>
      <c r="EW33" s="88">
        <f t="shared" si="36"/>
        <v>0.13534264158031495</v>
      </c>
      <c r="EX33" s="88">
        <f t="shared" si="36"/>
        <v>0.64971198697680244</v>
      </c>
      <c r="EY33" s="88">
        <f t="shared" si="36"/>
        <v>0.21494537144288264</v>
      </c>
      <c r="EZ33" s="88">
        <f t="shared" si="41"/>
        <v>-1.1134905320744903E-3</v>
      </c>
      <c r="FA33" s="88">
        <f t="shared" si="41"/>
        <v>-5.6139893869762147E-3</v>
      </c>
      <c r="FB33" s="88">
        <f t="shared" si="41"/>
        <v>6.7274799190507606E-3</v>
      </c>
      <c r="FD33" s="316">
        <v>2007</v>
      </c>
      <c r="FE33" s="159">
        <v>1.6812734693877545E-2</v>
      </c>
      <c r="FF33" s="159">
        <v>1.6E-2</v>
      </c>
      <c r="FG33" s="159">
        <v>2E-3</v>
      </c>
      <c r="FH33" s="159">
        <v>1E-3</v>
      </c>
      <c r="FI33" s="319">
        <f t="shared" si="45"/>
        <v>1.4812734693877545E-2</v>
      </c>
      <c r="FK33" s="345">
        <f t="shared" si="42"/>
        <v>1.524395379494814E-2</v>
      </c>
      <c r="FL33" s="345">
        <f t="shared" si="43"/>
        <v>-2.4820955744392359E-3</v>
      </c>
      <c r="FM33" s="345">
        <f t="shared" si="44"/>
        <v>-1.2559786968730832E-3</v>
      </c>
      <c r="FO33" s="316">
        <v>2007</v>
      </c>
      <c r="FP33" s="61">
        <v>182368.08658647974</v>
      </c>
      <c r="FQ33" s="61">
        <v>5931.8477660247218</v>
      </c>
      <c r="FR33" s="61">
        <v>100901.01828428419</v>
      </c>
      <c r="FS33" s="61">
        <v>14760.282435585716</v>
      </c>
      <c r="FT33" s="61">
        <v>53797.225260160587</v>
      </c>
      <c r="FU33" s="61">
        <v>165996.1534714429</v>
      </c>
      <c r="FV33" s="285">
        <f t="shared" si="38"/>
        <v>523754.61380397785</v>
      </c>
    </row>
    <row r="34" spans="1:178">
      <c r="A34" s="316">
        <v>2008</v>
      </c>
      <c r="B34" s="61">
        <v>361115.8</v>
      </c>
      <c r="C34" s="61">
        <v>20982.2</v>
      </c>
      <c r="D34" s="61">
        <v>149603.6</v>
      </c>
      <c r="E34" s="61">
        <v>38737.599999999999</v>
      </c>
      <c r="F34" s="61">
        <v>206649.2</v>
      </c>
      <c r="G34" s="61">
        <v>590549.1</v>
      </c>
      <c r="I34" s="316">
        <v>2008</v>
      </c>
      <c r="J34" s="61">
        <v>351685.4</v>
      </c>
      <c r="K34" s="61">
        <v>20483</v>
      </c>
      <c r="L34" s="61">
        <v>146544.20000000001</v>
      </c>
      <c r="M34" s="61">
        <v>38254.5</v>
      </c>
      <c r="N34" s="61">
        <v>202134.7</v>
      </c>
      <c r="O34" s="61">
        <v>582700.1</v>
      </c>
      <c r="Q34" s="316">
        <v>2008</v>
      </c>
      <c r="R34" s="75">
        <v>408286.1</v>
      </c>
      <c r="S34" s="75">
        <v>18612.8</v>
      </c>
      <c r="T34" s="75">
        <v>188355.20000000001</v>
      </c>
      <c r="U34" s="75">
        <v>43608.3</v>
      </c>
      <c r="V34" s="75">
        <v>207094.8</v>
      </c>
      <c r="W34" s="75">
        <v>621474.5</v>
      </c>
      <c r="Y34" s="316">
        <v>2008</v>
      </c>
      <c r="Z34" s="75">
        <v>419186.9</v>
      </c>
      <c r="AA34" s="75">
        <v>19156.5</v>
      </c>
      <c r="AB34" s="75">
        <v>191547</v>
      </c>
      <c r="AC34" s="75">
        <v>45238.6</v>
      </c>
      <c r="AD34" s="75">
        <v>209264.3</v>
      </c>
      <c r="AE34" s="75">
        <v>648272.4</v>
      </c>
      <c r="AG34" s="316">
        <v>2008</v>
      </c>
      <c r="AH34" s="48">
        <f t="shared" si="46"/>
        <v>0.97399537056143681</v>
      </c>
      <c r="AI34" s="48">
        <f t="shared" si="46"/>
        <v>0.97161798867225224</v>
      </c>
      <c r="AJ34" s="48">
        <f t="shared" si="46"/>
        <v>0.98333672675635753</v>
      </c>
      <c r="AK34" s="48">
        <f t="shared" si="46"/>
        <v>0.96396219157975715</v>
      </c>
      <c r="AL34" s="48">
        <f t="shared" si="46"/>
        <v>0.98963272760810128</v>
      </c>
      <c r="AM34" s="48">
        <f t="shared" si="46"/>
        <v>0.95866259307044377</v>
      </c>
      <c r="AO34" s="316">
        <v>2008</v>
      </c>
      <c r="AP34" s="88" t="e">
        <f>#REF!</f>
        <v>#REF!</v>
      </c>
      <c r="AS34" s="316">
        <v>2008</v>
      </c>
      <c r="AT34" s="308">
        <f t="shared" si="39"/>
        <v>1.4747753682827325E-2</v>
      </c>
      <c r="AU34" s="308">
        <f t="shared" si="39"/>
        <v>1.7865047769108466E-2</v>
      </c>
      <c r="AV34" s="308">
        <f t="shared" si="39"/>
        <v>1.5853694241449112E-2</v>
      </c>
      <c r="AW34" s="308">
        <f t="shared" si="39"/>
        <v>1.5868285337505172E-2</v>
      </c>
      <c r="AX34" s="308">
        <f t="shared" si="39"/>
        <v>2.6595023371966287E-2</v>
      </c>
      <c r="AY34" s="308">
        <f t="shared" si="39"/>
        <v>2.0213765819536267E-2</v>
      </c>
      <c r="BA34" s="316">
        <v>2008</v>
      </c>
      <c r="BB34" s="61">
        <v>17492.3</v>
      </c>
      <c r="BC34" s="61">
        <v>510.5</v>
      </c>
      <c r="BD34" s="61">
        <v>9142.2000000000007</v>
      </c>
      <c r="BE34" s="61">
        <v>1946.2</v>
      </c>
      <c r="BF34" s="61">
        <v>5911.5</v>
      </c>
      <c r="BG34" s="61">
        <v>14744.2</v>
      </c>
      <c r="BI34" s="316">
        <v>2008</v>
      </c>
      <c r="BJ34" s="61">
        <v>16986.8</v>
      </c>
      <c r="BK34" s="61">
        <v>497.5</v>
      </c>
      <c r="BL34" s="61">
        <v>8906.9</v>
      </c>
      <c r="BM34" s="61">
        <v>2176.9</v>
      </c>
      <c r="BN34" s="61">
        <v>5736.1</v>
      </c>
      <c r="BO34" s="61">
        <v>14443.6</v>
      </c>
      <c r="BQ34" s="316">
        <v>2008</v>
      </c>
      <c r="BR34" s="75">
        <v>21446.6</v>
      </c>
      <c r="BS34" s="75">
        <v>518</v>
      </c>
      <c r="BT34" s="75">
        <v>12953.1</v>
      </c>
      <c r="BU34" s="75">
        <v>2272.1999999999998</v>
      </c>
      <c r="BV34" s="75">
        <v>5877.8</v>
      </c>
      <c r="BW34" s="75">
        <v>14751.2</v>
      </c>
      <c r="BY34" s="316">
        <v>2008</v>
      </c>
      <c r="BZ34" s="75">
        <v>21929</v>
      </c>
      <c r="CA34" s="75">
        <v>533</v>
      </c>
      <c r="CB34" s="75">
        <v>13113.3</v>
      </c>
      <c r="CC34" s="75">
        <v>2621.8</v>
      </c>
      <c r="CD34" s="75">
        <v>5900.3</v>
      </c>
      <c r="CE34" s="75">
        <v>15384.2</v>
      </c>
      <c r="CG34" s="316">
        <v>2008</v>
      </c>
      <c r="CH34" s="48">
        <f t="shared" si="47"/>
        <v>0.97800173286515568</v>
      </c>
      <c r="CI34" s="48">
        <f t="shared" si="47"/>
        <v>0.97185741088180111</v>
      </c>
      <c r="CJ34" s="48">
        <f t="shared" si="47"/>
        <v>0.98778339548397431</v>
      </c>
      <c r="CK34" s="48">
        <f t="shared" si="47"/>
        <v>0.86665649553741686</v>
      </c>
      <c r="CL34" s="48">
        <f t="shared" si="47"/>
        <v>0.9961866345779028</v>
      </c>
      <c r="CM34" s="48">
        <f t="shared" si="47"/>
        <v>0.95885388905500446</v>
      </c>
      <c r="CO34" s="316">
        <v>2008</v>
      </c>
      <c r="CP34" s="88" t="e">
        <f>#REF!</f>
        <v>#REF!</v>
      </c>
      <c r="CS34" s="316">
        <v>2008</v>
      </c>
      <c r="CT34" s="308">
        <f t="shared" si="40"/>
        <v>2.5537299572611305E-2</v>
      </c>
      <c r="CU34" s="308">
        <f t="shared" si="40"/>
        <v>3.136242550737367E-2</v>
      </c>
      <c r="CV34" s="308">
        <f t="shared" si="40"/>
        <v>3.2769045564721377E-2</v>
      </c>
      <c r="CW34" s="308">
        <f t="shared" si="40"/>
        <v>3.305484877092657E-2</v>
      </c>
      <c r="CX34" s="308">
        <f t="shared" si="40"/>
        <v>5.1964486531094867E-2</v>
      </c>
      <c r="CY34" s="308">
        <f t="shared" si="40"/>
        <v>4.4154923453783468E-2</v>
      </c>
      <c r="DA34" s="316">
        <v>2008</v>
      </c>
      <c r="DB34" s="46">
        <f t="shared" si="23"/>
        <v>23348.5</v>
      </c>
      <c r="DC34" s="46">
        <f t="shared" si="24"/>
        <v>1035.2000000000007</v>
      </c>
      <c r="DD34" s="46">
        <f t="shared" si="25"/>
        <v>15193.199999999993</v>
      </c>
      <c r="DE34" s="46">
        <f t="shared" si="26"/>
        <v>3845.3999999999987</v>
      </c>
      <c r="DF34" s="46">
        <f t="shared" si="27"/>
        <v>6633.3</v>
      </c>
      <c r="DG34" s="46">
        <f t="shared" si="28"/>
        <v>12721.600000000024</v>
      </c>
      <c r="DI34" s="316">
        <v>2008</v>
      </c>
      <c r="DJ34" s="88">
        <f t="shared" si="29"/>
        <v>5.5511518607420138E-2</v>
      </c>
      <c r="DK34" s="88">
        <f t="shared" si="30"/>
        <v>5.265861933902042E-2</v>
      </c>
      <c r="DL34" s="88">
        <f t="shared" si="31"/>
        <v>7.8466370116962017E-2</v>
      </c>
      <c r="DM34" s="88">
        <f t="shared" si="32"/>
        <v>8.2764053359505124E-2</v>
      </c>
      <c r="DN34" s="88">
        <f t="shared" si="33"/>
        <v>3.1587548982772641E-2</v>
      </c>
      <c r="DO34" s="88">
        <f t="shared" si="34"/>
        <v>1.970478143299563E-2</v>
      </c>
      <c r="DQ34" s="316">
        <v>2008</v>
      </c>
      <c r="DR34" s="61">
        <v>527823.80000000005</v>
      </c>
      <c r="DS34" s="61">
        <v>516.17399999999998</v>
      </c>
      <c r="DT34" s="61">
        <v>520233.1</v>
      </c>
      <c r="DU34" s="61">
        <v>508.26190000000003</v>
      </c>
      <c r="DV34" s="89">
        <v>0.4</v>
      </c>
      <c r="DW34" s="46">
        <f t="shared" si="6"/>
        <v>525720.91633466142</v>
      </c>
      <c r="DX34" s="61">
        <v>525.63543788187371</v>
      </c>
      <c r="DY34" s="46">
        <f t="shared" si="7"/>
        <v>518160.45816733065</v>
      </c>
      <c r="DZ34" s="61">
        <v>517.57830957230146</v>
      </c>
      <c r="EB34" s="316">
        <v>2008</v>
      </c>
      <c r="EC34" s="88">
        <f t="shared" si="8"/>
        <v>4.06321200370275E-2</v>
      </c>
      <c r="ED34" s="88">
        <f t="shared" si="9"/>
        <v>9.8138810716758115E-4</v>
      </c>
      <c r="EE34" s="88">
        <f t="shared" si="10"/>
        <v>2.4540575851259454E-2</v>
      </c>
      <c r="EF34" s="88">
        <f t="shared" si="11"/>
        <v>4.3048456700891463E-3</v>
      </c>
      <c r="EG34" s="88">
        <f t="shared" si="12"/>
        <v>1.1135913158898858E-2</v>
      </c>
      <c r="EH34" s="88">
        <f t="shared" si="13"/>
        <v>2.7947205108977653E-2</v>
      </c>
      <c r="EI34" s="140"/>
      <c r="EJ34" s="316">
        <v>2008</v>
      </c>
      <c r="EK34" s="88">
        <f t="shared" si="14"/>
        <v>0.77662137326888236</v>
      </c>
      <c r="EL34" s="88">
        <f t="shared" si="15"/>
        <v>3.5404336068210633E-2</v>
      </c>
      <c r="EM34" s="88">
        <f t="shared" si="16"/>
        <v>0.3582798289883859</v>
      </c>
      <c r="EN34" s="88">
        <f t="shared" si="17"/>
        <v>8.2949524443573772E-2</v>
      </c>
      <c r="EO34" s="88">
        <f t="shared" si="18"/>
        <v>0.39392535766670611</v>
      </c>
      <c r="EP34" s="88">
        <f t="shared" si="19"/>
        <v>1.1821376717002907</v>
      </c>
      <c r="ER34" s="316">
        <v>2008</v>
      </c>
      <c r="ES34" s="317">
        <f t="shared" si="35"/>
        <v>127692</v>
      </c>
      <c r="ET34" s="318">
        <v>17176</v>
      </c>
      <c r="EU34" s="318">
        <v>82300</v>
      </c>
      <c r="EV34" s="318">
        <v>28216</v>
      </c>
      <c r="EW34" s="88">
        <f t="shared" si="36"/>
        <v>0.13451116749678915</v>
      </c>
      <c r="EX34" s="88">
        <f t="shared" si="36"/>
        <v>0.64451962534849483</v>
      </c>
      <c r="EY34" s="88">
        <f t="shared" si="36"/>
        <v>0.22096920715471605</v>
      </c>
      <c r="EZ34" s="88">
        <f t="shared" si="41"/>
        <v>-8.314740835257961E-4</v>
      </c>
      <c r="FA34" s="88">
        <f t="shared" si="41"/>
        <v>-5.1923616283076068E-3</v>
      </c>
      <c r="FB34" s="88">
        <f t="shared" si="41"/>
        <v>6.0238357118334029E-3</v>
      </c>
      <c r="FD34" s="316">
        <v>2008</v>
      </c>
      <c r="FE34" s="159">
        <v>1.4929469387755117E-2</v>
      </c>
      <c r="FF34" s="159">
        <v>1.3999999999999999E-2</v>
      </c>
      <c r="FG34" s="159">
        <v>-1E-3</v>
      </c>
      <c r="FH34" s="159">
        <v>-1E-3</v>
      </c>
      <c r="FI34" s="319">
        <f t="shared" si="45"/>
        <v>1.5929469387755118E-2</v>
      </c>
      <c r="FK34" s="345">
        <f t="shared" si="42"/>
        <v>2.6102939298977557E-2</v>
      </c>
      <c r="FL34" s="345">
        <f t="shared" si="43"/>
        <v>4.2497862021163568E-3</v>
      </c>
      <c r="FM34" s="345">
        <f t="shared" si="44"/>
        <v>-1.9596884120162347E-4</v>
      </c>
      <c r="FO34" s="316">
        <v>2008</v>
      </c>
      <c r="FP34" s="61">
        <v>170607.51258486437</v>
      </c>
      <c r="FQ34" s="61">
        <v>5355.6623268122285</v>
      </c>
      <c r="FR34" s="61">
        <v>100729.71987110993</v>
      </c>
      <c r="FS34" s="61">
        <v>15590.329151572929</v>
      </c>
      <c r="FT34" s="61">
        <v>52495.54100616405</v>
      </c>
      <c r="FU34" s="61">
        <v>154155.20868274386</v>
      </c>
      <c r="FV34" s="285">
        <f t="shared" si="38"/>
        <v>498933.97362326737</v>
      </c>
    </row>
    <row r="35" spans="1:178">
      <c r="A35" s="316">
        <v>2009</v>
      </c>
      <c r="B35" s="61">
        <v>345605.5</v>
      </c>
      <c r="C35" s="61">
        <v>19889.7</v>
      </c>
      <c r="D35" s="61">
        <v>141311.6</v>
      </c>
      <c r="E35" s="61">
        <v>37002.5</v>
      </c>
      <c r="F35" s="61">
        <v>199035.4</v>
      </c>
      <c r="G35" s="61">
        <v>575743.80000000005</v>
      </c>
      <c r="I35" s="316">
        <v>2009</v>
      </c>
      <c r="J35" s="61">
        <v>347672.9</v>
      </c>
      <c r="K35" s="61">
        <v>20141.5</v>
      </c>
      <c r="L35" s="61">
        <v>143296.20000000001</v>
      </c>
      <c r="M35" s="61">
        <v>37835.4</v>
      </c>
      <c r="N35" s="61">
        <v>201225.7</v>
      </c>
      <c r="O35" s="61">
        <v>584939.80000000005</v>
      </c>
      <c r="Q35" s="316">
        <v>2009</v>
      </c>
      <c r="R35" s="75">
        <v>390828</v>
      </c>
      <c r="S35" s="75">
        <v>17545.5</v>
      </c>
      <c r="T35" s="75">
        <v>179002.9</v>
      </c>
      <c r="U35" s="75">
        <v>41787.699999999997</v>
      </c>
      <c r="V35" s="75">
        <v>199450.4</v>
      </c>
      <c r="W35" s="75">
        <v>606961.6</v>
      </c>
      <c r="Y35" s="316">
        <v>2009</v>
      </c>
      <c r="Z35" s="75">
        <v>414018.4</v>
      </c>
      <c r="AA35" s="75">
        <v>18714.099999999999</v>
      </c>
      <c r="AB35" s="75">
        <v>188267.7</v>
      </c>
      <c r="AC35" s="75">
        <v>44850.6</v>
      </c>
      <c r="AD35" s="75">
        <v>208329.3</v>
      </c>
      <c r="AE35" s="75">
        <v>651658</v>
      </c>
      <c r="AG35" s="316">
        <v>2009</v>
      </c>
      <c r="AH35" s="48">
        <f t="shared" si="46"/>
        <v>0.94398703052811173</v>
      </c>
      <c r="AI35" s="48">
        <f t="shared" si="46"/>
        <v>0.93755510550868071</v>
      </c>
      <c r="AJ35" s="48">
        <f t="shared" si="46"/>
        <v>0.95078922194300974</v>
      </c>
      <c r="AK35" s="48">
        <f t="shared" si="46"/>
        <v>0.93170882886739526</v>
      </c>
      <c r="AL35" s="48">
        <f t="shared" si="46"/>
        <v>0.95738045488560664</v>
      </c>
      <c r="AM35" s="48">
        <f t="shared" si="46"/>
        <v>0.93141126173545019</v>
      </c>
      <c r="AO35" s="316">
        <v>2009</v>
      </c>
      <c r="AP35" s="88" t="e">
        <f>#REF!</f>
        <v>#REF!</v>
      </c>
      <c r="AS35" s="316">
        <v>2009</v>
      </c>
      <c r="AT35" s="308">
        <f t="shared" si="39"/>
        <v>-3.0809530456009759E-2</v>
      </c>
      <c r="AU35" s="308">
        <f t="shared" si="39"/>
        <v>-3.505789678731619E-2</v>
      </c>
      <c r="AV35" s="308">
        <f t="shared" si="39"/>
        <v>-3.3099043214534718E-2</v>
      </c>
      <c r="AW35" s="308">
        <f t="shared" si="39"/>
        <v>-3.3459157417268126E-2</v>
      </c>
      <c r="AX35" s="308">
        <f t="shared" si="39"/>
        <v>-3.2590143618680623E-2</v>
      </c>
      <c r="AY35" s="308">
        <f t="shared" si="39"/>
        <v>-2.842640521490658E-2</v>
      </c>
      <c r="BA35" s="316">
        <v>2009</v>
      </c>
      <c r="BB35" s="61">
        <v>14273.9</v>
      </c>
      <c r="BC35" s="61">
        <v>552.6</v>
      </c>
      <c r="BD35" s="61">
        <v>7940.8</v>
      </c>
      <c r="BE35" s="61">
        <v>2478.1</v>
      </c>
      <c r="BF35" s="61">
        <v>5446.1</v>
      </c>
      <c r="BG35" s="61">
        <v>15126.8</v>
      </c>
      <c r="BI35" s="316">
        <v>2009</v>
      </c>
      <c r="BJ35" s="61">
        <v>14196.2</v>
      </c>
      <c r="BK35" s="61">
        <v>553.70000000000005</v>
      </c>
      <c r="BL35" s="61">
        <v>7953.7</v>
      </c>
      <c r="BM35" s="61">
        <v>2851.5</v>
      </c>
      <c r="BN35" s="61">
        <v>5444.9</v>
      </c>
      <c r="BO35" s="61">
        <v>15220.8</v>
      </c>
      <c r="BQ35" s="316">
        <v>2009</v>
      </c>
      <c r="BR35" s="75">
        <v>17262.400000000001</v>
      </c>
      <c r="BS35" s="75">
        <v>535.1</v>
      </c>
      <c r="BT35" s="75">
        <v>11338.5</v>
      </c>
      <c r="BU35" s="75">
        <v>2913.6</v>
      </c>
      <c r="BV35" s="75">
        <v>5473.4</v>
      </c>
      <c r="BW35" s="75">
        <v>15060.6</v>
      </c>
      <c r="BY35" s="316">
        <v>2009</v>
      </c>
      <c r="BZ35" s="75">
        <v>18034.7</v>
      </c>
      <c r="CA35" s="75">
        <v>565.20000000000005</v>
      </c>
      <c r="CB35" s="75">
        <v>11777.4</v>
      </c>
      <c r="CC35" s="75">
        <v>3451.1</v>
      </c>
      <c r="CD35" s="75">
        <v>5655.2</v>
      </c>
      <c r="CE35" s="75">
        <v>16105.8</v>
      </c>
      <c r="CG35" s="316">
        <v>2009</v>
      </c>
      <c r="CH35" s="48">
        <f t="shared" si="47"/>
        <v>0.95717699767670106</v>
      </c>
      <c r="CI35" s="48">
        <f t="shared" si="47"/>
        <v>0.94674451521585279</v>
      </c>
      <c r="CJ35" s="48">
        <f t="shared" si="47"/>
        <v>0.96273371032655763</v>
      </c>
      <c r="CK35" s="48">
        <f t="shared" si="47"/>
        <v>0.84425255715568948</v>
      </c>
      <c r="CL35" s="48">
        <f t="shared" si="47"/>
        <v>0.96785259584099581</v>
      </c>
      <c r="CM35" s="48">
        <f t="shared" si="47"/>
        <v>0.93510412398018117</v>
      </c>
      <c r="CO35" s="316">
        <v>2009</v>
      </c>
      <c r="CP35" s="88" t="e">
        <f>#REF!</f>
        <v>#REF!</v>
      </c>
      <c r="CS35" s="316">
        <v>2009</v>
      </c>
      <c r="CT35" s="308">
        <f t="shared" si="40"/>
        <v>-2.1293147536095347E-2</v>
      </c>
      <c r="CU35" s="308">
        <f t="shared" si="40"/>
        <v>-2.5840103069402431E-2</v>
      </c>
      <c r="CV35" s="308">
        <f t="shared" si="40"/>
        <v>-2.5359492042426268E-2</v>
      </c>
      <c r="CW35" s="308">
        <f t="shared" si="40"/>
        <v>-2.5851001518005789E-2</v>
      </c>
      <c r="CX35" s="308">
        <f t="shared" si="40"/>
        <v>-2.8442500384390779E-2</v>
      </c>
      <c r="CY35" s="308">
        <f t="shared" si="40"/>
        <v>-2.4768909367651193E-2</v>
      </c>
      <c r="DA35" s="316">
        <v>2009</v>
      </c>
      <c r="DB35" s="46">
        <f t="shared" si="23"/>
        <v>23203.200000000001</v>
      </c>
      <c r="DC35" s="46">
        <f t="shared" si="24"/>
        <v>1007.6000000000015</v>
      </c>
      <c r="DD35" s="46">
        <f t="shared" si="25"/>
        <v>15056.699999999988</v>
      </c>
      <c r="DE35" s="46">
        <f t="shared" si="26"/>
        <v>3839.1</v>
      </c>
      <c r="DF35" s="46">
        <f t="shared" si="27"/>
        <v>6590.2</v>
      </c>
      <c r="DG35" s="46">
        <f t="shared" si="28"/>
        <v>12720.200000000023</v>
      </c>
      <c r="DI35" s="316">
        <v>2009</v>
      </c>
      <c r="DJ35" s="88">
        <f t="shared" si="29"/>
        <v>5.5352874815505923E-2</v>
      </c>
      <c r="DK35" s="88">
        <f t="shared" si="30"/>
        <v>5.2598334768877486E-2</v>
      </c>
      <c r="DL35" s="88">
        <f t="shared" si="31"/>
        <v>7.8605772995661571E-2</v>
      </c>
      <c r="DM35" s="88">
        <f t="shared" si="32"/>
        <v>8.4863368892936566E-2</v>
      </c>
      <c r="DN35" s="88">
        <f t="shared" si="33"/>
        <v>3.1492232549938048E-2</v>
      </c>
      <c r="DO35" s="88">
        <f t="shared" si="34"/>
        <v>1.9621689894556704E-2</v>
      </c>
      <c r="DQ35" s="316">
        <v>2009</v>
      </c>
      <c r="DR35" s="61">
        <v>494938.4</v>
      </c>
      <c r="DS35" s="61">
        <v>497.36680000000001</v>
      </c>
      <c r="DT35" s="61">
        <v>490615</v>
      </c>
      <c r="DU35" s="61">
        <v>495.8775</v>
      </c>
      <c r="DV35" s="89">
        <v>-5.2</v>
      </c>
      <c r="DW35" s="46">
        <f t="shared" si="6"/>
        <v>522086.91983122367</v>
      </c>
      <c r="DX35" s="61">
        <v>519.17202505219211</v>
      </c>
      <c r="DY35" s="46">
        <f t="shared" si="7"/>
        <v>517526.37130801688</v>
      </c>
      <c r="DZ35" s="61">
        <v>517.61743215031322</v>
      </c>
      <c r="EB35" s="316">
        <v>2009</v>
      </c>
      <c r="EC35" s="88">
        <f t="shared" si="8"/>
        <v>3.4877875711401662E-2</v>
      </c>
      <c r="ED35" s="88">
        <f t="shared" si="9"/>
        <v>1.0811446434546199E-3</v>
      </c>
      <c r="EE35" s="88">
        <f t="shared" si="10"/>
        <v>2.2908911492824157E-2</v>
      </c>
      <c r="EF35" s="88">
        <f t="shared" si="11"/>
        <v>5.8867931847680433E-3</v>
      </c>
      <c r="EG35" s="88">
        <f t="shared" si="12"/>
        <v>1.1058749937365941E-2</v>
      </c>
      <c r="EH35" s="88">
        <f t="shared" si="13"/>
        <v>3.0429241295482426E-2</v>
      </c>
      <c r="EI35" s="140"/>
      <c r="EJ35" s="316">
        <v>2009</v>
      </c>
      <c r="EK35" s="88">
        <f t="shared" si="14"/>
        <v>0.748587993980665</v>
      </c>
      <c r="EL35" s="88">
        <f t="shared" si="15"/>
        <v>3.36064730479591E-2</v>
      </c>
      <c r="EM35" s="88">
        <f t="shared" si="16"/>
        <v>0.34286034221632428</v>
      </c>
      <c r="EN35" s="88">
        <f t="shared" si="17"/>
        <v>8.0039737470359931E-2</v>
      </c>
      <c r="EO35" s="88">
        <f t="shared" si="18"/>
        <v>0.38202527668089603</v>
      </c>
      <c r="EP35" s="88">
        <f t="shared" si="19"/>
        <v>1.1625681030204971</v>
      </c>
      <c r="ER35" s="316">
        <v>2009</v>
      </c>
      <c r="ES35" s="317">
        <f t="shared" si="35"/>
        <v>127509</v>
      </c>
      <c r="ET35" s="318">
        <v>17011</v>
      </c>
      <c r="EU35" s="318">
        <v>81493</v>
      </c>
      <c r="EV35" s="318">
        <v>29005</v>
      </c>
      <c r="EW35" s="88">
        <f t="shared" si="36"/>
        <v>0.1334101906532088</v>
      </c>
      <c r="EX35" s="88">
        <f t="shared" si="36"/>
        <v>0.63911567026641258</v>
      </c>
      <c r="EY35" s="88">
        <f t="shared" si="36"/>
        <v>0.22747413908037864</v>
      </c>
      <c r="EZ35" s="88">
        <f t="shared" si="41"/>
        <v>-1.100976843580348E-3</v>
      </c>
      <c r="FA35" s="88">
        <f t="shared" si="41"/>
        <v>-5.4039550820822457E-3</v>
      </c>
      <c r="FB35" s="88">
        <f t="shared" si="41"/>
        <v>6.5049319256625937E-3</v>
      </c>
      <c r="FD35" s="316">
        <v>2009</v>
      </c>
      <c r="FE35" s="159">
        <v>1.3538395061728397E-2</v>
      </c>
      <c r="FF35" s="159">
        <v>1.3000000000000001E-2</v>
      </c>
      <c r="FG35" s="159">
        <v>-1E-3</v>
      </c>
      <c r="FH35" s="159">
        <v>-1E-3</v>
      </c>
      <c r="FI35" s="319">
        <f t="shared" si="45"/>
        <v>1.4538395061728396E-2</v>
      </c>
      <c r="FK35" s="345">
        <f t="shared" si="42"/>
        <v>3.9299912996018094E-3</v>
      </c>
      <c r="FL35" s="345">
        <f t="shared" si="43"/>
        <v>-7.7231885883581874E-3</v>
      </c>
      <c r="FM35" s="345">
        <f t="shared" si="44"/>
        <v>-6.1539204759590745E-4</v>
      </c>
      <c r="FO35" s="316">
        <v>2009</v>
      </c>
      <c r="FP35" s="61">
        <v>141081.20068738353</v>
      </c>
      <c r="FQ35" s="61">
        <v>5921.2084719150071</v>
      </c>
      <c r="FR35" s="61">
        <v>87946.994892914488</v>
      </c>
      <c r="FS35" s="61">
        <v>17290.817538634466</v>
      </c>
      <c r="FT35" s="61">
        <v>49375.167110910472</v>
      </c>
      <c r="FU35" s="61">
        <v>161129.789063484</v>
      </c>
      <c r="FV35" s="285">
        <f t="shared" si="38"/>
        <v>462745.177765242</v>
      </c>
    </row>
    <row r="36" spans="1:178">
      <c r="A36" s="316">
        <v>2010</v>
      </c>
      <c r="B36" s="61">
        <v>343403.1</v>
      </c>
      <c r="C36" s="61">
        <v>19682.5</v>
      </c>
      <c r="D36" s="61">
        <v>138546.79999999999</v>
      </c>
      <c r="E36" s="61">
        <v>36871.199999999997</v>
      </c>
      <c r="F36" s="61">
        <v>199121.3</v>
      </c>
      <c r="G36" s="61">
        <v>581758.4</v>
      </c>
      <c r="I36" s="316">
        <v>2010</v>
      </c>
      <c r="J36" s="61">
        <v>343407.2</v>
      </c>
      <c r="K36" s="61">
        <v>19769.400000000001</v>
      </c>
      <c r="L36" s="61">
        <v>139530.70000000001</v>
      </c>
      <c r="M36" s="61">
        <v>37456.699999999997</v>
      </c>
      <c r="N36" s="61">
        <v>200569.4</v>
      </c>
      <c r="O36" s="61">
        <v>586387.80000000005</v>
      </c>
      <c r="Q36" s="316">
        <v>2010</v>
      </c>
      <c r="R36" s="75">
        <v>387549.7</v>
      </c>
      <c r="S36" s="75">
        <v>17260</v>
      </c>
      <c r="T36" s="75">
        <v>176439.6</v>
      </c>
      <c r="U36" s="75">
        <v>41754</v>
      </c>
      <c r="V36" s="75">
        <v>199453</v>
      </c>
      <c r="W36" s="75">
        <v>614506.5</v>
      </c>
      <c r="Y36" s="316">
        <v>2010</v>
      </c>
      <c r="Z36" s="75">
        <v>408955.9</v>
      </c>
      <c r="AA36" s="75">
        <v>18265.7</v>
      </c>
      <c r="AB36" s="75">
        <v>184359.4</v>
      </c>
      <c r="AC36" s="75">
        <v>44531.9</v>
      </c>
      <c r="AD36" s="75">
        <v>207534</v>
      </c>
      <c r="AE36" s="75">
        <v>654273.6</v>
      </c>
      <c r="AG36" s="316">
        <v>2010</v>
      </c>
      <c r="AH36" s="48">
        <f t="shared" si="46"/>
        <v>0.94765645880154803</v>
      </c>
      <c r="AI36" s="48">
        <f t="shared" si="46"/>
        <v>0.94494051692516567</v>
      </c>
      <c r="AJ36" s="48">
        <f t="shared" si="46"/>
        <v>0.95704151781791447</v>
      </c>
      <c r="AK36" s="48">
        <f t="shared" si="46"/>
        <v>0.93761999824844655</v>
      </c>
      <c r="AL36" s="48">
        <f t="shared" si="46"/>
        <v>0.96106180192161283</v>
      </c>
      <c r="AM36" s="48">
        <f t="shared" si="46"/>
        <v>0.93921946415077728</v>
      </c>
      <c r="AO36" s="316">
        <v>2010</v>
      </c>
      <c r="AP36" s="88" t="e">
        <f>#REF!</f>
        <v>#REF!</v>
      </c>
      <c r="AS36" s="316">
        <v>2010</v>
      </c>
      <c r="AT36" s="308">
        <f t="shared" si="39"/>
        <v>3.887159626953185E-3</v>
      </c>
      <c r="AU36" s="308">
        <f t="shared" si="39"/>
        <v>7.877309155580603E-3</v>
      </c>
      <c r="AV36" s="308">
        <f t="shared" si="39"/>
        <v>6.5759010836572429E-3</v>
      </c>
      <c r="AW36" s="308">
        <f t="shared" si="39"/>
        <v>6.3444385175968065E-3</v>
      </c>
      <c r="AX36" s="308">
        <f t="shared" si="39"/>
        <v>3.8452289444805832E-3</v>
      </c>
      <c r="AY36" s="308">
        <f t="shared" si="39"/>
        <v>8.3831951964790097E-3</v>
      </c>
      <c r="BA36" s="316">
        <v>2010</v>
      </c>
      <c r="BB36" s="61">
        <v>13636.8</v>
      </c>
      <c r="BC36" s="61">
        <v>501.8</v>
      </c>
      <c r="BD36" s="61">
        <v>7133.7</v>
      </c>
      <c r="BE36" s="61">
        <v>2470.4</v>
      </c>
      <c r="BF36" s="61">
        <v>5680</v>
      </c>
      <c r="BG36" s="61">
        <v>14280.3</v>
      </c>
      <c r="BI36" s="316">
        <v>2010</v>
      </c>
      <c r="BJ36" s="61">
        <v>13673.6</v>
      </c>
      <c r="BK36" s="61">
        <v>505.4</v>
      </c>
      <c r="BL36" s="61">
        <v>7184.2</v>
      </c>
      <c r="BM36" s="61">
        <v>2859.9</v>
      </c>
      <c r="BN36" s="61">
        <v>5719.4</v>
      </c>
      <c r="BO36" s="61">
        <v>14391.9</v>
      </c>
      <c r="BQ36" s="316">
        <v>2010</v>
      </c>
      <c r="BR36" s="75">
        <v>16867.8</v>
      </c>
      <c r="BS36" s="75">
        <v>500.8</v>
      </c>
      <c r="BT36" s="75">
        <v>10433.200000000001</v>
      </c>
      <c r="BU36" s="75">
        <v>2936.5</v>
      </c>
      <c r="BV36" s="75">
        <v>5582</v>
      </c>
      <c r="BW36" s="75">
        <v>14334.6</v>
      </c>
      <c r="BY36" s="316">
        <v>2010</v>
      </c>
      <c r="BZ36" s="75">
        <v>17794.8</v>
      </c>
      <c r="CA36" s="75">
        <v>532</v>
      </c>
      <c r="CB36" s="75">
        <v>10905.9</v>
      </c>
      <c r="CC36" s="75">
        <v>3501.4</v>
      </c>
      <c r="CD36" s="75">
        <v>5812.6</v>
      </c>
      <c r="CE36" s="75">
        <v>15350.9</v>
      </c>
      <c r="CG36" s="316">
        <v>2010</v>
      </c>
      <c r="CH36" s="48">
        <f t="shared" si="47"/>
        <v>0.94790612988063927</v>
      </c>
      <c r="CI36" s="48">
        <f t="shared" si="47"/>
        <v>0.94135338345864661</v>
      </c>
      <c r="CJ36" s="48">
        <f t="shared" si="47"/>
        <v>0.95665648868960851</v>
      </c>
      <c r="CK36" s="48">
        <f t="shared" si="47"/>
        <v>0.83866453418632547</v>
      </c>
      <c r="CL36" s="48">
        <f t="shared" si="47"/>
        <v>0.96032756425695898</v>
      </c>
      <c r="CM36" s="48">
        <f t="shared" si="47"/>
        <v>0.93379541264681554</v>
      </c>
      <c r="CO36" s="316">
        <v>2010</v>
      </c>
      <c r="CP36" s="88" t="e">
        <f>#REF!</f>
        <v>#REF!</v>
      </c>
      <c r="CS36" s="316">
        <v>2010</v>
      </c>
      <c r="CT36" s="308">
        <f t="shared" si="40"/>
        <v>-9.6856358004469012E-3</v>
      </c>
      <c r="CU36" s="308">
        <f t="shared" si="40"/>
        <v>-5.6943892154232012E-3</v>
      </c>
      <c r="CV36" s="308">
        <f t="shared" si="40"/>
        <v>-6.3124637392075744E-3</v>
      </c>
      <c r="CW36" s="308">
        <f t="shared" si="40"/>
        <v>-6.6188996669316325E-3</v>
      </c>
      <c r="CX36" s="308">
        <f t="shared" si="40"/>
        <v>-7.7749769090592613E-3</v>
      </c>
      <c r="CY36" s="308">
        <f t="shared" si="40"/>
        <v>-1.3995354098057522E-3</v>
      </c>
      <c r="DA36" s="316">
        <v>2010</v>
      </c>
      <c r="DB36" s="46">
        <f t="shared" si="23"/>
        <v>22857.3</v>
      </c>
      <c r="DC36" s="46">
        <f t="shared" si="24"/>
        <v>980.39999999999782</v>
      </c>
      <c r="DD36" s="46">
        <f t="shared" si="25"/>
        <v>14814.200000000017</v>
      </c>
      <c r="DE36" s="46">
        <f t="shared" si="26"/>
        <v>3820.0999999999972</v>
      </c>
      <c r="DF36" s="46">
        <f t="shared" si="27"/>
        <v>6607.8999999999887</v>
      </c>
      <c r="DG36" s="46">
        <f t="shared" si="28"/>
        <v>12735.300000000023</v>
      </c>
      <c r="DI36" s="316">
        <v>2010</v>
      </c>
      <c r="DJ36" s="88">
        <f t="shared" si="29"/>
        <v>5.520841585784593E-2</v>
      </c>
      <c r="DK36" s="88">
        <f t="shared" si="30"/>
        <v>5.2388306143495968E-2</v>
      </c>
      <c r="DL36" s="88">
        <f t="shared" si="31"/>
        <v>7.8686891059911057E-2</v>
      </c>
      <c r="DM36" s="88">
        <f t="shared" si="32"/>
        <v>8.5173888420667671E-2</v>
      </c>
      <c r="DN36" s="88">
        <f t="shared" si="33"/>
        <v>3.1718534070819558E-2</v>
      </c>
      <c r="DO36" s="88">
        <f t="shared" si="34"/>
        <v>1.954291975238549E-2</v>
      </c>
      <c r="DQ36" s="316">
        <v>2010</v>
      </c>
      <c r="DR36" s="61">
        <v>505530.6</v>
      </c>
      <c r="DS36" s="61">
        <v>504.87209999999999</v>
      </c>
      <c r="DT36" s="61">
        <v>510720</v>
      </c>
      <c r="DU36" s="61">
        <v>512.06370000000004</v>
      </c>
      <c r="DV36" s="89">
        <v>-1.5</v>
      </c>
      <c r="DW36" s="46">
        <f t="shared" si="6"/>
        <v>513229.03553299489</v>
      </c>
      <c r="DX36" s="61">
        <v>511.52188449848023</v>
      </c>
      <c r="DY36" s="46">
        <f t="shared" si="7"/>
        <v>518497.46192893403</v>
      </c>
      <c r="DZ36" s="61">
        <v>518.80820668693013</v>
      </c>
      <c r="EB36" s="316">
        <v>2010</v>
      </c>
      <c r="EC36" s="88">
        <f t="shared" si="8"/>
        <v>3.3366526180611027E-2</v>
      </c>
      <c r="ED36" s="88">
        <f t="shared" si="9"/>
        <v>9.9064230731037844E-4</v>
      </c>
      <c r="EE36" s="88">
        <f t="shared" si="10"/>
        <v>2.0638117653016458E-2</v>
      </c>
      <c r="EF36" s="88">
        <f t="shared" si="11"/>
        <v>5.8087482735960988E-3</v>
      </c>
      <c r="EG36" s="88">
        <f t="shared" si="12"/>
        <v>1.1041863736834131E-2</v>
      </c>
      <c r="EH36" s="88">
        <f t="shared" si="13"/>
        <v>2.8355553551061004E-2</v>
      </c>
      <c r="EI36" s="140"/>
      <c r="EJ36" s="316">
        <v>2010</v>
      </c>
      <c r="EK36" s="88">
        <f t="shared" si="14"/>
        <v>0.75512037154625267</v>
      </c>
      <c r="EL36" s="88">
        <f t="shared" si="15"/>
        <v>3.3630209526386734E-2</v>
      </c>
      <c r="EM36" s="88">
        <f t="shared" si="16"/>
        <v>0.34378335554761674</v>
      </c>
      <c r="EN36" s="88">
        <f t="shared" si="17"/>
        <v>8.1355490646856987E-2</v>
      </c>
      <c r="EO36" s="88">
        <f t="shared" si="18"/>
        <v>0.38862376481265432</v>
      </c>
      <c r="EP36" s="88">
        <f t="shared" si="19"/>
        <v>1.197333855754726</v>
      </c>
      <c r="ER36" s="316">
        <v>2010</v>
      </c>
      <c r="ES36" s="317">
        <f t="shared" si="35"/>
        <v>128058</v>
      </c>
      <c r="ET36" s="318">
        <v>16839</v>
      </c>
      <c r="EU36" s="318">
        <v>81735</v>
      </c>
      <c r="EV36" s="318">
        <v>29484</v>
      </c>
      <c r="EW36" s="88">
        <f t="shared" si="36"/>
        <v>0.13149510378109919</v>
      </c>
      <c r="EX36" s="88">
        <f t="shared" si="36"/>
        <v>0.63826547345733964</v>
      </c>
      <c r="EY36" s="88">
        <f t="shared" si="36"/>
        <v>0.23023942276156117</v>
      </c>
      <c r="EZ36" s="88">
        <f t="shared" si="41"/>
        <v>-1.915086872109617E-3</v>
      </c>
      <c r="FA36" s="88">
        <f t="shared" si="41"/>
        <v>-8.5019680907294504E-4</v>
      </c>
      <c r="FB36" s="88">
        <f t="shared" si="41"/>
        <v>2.7652836811825343E-3</v>
      </c>
      <c r="FD36" s="316">
        <v>2010</v>
      </c>
      <c r="FE36" s="159">
        <v>1.1816040816326539E-2</v>
      </c>
      <c r="FF36" s="159">
        <v>1.1000000000000001E-2</v>
      </c>
      <c r="FG36" s="159">
        <v>2E-3</v>
      </c>
      <c r="FH36" s="159">
        <v>2E-3</v>
      </c>
      <c r="FI36" s="319">
        <f t="shared" si="45"/>
        <v>9.8160408163265392E-3</v>
      </c>
      <c r="FK36" s="345">
        <f t="shared" si="42"/>
        <v>3.1544518827030132E-2</v>
      </c>
      <c r="FL36" s="345">
        <f t="shared" si="43"/>
        <v>-2.3055006091282637E-4</v>
      </c>
      <c r="FM36" s="345">
        <f t="shared" si="44"/>
        <v>-2.0583697420842456E-3</v>
      </c>
      <c r="FO36" s="316">
        <v>2010</v>
      </c>
      <c r="FP36" s="61">
        <v>136204.04053941541</v>
      </c>
      <c r="FQ36" s="61">
        <v>5480.6566541579678</v>
      </c>
      <c r="FR36" s="61">
        <v>73649.344303493388</v>
      </c>
      <c r="FS36" s="61">
        <v>18339.251129248478</v>
      </c>
      <c r="FT36" s="61">
        <v>42897.044274349406</v>
      </c>
      <c r="FU36" s="61">
        <v>170407.43092706206</v>
      </c>
      <c r="FV36" s="285">
        <f t="shared" si="38"/>
        <v>446977.76782772667</v>
      </c>
    </row>
    <row r="37" spans="1:178">
      <c r="A37" s="316">
        <v>2011</v>
      </c>
      <c r="B37" s="61">
        <v>337595</v>
      </c>
      <c r="C37" s="61">
        <v>19271</v>
      </c>
      <c r="D37" s="61">
        <v>135232.20000000001</v>
      </c>
      <c r="E37" s="61">
        <v>36440</v>
      </c>
      <c r="F37" s="61">
        <v>199756.2</v>
      </c>
      <c r="G37" s="61">
        <v>584157.4</v>
      </c>
      <c r="I37" s="316">
        <v>2011</v>
      </c>
      <c r="J37" s="61">
        <v>337595</v>
      </c>
      <c r="K37" s="61">
        <v>19271</v>
      </c>
      <c r="L37" s="61">
        <v>135232.20000000001</v>
      </c>
      <c r="M37" s="61">
        <v>36440</v>
      </c>
      <c r="N37" s="61">
        <v>199756.2</v>
      </c>
      <c r="O37" s="61">
        <v>584157.4</v>
      </c>
      <c r="Q37" s="316">
        <v>2011</v>
      </c>
      <c r="R37" s="75">
        <v>381362.3</v>
      </c>
      <c r="S37" s="75">
        <v>16810.099999999999</v>
      </c>
      <c r="T37" s="75">
        <v>173821.6</v>
      </c>
      <c r="U37" s="75">
        <v>41475.9</v>
      </c>
      <c r="V37" s="75">
        <v>200335.3</v>
      </c>
      <c r="W37" s="75">
        <v>619486.6</v>
      </c>
      <c r="Y37" s="316">
        <v>2011</v>
      </c>
      <c r="Z37" s="75">
        <v>402622.6</v>
      </c>
      <c r="AA37" s="75">
        <v>17698.2</v>
      </c>
      <c r="AB37" s="75">
        <v>180336.6</v>
      </c>
      <c r="AC37" s="75">
        <v>43794.1</v>
      </c>
      <c r="AD37" s="75">
        <v>206634.7</v>
      </c>
      <c r="AE37" s="75">
        <v>652863.5</v>
      </c>
      <c r="AG37" s="316">
        <v>2011</v>
      </c>
      <c r="AH37" s="48">
        <f t="shared" si="46"/>
        <v>0.94719546294718682</v>
      </c>
      <c r="AI37" s="48">
        <f t="shared" si="46"/>
        <v>0.94981975568136856</v>
      </c>
      <c r="AJ37" s="48">
        <f t="shared" si="46"/>
        <v>0.9638731128345549</v>
      </c>
      <c r="AK37" s="48">
        <f t="shared" si="46"/>
        <v>0.94706592897216757</v>
      </c>
      <c r="AL37" s="48">
        <f t="shared" si="46"/>
        <v>0.96951431681126155</v>
      </c>
      <c r="AM37" s="48">
        <f t="shared" si="46"/>
        <v>0.94887614332858239</v>
      </c>
      <c r="AO37" s="316">
        <v>2011</v>
      </c>
      <c r="AP37" s="88" t="e">
        <f>#REF!</f>
        <v>#REF!</v>
      </c>
      <c r="AS37" s="316">
        <v>2011</v>
      </c>
      <c r="AT37" s="308">
        <f t="shared" si="39"/>
        <v>-4.8645883229059272E-4</v>
      </c>
      <c r="AU37" s="308">
        <f t="shared" si="39"/>
        <v>5.1635406343670809E-3</v>
      </c>
      <c r="AV37" s="308">
        <f t="shared" si="39"/>
        <v>7.1382431059174856E-3</v>
      </c>
      <c r="AW37" s="308">
        <f t="shared" si="39"/>
        <v>1.0074369938105843E-2</v>
      </c>
      <c r="AX37" s="308">
        <f t="shared" si="39"/>
        <v>8.7949753832148314E-3</v>
      </c>
      <c r="AY37" s="308">
        <f t="shared" si="39"/>
        <v>1.0281600356883969E-2</v>
      </c>
      <c r="BA37" s="316">
        <v>2011</v>
      </c>
      <c r="BB37" s="61">
        <v>14337.9</v>
      </c>
      <c r="BC37" s="61">
        <v>462.2</v>
      </c>
      <c r="BD37" s="61">
        <v>7119.2</v>
      </c>
      <c r="BE37" s="61">
        <v>2326.6</v>
      </c>
      <c r="BF37" s="61">
        <v>6753.8</v>
      </c>
      <c r="BG37" s="61">
        <v>13567.5</v>
      </c>
      <c r="BI37" s="316">
        <v>2011</v>
      </c>
      <c r="BJ37" s="61">
        <v>14337.9</v>
      </c>
      <c r="BK37" s="61">
        <v>462.2</v>
      </c>
      <c r="BL37" s="61">
        <v>7119.2</v>
      </c>
      <c r="BM37" s="61">
        <v>2326.6</v>
      </c>
      <c r="BN37" s="61">
        <v>6753.8</v>
      </c>
      <c r="BO37" s="61">
        <v>13567.5</v>
      </c>
      <c r="BQ37" s="316">
        <v>2011</v>
      </c>
      <c r="BR37" s="75">
        <v>18034.099999999999</v>
      </c>
      <c r="BS37" s="75">
        <v>469.1</v>
      </c>
      <c r="BT37" s="75">
        <v>11060.3</v>
      </c>
      <c r="BU37" s="75">
        <v>2869.2</v>
      </c>
      <c r="BV37" s="75">
        <v>6715.6</v>
      </c>
      <c r="BW37" s="75">
        <v>13606.7</v>
      </c>
      <c r="BY37" s="316">
        <v>2011</v>
      </c>
      <c r="BZ37" s="75">
        <v>19017.5</v>
      </c>
      <c r="CA37" s="75">
        <v>495.2</v>
      </c>
      <c r="CB37" s="75">
        <v>11488.7</v>
      </c>
      <c r="CC37" s="75">
        <v>3041.8</v>
      </c>
      <c r="CD37" s="75">
        <v>6944.3</v>
      </c>
      <c r="CE37" s="75">
        <v>14443.8</v>
      </c>
      <c r="CG37" s="316">
        <v>2011</v>
      </c>
      <c r="CH37" s="48">
        <f t="shared" si="47"/>
        <v>0.94828973314052833</v>
      </c>
      <c r="CI37" s="48">
        <f t="shared" si="47"/>
        <v>0.94729402261712448</v>
      </c>
      <c r="CJ37" s="48">
        <f t="shared" si="47"/>
        <v>0.96271118577384718</v>
      </c>
      <c r="CK37" s="48">
        <f t="shared" si="47"/>
        <v>0.94325728187257529</v>
      </c>
      <c r="CL37" s="48">
        <f t="shared" si="47"/>
        <v>0.9670665149835117</v>
      </c>
      <c r="CM37" s="48">
        <f t="shared" si="47"/>
        <v>0.94204433736274396</v>
      </c>
      <c r="CO37" s="316">
        <v>2011</v>
      </c>
      <c r="CP37" s="88" t="e">
        <f>#REF!</f>
        <v>#REF!</v>
      </c>
      <c r="CS37" s="316">
        <v>2011</v>
      </c>
      <c r="CT37" s="308">
        <f t="shared" si="40"/>
        <v>4.0468486044864527E-4</v>
      </c>
      <c r="CU37" s="308">
        <f t="shared" si="40"/>
        <v>6.3107428760187378E-3</v>
      </c>
      <c r="CV37" s="308">
        <f t="shared" si="40"/>
        <v>6.3290189904341432E-3</v>
      </c>
      <c r="CW37" s="308">
        <f t="shared" si="40"/>
        <v>0.12471345028048186</v>
      </c>
      <c r="CX37" s="308">
        <f t="shared" si="40"/>
        <v>7.0173459321318798E-3</v>
      </c>
      <c r="CY37" s="308">
        <f t="shared" si="40"/>
        <v>8.8337601622470174E-3</v>
      </c>
      <c r="DA37" s="316">
        <v>2011</v>
      </c>
      <c r="DB37" s="46">
        <f t="shared" si="23"/>
        <v>25350.800000000047</v>
      </c>
      <c r="DC37" s="46">
        <f t="shared" si="24"/>
        <v>1062.7</v>
      </c>
      <c r="DD37" s="46">
        <f t="shared" si="25"/>
        <v>15511.499999999989</v>
      </c>
      <c r="DE37" s="46">
        <f t="shared" si="26"/>
        <v>3779.6000000000031</v>
      </c>
      <c r="DF37" s="46">
        <f t="shared" si="27"/>
        <v>7843.5999999999885</v>
      </c>
      <c r="DG37" s="46">
        <f t="shared" si="28"/>
        <v>15853.899999999976</v>
      </c>
      <c r="DI37" s="316">
        <v>2011</v>
      </c>
      <c r="DJ37" s="88">
        <f t="shared" si="29"/>
        <v>6.1989079996156174E-2</v>
      </c>
      <c r="DK37" s="88">
        <f t="shared" si="30"/>
        <v>5.8180086172443433E-2</v>
      </c>
      <c r="DL37" s="88">
        <f t="shared" si="31"/>
        <v>8.4137288361754214E-2</v>
      </c>
      <c r="DM37" s="88">
        <f t="shared" si="32"/>
        <v>8.4873989207736547E-2</v>
      </c>
      <c r="DN37" s="88">
        <f t="shared" si="33"/>
        <v>3.779428912852828E-2</v>
      </c>
      <c r="DO37" s="88">
        <f t="shared" si="34"/>
        <v>2.4231300177784916E-2</v>
      </c>
      <c r="DQ37" s="316">
        <v>2011</v>
      </c>
      <c r="DR37" s="61">
        <v>497448.9</v>
      </c>
      <c r="DS37" s="61">
        <v>500.04050000000001</v>
      </c>
      <c r="DT37" s="61">
        <v>510841.59999999998</v>
      </c>
      <c r="DU37" s="61">
        <v>514.67989999999998</v>
      </c>
      <c r="DV37" s="89">
        <v>-1.9</v>
      </c>
      <c r="DW37" s="46">
        <f t="shared" si="6"/>
        <v>507083.48623853212</v>
      </c>
      <c r="DX37" s="61">
        <v>507.14046653144015</v>
      </c>
      <c r="DY37" s="46">
        <f t="shared" si="7"/>
        <v>520735.5759429154</v>
      </c>
      <c r="DZ37" s="61">
        <v>521.98772819472617</v>
      </c>
      <c r="EB37" s="316">
        <v>2011</v>
      </c>
      <c r="EC37" s="88">
        <f t="shared" si="8"/>
        <v>3.6253170928712469E-2</v>
      </c>
      <c r="ED37" s="88">
        <f t="shared" si="9"/>
        <v>9.4301143293311135E-4</v>
      </c>
      <c r="EE37" s="88">
        <f t="shared" si="10"/>
        <v>2.2234042531805775E-2</v>
      </c>
      <c r="EF37" s="88">
        <f t="shared" si="11"/>
        <v>5.76782861516027E-3</v>
      </c>
      <c r="EG37" s="88">
        <f t="shared" si="12"/>
        <v>1.3500080108730767E-2</v>
      </c>
      <c r="EH37" s="88">
        <f t="shared" si="13"/>
        <v>2.735296027390954E-2</v>
      </c>
      <c r="EI37" s="140"/>
      <c r="EJ37" s="316">
        <v>2011</v>
      </c>
      <c r="EK37" s="88">
        <f t="shared" si="14"/>
        <v>0.75207004438043779</v>
      </c>
      <c r="EL37" s="88">
        <f t="shared" si="15"/>
        <v>3.3150556971781417E-2</v>
      </c>
      <c r="EM37" s="88">
        <f t="shared" si="16"/>
        <v>0.34278694675975763</v>
      </c>
      <c r="EN37" s="88">
        <f t="shared" si="17"/>
        <v>8.1793040249963367E-2</v>
      </c>
      <c r="EO37" s="88">
        <f t="shared" si="18"/>
        <v>0.39507360313793033</v>
      </c>
      <c r="EP37" s="88">
        <f t="shared" si="19"/>
        <v>1.2216658929188504</v>
      </c>
      <c r="ER37" s="316">
        <v>2011</v>
      </c>
      <c r="ES37" s="317">
        <f t="shared" si="35"/>
        <v>127799</v>
      </c>
      <c r="ET37" s="318">
        <v>16705</v>
      </c>
      <c r="EU37" s="318">
        <v>81342</v>
      </c>
      <c r="EV37" s="318">
        <v>29752</v>
      </c>
      <c r="EW37" s="88">
        <f t="shared" si="36"/>
        <v>0.13071307287224471</v>
      </c>
      <c r="EX37" s="88">
        <f t="shared" si="36"/>
        <v>0.63648385355127979</v>
      </c>
      <c r="EY37" s="88">
        <f t="shared" si="36"/>
        <v>0.23280307357647556</v>
      </c>
      <c r="EZ37" s="88">
        <f t="shared" si="41"/>
        <v>-7.8203090885448079E-4</v>
      </c>
      <c r="FA37" s="88">
        <f t="shared" si="41"/>
        <v>-1.7816199060598503E-3</v>
      </c>
      <c r="FB37" s="88">
        <f t="shared" si="41"/>
        <v>2.5636508149143866E-3</v>
      </c>
      <c r="FD37" s="316">
        <v>2011</v>
      </c>
      <c r="FE37" s="159">
        <v>1.1244775510204095E-2</v>
      </c>
      <c r="FF37" s="159">
        <v>0.01</v>
      </c>
      <c r="FG37" s="159">
        <v>5.0000000000000001E-3</v>
      </c>
      <c r="FH37" s="159">
        <v>5.0000000000000001E-3</v>
      </c>
      <c r="FI37" s="319">
        <f t="shared" si="45"/>
        <v>6.2447755102040944E-3</v>
      </c>
      <c r="FK37" s="345">
        <f t="shared" si="42"/>
        <v>1.1906478152717836E-3</v>
      </c>
      <c r="FL37" s="345">
        <f t="shared" si="43"/>
        <v>-5.7719092773662051E-3</v>
      </c>
      <c r="FM37" s="345">
        <f t="shared" si="44"/>
        <v>1.4465943852045495E-3</v>
      </c>
      <c r="FO37" s="316">
        <v>2011</v>
      </c>
      <c r="FP37" s="61">
        <v>145492.26736758795</v>
      </c>
      <c r="FQ37" s="61">
        <v>4839.9591412334576</v>
      </c>
      <c r="FR37" s="61">
        <v>77777.500353590454</v>
      </c>
      <c r="FS37" s="61">
        <v>19275.757944687764</v>
      </c>
      <c r="FT37" s="61">
        <v>45876.393961105088</v>
      </c>
      <c r="FU37" s="61">
        <v>152808.06984018526</v>
      </c>
      <c r="FV37" s="285">
        <f t="shared" si="38"/>
        <v>446069.94860838994</v>
      </c>
    </row>
    <row r="38" spans="1:178">
      <c r="A38" s="316">
        <v>2012</v>
      </c>
      <c r="B38" s="61">
        <v>332459.8</v>
      </c>
      <c r="C38" s="61">
        <v>18697.2</v>
      </c>
      <c r="D38" s="61">
        <v>131539.70000000001</v>
      </c>
      <c r="E38" s="61">
        <v>35591.1</v>
      </c>
      <c r="F38" s="61">
        <v>199055.7</v>
      </c>
      <c r="G38" s="61">
        <v>582221.5</v>
      </c>
      <c r="I38" s="316">
        <v>2012</v>
      </c>
      <c r="J38" s="61">
        <v>334970.59999999998</v>
      </c>
      <c r="K38" s="61">
        <v>18873.400000000001</v>
      </c>
      <c r="L38" s="61">
        <v>132376.5</v>
      </c>
      <c r="M38" s="61">
        <v>35822.300000000003</v>
      </c>
      <c r="N38" s="61">
        <v>200289</v>
      </c>
      <c r="O38" s="61">
        <v>585535.30000000005</v>
      </c>
      <c r="Q38" s="316">
        <v>2012</v>
      </c>
      <c r="R38" s="75">
        <v>376279.6</v>
      </c>
      <c r="S38" s="75">
        <v>16258</v>
      </c>
      <c r="T38" s="75">
        <v>171280.5</v>
      </c>
      <c r="U38" s="75">
        <v>40765</v>
      </c>
      <c r="V38" s="75">
        <v>197991.2</v>
      </c>
      <c r="W38" s="75">
        <v>619843.9</v>
      </c>
      <c r="Y38" s="316">
        <v>2012</v>
      </c>
      <c r="Z38" s="75">
        <v>399953.6</v>
      </c>
      <c r="AA38" s="75">
        <v>17247.3</v>
      </c>
      <c r="AB38" s="75">
        <v>178609.8</v>
      </c>
      <c r="AC38" s="75">
        <v>43262.400000000001</v>
      </c>
      <c r="AD38" s="75">
        <v>205059.9</v>
      </c>
      <c r="AE38" s="75">
        <v>655443.5</v>
      </c>
      <c r="AG38" s="316">
        <v>2012</v>
      </c>
      <c r="AH38" s="48">
        <f t="shared" si="46"/>
        <v>0.94080813374351424</v>
      </c>
      <c r="AI38" s="48">
        <f t="shared" si="46"/>
        <v>0.94264029732189969</v>
      </c>
      <c r="AJ38" s="48">
        <f t="shared" si="46"/>
        <v>0.95896473765717227</v>
      </c>
      <c r="AK38" s="48">
        <f t="shared" si="46"/>
        <v>0.94227319797329778</v>
      </c>
      <c r="AL38" s="48">
        <f t="shared" si="46"/>
        <v>0.96552860895767534</v>
      </c>
      <c r="AM38" s="48">
        <f t="shared" si="46"/>
        <v>0.94568624145330604</v>
      </c>
      <c r="AO38" s="316">
        <v>2012</v>
      </c>
      <c r="AP38" s="88" t="e">
        <f>#REF!</f>
        <v>#REF!</v>
      </c>
      <c r="AS38" s="316">
        <v>2012</v>
      </c>
      <c r="AT38" s="308">
        <f t="shared" si="39"/>
        <v>-6.7434119498402945E-3</v>
      </c>
      <c r="AU38" s="308">
        <f t="shared" si="39"/>
        <v>-7.5587587187198046E-3</v>
      </c>
      <c r="AV38" s="308">
        <f t="shared" si="39"/>
        <v>-5.0923457787385162E-3</v>
      </c>
      <c r="AW38" s="308">
        <f t="shared" si="39"/>
        <v>-5.0606096706183878E-3</v>
      </c>
      <c r="AX38" s="308">
        <f t="shared" si="39"/>
        <v>-4.1110355819140576E-3</v>
      </c>
      <c r="AY38" s="308">
        <f t="shared" si="39"/>
        <v>-3.3617684433359107E-3</v>
      </c>
      <c r="BA38" s="316">
        <v>2012</v>
      </c>
      <c r="BB38" s="61">
        <v>14573.7</v>
      </c>
      <c r="BC38" s="61">
        <v>435.6</v>
      </c>
      <c r="BD38" s="61">
        <v>7445.4</v>
      </c>
      <c r="BE38" s="61">
        <v>2169.8000000000002</v>
      </c>
      <c r="BF38" s="61">
        <v>6835</v>
      </c>
      <c r="BG38" s="61">
        <v>14186.1</v>
      </c>
      <c r="BI38" s="316">
        <v>2012</v>
      </c>
      <c r="BJ38" s="61">
        <v>14698</v>
      </c>
      <c r="BK38" s="61">
        <v>438.8</v>
      </c>
      <c r="BL38" s="61">
        <v>7471.4</v>
      </c>
      <c r="BM38" s="61">
        <v>2180.8000000000002</v>
      </c>
      <c r="BN38" s="61">
        <v>6853.9</v>
      </c>
      <c r="BO38" s="61">
        <v>14222.2</v>
      </c>
      <c r="BQ38" s="316">
        <v>2012</v>
      </c>
      <c r="BR38" s="75">
        <v>18316.900000000001</v>
      </c>
      <c r="BS38" s="75">
        <v>449.6</v>
      </c>
      <c r="BT38" s="75">
        <v>12007.3</v>
      </c>
      <c r="BU38" s="75">
        <v>2710.4</v>
      </c>
      <c r="BV38" s="75">
        <v>4813.3999999999996</v>
      </c>
      <c r="BW38" s="75">
        <v>14384.2</v>
      </c>
      <c r="BY38" s="316">
        <v>2012</v>
      </c>
      <c r="BZ38" s="75">
        <v>19457.2</v>
      </c>
      <c r="CA38" s="75">
        <v>476.6</v>
      </c>
      <c r="CB38" s="75">
        <v>12497.2</v>
      </c>
      <c r="CC38" s="75">
        <v>2882.3</v>
      </c>
      <c r="CD38" s="75">
        <v>4981.1000000000004</v>
      </c>
      <c r="CE38" s="75">
        <v>15250.2</v>
      </c>
      <c r="CG38" s="316">
        <v>2012</v>
      </c>
      <c r="CH38" s="48">
        <f t="shared" si="47"/>
        <v>0.94139444524392002</v>
      </c>
      <c r="CI38" s="48">
        <f t="shared" si="47"/>
        <v>0.94334872010071336</v>
      </c>
      <c r="CJ38" s="48">
        <f t="shared" si="47"/>
        <v>0.96079921902506149</v>
      </c>
      <c r="CK38" s="48">
        <f t="shared" si="47"/>
        <v>0.94036012906359501</v>
      </c>
      <c r="CL38" s="48">
        <f t="shared" si="47"/>
        <v>0.96633273774868989</v>
      </c>
      <c r="CM38" s="48">
        <f t="shared" si="47"/>
        <v>0.94321385949036729</v>
      </c>
      <c r="CO38" s="316">
        <v>2012</v>
      </c>
      <c r="CP38" s="88" t="e">
        <f>#REF!</f>
        <v>#REF!</v>
      </c>
      <c r="CS38" s="316">
        <v>2012</v>
      </c>
      <c r="CT38" s="308">
        <f t="shared" si="40"/>
        <v>-7.2712881471073132E-3</v>
      </c>
      <c r="CU38" s="308">
        <f t="shared" si="40"/>
        <v>-4.1648130593194832E-3</v>
      </c>
      <c r="CV38" s="308">
        <f t="shared" si="40"/>
        <v>-1.9860231988981791E-3</v>
      </c>
      <c r="CW38" s="308">
        <f t="shared" si="40"/>
        <v>-3.0714343421009982E-3</v>
      </c>
      <c r="CX38" s="308">
        <f t="shared" si="40"/>
        <v>-7.5876604499569567E-4</v>
      </c>
      <c r="CY38" s="308">
        <f t="shared" si="40"/>
        <v>1.2414724883305084E-3</v>
      </c>
      <c r="DA38" s="316">
        <v>2012</v>
      </c>
      <c r="DB38" s="46">
        <f t="shared" si="23"/>
        <v>22126.2</v>
      </c>
      <c r="DC38" s="46">
        <f t="shared" si="24"/>
        <v>927.50000000000148</v>
      </c>
      <c r="DD38" s="46">
        <f t="shared" si="25"/>
        <v>14224.000000000018</v>
      </c>
      <c r="DE38" s="46">
        <f t="shared" si="26"/>
        <v>3413.9999999999973</v>
      </c>
      <c r="DF38" s="46">
        <f t="shared" si="27"/>
        <v>6555.9000000000178</v>
      </c>
      <c r="DG38" s="46">
        <f t="shared" si="28"/>
        <v>12670.2</v>
      </c>
      <c r="DI38" s="316">
        <v>2012</v>
      </c>
      <c r="DJ38" s="88">
        <f t="shared" si="29"/>
        <v>5.4955186320887112E-2</v>
      </c>
      <c r="DK38" s="88">
        <f t="shared" si="30"/>
        <v>5.2406459413951785E-2</v>
      </c>
      <c r="DL38" s="88">
        <f t="shared" si="31"/>
        <v>7.887472648369781E-2</v>
      </c>
      <c r="DM38" s="88">
        <f t="shared" si="32"/>
        <v>7.7955706362272489E-2</v>
      </c>
      <c r="DN38" s="88">
        <f t="shared" si="33"/>
        <v>3.1727004225331069E-2</v>
      </c>
      <c r="DO38" s="88">
        <f t="shared" si="34"/>
        <v>1.9407119558682635E-2</v>
      </c>
      <c r="DQ38" s="316">
        <v>2012</v>
      </c>
      <c r="DR38" s="61">
        <v>500474.7</v>
      </c>
      <c r="DS38" s="61">
        <v>499.4239</v>
      </c>
      <c r="DT38" s="61">
        <v>517864.4</v>
      </c>
      <c r="DU38" s="61">
        <v>517.92279999999994</v>
      </c>
      <c r="DV38" s="89">
        <v>-1.2</v>
      </c>
      <c r="DW38" s="46">
        <f t="shared" si="6"/>
        <v>506553.34008097165</v>
      </c>
      <c r="DX38" s="61">
        <v>506.51511156186615</v>
      </c>
      <c r="DY38" s="46">
        <f t="shared" si="7"/>
        <v>524154.25101214577</v>
      </c>
      <c r="DZ38" s="61">
        <v>525.2766734279918</v>
      </c>
      <c r="EB38" s="316">
        <v>2012</v>
      </c>
      <c r="EC38" s="88">
        <f t="shared" si="8"/>
        <v>3.6599052859215463E-2</v>
      </c>
      <c r="ED38" s="88">
        <f t="shared" si="9"/>
        <v>8.9834710925447382E-4</v>
      </c>
      <c r="EE38" s="88">
        <f t="shared" si="10"/>
        <v>2.399182216403746E-2</v>
      </c>
      <c r="EF38" s="88">
        <f t="shared" si="11"/>
        <v>5.4156583739397813E-3</v>
      </c>
      <c r="EG38" s="88">
        <f t="shared" si="12"/>
        <v>9.6176689850655771E-3</v>
      </c>
      <c r="EH38" s="88">
        <f t="shared" si="13"/>
        <v>2.8741113187140128E-2</v>
      </c>
      <c r="EI38" s="140"/>
      <c r="EJ38" s="316">
        <v>2012</v>
      </c>
      <c r="EK38" s="88">
        <f t="shared" si="14"/>
        <v>0.7428232532034087</v>
      </c>
      <c r="EL38" s="88">
        <f t="shared" si="15"/>
        <v>3.2095336687349034E-2</v>
      </c>
      <c r="EM38" s="88">
        <f t="shared" si="16"/>
        <v>0.33812924809186157</v>
      </c>
      <c r="EN38" s="88">
        <f t="shared" si="17"/>
        <v>8.0475236810172421E-2</v>
      </c>
      <c r="EO38" s="88">
        <f t="shared" si="18"/>
        <v>0.39085952916301264</v>
      </c>
      <c r="EP38" s="88">
        <f t="shared" si="19"/>
        <v>1.2236498132672842</v>
      </c>
      <c r="ER38" s="316">
        <v>2012</v>
      </c>
      <c r="ES38" s="317">
        <f t="shared" si="35"/>
        <v>127515</v>
      </c>
      <c r="ET38" s="318">
        <v>16547</v>
      </c>
      <c r="EU38" s="318">
        <v>80175</v>
      </c>
      <c r="EV38" s="318">
        <v>30793</v>
      </c>
      <c r="EW38" s="88">
        <f t="shared" si="36"/>
        <v>0.12976512567148962</v>
      </c>
      <c r="EX38" s="88">
        <f t="shared" si="36"/>
        <v>0.62874955887542638</v>
      </c>
      <c r="EY38" s="88">
        <f t="shared" si="36"/>
        <v>0.24148531545308394</v>
      </c>
      <c r="EZ38" s="88">
        <f t="shared" si="41"/>
        <v>-9.4794720075508376E-4</v>
      </c>
      <c r="FA38" s="88">
        <f t="shared" si="41"/>
        <v>-7.7342946758534037E-3</v>
      </c>
      <c r="FB38" s="88">
        <f t="shared" si="41"/>
        <v>8.6822418766083764E-3</v>
      </c>
      <c r="FD38" s="316">
        <v>2012</v>
      </c>
      <c r="FE38" s="159">
        <v>8.5788709677419289E-3</v>
      </c>
      <c r="FF38" s="159">
        <v>8.0000000000000002E-3</v>
      </c>
      <c r="FG38" s="159">
        <v>6.9999999999999993E-3</v>
      </c>
      <c r="FH38" s="159">
        <v>6.9999999999999993E-3</v>
      </c>
      <c r="FI38" s="319">
        <f t="shared" si="45"/>
        <v>1.5788709677419296E-3</v>
      </c>
      <c r="FK38" s="345">
        <f t="shared" si="42"/>
        <v>-2.882013229986935E-3</v>
      </c>
      <c r="FL38" s="345">
        <f t="shared" si="43"/>
        <v>-5.5046122034568823E-3</v>
      </c>
      <c r="FM38" s="345">
        <f t="shared" si="44"/>
        <v>-2.9079901810487221E-3</v>
      </c>
      <c r="FO38" s="316">
        <v>2012</v>
      </c>
      <c r="FP38" s="61">
        <v>153098.23786510248</v>
      </c>
      <c r="FQ38" s="61">
        <v>4617.7711114312888</v>
      </c>
      <c r="FR38" s="61">
        <v>78691.499109982498</v>
      </c>
      <c r="FS38" s="61">
        <v>23079.182682844104</v>
      </c>
      <c r="FT38" s="61">
        <v>44841.031680183332</v>
      </c>
      <c r="FU38" s="61">
        <v>145353.89553726726</v>
      </c>
      <c r="FV38" s="285">
        <f t="shared" si="38"/>
        <v>449681.61798681098</v>
      </c>
    </row>
    <row r="39" spans="1:178">
      <c r="A39" s="316">
        <v>2013</v>
      </c>
      <c r="B39" s="61">
        <v>343061.9</v>
      </c>
      <c r="C39" s="61">
        <v>19063.8</v>
      </c>
      <c r="D39" s="61">
        <v>132805.29999999999</v>
      </c>
      <c r="E39" s="61">
        <v>36256.400000000001</v>
      </c>
      <c r="F39" s="61">
        <v>205214.1</v>
      </c>
      <c r="G39" s="61">
        <v>597632.19999999995</v>
      </c>
      <c r="I39" s="316">
        <v>2013</v>
      </c>
      <c r="J39" s="61">
        <v>333719.2</v>
      </c>
      <c r="K39" s="61">
        <v>18652</v>
      </c>
      <c r="L39" s="61">
        <v>130168.8</v>
      </c>
      <c r="M39" s="61">
        <v>35554.699999999997</v>
      </c>
      <c r="N39" s="61">
        <v>202400.8</v>
      </c>
      <c r="O39" s="61">
        <v>588149.5</v>
      </c>
      <c r="Q39" s="316">
        <v>2013</v>
      </c>
      <c r="R39" s="75">
        <v>387618.7</v>
      </c>
      <c r="S39" s="75">
        <v>16462.5</v>
      </c>
      <c r="T39" s="75">
        <v>174727.8</v>
      </c>
      <c r="U39" s="75">
        <v>42010.9</v>
      </c>
      <c r="V39" s="75">
        <v>201142.6</v>
      </c>
      <c r="W39" s="75">
        <v>637446</v>
      </c>
      <c r="Y39" s="316">
        <v>2013</v>
      </c>
      <c r="Z39" s="75">
        <v>399062.1</v>
      </c>
      <c r="AA39" s="75">
        <v>16956.599999999999</v>
      </c>
      <c r="AB39" s="75">
        <v>177701.1</v>
      </c>
      <c r="AC39" s="75">
        <v>43476.2</v>
      </c>
      <c r="AD39" s="75">
        <v>204182.6</v>
      </c>
      <c r="AE39" s="75">
        <v>658469.30000000005</v>
      </c>
      <c r="AG39" s="316">
        <v>2013</v>
      </c>
      <c r="AH39" s="48">
        <f t="shared" si="46"/>
        <v>0.97132426256464854</v>
      </c>
      <c r="AI39" s="48">
        <f t="shared" si="46"/>
        <v>0.97086090371890599</v>
      </c>
      <c r="AJ39" s="48">
        <f t="shared" si="46"/>
        <v>0.98326797076664119</v>
      </c>
      <c r="AK39" s="48">
        <f t="shared" si="46"/>
        <v>0.96629650245421639</v>
      </c>
      <c r="AL39" s="48">
        <f t="shared" si="46"/>
        <v>0.98511136600278382</v>
      </c>
      <c r="AM39" s="48">
        <f t="shared" si="46"/>
        <v>0.96807246746355513</v>
      </c>
      <c r="AO39" s="316">
        <v>2013</v>
      </c>
      <c r="AP39" s="88" t="e">
        <f>#REF!</f>
        <v>#REF!</v>
      </c>
      <c r="AS39" s="316">
        <v>2013</v>
      </c>
      <c r="AT39" s="308">
        <f t="shared" si="39"/>
        <v>3.2436080988914595E-2</v>
      </c>
      <c r="AU39" s="308">
        <f t="shared" si="39"/>
        <v>2.9937831511322788E-2</v>
      </c>
      <c r="AV39" s="308">
        <f t="shared" si="39"/>
        <v>2.534319788321282E-2</v>
      </c>
      <c r="AW39" s="308">
        <f t="shared" si="39"/>
        <v>2.5495052318785572E-2</v>
      </c>
      <c r="AX39" s="308">
        <f t="shared" si="39"/>
        <v>2.0281902435028698E-2</v>
      </c>
      <c r="AY39" s="308">
        <f t="shared" si="39"/>
        <v>2.3671937931386777E-2</v>
      </c>
      <c r="BA39" s="316">
        <v>2013</v>
      </c>
      <c r="BB39" s="61">
        <v>16101.7</v>
      </c>
      <c r="BC39" s="61">
        <v>602.1</v>
      </c>
      <c r="BD39" s="61">
        <v>7985.6</v>
      </c>
      <c r="BE39" s="61">
        <v>2503.1</v>
      </c>
      <c r="BF39" s="61">
        <v>8494.9</v>
      </c>
      <c r="BG39" s="61">
        <v>15585.2</v>
      </c>
      <c r="BI39" s="316">
        <v>2013</v>
      </c>
      <c r="BJ39" s="61">
        <v>15877.2</v>
      </c>
      <c r="BK39" s="61">
        <v>595.20000000000005</v>
      </c>
      <c r="BL39" s="61">
        <v>7896.2</v>
      </c>
      <c r="BM39" s="61">
        <v>2481.1999999999998</v>
      </c>
      <c r="BN39" s="61">
        <v>8443.5</v>
      </c>
      <c r="BO39" s="61">
        <v>15456.5</v>
      </c>
      <c r="BQ39" s="316">
        <v>2013</v>
      </c>
      <c r="BR39" s="75">
        <v>20171.5</v>
      </c>
      <c r="BS39" s="75">
        <v>588.6</v>
      </c>
      <c r="BT39" s="75">
        <v>12848.8</v>
      </c>
      <c r="BU39" s="75">
        <v>3424.4</v>
      </c>
      <c r="BV39" s="75">
        <v>5485.5</v>
      </c>
      <c r="BW39" s="75">
        <v>15008.2</v>
      </c>
      <c r="BY39" s="316">
        <v>2013</v>
      </c>
      <c r="BZ39" s="75">
        <v>21046.5</v>
      </c>
      <c r="CA39" s="75">
        <v>614.70000000000005</v>
      </c>
      <c r="CB39" s="75">
        <v>13202.3</v>
      </c>
      <c r="CC39" s="75">
        <v>3591</v>
      </c>
      <c r="CD39" s="75">
        <v>5630.4</v>
      </c>
      <c r="CE39" s="75">
        <v>15717.6</v>
      </c>
      <c r="CG39" s="316">
        <v>2013</v>
      </c>
      <c r="CH39" s="48">
        <f t="shared" si="47"/>
        <v>0.95842539139524385</v>
      </c>
      <c r="CI39" s="48">
        <f t="shared" si="47"/>
        <v>0.95754026354319177</v>
      </c>
      <c r="CJ39" s="48">
        <f t="shared" si="47"/>
        <v>0.9732243624216993</v>
      </c>
      <c r="CK39" s="48">
        <f t="shared" si="47"/>
        <v>0.95360623781676412</v>
      </c>
      <c r="CL39" s="48">
        <f t="shared" si="47"/>
        <v>0.97426470588235303</v>
      </c>
      <c r="CM39" s="48">
        <f t="shared" si="47"/>
        <v>0.95486588283198459</v>
      </c>
      <c r="CO39" s="316">
        <v>2013</v>
      </c>
      <c r="CP39" s="88" t="e">
        <f>#REF!</f>
        <v>#REF!</v>
      </c>
      <c r="CS39" s="316">
        <v>2013</v>
      </c>
      <c r="CT39" s="308">
        <f t="shared" si="40"/>
        <v>1.8091190400970625E-2</v>
      </c>
      <c r="CU39" s="308">
        <f t="shared" si="40"/>
        <v>1.5043793604726963E-2</v>
      </c>
      <c r="CV39" s="308">
        <f t="shared" si="40"/>
        <v>1.2932091482386721E-2</v>
      </c>
      <c r="CW39" s="308">
        <f t="shared" si="40"/>
        <v>1.4086208404390232E-2</v>
      </c>
      <c r="CX39" s="308">
        <f t="shared" si="40"/>
        <v>8.20831978862957E-3</v>
      </c>
      <c r="CY39" s="308">
        <f t="shared" si="40"/>
        <v>1.235353279044582E-2</v>
      </c>
      <c r="DA39" s="316">
        <v>2013</v>
      </c>
      <c r="DB39" s="46">
        <f t="shared" si="23"/>
        <v>21938</v>
      </c>
      <c r="DC39" s="46">
        <f t="shared" si="24"/>
        <v>905.40000000000077</v>
      </c>
      <c r="DD39" s="46">
        <f t="shared" si="25"/>
        <v>14110.999999999982</v>
      </c>
      <c r="DE39" s="46">
        <f t="shared" si="26"/>
        <v>3377.2000000000044</v>
      </c>
      <c r="DF39" s="46">
        <f t="shared" si="27"/>
        <v>6507.699999999988</v>
      </c>
      <c r="DG39" s="46">
        <f t="shared" si="28"/>
        <v>12691.799999999954</v>
      </c>
      <c r="DI39" s="316">
        <v>2013</v>
      </c>
      <c r="DJ39" s="88">
        <f t="shared" si="29"/>
        <v>5.485136275807994E-2</v>
      </c>
      <c r="DK39" s="88">
        <f t="shared" si="30"/>
        <v>5.2495173157537746E-2</v>
      </c>
      <c r="DL39" s="88">
        <f t="shared" si="31"/>
        <v>7.9004623486505124E-2</v>
      </c>
      <c r="DM39" s="88">
        <f t="shared" si="32"/>
        <v>7.8063168016568762E-2</v>
      </c>
      <c r="DN39" s="88">
        <f t="shared" si="33"/>
        <v>3.1735605059789791E-2</v>
      </c>
      <c r="DO39" s="88">
        <f t="shared" si="34"/>
        <v>1.9363682758315483E-2</v>
      </c>
      <c r="DQ39" s="316">
        <v>2013</v>
      </c>
      <c r="DR39" s="61">
        <v>508700.6</v>
      </c>
      <c r="DS39" s="61">
        <v>512.68560000000002</v>
      </c>
      <c r="DT39" s="61">
        <v>528248.1</v>
      </c>
      <c r="DU39" s="61">
        <v>532.08040000000005</v>
      </c>
      <c r="DV39" s="89">
        <v>-0.1</v>
      </c>
      <c r="DW39" s="46">
        <f t="shared" si="6"/>
        <v>509209.80980980978</v>
      </c>
      <c r="DX39" s="61">
        <v>510.64302788844623</v>
      </c>
      <c r="DY39" s="46">
        <f t="shared" si="7"/>
        <v>528776.87687687681</v>
      </c>
      <c r="DZ39" s="61">
        <v>529.96055776892433</v>
      </c>
      <c r="EB39" s="316">
        <v>2013</v>
      </c>
      <c r="EC39" s="88">
        <f t="shared" si="8"/>
        <v>3.9652990383734557E-2</v>
      </c>
      <c r="ED39" s="88">
        <f t="shared" si="9"/>
        <v>1.1570656688826395E-3</v>
      </c>
      <c r="EE39" s="88">
        <f t="shared" si="10"/>
        <v>2.5258079113726226E-2</v>
      </c>
      <c r="EF39" s="88">
        <f t="shared" si="11"/>
        <v>6.7316610202543502E-3</v>
      </c>
      <c r="EG39" s="88">
        <f t="shared" si="12"/>
        <v>1.0783356654189124E-2</v>
      </c>
      <c r="EH39" s="88">
        <f t="shared" si="13"/>
        <v>2.9503012184377217E-2</v>
      </c>
      <c r="EI39" s="140"/>
      <c r="EJ39" s="316">
        <v>2013</v>
      </c>
      <c r="EK39" s="88">
        <f t="shared" si="14"/>
        <v>0.76121608918880779</v>
      </c>
      <c r="EL39" s="88">
        <f t="shared" si="15"/>
        <v>3.232950285492095E-2</v>
      </c>
      <c r="EM39" s="88">
        <f t="shared" si="16"/>
        <v>0.34313518049713326</v>
      </c>
      <c r="EN39" s="88">
        <f t="shared" si="17"/>
        <v>8.2502141927884506E-2</v>
      </c>
      <c r="EO39" s="88">
        <f t="shared" si="18"/>
        <v>0.39500927932854812</v>
      </c>
      <c r="EP39" s="88">
        <f t="shared" si="19"/>
        <v>1.2518336994294876</v>
      </c>
      <c r="ER39" s="316">
        <v>2013</v>
      </c>
      <c r="ES39" s="317">
        <f t="shared" si="35"/>
        <v>127298</v>
      </c>
      <c r="ET39" s="318">
        <v>16390</v>
      </c>
      <c r="EU39" s="318">
        <v>79010</v>
      </c>
      <c r="EV39" s="318">
        <v>31898</v>
      </c>
      <c r="EW39" s="88">
        <f t="shared" si="36"/>
        <v>0.12875300476048326</v>
      </c>
      <c r="EX39" s="88">
        <f t="shared" si="36"/>
        <v>0.62066960989175002</v>
      </c>
      <c r="EY39" s="88">
        <f t="shared" si="36"/>
        <v>0.25057738534776663</v>
      </c>
      <c r="EZ39" s="88">
        <f t="shared" si="41"/>
        <v>-1.0121209110063589E-3</v>
      </c>
      <c r="FA39" s="88">
        <f t="shared" si="41"/>
        <v>-8.079948983676366E-3</v>
      </c>
      <c r="FB39" s="88">
        <f t="shared" si="41"/>
        <v>9.0920698946826972E-3</v>
      </c>
      <c r="FD39" s="316">
        <v>2013</v>
      </c>
      <c r="FE39" s="159">
        <v>7.1467755102040823E-3</v>
      </c>
      <c r="FF39" s="159">
        <v>6.9999999999999993E-3</v>
      </c>
      <c r="FG39" s="159">
        <v>8.0000000000000002E-3</v>
      </c>
      <c r="FH39" s="159">
        <v>9.0000000000000011E-3</v>
      </c>
      <c r="FI39" s="319">
        <f t="shared" si="45"/>
        <v>-8.5322448979591788E-4</v>
      </c>
      <c r="FK39" s="345">
        <f t="shared" si="42"/>
        <v>1.849002110285114E-2</v>
      </c>
      <c r="FL39" s="345">
        <f t="shared" si="43"/>
        <v>2.0273851169549939E-3</v>
      </c>
      <c r="FM39" s="345">
        <f t="shared" si="44"/>
        <v>-1.954533593756835E-3</v>
      </c>
      <c r="FO39" s="316">
        <v>2013</v>
      </c>
      <c r="FP39" s="61">
        <v>166942.5286374909</v>
      </c>
      <c r="FQ39" s="61">
        <v>6117.756593055351</v>
      </c>
      <c r="FR39" s="61">
        <v>88786.384070218832</v>
      </c>
      <c r="FS39" s="61">
        <v>26871.151702076073</v>
      </c>
      <c r="FT39" s="61">
        <v>46865.217622593802</v>
      </c>
      <c r="FU39" s="61">
        <v>152615.44266419049</v>
      </c>
      <c r="FV39" s="285">
        <f t="shared" si="38"/>
        <v>488198.48128962546</v>
      </c>
    </row>
    <row r="40" spans="1:178">
      <c r="A40" s="316">
        <v>2014</v>
      </c>
      <c r="B40" s="61">
        <v>350860.1</v>
      </c>
      <c r="C40" s="61">
        <v>19527.7</v>
      </c>
      <c r="D40" s="61">
        <v>132975.4</v>
      </c>
      <c r="E40" s="61">
        <v>36709.199999999997</v>
      </c>
      <c r="F40" s="61">
        <v>208916.2</v>
      </c>
      <c r="G40" s="61">
        <v>615366.5</v>
      </c>
      <c r="I40" s="316">
        <v>2014</v>
      </c>
      <c r="J40" s="61">
        <v>331888.3</v>
      </c>
      <c r="K40" s="61">
        <v>18560.8</v>
      </c>
      <c r="L40" s="61">
        <v>128935.8</v>
      </c>
      <c r="M40" s="61">
        <v>35053.9</v>
      </c>
      <c r="N40" s="61">
        <v>204492.5</v>
      </c>
      <c r="O40" s="61">
        <v>591121.5</v>
      </c>
      <c r="Q40" s="316">
        <v>2014</v>
      </c>
      <c r="R40" s="75">
        <v>397074.1</v>
      </c>
      <c r="S40" s="75">
        <v>16811.900000000001</v>
      </c>
      <c r="T40" s="75">
        <v>175450.4</v>
      </c>
      <c r="U40" s="75">
        <v>43468.6</v>
      </c>
      <c r="V40" s="75">
        <v>201805</v>
      </c>
      <c r="W40" s="75">
        <v>656684.1</v>
      </c>
      <c r="Y40" s="316">
        <v>2014</v>
      </c>
      <c r="Z40" s="75">
        <v>397563.9</v>
      </c>
      <c r="AA40" s="75">
        <v>16824.7</v>
      </c>
      <c r="AB40" s="75">
        <v>176737.1</v>
      </c>
      <c r="AC40" s="75">
        <v>43806.1</v>
      </c>
      <c r="AD40" s="75">
        <v>203210.7</v>
      </c>
      <c r="AE40" s="75">
        <v>661075.9</v>
      </c>
      <c r="AG40" s="316">
        <v>2014</v>
      </c>
      <c r="AH40" s="48">
        <f t="shared" si="46"/>
        <v>0.9987679967924652</v>
      </c>
      <c r="AI40" s="48">
        <f t="shared" si="46"/>
        <v>0.99923921377498559</v>
      </c>
      <c r="AJ40" s="48">
        <f t="shared" si="46"/>
        <v>0.9927196949593492</v>
      </c>
      <c r="AK40" s="48">
        <f t="shared" si="46"/>
        <v>0.99229559353606001</v>
      </c>
      <c r="AL40" s="48">
        <f t="shared" si="46"/>
        <v>0.99308254929489437</v>
      </c>
      <c r="AM40" s="48">
        <f t="shared" si="46"/>
        <v>0.9933565873449629</v>
      </c>
      <c r="AO40" s="316">
        <v>2014</v>
      </c>
      <c r="AP40" s="88" t="e">
        <f>#REF!</f>
        <v>#REF!</v>
      </c>
      <c r="AS40" s="316">
        <v>2014</v>
      </c>
      <c r="AT40" s="308">
        <f t="shared" si="39"/>
        <v>2.8253936698086068E-2</v>
      </c>
      <c r="AU40" s="308">
        <f t="shared" si="39"/>
        <v>2.9230047216213695E-2</v>
      </c>
      <c r="AV40" s="308">
        <f t="shared" si="39"/>
        <v>9.6125618587359352E-3</v>
      </c>
      <c r="AW40" s="308">
        <f t="shared" si="39"/>
        <v>2.6905914505341411E-2</v>
      </c>
      <c r="AX40" s="308">
        <f t="shared" si="39"/>
        <v>8.0916570117901543E-3</v>
      </c>
      <c r="AY40" s="308">
        <f t="shared" si="39"/>
        <v>2.6118003280947155E-2</v>
      </c>
      <c r="BA40" s="316">
        <v>2014</v>
      </c>
      <c r="BB40" s="61">
        <v>15959</v>
      </c>
      <c r="BC40" s="61">
        <v>749.2</v>
      </c>
      <c r="BD40" s="61">
        <v>8989.5</v>
      </c>
      <c r="BE40" s="61">
        <v>2323.6</v>
      </c>
      <c r="BF40" s="61">
        <v>8694.5</v>
      </c>
      <c r="BG40" s="61">
        <v>16533.8</v>
      </c>
      <c r="BI40" s="316">
        <v>2014</v>
      </c>
      <c r="BJ40" s="61">
        <v>15200.9</v>
      </c>
      <c r="BK40" s="61">
        <v>717.4</v>
      </c>
      <c r="BL40" s="61">
        <v>8696</v>
      </c>
      <c r="BM40" s="61">
        <v>2225.1999999999998</v>
      </c>
      <c r="BN40" s="61">
        <v>8477.2000000000007</v>
      </c>
      <c r="BO40" s="61">
        <v>15858.4</v>
      </c>
      <c r="BQ40" s="316">
        <v>2014</v>
      </c>
      <c r="BR40" s="75">
        <v>20204.5</v>
      </c>
      <c r="BS40" s="75">
        <v>753.9</v>
      </c>
      <c r="BT40" s="75">
        <v>13007.2</v>
      </c>
      <c r="BU40" s="75">
        <v>3685.9</v>
      </c>
      <c r="BV40" s="75">
        <v>5466.7</v>
      </c>
      <c r="BW40" s="75">
        <v>15181.2</v>
      </c>
      <c r="BY40" s="316">
        <v>2014</v>
      </c>
      <c r="BZ40" s="75">
        <v>20396.3</v>
      </c>
      <c r="CA40" s="75">
        <v>760.5</v>
      </c>
      <c r="CB40" s="75">
        <v>13097.3</v>
      </c>
      <c r="CC40" s="75">
        <v>3729.7</v>
      </c>
      <c r="CD40" s="75">
        <v>5519</v>
      </c>
      <c r="CE40" s="75">
        <v>15350.3</v>
      </c>
      <c r="CG40" s="316">
        <v>2014</v>
      </c>
      <c r="CH40" s="48">
        <f t="shared" si="47"/>
        <v>0.9905963336487501</v>
      </c>
      <c r="CI40" s="48">
        <f t="shared" si="47"/>
        <v>0.99132149901380673</v>
      </c>
      <c r="CJ40" s="48">
        <f t="shared" si="47"/>
        <v>0.99312071953761472</v>
      </c>
      <c r="CK40" s="48">
        <f t="shared" si="47"/>
        <v>0.98825642813094894</v>
      </c>
      <c r="CL40" s="48">
        <f t="shared" si="47"/>
        <v>0.99052364558796879</v>
      </c>
      <c r="CM40" s="48">
        <f t="shared" si="47"/>
        <v>0.98898392865286033</v>
      </c>
      <c r="CO40" s="316">
        <v>2014</v>
      </c>
      <c r="CP40" s="88" t="e">
        <f>#REF!</f>
        <v>#REF!</v>
      </c>
      <c r="CS40" s="316">
        <v>2014</v>
      </c>
      <c r="CT40" s="308">
        <f t="shared" si="40"/>
        <v>3.3566454459927009E-2</v>
      </c>
      <c r="CU40" s="308">
        <f t="shared" si="40"/>
        <v>3.5279180162737012E-2</v>
      </c>
      <c r="CV40" s="308">
        <f t="shared" si="40"/>
        <v>2.0443751599483972E-2</v>
      </c>
      <c r="CW40" s="308">
        <f t="shared" si="40"/>
        <v>3.633595182170235E-2</v>
      </c>
      <c r="CX40" s="308">
        <f t="shared" si="40"/>
        <v>1.6688421131801912E-2</v>
      </c>
      <c r="CY40" s="308">
        <f t="shared" si="40"/>
        <v>3.5730720339161026E-2</v>
      </c>
      <c r="DA40" s="316">
        <v>2014</v>
      </c>
      <c r="DB40" s="46">
        <f t="shared" si="23"/>
        <v>21894.499999999953</v>
      </c>
      <c r="DC40" s="46">
        <f t="shared" si="24"/>
        <v>892.39999999999782</v>
      </c>
      <c r="DD40" s="46">
        <f t="shared" si="25"/>
        <v>14061.3</v>
      </c>
      <c r="DE40" s="46">
        <f t="shared" si="26"/>
        <v>3399.7999999999984</v>
      </c>
      <c r="DF40" s="46">
        <f t="shared" si="27"/>
        <v>6490.8999999999942</v>
      </c>
      <c r="DG40" s="46">
        <f t="shared" si="28"/>
        <v>12743.700000000023</v>
      </c>
      <c r="DI40" s="316">
        <v>2014</v>
      </c>
      <c r="DJ40" s="88">
        <f t="shared" si="29"/>
        <v>5.4864894461287991E-2</v>
      </c>
      <c r="DK40" s="88">
        <f t="shared" si="30"/>
        <v>5.2628475048063755E-2</v>
      </c>
      <c r="DL40" s="88">
        <f t="shared" si="31"/>
        <v>7.9128941801710845E-2</v>
      </c>
      <c r="DM40" s="88">
        <f t="shared" si="32"/>
        <v>7.8199106637654586E-2</v>
      </c>
      <c r="DN40" s="88">
        <f t="shared" si="33"/>
        <v>3.1789682372542975E-2</v>
      </c>
      <c r="DO40" s="88">
        <f t="shared" si="34"/>
        <v>1.9353521872621886E-2</v>
      </c>
      <c r="DQ40" s="316">
        <v>2014</v>
      </c>
      <c r="DR40" s="61">
        <v>518811</v>
      </c>
      <c r="DS40" s="61">
        <v>523.41830000000004</v>
      </c>
      <c r="DT40" s="61">
        <v>529812.80000000005</v>
      </c>
      <c r="DU40" s="61">
        <v>530.19159999999999</v>
      </c>
      <c r="DV40" s="89">
        <v>-0.7</v>
      </c>
      <c r="DW40" s="46">
        <f t="shared" si="6"/>
        <v>522468.27794561937</v>
      </c>
      <c r="DX40" s="61">
        <v>528.17184661957629</v>
      </c>
      <c r="DY40" s="46">
        <f t="shared" si="7"/>
        <v>533547.63343403826</v>
      </c>
      <c r="DZ40" s="61">
        <v>535.00665993945506</v>
      </c>
      <c r="EB40" s="316">
        <v>2014</v>
      </c>
      <c r="EC40" s="88">
        <f t="shared" si="8"/>
        <v>3.8943854313035001E-2</v>
      </c>
      <c r="ED40" s="88">
        <f t="shared" si="9"/>
        <v>1.4531303306984625E-3</v>
      </c>
      <c r="EE40" s="88">
        <f t="shared" si="10"/>
        <v>2.507117235370877E-2</v>
      </c>
      <c r="EF40" s="88">
        <f t="shared" si="11"/>
        <v>7.1045139752241183E-3</v>
      </c>
      <c r="EG40" s="88">
        <f t="shared" si="12"/>
        <v>1.0536977820439428E-2</v>
      </c>
      <c r="EH40" s="88">
        <f t="shared" si="13"/>
        <v>2.9261522982357738E-2</v>
      </c>
      <c r="EI40" s="140"/>
      <c r="EJ40" s="316">
        <v>2014</v>
      </c>
      <c r="EK40" s="88">
        <f t="shared" si="14"/>
        <v>0.75999657158387146</v>
      </c>
      <c r="EL40" s="88">
        <f t="shared" si="15"/>
        <v>3.2177838750527647E-2</v>
      </c>
      <c r="EM40" s="88">
        <f t="shared" si="16"/>
        <v>0.33581062699133207</v>
      </c>
      <c r="EN40" s="88">
        <f t="shared" si="17"/>
        <v>8.3198543978443007E-2</v>
      </c>
      <c r="EO40" s="88">
        <f t="shared" si="18"/>
        <v>0.38625311529632178</v>
      </c>
      <c r="EP40" s="88">
        <f t="shared" si="19"/>
        <v>1.25688798290707</v>
      </c>
      <c r="ER40" s="316">
        <v>2014</v>
      </c>
      <c r="ES40" s="317">
        <f t="shared" si="35"/>
        <v>127083</v>
      </c>
      <c r="ET40" s="318">
        <v>16233</v>
      </c>
      <c r="EU40" s="318">
        <v>77850</v>
      </c>
      <c r="EV40" s="318">
        <v>33000</v>
      </c>
      <c r="EW40" s="88">
        <f t="shared" si="36"/>
        <v>0.12773541701092986</v>
      </c>
      <c r="EX40" s="88">
        <f t="shared" si="36"/>
        <v>0.61259177073251336</v>
      </c>
      <c r="EY40" s="88">
        <f t="shared" si="36"/>
        <v>0.25967281225655675</v>
      </c>
      <c r="EZ40" s="88">
        <f t="shared" si="41"/>
        <v>-1.0175877495534058E-3</v>
      </c>
      <c r="FA40" s="88">
        <f t="shared" si="41"/>
        <v>-8.077839159236655E-3</v>
      </c>
      <c r="FB40" s="88">
        <f t="shared" si="41"/>
        <v>9.0954269087901163E-3</v>
      </c>
      <c r="FD40" s="316">
        <v>2014</v>
      </c>
      <c r="FE40" s="159">
        <v>5.5259426229508192E-3</v>
      </c>
      <c r="FF40" s="159">
        <v>4.0000000000000001E-3</v>
      </c>
      <c r="FG40" s="159">
        <v>9.0000000000000011E-3</v>
      </c>
      <c r="FH40" s="159">
        <v>9.0000000000000011E-3</v>
      </c>
      <c r="FI40" s="319">
        <f t="shared" si="45"/>
        <v>-3.4740573770491818E-3</v>
      </c>
      <c r="FK40" s="345">
        <f t="shared" si="42"/>
        <v>1.8607252625205462E-2</v>
      </c>
      <c r="FL40" s="345">
        <f t="shared" si="43"/>
        <v>-2.7600613719967471E-3</v>
      </c>
      <c r="FM40" s="345">
        <f t="shared" si="44"/>
        <v>-2.3385876383085966E-3</v>
      </c>
      <c r="FO40" s="316">
        <v>2014</v>
      </c>
      <c r="FP40" s="61">
        <v>155428.16920263518</v>
      </c>
      <c r="FQ40" s="61">
        <v>7380.2958422805068</v>
      </c>
      <c r="FR40" s="61">
        <v>92341.114644232031</v>
      </c>
      <c r="FS40" s="61">
        <v>32867.215961007081</v>
      </c>
      <c r="FT40" s="61">
        <v>47380.301256210405</v>
      </c>
      <c r="FU40" s="61">
        <v>150196.69366653039</v>
      </c>
      <c r="FV40" s="285">
        <f t="shared" si="38"/>
        <v>485593.79057289567</v>
      </c>
    </row>
    <row r="41" spans="1:178">
      <c r="A41" s="316">
        <v>2015</v>
      </c>
      <c r="B41" s="61">
        <v>349077.8</v>
      </c>
      <c r="C41" s="61">
        <v>19489.3</v>
      </c>
      <c r="D41" s="61">
        <v>133365.1</v>
      </c>
      <c r="E41" s="61">
        <v>36489.300000000003</v>
      </c>
      <c r="F41" s="61">
        <v>213062.9</v>
      </c>
      <c r="G41" s="61">
        <v>621213</v>
      </c>
      <c r="I41" s="316">
        <v>2015</v>
      </c>
      <c r="J41" s="61">
        <v>330041.59999999998</v>
      </c>
      <c r="K41" s="61">
        <v>18524.2</v>
      </c>
      <c r="L41" s="61">
        <v>128390.3</v>
      </c>
      <c r="M41" s="61">
        <v>34591</v>
      </c>
      <c r="N41" s="61">
        <v>206533.7</v>
      </c>
      <c r="O41" s="61">
        <v>593676.4</v>
      </c>
      <c r="Q41" s="316">
        <v>2015</v>
      </c>
      <c r="R41" s="75">
        <v>396088.2</v>
      </c>
      <c r="S41" s="75">
        <v>16738.099999999999</v>
      </c>
      <c r="T41" s="75">
        <v>176466.6</v>
      </c>
      <c r="U41" s="75">
        <v>44223.1</v>
      </c>
      <c r="V41" s="75">
        <v>203187.6</v>
      </c>
      <c r="W41" s="75">
        <v>662351.19999999995</v>
      </c>
      <c r="Y41" s="316">
        <v>2015</v>
      </c>
      <c r="Z41" s="75">
        <v>396088.2</v>
      </c>
      <c r="AA41" s="75">
        <v>16738.099999999999</v>
      </c>
      <c r="AB41" s="75">
        <v>176466.6</v>
      </c>
      <c r="AC41" s="75">
        <v>44223.1</v>
      </c>
      <c r="AD41" s="75">
        <v>203187.6</v>
      </c>
      <c r="AE41" s="75">
        <v>662351.19999999995</v>
      </c>
      <c r="AG41" s="316">
        <v>2015</v>
      </c>
      <c r="AH41" s="48">
        <f t="shared" si="46"/>
        <v>1</v>
      </c>
      <c r="AI41" s="48">
        <f t="shared" si="46"/>
        <v>1</v>
      </c>
      <c r="AJ41" s="48">
        <f t="shared" si="46"/>
        <v>1</v>
      </c>
      <c r="AK41" s="48">
        <f t="shared" si="46"/>
        <v>1</v>
      </c>
      <c r="AL41" s="48">
        <f t="shared" si="46"/>
        <v>1</v>
      </c>
      <c r="AM41" s="48">
        <f t="shared" si="46"/>
        <v>1</v>
      </c>
      <c r="AO41" s="316">
        <v>2015</v>
      </c>
      <c r="AP41" s="88" t="e">
        <f>#REF!</f>
        <v>#REF!</v>
      </c>
      <c r="AS41" s="316">
        <v>2015</v>
      </c>
      <c r="AT41" s="308">
        <f t="shared" si="39"/>
        <v>1.2335229117186319E-3</v>
      </c>
      <c r="AU41" s="308">
        <f t="shared" si="39"/>
        <v>7.6136546136962302E-4</v>
      </c>
      <c r="AV41" s="308">
        <f t="shared" si="39"/>
        <v>7.3336965888934902E-3</v>
      </c>
      <c r="AW41" s="308">
        <f t="shared" si="39"/>
        <v>7.7642252108418575E-3</v>
      </c>
      <c r="AX41" s="308">
        <f t="shared" si="39"/>
        <v>6.9656351428359908E-3</v>
      </c>
      <c r="AY41" s="308">
        <f t="shared" si="39"/>
        <v>6.6878427542254038E-3</v>
      </c>
      <c r="BA41" s="316">
        <v>2015</v>
      </c>
      <c r="BB41" s="61">
        <v>15926.1</v>
      </c>
      <c r="BC41" s="61">
        <v>806.6</v>
      </c>
      <c r="BD41" s="61">
        <v>9665.1</v>
      </c>
      <c r="BE41" s="61">
        <v>2345.1</v>
      </c>
      <c r="BF41" s="61">
        <v>8771.7000000000007</v>
      </c>
      <c r="BG41" s="61">
        <v>16332.2</v>
      </c>
      <c r="BI41" s="316">
        <v>2015</v>
      </c>
      <c r="BJ41" s="61">
        <v>15041.1</v>
      </c>
      <c r="BK41" s="61">
        <v>763.5</v>
      </c>
      <c r="BL41" s="61">
        <v>9285</v>
      </c>
      <c r="BM41" s="61">
        <v>2222.9</v>
      </c>
      <c r="BN41" s="61">
        <v>8480.4</v>
      </c>
      <c r="BO41" s="61">
        <v>15511</v>
      </c>
      <c r="BQ41" s="316">
        <v>2015</v>
      </c>
      <c r="BR41" s="75">
        <v>20306.099999999999</v>
      </c>
      <c r="BS41" s="75">
        <v>799.2</v>
      </c>
      <c r="BT41" s="75">
        <v>13733.5</v>
      </c>
      <c r="BU41" s="75">
        <v>3845.7</v>
      </c>
      <c r="BV41" s="75">
        <v>6435.7</v>
      </c>
      <c r="BW41" s="75">
        <v>14036.3</v>
      </c>
      <c r="BY41" s="316">
        <v>2015</v>
      </c>
      <c r="BZ41" s="75">
        <v>20306.099999999999</v>
      </c>
      <c r="CA41" s="75">
        <v>799.2</v>
      </c>
      <c r="CB41" s="75">
        <v>13733.5</v>
      </c>
      <c r="CC41" s="75">
        <v>3845.7</v>
      </c>
      <c r="CD41" s="75">
        <v>6435.7</v>
      </c>
      <c r="CE41" s="75">
        <v>14036.3</v>
      </c>
      <c r="CG41" s="316">
        <v>2015</v>
      </c>
      <c r="CH41" s="48">
        <f t="shared" si="47"/>
        <v>1</v>
      </c>
      <c r="CI41" s="48">
        <f t="shared" si="47"/>
        <v>1</v>
      </c>
      <c r="CJ41" s="48">
        <f t="shared" si="47"/>
        <v>1</v>
      </c>
      <c r="CK41" s="48">
        <f t="shared" si="47"/>
        <v>1</v>
      </c>
      <c r="CL41" s="48">
        <f t="shared" si="47"/>
        <v>1</v>
      </c>
      <c r="CM41" s="48">
        <f t="shared" si="47"/>
        <v>1</v>
      </c>
      <c r="CO41" s="316">
        <v>2015</v>
      </c>
      <c r="CP41" s="88" t="e">
        <f>#REF!</f>
        <v>#REF!</v>
      </c>
      <c r="CS41" s="316">
        <v>2015</v>
      </c>
      <c r="CT41" s="308">
        <f t="shared" si="40"/>
        <v>9.4929347422603172E-3</v>
      </c>
      <c r="CU41" s="308">
        <f t="shared" si="40"/>
        <v>8.7544767210505636E-3</v>
      </c>
      <c r="CV41" s="308">
        <f t="shared" si="40"/>
        <v>6.9269327756933397E-3</v>
      </c>
      <c r="CW41" s="308">
        <f t="shared" si="40"/>
        <v>1.1883122168262705E-2</v>
      </c>
      <c r="CX41" s="308">
        <f t="shared" si="40"/>
        <v>9.5670148352753337E-3</v>
      </c>
      <c r="CY41" s="308">
        <f t="shared" si="40"/>
        <v>1.1138776908281134E-2</v>
      </c>
      <c r="DA41" s="316">
        <v>2015</v>
      </c>
      <c r="DB41" s="46">
        <f t="shared" si="23"/>
        <v>21781.80000000001</v>
      </c>
      <c r="DC41" s="46">
        <f t="shared" si="24"/>
        <v>885.80000000000223</v>
      </c>
      <c r="DD41" s="46">
        <f t="shared" si="25"/>
        <v>14004</v>
      </c>
      <c r="DE41" s="46">
        <f t="shared" si="26"/>
        <v>3428.7</v>
      </c>
      <c r="DF41" s="46">
        <f t="shared" si="27"/>
        <v>6458.8000000000056</v>
      </c>
      <c r="DG41" s="46">
        <f t="shared" si="28"/>
        <v>12761.000000000069</v>
      </c>
      <c r="DI41" s="316">
        <v>2015</v>
      </c>
      <c r="DJ41" s="88">
        <f t="shared" si="29"/>
        <v>5.4788173674722503E-2</v>
      </c>
      <c r="DK41" s="88">
        <f t="shared" si="30"/>
        <v>5.2648784227950704E-2</v>
      </c>
      <c r="DL41" s="88">
        <f t="shared" si="31"/>
        <v>7.9236334646206136E-2</v>
      </c>
      <c r="DM41" s="88">
        <f t="shared" si="32"/>
        <v>7.8269921312328641E-2</v>
      </c>
      <c r="DN41" s="88">
        <f t="shared" si="33"/>
        <v>3.178375941818027E-2</v>
      </c>
      <c r="DO41" s="88">
        <f t="shared" si="34"/>
        <v>1.930338104898404E-2</v>
      </c>
      <c r="DQ41" s="316">
        <v>2015</v>
      </c>
      <c r="DR41" s="61">
        <v>538032.30000000005</v>
      </c>
      <c r="DS41" s="61">
        <v>540.73940000000005</v>
      </c>
      <c r="DT41" s="61">
        <v>538081.19999999995</v>
      </c>
      <c r="DU41" s="61">
        <v>539.40930000000003</v>
      </c>
      <c r="DV41" s="89">
        <v>0</v>
      </c>
      <c r="DW41" s="46">
        <f t="shared" si="6"/>
        <v>538032.30000000005</v>
      </c>
      <c r="DX41" s="61">
        <v>541.28068068068069</v>
      </c>
      <c r="DY41" s="46">
        <f t="shared" si="7"/>
        <v>538081.19999999995</v>
      </c>
      <c r="DZ41" s="61">
        <v>539.94924924924931</v>
      </c>
      <c r="EB41" s="316">
        <v>2015</v>
      </c>
      <c r="EC41" s="88">
        <f t="shared" si="8"/>
        <v>3.7741414409506638E-2</v>
      </c>
      <c r="ED41" s="88">
        <f t="shared" si="9"/>
        <v>1.485412678755532E-3</v>
      </c>
      <c r="EE41" s="88">
        <f t="shared" si="10"/>
        <v>2.5525419198810181E-2</v>
      </c>
      <c r="EF41" s="88">
        <f t="shared" si="11"/>
        <v>7.1477121354981835E-3</v>
      </c>
      <c r="EG41" s="88">
        <f t="shared" si="12"/>
        <v>1.1961549520354074E-2</v>
      </c>
      <c r="EH41" s="88">
        <f t="shared" si="13"/>
        <v>2.6088210689209548E-2</v>
      </c>
      <c r="EI41" s="140"/>
      <c r="EJ41" s="316">
        <v>2015</v>
      </c>
      <c r="EK41" s="88">
        <f t="shared" si="14"/>
        <v>0.73617922195377483</v>
      </c>
      <c r="EL41" s="88">
        <f t="shared" si="15"/>
        <v>3.1109842290137593E-2</v>
      </c>
      <c r="EM41" s="88">
        <f t="shared" si="16"/>
        <v>0.32798514141251367</v>
      </c>
      <c r="EN41" s="88">
        <f t="shared" si="17"/>
        <v>8.2194135928270462E-2</v>
      </c>
      <c r="EO41" s="88">
        <f t="shared" si="18"/>
        <v>0.37764944595333771</v>
      </c>
      <c r="EP41" s="88">
        <f t="shared" si="19"/>
        <v>1.2310621499861623</v>
      </c>
      <c r="ER41" s="316">
        <v>2015</v>
      </c>
      <c r="ES41" s="317">
        <f t="shared" si="35"/>
        <v>127095</v>
      </c>
      <c r="ET41" s="318">
        <v>15945</v>
      </c>
      <c r="EU41" s="318">
        <v>77282</v>
      </c>
      <c r="EV41" s="318">
        <v>33868</v>
      </c>
      <c r="EW41" s="88">
        <f t="shared" si="36"/>
        <v>0.12545733506432197</v>
      </c>
      <c r="EX41" s="88">
        <f t="shared" si="36"/>
        <v>0.60806483339234429</v>
      </c>
      <c r="EY41" s="88">
        <f t="shared" si="36"/>
        <v>0.26647783154333371</v>
      </c>
      <c r="EZ41" s="88">
        <f t="shared" si="41"/>
        <v>-2.2780819466078905E-3</v>
      </c>
      <c r="FA41" s="88">
        <f t="shared" si="41"/>
        <v>-4.5269373401690682E-3</v>
      </c>
      <c r="FB41" s="88">
        <f t="shared" si="41"/>
        <v>6.8050192867769588E-3</v>
      </c>
      <c r="FD41" s="316">
        <v>2015</v>
      </c>
      <c r="FE41" s="159">
        <v>3.637786885245897E-3</v>
      </c>
      <c r="FF41" s="159">
        <v>3.0000000000000001E-3</v>
      </c>
      <c r="FG41" s="159">
        <v>9.0000000000000011E-3</v>
      </c>
      <c r="FH41" s="159">
        <v>9.0000000000000011E-3</v>
      </c>
      <c r="FI41" s="319">
        <f t="shared" si="45"/>
        <v>-5.362213114754104E-3</v>
      </c>
      <c r="FK41" s="345">
        <f t="shared" si="42"/>
        <v>2.5675150238741451E-2</v>
      </c>
      <c r="FL41" s="345">
        <f t="shared" si="43"/>
        <v>-1.6198717975116628E-3</v>
      </c>
      <c r="FM41" s="345">
        <f t="shared" si="44"/>
        <v>-2.5148037177635599E-3</v>
      </c>
      <c r="FO41" s="316">
        <v>2015</v>
      </c>
      <c r="FP41" s="61">
        <v>172758.35708535835</v>
      </c>
      <c r="FQ41" s="61">
        <v>9479.4237761110289</v>
      </c>
      <c r="FR41" s="61">
        <v>123036.59479117366</v>
      </c>
      <c r="FS41" s="61">
        <v>42911.002668863453</v>
      </c>
      <c r="FT41" s="61">
        <v>49537.703405259403</v>
      </c>
      <c r="FU41" s="61">
        <v>141850.29847867921</v>
      </c>
      <c r="FV41" s="285">
        <f t="shared" si="38"/>
        <v>539573.38020544511</v>
      </c>
    </row>
    <row r="42" spans="1:178">
      <c r="A42" s="316">
        <v>2016</v>
      </c>
      <c r="B42" s="61">
        <v>348254.1</v>
      </c>
      <c r="C42" s="61">
        <v>19489.2</v>
      </c>
      <c r="D42" s="61">
        <v>133526.39999999999</v>
      </c>
      <c r="E42" s="61">
        <v>35981.5</v>
      </c>
      <c r="F42" s="61">
        <v>214934.3</v>
      </c>
      <c r="G42" s="61">
        <v>626883.30000000005</v>
      </c>
      <c r="I42" s="316">
        <v>2016</v>
      </c>
      <c r="J42" s="61">
        <v>328929.3</v>
      </c>
      <c r="K42" s="61">
        <v>18486.599999999999</v>
      </c>
      <c r="L42" s="61">
        <v>128300.7</v>
      </c>
      <c r="M42" s="61">
        <v>34012.6</v>
      </c>
      <c r="N42" s="61">
        <v>208858.5</v>
      </c>
      <c r="O42" s="61">
        <v>595391.1</v>
      </c>
      <c r="Q42" s="316">
        <v>2016</v>
      </c>
      <c r="R42" s="75">
        <v>395649.9</v>
      </c>
      <c r="S42" s="75">
        <v>16677.599999999999</v>
      </c>
      <c r="T42" s="75">
        <v>176968.4</v>
      </c>
      <c r="U42" s="75">
        <v>44790.6</v>
      </c>
      <c r="V42" s="75">
        <v>203913.5</v>
      </c>
      <c r="W42" s="75">
        <v>667259.69999999995</v>
      </c>
      <c r="Y42" s="316">
        <v>2016</v>
      </c>
      <c r="Z42" s="75">
        <v>395142.6</v>
      </c>
      <c r="AA42" s="75">
        <v>16656.8</v>
      </c>
      <c r="AB42" s="75">
        <v>177048.3</v>
      </c>
      <c r="AC42" s="75">
        <v>44746.400000000001</v>
      </c>
      <c r="AD42" s="75">
        <v>204271.2</v>
      </c>
      <c r="AE42" s="75">
        <v>663206.30000000005</v>
      </c>
      <c r="AG42" s="316">
        <v>2016</v>
      </c>
      <c r="AH42" s="48">
        <f t="shared" si="46"/>
        <v>1.0012838403148636</v>
      </c>
      <c r="AI42" s="48">
        <f t="shared" si="46"/>
        <v>1.0012487392536382</v>
      </c>
      <c r="AJ42" s="48">
        <f t="shared" si="46"/>
        <v>0.99954871071905238</v>
      </c>
      <c r="AK42" s="48">
        <f t="shared" si="46"/>
        <v>1.0009877889617935</v>
      </c>
      <c r="AL42" s="48">
        <f t="shared" si="46"/>
        <v>0.99824889656495863</v>
      </c>
      <c r="AM42" s="48">
        <f t="shared" si="46"/>
        <v>1.0061118237266442</v>
      </c>
      <c r="AO42" s="316">
        <v>2016</v>
      </c>
      <c r="AP42" s="88" t="e">
        <f>#REF!</f>
        <v>#REF!</v>
      </c>
      <c r="AS42" s="316">
        <v>2016</v>
      </c>
      <c r="AT42" s="308">
        <f t="shared" si="39"/>
        <v>1.2838403148636157E-3</v>
      </c>
      <c r="AU42" s="308">
        <f t="shared" si="39"/>
        <v>1.2487392536382202E-3</v>
      </c>
      <c r="AV42" s="308">
        <f t="shared" si="39"/>
        <v>-4.5128928094761989E-4</v>
      </c>
      <c r="AW42" s="308">
        <f t="shared" si="39"/>
        <v>9.8778896179352316E-4</v>
      </c>
      <c r="AX42" s="308">
        <f t="shared" si="39"/>
        <v>-1.7511034350413679E-3</v>
      </c>
      <c r="AY42" s="308">
        <f t="shared" si="39"/>
        <v>6.1118237266442055E-3</v>
      </c>
      <c r="BA42" s="316">
        <v>2016</v>
      </c>
      <c r="BB42" s="61">
        <v>16753.400000000001</v>
      </c>
      <c r="BC42" s="61">
        <v>805.8</v>
      </c>
      <c r="BD42" s="61">
        <v>9970</v>
      </c>
      <c r="BE42" s="61">
        <v>2259.5</v>
      </c>
      <c r="BF42" s="61">
        <v>8156.9</v>
      </c>
      <c r="BG42" s="61">
        <v>16498.2</v>
      </c>
      <c r="BI42" s="316">
        <v>2016</v>
      </c>
      <c r="BJ42" s="61">
        <v>15932.3</v>
      </c>
      <c r="BK42" s="61">
        <v>769</v>
      </c>
      <c r="BL42" s="61">
        <v>9631.9</v>
      </c>
      <c r="BM42" s="61">
        <v>2128.8000000000002</v>
      </c>
      <c r="BN42" s="61">
        <v>7951.1</v>
      </c>
      <c r="BO42" s="61">
        <v>15765.9</v>
      </c>
      <c r="BQ42" s="316">
        <v>2016</v>
      </c>
      <c r="BR42" s="75">
        <v>20990.2</v>
      </c>
      <c r="BS42" s="75">
        <v>803.9</v>
      </c>
      <c r="BT42" s="75">
        <v>14394.1</v>
      </c>
      <c r="BU42" s="75">
        <v>4070.2</v>
      </c>
      <c r="BV42" s="75">
        <v>6604.7</v>
      </c>
      <c r="BW42" s="75">
        <v>14600.8</v>
      </c>
      <c r="BY42" s="316">
        <v>2016</v>
      </c>
      <c r="BZ42" s="75">
        <v>21092.400000000001</v>
      </c>
      <c r="CA42" s="75">
        <v>810.5</v>
      </c>
      <c r="CB42" s="75">
        <v>14496.8</v>
      </c>
      <c r="CC42" s="75">
        <v>4065</v>
      </c>
      <c r="CD42" s="75">
        <v>6674.8</v>
      </c>
      <c r="CE42" s="75">
        <v>14672.5</v>
      </c>
      <c r="CG42" s="316">
        <v>2016</v>
      </c>
      <c r="CH42" s="48">
        <f t="shared" si="47"/>
        <v>0.995154652860746</v>
      </c>
      <c r="CI42" s="48">
        <f t="shared" si="47"/>
        <v>0.99185687847008019</v>
      </c>
      <c r="CJ42" s="48">
        <f t="shared" si="47"/>
        <v>0.99291567794271851</v>
      </c>
      <c r="CK42" s="48">
        <f t="shared" si="47"/>
        <v>1.0012792127921279</v>
      </c>
      <c r="CL42" s="48">
        <f t="shared" si="47"/>
        <v>0.98949781266854431</v>
      </c>
      <c r="CM42" s="48">
        <f t="shared" si="47"/>
        <v>0.99511330720736069</v>
      </c>
      <c r="CO42" s="316">
        <v>2016</v>
      </c>
      <c r="CP42" s="88" t="e">
        <f>#REF!</f>
        <v>#REF!</v>
      </c>
      <c r="CR42" s="45"/>
      <c r="CS42" s="316">
        <v>2016</v>
      </c>
      <c r="CT42" s="308">
        <f t="shared" si="40"/>
        <v>-4.8453471392539971E-3</v>
      </c>
      <c r="CU42" s="308">
        <f t="shared" si="40"/>
        <v>-8.1431215299198056E-3</v>
      </c>
      <c r="CV42" s="308">
        <f t="shared" si="40"/>
        <v>-7.0843220572814891E-3</v>
      </c>
      <c r="CW42" s="308">
        <f t="shared" si="40"/>
        <v>1.2792127921279484E-3</v>
      </c>
      <c r="CX42" s="308">
        <f t="shared" si="40"/>
        <v>-1.0502187331455692E-2</v>
      </c>
      <c r="CY42" s="308">
        <f t="shared" si="40"/>
        <v>-4.8866927926393133E-3</v>
      </c>
      <c r="DA42" s="316">
        <v>2016</v>
      </c>
      <c r="DB42" s="46">
        <f t="shared" si="23"/>
        <v>22038.000000000036</v>
      </c>
      <c r="DC42" s="46">
        <f t="shared" si="24"/>
        <v>891.79999999999927</v>
      </c>
      <c r="DD42" s="46">
        <f t="shared" si="25"/>
        <v>13915.100000000017</v>
      </c>
      <c r="DE42" s="46">
        <f t="shared" si="26"/>
        <v>3541.6999999999971</v>
      </c>
      <c r="DF42" s="46">
        <f t="shared" si="27"/>
        <v>5591.1999999999944</v>
      </c>
      <c r="DG42" s="46">
        <f t="shared" si="28"/>
        <v>13817.399999999907</v>
      </c>
      <c r="DI42" s="316">
        <v>2016</v>
      </c>
      <c r="DJ42" s="88">
        <f t="shared" si="29"/>
        <v>5.5639122801436743E-2</v>
      </c>
      <c r="DK42" s="88">
        <f t="shared" si="30"/>
        <v>5.3279643448181056E-2</v>
      </c>
      <c r="DL42" s="88">
        <f t="shared" si="31"/>
        <v>7.8854015434082242E-2</v>
      </c>
      <c r="DM42" s="88">
        <f t="shared" si="32"/>
        <v>8.0087103798693382E-2</v>
      </c>
      <c r="DN42" s="88">
        <f t="shared" si="33"/>
        <v>2.7517427244575919E-2</v>
      </c>
      <c r="DO42" s="88">
        <f t="shared" si="34"/>
        <v>2.0861138320576619E-2</v>
      </c>
      <c r="DQ42" s="316">
        <v>2016</v>
      </c>
      <c r="DR42" s="61">
        <v>544364.6</v>
      </c>
      <c r="DS42" s="61">
        <v>544.82719999999995</v>
      </c>
      <c r="DT42" s="61">
        <v>542137.4</v>
      </c>
      <c r="DU42" s="61">
        <v>543.46249999999998</v>
      </c>
      <c r="DV42" s="89">
        <v>-0.2</v>
      </c>
      <c r="DW42" s="46">
        <f t="shared" si="6"/>
        <v>545455.51102204411</v>
      </c>
      <c r="DX42" s="61">
        <v>545.91903807615222</v>
      </c>
      <c r="DY42" s="46">
        <f t="shared" si="7"/>
        <v>543223.84769539081</v>
      </c>
      <c r="DZ42" s="61">
        <v>544.55160320641278</v>
      </c>
      <c r="EB42" s="316">
        <v>2016</v>
      </c>
      <c r="EC42" s="88">
        <f t="shared" si="8"/>
        <v>3.8559083379044123E-2</v>
      </c>
      <c r="ED42" s="88">
        <f t="shared" si="9"/>
        <v>1.4767675928963786E-3</v>
      </c>
      <c r="EE42" s="88">
        <f t="shared" si="10"/>
        <v>2.6442020660417672E-2</v>
      </c>
      <c r="EF42" s="88">
        <f t="shared" si="11"/>
        <v>7.4769740721567857E-3</v>
      </c>
      <c r="EG42" s="88">
        <f t="shared" si="12"/>
        <v>1.2132860953853354E-2</v>
      </c>
      <c r="EH42" s="88">
        <f t="shared" si="13"/>
        <v>2.682172940709223E-2</v>
      </c>
      <c r="EI42" s="140"/>
      <c r="EJ42" s="316">
        <v>2016</v>
      </c>
      <c r="EK42" s="88">
        <f t="shared" si="14"/>
        <v>0.72535686596813975</v>
      </c>
      <c r="EL42" s="88">
        <f t="shared" si="15"/>
        <v>3.0575545874952186E-2</v>
      </c>
      <c r="EM42" s="88">
        <f t="shared" si="16"/>
        <v>0.32444149233803959</v>
      </c>
      <c r="EN42" s="88">
        <f t="shared" si="17"/>
        <v>8.2115954637755645E-2</v>
      </c>
      <c r="EO42" s="88">
        <f t="shared" si="18"/>
        <v>0.37384075489111523</v>
      </c>
      <c r="EP42" s="88">
        <f t="shared" si="19"/>
        <v>1.2233072844927828</v>
      </c>
      <c r="ER42" s="316">
        <v>2016</v>
      </c>
      <c r="ES42" s="317">
        <f t="shared" si="35"/>
        <v>126933</v>
      </c>
      <c r="ET42" s="318">
        <v>15780</v>
      </c>
      <c r="EU42" s="318">
        <v>76562</v>
      </c>
      <c r="EV42" s="318">
        <v>34591</v>
      </c>
      <c r="EW42" s="88">
        <f t="shared" si="36"/>
        <v>0.12431755335491952</v>
      </c>
      <c r="EX42" s="88">
        <f t="shared" si="36"/>
        <v>0.60316860075788015</v>
      </c>
      <c r="EY42" s="88">
        <f t="shared" si="36"/>
        <v>0.27251384588720035</v>
      </c>
      <c r="EZ42" s="88">
        <f t="shared" si="41"/>
        <v>-1.1397817094024459E-3</v>
      </c>
      <c r="FA42" s="88">
        <f t="shared" si="41"/>
        <v>-4.8962326344641482E-3</v>
      </c>
      <c r="FB42" s="88">
        <f t="shared" si="41"/>
        <v>6.0360143438666358E-3</v>
      </c>
      <c r="FD42" s="316">
        <v>2016</v>
      </c>
      <c r="FE42" s="159">
        <v>-4.9832653061224468E-4</v>
      </c>
      <c r="FF42" s="159">
        <v>-1E-3</v>
      </c>
      <c r="FG42" s="159">
        <v>9.0000000000000011E-3</v>
      </c>
      <c r="FH42" s="159">
        <v>9.0000000000000011E-3</v>
      </c>
      <c r="FI42" s="319">
        <f t="shared" si="45"/>
        <v>-9.4983265306122465E-3</v>
      </c>
      <c r="FK42" s="345">
        <f t="shared" si="42"/>
        <v>-9.6478769742992521E-3</v>
      </c>
      <c r="FL42" s="345">
        <f t="shared" si="43"/>
        <v>-4.2111296393911868E-3</v>
      </c>
      <c r="FM42" s="345">
        <f t="shared" si="44"/>
        <v>-8.9788697070547312E-4</v>
      </c>
      <c r="FO42" s="316">
        <v>2016</v>
      </c>
      <c r="FP42" s="61">
        <v>184859.32104184831</v>
      </c>
      <c r="FQ42" s="61">
        <v>10376.665837614433</v>
      </c>
      <c r="FR42" s="61">
        <v>138150.67098517879</v>
      </c>
      <c r="FS42" s="61">
        <v>46329.036287384544</v>
      </c>
      <c r="FT42" s="61">
        <v>50138.464741578318</v>
      </c>
      <c r="FU42" s="61">
        <v>151234.07808652165</v>
      </c>
      <c r="FV42" s="285">
        <f t="shared" si="38"/>
        <v>581088.23698012601</v>
      </c>
    </row>
    <row r="43" spans="1:178">
      <c r="A43" s="316">
        <v>2017</v>
      </c>
      <c r="B43" s="61">
        <v>353533.6</v>
      </c>
      <c r="C43" s="61">
        <v>19652.900000000001</v>
      </c>
      <c r="D43" s="61">
        <v>136327.9</v>
      </c>
      <c r="E43" s="61">
        <v>36002.6</v>
      </c>
      <c r="F43" s="61">
        <v>219924.7</v>
      </c>
      <c r="G43" s="61">
        <v>640013.1</v>
      </c>
      <c r="I43" s="316">
        <v>2017</v>
      </c>
      <c r="J43" s="61">
        <v>328469.59999999998</v>
      </c>
      <c r="K43" s="61">
        <v>18311.400000000001</v>
      </c>
      <c r="L43" s="61">
        <v>128980.7</v>
      </c>
      <c r="M43" s="61">
        <v>33500.699999999997</v>
      </c>
      <c r="N43" s="61">
        <v>210770.8</v>
      </c>
      <c r="O43" s="61">
        <v>598352</v>
      </c>
      <c r="Q43" s="316">
        <v>2017</v>
      </c>
      <c r="R43" s="75">
        <v>402402.8</v>
      </c>
      <c r="S43" s="75">
        <v>16761.7</v>
      </c>
      <c r="T43" s="75">
        <v>181151.3</v>
      </c>
      <c r="U43" s="75">
        <v>45781.3</v>
      </c>
      <c r="V43" s="75">
        <v>206241.2</v>
      </c>
      <c r="W43" s="75">
        <v>680584.1</v>
      </c>
      <c r="Y43" s="316">
        <v>2017</v>
      </c>
      <c r="Z43" s="75">
        <v>394739.20000000001</v>
      </c>
      <c r="AA43" s="75">
        <v>16447.599999999999</v>
      </c>
      <c r="AB43" s="75">
        <v>178437.9</v>
      </c>
      <c r="AC43" s="75">
        <v>45007.4</v>
      </c>
      <c r="AD43" s="75">
        <v>204073.8</v>
      </c>
      <c r="AE43" s="75">
        <v>665578.1</v>
      </c>
      <c r="AG43" s="316">
        <v>2017</v>
      </c>
      <c r="AH43" s="48">
        <f t="shared" si="46"/>
        <v>1.0194143373650248</v>
      </c>
      <c r="AI43" s="48">
        <f t="shared" si="46"/>
        <v>1.0190970111140836</v>
      </c>
      <c r="AJ43" s="48">
        <f t="shared" si="46"/>
        <v>1.0152064107456991</v>
      </c>
      <c r="AK43" s="48">
        <f t="shared" si="46"/>
        <v>1.0171949501637509</v>
      </c>
      <c r="AL43" s="48">
        <f t="shared" si="46"/>
        <v>1.0106206676212235</v>
      </c>
      <c r="AM43" s="48">
        <f t="shared" si="46"/>
        <v>1.0225458139322794</v>
      </c>
      <c r="AO43" s="316">
        <v>2017</v>
      </c>
      <c r="AP43" s="88" t="e">
        <f>#REF!</f>
        <v>#REF!</v>
      </c>
      <c r="AS43" s="316">
        <v>2017</v>
      </c>
      <c r="AT43" s="308">
        <f t="shared" si="39"/>
        <v>1.8107250232321626E-2</v>
      </c>
      <c r="AU43" s="308">
        <f t="shared" si="39"/>
        <v>1.7826011819750187E-2</v>
      </c>
      <c r="AV43" s="308">
        <f t="shared" si="39"/>
        <v>1.5664769369151399E-2</v>
      </c>
      <c r="AW43" s="308">
        <f t="shared" si="39"/>
        <v>1.6191167745180257E-2</v>
      </c>
      <c r="AX43" s="308">
        <f t="shared" si="39"/>
        <v>1.2393473309949998E-2</v>
      </c>
      <c r="AY43" s="308">
        <f t="shared" si="39"/>
        <v>1.6334158706895696E-2</v>
      </c>
      <c r="BA43" s="316">
        <v>2017</v>
      </c>
      <c r="BB43" s="61">
        <v>17310.900000000001</v>
      </c>
      <c r="BC43" s="61">
        <v>658.8</v>
      </c>
      <c r="BD43" s="61">
        <v>11006.4</v>
      </c>
      <c r="BE43" s="61">
        <v>2232.3000000000002</v>
      </c>
      <c r="BF43" s="61">
        <v>8835.2999999999993</v>
      </c>
      <c r="BG43" s="61">
        <v>17015.3</v>
      </c>
      <c r="BI43" s="316">
        <v>2017</v>
      </c>
      <c r="BJ43" s="61">
        <v>16196.3</v>
      </c>
      <c r="BK43" s="61">
        <v>617.29999999999995</v>
      </c>
      <c r="BL43" s="61">
        <v>10454.799999999999</v>
      </c>
      <c r="BM43" s="61">
        <v>2067</v>
      </c>
      <c r="BN43" s="61">
        <v>8490.5</v>
      </c>
      <c r="BO43" s="61">
        <v>15967.8</v>
      </c>
      <c r="BQ43" s="316">
        <v>2017</v>
      </c>
      <c r="BR43" s="75">
        <v>21455.7</v>
      </c>
      <c r="BS43" s="75">
        <v>673</v>
      </c>
      <c r="BT43" s="75">
        <v>15586.2</v>
      </c>
      <c r="BU43" s="75">
        <v>3803.7</v>
      </c>
      <c r="BV43" s="75">
        <v>6326.3</v>
      </c>
      <c r="BW43" s="75">
        <v>15256.2</v>
      </c>
      <c r="BY43" s="316">
        <v>2017</v>
      </c>
      <c r="BZ43" s="75">
        <v>21194.400000000001</v>
      </c>
      <c r="CA43" s="75">
        <v>667.8</v>
      </c>
      <c r="CB43" s="75">
        <v>15455.5</v>
      </c>
      <c r="CC43" s="75">
        <v>3741.6</v>
      </c>
      <c r="CD43" s="75">
        <v>6309.6</v>
      </c>
      <c r="CE43" s="75">
        <v>15064.4</v>
      </c>
      <c r="CG43" s="316">
        <v>2017</v>
      </c>
      <c r="CH43" s="48">
        <f t="shared" si="47"/>
        <v>1.012328728343336</v>
      </c>
      <c r="CI43" s="48">
        <f t="shared" si="47"/>
        <v>1.0077867625037438</v>
      </c>
      <c r="CJ43" s="48">
        <f t="shared" si="47"/>
        <v>1.0084565365080393</v>
      </c>
      <c r="CK43" s="48">
        <f t="shared" si="47"/>
        <v>1.0165971776779987</v>
      </c>
      <c r="CL43" s="48">
        <f t="shared" si="47"/>
        <v>1.0026467604919487</v>
      </c>
      <c r="CM43" s="48">
        <f t="shared" si="47"/>
        <v>1.0127320039297949</v>
      </c>
      <c r="CO43" s="316">
        <v>2017</v>
      </c>
      <c r="CP43" s="88" t="e">
        <f>#REF!</f>
        <v>#REF!</v>
      </c>
      <c r="CR43" s="45"/>
      <c r="CS43" s="316">
        <v>2017</v>
      </c>
      <c r="CT43" s="308">
        <f t="shared" si="40"/>
        <v>1.7257695005715945E-2</v>
      </c>
      <c r="CU43" s="308">
        <f t="shared" si="40"/>
        <v>1.6060668005080547E-2</v>
      </c>
      <c r="CV43" s="308">
        <f t="shared" si="40"/>
        <v>1.5651740536035019E-2</v>
      </c>
      <c r="CW43" s="308">
        <f t="shared" si="40"/>
        <v>1.5298394983309205E-2</v>
      </c>
      <c r="CX43" s="308">
        <f t="shared" si="40"/>
        <v>1.3288506204923722E-2</v>
      </c>
      <c r="CY43" s="308">
        <f t="shared" si="40"/>
        <v>1.7705216677162516E-2</v>
      </c>
      <c r="DA43" s="316">
        <v>2017</v>
      </c>
      <c r="DB43" s="46">
        <f t="shared" si="23"/>
        <v>21597.799999999967</v>
      </c>
      <c r="DC43" s="46">
        <f t="shared" si="24"/>
        <v>877.00000000000068</v>
      </c>
      <c r="DD43" s="46">
        <f t="shared" si="25"/>
        <v>14065.899999999994</v>
      </c>
      <c r="DE43" s="46">
        <f t="shared" si="26"/>
        <v>3480.6</v>
      </c>
      <c r="DF43" s="46">
        <f t="shared" si="27"/>
        <v>6507.0000000000236</v>
      </c>
      <c r="DG43" s="46">
        <f t="shared" si="28"/>
        <v>12692.600000000069</v>
      </c>
      <c r="DI43" s="316">
        <v>2017</v>
      </c>
      <c r="DJ43" s="88">
        <f t="shared" si="29"/>
        <v>5.4658242366173546E-2</v>
      </c>
      <c r="DK43" s="88">
        <f t="shared" si="30"/>
        <v>5.2651169492339507E-2</v>
      </c>
      <c r="DL43" s="88">
        <f t="shared" si="31"/>
        <v>7.944668206359505E-2</v>
      </c>
      <c r="DM43" s="88">
        <f t="shared" si="32"/>
        <v>7.7785028516260526E-2</v>
      </c>
      <c r="DN43" s="88">
        <f t="shared" si="33"/>
        <v>3.1854710796235704E-2</v>
      </c>
      <c r="DO43" s="88">
        <f t="shared" si="34"/>
        <v>1.9138237981153178E-2</v>
      </c>
      <c r="DQ43" s="316">
        <v>2017</v>
      </c>
      <c r="DR43" s="61">
        <v>553073</v>
      </c>
      <c r="DS43" s="61">
        <v>555.72190000000001</v>
      </c>
      <c r="DT43" s="61">
        <v>551220</v>
      </c>
      <c r="DU43" s="61">
        <v>553.21480000000008</v>
      </c>
      <c r="DV43" s="89">
        <v>0.7</v>
      </c>
      <c r="DW43" s="46">
        <f t="shared" si="6"/>
        <v>549228.40119165846</v>
      </c>
      <c r="DX43" s="61">
        <v>551.31140873015875</v>
      </c>
      <c r="DY43" s="46">
        <f t="shared" si="7"/>
        <v>547388.2820258193</v>
      </c>
      <c r="DZ43" s="61">
        <v>548.82420634920641</v>
      </c>
      <c r="EB43" s="316">
        <v>2017</v>
      </c>
      <c r="EC43" s="88">
        <f t="shared" si="8"/>
        <v>3.8793613139675956E-2</v>
      </c>
      <c r="ED43" s="88">
        <f t="shared" si="9"/>
        <v>1.2168375603220552E-3</v>
      </c>
      <c r="EE43" s="88">
        <f t="shared" si="10"/>
        <v>2.8181090018858272E-2</v>
      </c>
      <c r="EF43" s="88">
        <f t="shared" si="11"/>
        <v>6.8773923153001501E-3</v>
      </c>
      <c r="EG43" s="88">
        <f t="shared" si="12"/>
        <v>1.1438453874985762E-2</v>
      </c>
      <c r="EH43" s="88">
        <f t="shared" si="13"/>
        <v>2.7584423755996044E-2</v>
      </c>
      <c r="EI43" s="140"/>
      <c r="EJ43" s="316">
        <v>2017</v>
      </c>
      <c r="EK43" s="88">
        <f t="shared" si="14"/>
        <v>0.73266932140965102</v>
      </c>
      <c r="EL43" s="88">
        <f t="shared" si="15"/>
        <v>3.0518632983349392E-2</v>
      </c>
      <c r="EM43" s="88">
        <f t="shared" si="16"/>
        <v>0.32982871899369515</v>
      </c>
      <c r="EN43" s="88">
        <f t="shared" si="17"/>
        <v>8.3355667515861376E-2</v>
      </c>
      <c r="EO43" s="88">
        <f t="shared" si="18"/>
        <v>0.37551080671086817</v>
      </c>
      <c r="EP43" s="88">
        <f t="shared" si="19"/>
        <v>1.2391640682152263</v>
      </c>
      <c r="ER43" s="316">
        <v>2017</v>
      </c>
      <c r="ES43" s="317">
        <f t="shared" si="35"/>
        <v>126706</v>
      </c>
      <c r="ET43" s="318">
        <v>15592</v>
      </c>
      <c r="EU43" s="318">
        <v>75962</v>
      </c>
      <c r="EV43" s="318">
        <v>35152</v>
      </c>
      <c r="EW43" s="88">
        <f t="shared" si="36"/>
        <v>0.12305652455290199</v>
      </c>
      <c r="EX43" s="88">
        <f t="shared" si="36"/>
        <v>0.59951383517749757</v>
      </c>
      <c r="EY43" s="88">
        <f t="shared" si="36"/>
        <v>0.27742964026960049</v>
      </c>
      <c r="EZ43" s="88">
        <f t="shared" si="41"/>
        <v>-1.2610288020175331E-3</v>
      </c>
      <c r="FA43" s="88">
        <f t="shared" si="41"/>
        <v>-3.6547655803825796E-3</v>
      </c>
      <c r="FB43" s="88">
        <f t="shared" si="41"/>
        <v>4.9157943824001404E-3</v>
      </c>
      <c r="FD43" s="316">
        <v>2017</v>
      </c>
      <c r="FE43" s="159">
        <v>5.3663967611336061E-4</v>
      </c>
      <c r="FF43" s="159">
        <v>0</v>
      </c>
      <c r="FG43" s="159">
        <v>8.0000000000000002E-3</v>
      </c>
      <c r="FH43" s="159">
        <v>8.0000000000000002E-3</v>
      </c>
      <c r="FI43" s="319">
        <f t="shared" si="45"/>
        <v>-7.4633603238866393E-3</v>
      </c>
      <c r="FK43" s="345">
        <f t="shared" si="42"/>
        <v>-3.3706785237996861E-4</v>
      </c>
      <c r="FL43" s="345">
        <f t="shared" si="43"/>
        <v>1.5383256664930345E-4</v>
      </c>
      <c r="FM43" s="345">
        <f t="shared" si="44"/>
        <v>-1.6155415252492311E-3</v>
      </c>
      <c r="FO43" s="316">
        <v>2017</v>
      </c>
      <c r="FP43" s="61">
        <v>187208.12066984747</v>
      </c>
      <c r="FQ43" s="61">
        <v>9383.8519358478716</v>
      </c>
      <c r="FR43" s="61">
        <v>150587.12336080143</v>
      </c>
      <c r="FS43" s="61">
        <v>49594.870071955353</v>
      </c>
      <c r="FT43" s="61">
        <v>48275.565276246984</v>
      </c>
      <c r="FU43" s="61">
        <v>154123.39811104312</v>
      </c>
      <c r="FV43" s="285">
        <f t="shared" si="38"/>
        <v>599172.92942574224</v>
      </c>
    </row>
    <row r="44" spans="1:178">
      <c r="A44" s="316">
        <v>2018</v>
      </c>
      <c r="B44" s="61">
        <v>356235</v>
      </c>
      <c r="C44" s="61">
        <v>19711.5</v>
      </c>
      <c r="D44" s="61">
        <v>139813.5</v>
      </c>
      <c r="E44" s="61">
        <v>36239.4</v>
      </c>
      <c r="F44" s="61">
        <v>226245.4</v>
      </c>
      <c r="G44" s="61">
        <v>653013.69999999995</v>
      </c>
      <c r="I44" s="316">
        <v>2018</v>
      </c>
      <c r="J44" s="61">
        <v>326995.90000000002</v>
      </c>
      <c r="K44" s="61">
        <v>18108.599999999999</v>
      </c>
      <c r="L44" s="61">
        <v>130508.6</v>
      </c>
      <c r="M44" s="61">
        <v>33190.400000000001</v>
      </c>
      <c r="N44" s="61">
        <v>213297.6</v>
      </c>
      <c r="O44" s="61">
        <v>599993.30000000005</v>
      </c>
      <c r="Q44" s="316">
        <v>2018</v>
      </c>
      <c r="R44" s="75">
        <v>405214.7</v>
      </c>
      <c r="S44" s="75">
        <v>16738.099999999999</v>
      </c>
      <c r="T44" s="75">
        <v>185494.39999999999</v>
      </c>
      <c r="U44" s="75">
        <v>46707.4</v>
      </c>
      <c r="V44" s="75">
        <v>209695.9</v>
      </c>
      <c r="W44" s="75">
        <v>693402.8</v>
      </c>
      <c r="Y44" s="316">
        <v>2018</v>
      </c>
      <c r="Z44" s="75">
        <v>393033.3</v>
      </c>
      <c r="AA44" s="75">
        <v>16202.6</v>
      </c>
      <c r="AB44" s="75">
        <v>180182.5</v>
      </c>
      <c r="AC44" s="75">
        <v>45212</v>
      </c>
      <c r="AD44" s="75">
        <v>204681.7</v>
      </c>
      <c r="AE44" s="75">
        <v>666935</v>
      </c>
      <c r="AG44" s="316">
        <v>2018</v>
      </c>
      <c r="AH44" s="48">
        <f t="shared" si="46"/>
        <v>1.0309933026031128</v>
      </c>
      <c r="AI44" s="48">
        <f t="shared" si="46"/>
        <v>1.0330502511942528</v>
      </c>
      <c r="AJ44" s="48">
        <f t="shared" si="46"/>
        <v>1.0294806654364326</v>
      </c>
      <c r="AK44" s="48">
        <f t="shared" si="46"/>
        <v>1.0330752897460851</v>
      </c>
      <c r="AL44" s="48">
        <f t="shared" si="46"/>
        <v>1.0244975491213919</v>
      </c>
      <c r="AM44" s="48">
        <f t="shared" si="46"/>
        <v>1.0396857264950858</v>
      </c>
      <c r="AO44" s="316">
        <v>2018</v>
      </c>
      <c r="AP44" s="88" t="e">
        <f>#REF!</f>
        <v>#REF!</v>
      </c>
      <c r="AS44" s="316">
        <v>2018</v>
      </c>
      <c r="AT44" s="308">
        <f t="shared" si="39"/>
        <v>1.1358448487214012E-2</v>
      </c>
      <c r="AU44" s="308">
        <f t="shared" si="39"/>
        <v>1.3691768230107426E-2</v>
      </c>
      <c r="AV44" s="308">
        <f t="shared" si="39"/>
        <v>1.4060445776981068E-2</v>
      </c>
      <c r="AW44" s="308">
        <f t="shared" si="39"/>
        <v>1.5611893845695723E-2</v>
      </c>
      <c r="AX44" s="308">
        <f t="shared" si="39"/>
        <v>1.3731048596929529E-2</v>
      </c>
      <c r="AY44" s="308">
        <f t="shared" si="39"/>
        <v>1.6761999637838754E-2</v>
      </c>
      <c r="BA44" s="316">
        <v>2018</v>
      </c>
      <c r="BB44" s="61">
        <v>16440.900000000001</v>
      </c>
      <c r="BC44" s="61">
        <v>631.29999999999995</v>
      </c>
      <c r="BD44" s="61">
        <v>12106.2</v>
      </c>
      <c r="BE44" s="61">
        <v>2483.4</v>
      </c>
      <c r="BF44" s="61">
        <v>8798.5</v>
      </c>
      <c r="BG44" s="61">
        <v>16959.8</v>
      </c>
      <c r="BI44" s="316">
        <v>2018</v>
      </c>
      <c r="BJ44" s="61">
        <v>15117.5</v>
      </c>
      <c r="BK44" s="61">
        <v>580.5</v>
      </c>
      <c r="BL44" s="61">
        <v>11325.1</v>
      </c>
      <c r="BM44" s="61">
        <v>2251.4</v>
      </c>
      <c r="BN44" s="61">
        <v>8309.7000000000007</v>
      </c>
      <c r="BO44" s="61">
        <v>15574.4</v>
      </c>
      <c r="BQ44" s="316">
        <v>2018</v>
      </c>
      <c r="BR44" s="75">
        <v>20411.8</v>
      </c>
      <c r="BS44" s="75">
        <v>638.4</v>
      </c>
      <c r="BT44" s="75">
        <v>16256.8</v>
      </c>
      <c r="BU44" s="75">
        <v>3896.1</v>
      </c>
      <c r="BV44" s="75">
        <v>6333.8</v>
      </c>
      <c r="BW44" s="75">
        <v>15458.7</v>
      </c>
      <c r="BY44" s="316">
        <v>2018</v>
      </c>
      <c r="BZ44" s="75">
        <v>19834.5</v>
      </c>
      <c r="CA44" s="75">
        <v>622.4</v>
      </c>
      <c r="CB44" s="75">
        <v>15876.4</v>
      </c>
      <c r="CC44" s="75">
        <v>3758</v>
      </c>
      <c r="CD44" s="75">
        <v>6229.4</v>
      </c>
      <c r="CE44" s="75">
        <v>14963</v>
      </c>
      <c r="CG44" s="316">
        <v>2018</v>
      </c>
      <c r="CH44" s="48">
        <f t="shared" si="47"/>
        <v>1.0291058509163327</v>
      </c>
      <c r="CI44" s="48">
        <f t="shared" si="47"/>
        <v>1.025706940874036</v>
      </c>
      <c r="CJ44" s="48">
        <f t="shared" si="47"/>
        <v>1.0239600917084477</v>
      </c>
      <c r="CK44" s="48">
        <f t="shared" si="47"/>
        <v>1.0367482703565727</v>
      </c>
      <c r="CL44" s="48">
        <f t="shared" si="47"/>
        <v>1.0167592384499311</v>
      </c>
      <c r="CM44" s="48">
        <f t="shared" si="47"/>
        <v>1.0331283833455858</v>
      </c>
      <c r="CO44" s="316">
        <v>2018</v>
      </c>
      <c r="CP44" s="88" t="e">
        <f>#REF!</f>
        <v>#REF!</v>
      </c>
      <c r="CR44" s="45"/>
      <c r="CS44" s="316">
        <v>2018</v>
      </c>
      <c r="CT44" s="308">
        <f t="shared" si="40"/>
        <v>1.6572801011438543E-2</v>
      </c>
      <c r="CU44" s="308">
        <f t="shared" si="40"/>
        <v>1.7781716368025613E-2</v>
      </c>
      <c r="CV44" s="308">
        <f t="shared" si="40"/>
        <v>1.5373548228555522E-2</v>
      </c>
      <c r="CW44" s="308">
        <f t="shared" si="40"/>
        <v>1.9822101734141118E-2</v>
      </c>
      <c r="CX44" s="308">
        <f t="shared" si="40"/>
        <v>1.4075224210626347E-2</v>
      </c>
      <c r="CY44" s="308">
        <f t="shared" si="40"/>
        <v>2.0139957399040398E-2</v>
      </c>
      <c r="DA44" s="316">
        <v>2018</v>
      </c>
      <c r="DB44" s="46">
        <f t="shared" si="23"/>
        <v>21540.400000000023</v>
      </c>
      <c r="DC44" s="46">
        <f t="shared" si="24"/>
        <v>867.39999999999816</v>
      </c>
      <c r="DD44" s="46">
        <f t="shared" si="25"/>
        <v>14131.799999999994</v>
      </c>
      <c r="DE44" s="46">
        <f t="shared" si="26"/>
        <v>3553.4000000000015</v>
      </c>
      <c r="DF44" s="46">
        <f t="shared" si="27"/>
        <v>5621.4999999999764</v>
      </c>
      <c r="DG44" s="46">
        <f t="shared" si="28"/>
        <v>13606.099999999977</v>
      </c>
      <c r="DI44" s="316">
        <v>2018</v>
      </c>
      <c r="DJ44" s="88">
        <f t="shared" si="29"/>
        <v>5.4568687376374131E-2</v>
      </c>
      <c r="DK44" s="88">
        <f t="shared" si="30"/>
        <v>5.2737177460541247E-2</v>
      </c>
      <c r="DL44" s="88">
        <f t="shared" si="31"/>
        <v>7.9197300573476792E-2</v>
      </c>
      <c r="DM44" s="88">
        <f t="shared" si="32"/>
        <v>7.895146131525041E-2</v>
      </c>
      <c r="DN44" s="88">
        <f t="shared" si="33"/>
        <v>2.7546407231109415E-2</v>
      </c>
      <c r="DO44" s="88">
        <f t="shared" si="34"/>
        <v>2.0442529584431907E-2</v>
      </c>
      <c r="DQ44" s="316">
        <v>2018</v>
      </c>
      <c r="DR44" s="61">
        <v>556293.80000000005</v>
      </c>
      <c r="DS44" s="61">
        <v>556.30369999999994</v>
      </c>
      <c r="DT44" s="61">
        <v>554439.5</v>
      </c>
      <c r="DU44" s="61">
        <v>554.25930000000005</v>
      </c>
      <c r="DV44" s="89">
        <v>0.5</v>
      </c>
      <c r="DW44" s="46">
        <f t="shared" si="6"/>
        <v>553526.16915422899</v>
      </c>
      <c r="DX44" s="61">
        <v>554.63978065802587</v>
      </c>
      <c r="DY44" s="46">
        <f t="shared" si="7"/>
        <v>551681.0945273632</v>
      </c>
      <c r="DZ44" s="61">
        <v>552.60149551345978</v>
      </c>
      <c r="EB44" s="316">
        <v>2018</v>
      </c>
      <c r="EC44" s="88">
        <f t="shared" si="8"/>
        <v>3.6692481562800083E-2</v>
      </c>
      <c r="ED44" s="88">
        <f t="shared" si="9"/>
        <v>1.147595029820573E-3</v>
      </c>
      <c r="EE44" s="88">
        <f t="shared" si="10"/>
        <v>2.9223406768150207E-2</v>
      </c>
      <c r="EF44" s="88">
        <f t="shared" si="11"/>
        <v>7.0036732388532811E-3</v>
      </c>
      <c r="EG44" s="88">
        <f t="shared" si="12"/>
        <v>1.1385710212840768E-2</v>
      </c>
      <c r="EH44" s="88">
        <f t="shared" si="13"/>
        <v>2.7788733219748268E-2</v>
      </c>
      <c r="EI44" s="140"/>
      <c r="EJ44" s="316">
        <v>2018</v>
      </c>
      <c r="EK44" s="88">
        <f t="shared" si="14"/>
        <v>0.73206060089111169</v>
      </c>
      <c r="EL44" s="88">
        <f t="shared" si="15"/>
        <v>3.0239040054014614E-2</v>
      </c>
      <c r="EM44" s="88">
        <f t="shared" si="16"/>
        <v>0.33511405663697841</v>
      </c>
      <c r="EN44" s="88">
        <f t="shared" si="17"/>
        <v>8.4381557011780448E-2</v>
      </c>
      <c r="EO44" s="88">
        <f t="shared" si="18"/>
        <v>0.37883647004514509</v>
      </c>
      <c r="EP44" s="88">
        <f t="shared" si="19"/>
        <v>1.2527010259686515</v>
      </c>
      <c r="ER44" s="316">
        <v>2018</v>
      </c>
      <c r="ES44" s="317">
        <f t="shared" si="35"/>
        <v>126444</v>
      </c>
      <c r="ET44" s="318">
        <v>15415</v>
      </c>
      <c r="EU44" s="318">
        <v>75451</v>
      </c>
      <c r="EV44" s="318">
        <v>35578</v>
      </c>
      <c r="EW44" s="88">
        <f t="shared" si="36"/>
        <v>0.12191167631520673</v>
      </c>
      <c r="EX44" s="88">
        <f t="shared" si="36"/>
        <v>0.59671475119420458</v>
      </c>
      <c r="EY44" s="88">
        <f t="shared" si="36"/>
        <v>0.2813735724905887</v>
      </c>
      <c r="EZ44" s="88">
        <f t="shared" si="41"/>
        <v>-1.1448482376952562E-3</v>
      </c>
      <c r="FA44" s="88">
        <f t="shared" si="41"/>
        <v>-2.7990839832929826E-3</v>
      </c>
      <c r="FB44" s="88">
        <f t="shared" si="41"/>
        <v>3.9439322209882111E-3</v>
      </c>
      <c r="FD44" s="316">
        <v>2018</v>
      </c>
      <c r="FE44" s="159">
        <v>7.6175510204081647E-4</v>
      </c>
      <c r="FF44" s="159">
        <v>0</v>
      </c>
      <c r="FG44" s="159">
        <v>6.9999999999999993E-3</v>
      </c>
      <c r="FH44" s="159">
        <v>6.9999999999999993E-3</v>
      </c>
      <c r="FI44" s="319">
        <f t="shared" si="45"/>
        <v>-6.2382448979591831E-3</v>
      </c>
      <c r="FK44" s="345">
        <f t="shared" si="42"/>
        <v>-4.2132902877758394E-3</v>
      </c>
      <c r="FL44" s="345">
        <f t="shared" si="43"/>
        <v>4.5336632317937164E-3</v>
      </c>
      <c r="FM44" s="345">
        <f t="shared" si="44"/>
        <v>-1.3900070451041656E-3</v>
      </c>
      <c r="FO44" s="316">
        <v>2018</v>
      </c>
      <c r="FP44" s="61">
        <v>182967.56891843522</v>
      </c>
      <c r="FQ44" s="61">
        <v>7673.9030530869059</v>
      </c>
      <c r="FR44" s="61">
        <v>149683.82619579177</v>
      </c>
      <c r="FS44" s="61">
        <v>47997.470870965437</v>
      </c>
      <c r="FT44" s="61">
        <v>50306.421033825078</v>
      </c>
      <c r="FU44" s="61">
        <v>149699.28775416251</v>
      </c>
      <c r="FV44" s="285">
        <f t="shared" si="38"/>
        <v>588328.47782626702</v>
      </c>
    </row>
    <row r="45" spans="1:178">
      <c r="A45" s="316">
        <v>2019</v>
      </c>
      <c r="I45" s="316">
        <v>2019</v>
      </c>
      <c r="Q45" s="316">
        <v>2019</v>
      </c>
      <c r="R45" s="75">
        <v>414491.5</v>
      </c>
      <c r="S45" s="75">
        <v>16878.099999999999</v>
      </c>
      <c r="T45" s="75">
        <v>189073.6</v>
      </c>
      <c r="U45" s="75">
        <v>48166.7</v>
      </c>
      <c r="V45" s="75">
        <v>212358.5</v>
      </c>
      <c r="W45" s="75">
        <v>717992.6</v>
      </c>
      <c r="Y45" s="316">
        <v>2019</v>
      </c>
      <c r="Z45" s="75">
        <v>392264</v>
      </c>
      <c r="AA45" s="75">
        <v>15902.7</v>
      </c>
      <c r="AB45" s="75">
        <v>180999.5</v>
      </c>
      <c r="AC45" s="75">
        <v>45387.9</v>
      </c>
      <c r="AD45" s="75">
        <v>205143</v>
      </c>
      <c r="AE45" s="75">
        <v>669795.30000000005</v>
      </c>
      <c r="AG45" s="316">
        <v>2019</v>
      </c>
      <c r="AH45" s="48">
        <f t="shared" si="46"/>
        <v>1.0566646442191994</v>
      </c>
      <c r="AI45" s="48">
        <f t="shared" si="46"/>
        <v>1.0613354964880177</v>
      </c>
      <c r="AJ45" s="48">
        <f t="shared" si="46"/>
        <v>1.0446084105204712</v>
      </c>
      <c r="AK45" s="48">
        <f t="shared" si="46"/>
        <v>1.0612233656987875</v>
      </c>
      <c r="AL45" s="48">
        <f t="shared" si="46"/>
        <v>1.0351730256455254</v>
      </c>
      <c r="AM45" s="48">
        <f t="shared" si="46"/>
        <v>1.0719582535141705</v>
      </c>
      <c r="AO45" s="316">
        <v>2019</v>
      </c>
      <c r="AP45" s="88" t="e">
        <f>#REF!</f>
        <v>#REF!</v>
      </c>
      <c r="AS45" s="316">
        <v>2019</v>
      </c>
      <c r="AT45" s="308">
        <f t="shared" si="39"/>
        <v>2.4899620153952418E-2</v>
      </c>
      <c r="AU45" s="308">
        <f t="shared" si="39"/>
        <v>2.7380318877098242E-2</v>
      </c>
      <c r="AV45" s="308">
        <f t="shared" si="39"/>
        <v>1.4694540258923139E-2</v>
      </c>
      <c r="AW45" s="308">
        <f t="shared" si="39"/>
        <v>2.7246877582001616E-2</v>
      </c>
      <c r="AX45" s="308">
        <f t="shared" si="39"/>
        <v>1.0420206991504033E-2</v>
      </c>
      <c r="AY45" s="308">
        <f t="shared" si="39"/>
        <v>3.1040656033510805E-2</v>
      </c>
      <c r="BA45" s="316">
        <v>2019</v>
      </c>
      <c r="BI45" s="316">
        <v>2019</v>
      </c>
      <c r="BQ45" s="316">
        <v>2019</v>
      </c>
      <c r="BR45" s="75">
        <v>21511.4</v>
      </c>
      <c r="BS45" s="75">
        <v>579.79999999999995</v>
      </c>
      <c r="BT45" s="75">
        <v>15757.3</v>
      </c>
      <c r="BU45" s="75">
        <v>3901.6</v>
      </c>
      <c r="BV45" s="75">
        <v>7234.1</v>
      </c>
      <c r="BW45" s="75">
        <v>16389.400000000001</v>
      </c>
      <c r="BY45" s="316">
        <v>2019</v>
      </c>
      <c r="BZ45" s="75">
        <v>20645.7</v>
      </c>
      <c r="CA45" s="75">
        <v>555.70000000000005</v>
      </c>
      <c r="CB45" s="75">
        <v>15149.7</v>
      </c>
      <c r="CC45" s="75">
        <v>3685.5</v>
      </c>
      <c r="CD45" s="75">
        <v>7024</v>
      </c>
      <c r="CE45" s="75">
        <v>15534.1</v>
      </c>
      <c r="CG45" s="316">
        <v>2019</v>
      </c>
      <c r="CH45" s="48">
        <f t="shared" si="47"/>
        <v>1.0419312496064557</v>
      </c>
      <c r="CI45" s="48">
        <f t="shared" si="47"/>
        <v>1.0433687241317255</v>
      </c>
      <c r="CJ45" s="48">
        <f t="shared" si="47"/>
        <v>1.0401064047472885</v>
      </c>
      <c r="CK45" s="48">
        <f t="shared" si="47"/>
        <v>1.0586351919685253</v>
      </c>
      <c r="CL45" s="48">
        <f t="shared" si="47"/>
        <v>1.0299117312072894</v>
      </c>
      <c r="CM45" s="48">
        <f t="shared" si="47"/>
        <v>1.0550595142299843</v>
      </c>
      <c r="CO45" s="316">
        <v>2019</v>
      </c>
      <c r="CP45" s="88" t="e">
        <f>#REF!</f>
        <v>#REF!</v>
      </c>
      <c r="CR45" s="45"/>
      <c r="CS45" s="316">
        <v>2019</v>
      </c>
      <c r="CT45" s="308">
        <f t="shared" si="40"/>
        <v>1.2462662299221217E-2</v>
      </c>
      <c r="CU45" s="308">
        <f t="shared" si="40"/>
        <v>1.7219132048223562E-2</v>
      </c>
      <c r="CV45" s="308">
        <f t="shared" si="40"/>
        <v>1.5768498371749207E-2</v>
      </c>
      <c r="CW45" s="308">
        <f t="shared" si="40"/>
        <v>2.1111124308338614E-2</v>
      </c>
      <c r="CX45" s="308">
        <f t="shared" si="40"/>
        <v>1.2935700271983208E-2</v>
      </c>
      <c r="CY45" s="308">
        <f t="shared" si="40"/>
        <v>2.1227885360557863E-2</v>
      </c>
      <c r="DA45" s="316">
        <v>2019</v>
      </c>
      <c r="DB45" s="46">
        <f t="shared" si="23"/>
        <v>21414.999999999989</v>
      </c>
      <c r="DC45" s="46">
        <f t="shared" si="24"/>
        <v>855.59999999999968</v>
      </c>
      <c r="DD45" s="46">
        <f t="shared" si="25"/>
        <v>14332.7</v>
      </c>
      <c r="DE45" s="46">
        <f t="shared" si="26"/>
        <v>3509.5999999999985</v>
      </c>
      <c r="DF45" s="46">
        <f t="shared" si="27"/>
        <v>6562.7000000000116</v>
      </c>
      <c r="DG45" s="46">
        <f t="shared" si="28"/>
        <v>12673.799999999954</v>
      </c>
      <c r="DI45" s="316">
        <v>2019</v>
      </c>
      <c r="DJ45" s="88">
        <f t="shared" si="29"/>
        <v>5.4486477354463325E-2</v>
      </c>
      <c r="DK45" s="88">
        <f t="shared" si="30"/>
        <v>5.280633972325427E-2</v>
      </c>
      <c r="DL45" s="88">
        <f t="shared" si="31"/>
        <v>7.9545460852191538E-2</v>
      </c>
      <c r="DM45" s="88">
        <f t="shared" si="32"/>
        <v>7.7625409183402605E-2</v>
      </c>
      <c r="DN45" s="88">
        <f t="shared" si="33"/>
        <v>3.2062954333484682E-2</v>
      </c>
      <c r="DO45" s="88">
        <f t="shared" si="34"/>
        <v>1.9003051271863004E-2</v>
      </c>
      <c r="DQ45" s="316">
        <v>2019</v>
      </c>
      <c r="DR45" s="61">
        <v>558491.19999999995</v>
      </c>
      <c r="DS45" s="61">
        <v>557.30650000000003</v>
      </c>
      <c r="DT45" s="61">
        <v>553106.9</v>
      </c>
      <c r="DU45" s="61">
        <v>550.62819999999999</v>
      </c>
      <c r="DV45" s="89">
        <v>-0.2</v>
      </c>
      <c r="DW45" s="46">
        <f t="shared" si="6"/>
        <v>559610.42084168328</v>
      </c>
      <c r="DX45" s="61">
        <v>562.36781029263375</v>
      </c>
      <c r="DY45" s="46">
        <f t="shared" si="7"/>
        <v>554215.33066132269</v>
      </c>
      <c r="DZ45" s="61">
        <v>555.62885973763878</v>
      </c>
      <c r="EB45" s="316">
        <v>2019</v>
      </c>
      <c r="EC45" s="88">
        <f t="shared" si="8"/>
        <v>3.851699006179507E-2</v>
      </c>
      <c r="ED45" s="88">
        <f t="shared" si="9"/>
        <v>1.0381542269600667E-3</v>
      </c>
      <c r="EE45" s="88">
        <f t="shared" si="10"/>
        <v>2.8214052432697239E-2</v>
      </c>
      <c r="EF45" s="88">
        <f t="shared" si="11"/>
        <v>6.9859650429586004E-3</v>
      </c>
      <c r="EG45" s="88">
        <f t="shared" si="12"/>
        <v>1.2952934620993135E-2</v>
      </c>
      <c r="EH45" s="88">
        <f t="shared" si="13"/>
        <v>2.9345851823627665E-2</v>
      </c>
      <c r="EI45" s="140"/>
      <c r="EJ45" s="316">
        <v>2019</v>
      </c>
      <c r="EK45" s="88">
        <f t="shared" si="14"/>
        <v>0.74067866602016297</v>
      </c>
      <c r="EL45" s="88">
        <f t="shared" si="15"/>
        <v>3.0160446216520514E-2</v>
      </c>
      <c r="EM45" s="88">
        <f t="shared" si="16"/>
        <v>0.33786647452994789</v>
      </c>
      <c r="EN45" s="88">
        <f t="shared" si="17"/>
        <v>8.6071842492773387E-2</v>
      </c>
      <c r="EO45" s="88">
        <f t="shared" si="18"/>
        <v>0.37947559961553562</v>
      </c>
      <c r="EP45" s="88">
        <f t="shared" si="19"/>
        <v>1.2830222119883001</v>
      </c>
      <c r="ER45" s="316">
        <v>2019</v>
      </c>
      <c r="ES45" s="317">
        <f t="shared" si="35"/>
        <v>126167</v>
      </c>
      <c r="ET45" s="318">
        <v>15210</v>
      </c>
      <c r="EU45" s="318">
        <v>75072</v>
      </c>
      <c r="EV45" s="318">
        <v>35885</v>
      </c>
      <c r="EW45" s="88">
        <f t="shared" si="36"/>
        <v>0.12055450315851213</v>
      </c>
      <c r="EX45" s="88">
        <f t="shared" si="36"/>
        <v>0.59502088501747685</v>
      </c>
      <c r="EY45" s="88">
        <f t="shared" si="36"/>
        <v>0.28442461182401102</v>
      </c>
      <c r="EZ45" s="88">
        <f t="shared" si="41"/>
        <v>-1.3571731566946049E-3</v>
      </c>
      <c r="FA45" s="88">
        <f t="shared" si="41"/>
        <v>-1.6938661767277319E-3</v>
      </c>
      <c r="FB45" s="88">
        <f t="shared" si="41"/>
        <v>3.0510393334223229E-3</v>
      </c>
      <c r="FD45" s="316">
        <v>2019</v>
      </c>
      <c r="FE45" s="159">
        <v>-9.4958506224066344E-4</v>
      </c>
      <c r="FF45" s="159">
        <v>-1E-3</v>
      </c>
      <c r="FG45" s="159">
        <v>6.9999999999999993E-3</v>
      </c>
      <c r="FH45" s="159">
        <v>6.9999999999999993E-3</v>
      </c>
      <c r="FI45" s="319">
        <f t="shared" si="45"/>
        <v>-7.9495850622406626E-3</v>
      </c>
      <c r="FK45" s="345">
        <f t="shared" si="42"/>
        <v>1.0874792935490873E-2</v>
      </c>
      <c r="FL45" s="345">
        <f t="shared" si="43"/>
        <v>1.0954719592634832E-2</v>
      </c>
      <c r="FM45" s="345">
        <f t="shared" si="44"/>
        <v>-9.2428571367084156E-5</v>
      </c>
      <c r="FO45" s="316">
        <v>2019</v>
      </c>
      <c r="FP45" s="61">
        <v>174440.6345081343</v>
      </c>
      <c r="FQ45" s="61">
        <v>6510.6686873951267</v>
      </c>
      <c r="FR45" s="61">
        <v>150126.10182525002</v>
      </c>
      <c r="FS45" s="61">
        <v>47761.132496565646</v>
      </c>
      <c r="FT45" s="61">
        <v>50764.635452699134</v>
      </c>
      <c r="FU45" s="61">
        <v>153667.14719482133</v>
      </c>
      <c r="FV45" s="285">
        <f t="shared" si="38"/>
        <v>583270.32016486558</v>
      </c>
    </row>
    <row r="46" spans="1:178">
      <c r="A46" s="316">
        <v>2020</v>
      </c>
      <c r="I46" s="316">
        <v>2020</v>
      </c>
      <c r="Q46" s="316">
        <v>2020</v>
      </c>
      <c r="R46" s="75">
        <v>409718.4</v>
      </c>
      <c r="S46" s="75">
        <v>16441.900000000001</v>
      </c>
      <c r="T46" s="75">
        <v>187890.6</v>
      </c>
      <c r="U46" s="75">
        <v>48187</v>
      </c>
      <c r="V46" s="75">
        <v>212032.9</v>
      </c>
      <c r="W46" s="75">
        <v>718087</v>
      </c>
      <c r="Y46" s="316">
        <v>2020</v>
      </c>
      <c r="Z46" s="75">
        <v>389929.7</v>
      </c>
      <c r="AA46" s="75">
        <v>15595.4</v>
      </c>
      <c r="AB46" s="75">
        <v>181090.8</v>
      </c>
      <c r="AC46" s="75">
        <v>45691.8</v>
      </c>
      <c r="AD46" s="75">
        <v>205698.1</v>
      </c>
      <c r="AE46" s="75">
        <v>673581.3</v>
      </c>
      <c r="AG46" s="316">
        <v>2020</v>
      </c>
      <c r="AH46" s="48">
        <f t="shared" si="46"/>
        <v>1.0507494043157011</v>
      </c>
      <c r="AI46" s="48">
        <f t="shared" si="46"/>
        <v>1.0542788258076101</v>
      </c>
      <c r="AJ46" s="48">
        <f t="shared" si="46"/>
        <v>1.0375491190054935</v>
      </c>
      <c r="AK46" s="48">
        <f t="shared" si="46"/>
        <v>1.0546093609794316</v>
      </c>
      <c r="AL46" s="48">
        <f t="shared" si="46"/>
        <v>1.0307965897594582</v>
      </c>
      <c r="AM46" s="48">
        <f t="shared" si="46"/>
        <v>1.0660732416413579</v>
      </c>
      <c r="AO46" s="316">
        <v>2020</v>
      </c>
      <c r="AP46" s="88" t="e">
        <f>#REF!</f>
        <v>#REF!</v>
      </c>
      <c r="AS46" s="316">
        <v>2020</v>
      </c>
      <c r="AT46" s="308">
        <f t="shared" si="39"/>
        <v>-5.5980295506804501E-3</v>
      </c>
      <c r="AU46" s="308">
        <f t="shared" si="39"/>
        <v>-6.6488595771632131E-3</v>
      </c>
      <c r="AV46" s="308">
        <f t="shared" si="39"/>
        <v>-6.7578352269443975E-3</v>
      </c>
      <c r="AW46" s="308">
        <f t="shared" si="39"/>
        <v>-6.2324341256854154E-3</v>
      </c>
      <c r="AX46" s="308">
        <f t="shared" si="39"/>
        <v>-4.2277337002073478E-3</v>
      </c>
      <c r="AY46" s="308">
        <f t="shared" si="39"/>
        <v>-5.4899636749099479E-3</v>
      </c>
      <c r="BA46" s="316">
        <v>2020</v>
      </c>
      <c r="BI46" s="316">
        <v>2020</v>
      </c>
      <c r="BQ46" s="316">
        <v>2020</v>
      </c>
      <c r="BR46" s="75">
        <v>20021.3</v>
      </c>
      <c r="BS46" s="75">
        <v>564.20000000000005</v>
      </c>
      <c r="BT46" s="75">
        <v>15025.3</v>
      </c>
      <c r="BU46" s="75">
        <v>4089.3</v>
      </c>
      <c r="BV46" s="75">
        <v>7292.9</v>
      </c>
      <c r="BW46" s="75">
        <v>17562.5</v>
      </c>
      <c r="BY46" s="316">
        <v>2020</v>
      </c>
      <c r="BZ46" s="75">
        <v>19015.900000000001</v>
      </c>
      <c r="CA46" s="75">
        <v>534.9</v>
      </c>
      <c r="CB46" s="75">
        <v>14502.2</v>
      </c>
      <c r="CC46" s="75">
        <v>3823.2</v>
      </c>
      <c r="CD46" s="75">
        <v>7136.7</v>
      </c>
      <c r="CE46" s="75">
        <v>16496.5</v>
      </c>
      <c r="CG46" s="316">
        <v>2020</v>
      </c>
      <c r="CH46" s="48">
        <f t="shared" si="47"/>
        <v>1.0528715443392107</v>
      </c>
      <c r="CI46" s="48">
        <f t="shared" si="47"/>
        <v>1.0547765937558424</v>
      </c>
      <c r="CJ46" s="48">
        <f t="shared" si="47"/>
        <v>1.036070389320241</v>
      </c>
      <c r="CK46" s="48">
        <f t="shared" si="47"/>
        <v>1.069601381042059</v>
      </c>
      <c r="CL46" s="48">
        <f t="shared" si="47"/>
        <v>1.0218868664789047</v>
      </c>
      <c r="CM46" s="48">
        <f t="shared" si="47"/>
        <v>1.0646197678295397</v>
      </c>
      <c r="CO46" s="316">
        <v>2020</v>
      </c>
      <c r="CP46" s="88" t="e">
        <f>#REF!</f>
        <v>#REF!</v>
      </c>
      <c r="CR46" s="45"/>
      <c r="CS46" s="316">
        <v>2020</v>
      </c>
      <c r="CT46" s="308">
        <f>CH46/CH45-1</f>
        <v>1.050001594336214E-2</v>
      </c>
      <c r="CU46" s="308">
        <f t="shared" ref="CU46:CY46" si="48">CI46/CI45-1</f>
        <v>1.0933689462093499E-2</v>
      </c>
      <c r="CV46" s="308">
        <f t="shared" si="48"/>
        <v>-3.880387053311285E-3</v>
      </c>
      <c r="CW46" s="308">
        <f t="shared" si="48"/>
        <v>1.0358798910833578E-2</v>
      </c>
      <c r="CX46" s="308">
        <f t="shared" si="48"/>
        <v>-7.7917985446944726E-3</v>
      </c>
      <c r="CY46" s="308">
        <f t="shared" si="48"/>
        <v>9.0613405884811815E-3</v>
      </c>
      <c r="DA46" s="316">
        <v>2020</v>
      </c>
      <c r="DB46" s="46">
        <f t="shared" si="23"/>
        <v>21350.19999999999</v>
      </c>
      <c r="DC46" s="46">
        <f t="shared" si="24"/>
        <v>842.20000000000107</v>
      </c>
      <c r="DD46" s="46">
        <f t="shared" si="25"/>
        <v>14410.900000000012</v>
      </c>
      <c r="DE46" s="46">
        <f t="shared" si="26"/>
        <v>3519.2999999999984</v>
      </c>
      <c r="DF46" s="46">
        <f t="shared" si="27"/>
        <v>6581.599999999994</v>
      </c>
      <c r="DG46" s="46">
        <f t="shared" si="28"/>
        <v>12710.5</v>
      </c>
      <c r="DI46" s="316">
        <v>2020</v>
      </c>
      <c r="DJ46" s="88">
        <f t="shared" si="29"/>
        <v>5.442814023208857E-2</v>
      </c>
      <c r="DK46" s="88">
        <f t="shared" si="30"/>
        <v>5.2959560326233973E-2</v>
      </c>
      <c r="DL46" s="88">
        <f t="shared" si="31"/>
        <v>7.9618451984674057E-2</v>
      </c>
      <c r="DM46" s="88">
        <f t="shared" si="32"/>
        <v>7.7538286635865469E-2</v>
      </c>
      <c r="DN46" s="88">
        <f t="shared" si="33"/>
        <v>3.2082986014633663E-2</v>
      </c>
      <c r="DO46" s="88">
        <f t="shared" si="34"/>
        <v>1.8976693327050816E-2</v>
      </c>
      <c r="DQ46" s="316">
        <v>2020</v>
      </c>
      <c r="DR46" s="61">
        <v>538155.4</v>
      </c>
      <c r="DS46" s="61">
        <v>535.50990000000002</v>
      </c>
      <c r="DT46" s="61">
        <v>528178.9</v>
      </c>
      <c r="DU46" s="61">
        <v>525.65830000000005</v>
      </c>
      <c r="DV46" s="89">
        <v>-5.4</v>
      </c>
      <c r="DW46" s="46">
        <f t="shared" si="6"/>
        <v>568874.63002114173</v>
      </c>
      <c r="DX46" s="61">
        <v>568.48184713375804</v>
      </c>
      <c r="DY46" s="46">
        <f t="shared" si="7"/>
        <v>558328.64693446096</v>
      </c>
      <c r="DZ46" s="61">
        <v>558.02367303609356</v>
      </c>
      <c r="EB46" s="316">
        <v>2020</v>
      </c>
      <c r="EC46" s="88">
        <f t="shared" si="8"/>
        <v>3.7203566107484938E-2</v>
      </c>
      <c r="ED46" s="88">
        <f t="shared" si="9"/>
        <v>1.0483960580902839E-3</v>
      </c>
      <c r="EE46" s="88">
        <f t="shared" si="10"/>
        <v>2.7920002289301565E-2</v>
      </c>
      <c r="EF46" s="88">
        <f t="shared" si="11"/>
        <v>7.5987344919329989E-3</v>
      </c>
      <c r="EG46" s="88">
        <f t="shared" si="12"/>
        <v>1.3551661843400623E-2</v>
      </c>
      <c r="EH46" s="88">
        <f t="shared" si="13"/>
        <v>3.2634625611858578E-2</v>
      </c>
      <c r="EJ46" s="316">
        <v>2020</v>
      </c>
      <c r="EK46" s="88">
        <f t="shared" si="14"/>
        <v>0.72022617704848813</v>
      </c>
      <c r="EL46" s="88">
        <f t="shared" si="15"/>
        <v>2.8902501768076655E-2</v>
      </c>
      <c r="EM46" s="88">
        <f t="shared" si="16"/>
        <v>0.33028472370620082</v>
      </c>
      <c r="EN46" s="88">
        <f t="shared" si="17"/>
        <v>8.4705834039758759E-2</v>
      </c>
      <c r="EO46" s="88">
        <f t="shared" si="18"/>
        <v>0.37272342412619097</v>
      </c>
      <c r="EP46" s="88">
        <f t="shared" si="19"/>
        <v>1.2622939433479621</v>
      </c>
      <c r="ER46" s="316">
        <v>2020</v>
      </c>
      <c r="ES46" s="317">
        <f>SUM(ET46:EV46)</f>
        <v>126146</v>
      </c>
      <c r="ET46" s="318">
        <v>15032</v>
      </c>
      <c r="EU46" s="318">
        <v>75087</v>
      </c>
      <c r="EV46" s="318">
        <v>36027</v>
      </c>
      <c r="EW46" s="88">
        <f t="shared" ref="EW46:EY61" si="49">ET46/$ES46</f>
        <v>0.11916350894994689</v>
      </c>
      <c r="EX46" s="88">
        <f t="shared" si="49"/>
        <v>0.59523885022117229</v>
      </c>
      <c r="EY46" s="88">
        <f t="shared" si="49"/>
        <v>0.28559764082888084</v>
      </c>
      <c r="EZ46" s="88">
        <f t="shared" ref="EZ46:FB61" si="50">EW46-EW45</f>
        <v>-1.390994208565241E-3</v>
      </c>
      <c r="FA46" s="88">
        <f t="shared" si="50"/>
        <v>2.1796520369543604E-4</v>
      </c>
      <c r="FB46" s="88">
        <f t="shared" si="50"/>
        <v>1.1730290048698189E-3</v>
      </c>
      <c r="FD46" s="316">
        <v>2020</v>
      </c>
      <c r="FE46" s="159">
        <v>1.0518518518518499E-4</v>
      </c>
      <c r="FF46" s="159">
        <v>0</v>
      </c>
      <c r="FG46" s="159">
        <v>6.0000000000000001E-3</v>
      </c>
      <c r="FH46" s="159">
        <v>5.0000000000000001E-3</v>
      </c>
      <c r="FI46" s="319">
        <f t="shared" si="45"/>
        <v>-5.8948148148148154E-3</v>
      </c>
      <c r="FK46" s="345">
        <f t="shared" si="42"/>
        <v>-1.090356376785917E-2</v>
      </c>
      <c r="FL46" s="345">
        <f t="shared" si="43"/>
        <v>1.9010546571585629E-3</v>
      </c>
      <c r="FM46" s="345">
        <f t="shared" si="44"/>
        <v>5.9407948311005973E-4</v>
      </c>
      <c r="FO46" s="316">
        <v>2020</v>
      </c>
      <c r="FP46" s="61">
        <v>159976.95678144213</v>
      </c>
      <c r="FQ46" s="61">
        <v>6440.6826029201129</v>
      </c>
      <c r="FR46" s="61">
        <v>136901.25910171188</v>
      </c>
      <c r="FS46" s="61">
        <v>49539.440422019507</v>
      </c>
      <c r="FT46" s="61">
        <v>50646.256352396464</v>
      </c>
      <c r="FU46" s="61">
        <v>162156.55899855541</v>
      </c>
      <c r="FV46" s="285">
        <f t="shared" si="38"/>
        <v>565661.15425904549</v>
      </c>
    </row>
    <row r="47" spans="1:178">
      <c r="Q47" s="316">
        <v>2021</v>
      </c>
      <c r="R47" s="46" t="e">
        <f>DW47*EK47</f>
        <v>#REF!</v>
      </c>
      <c r="S47" s="46" t="e">
        <f>AA47*AI47</f>
        <v>#REF!</v>
      </c>
      <c r="T47" s="46">
        <f>DW47*EM47</f>
        <v>190165.68846402108</v>
      </c>
      <c r="U47" s="46" t="e">
        <f>AC47*AK47</f>
        <v>#REF!</v>
      </c>
      <c r="V47" s="46" t="e">
        <f>AD47*AL47</f>
        <v>#REF!</v>
      </c>
      <c r="W47" s="46" t="e">
        <f>AE47*AM47</f>
        <v>#REF!</v>
      </c>
      <c r="Y47" s="316">
        <v>2021</v>
      </c>
      <c r="Z47" s="46" t="e">
        <f>R47/AH47</f>
        <v>#REF!</v>
      </c>
      <c r="AA47" s="46" t="e">
        <f>AA46*(1-DK47)+CA47</f>
        <v>#REF!</v>
      </c>
      <c r="AB47" s="46" t="e">
        <f>T47/AJ47</f>
        <v>#REF!</v>
      </c>
      <c r="AC47" s="46" t="e">
        <f>AC46*(1-DM47)+CC47</f>
        <v>#REF!</v>
      </c>
      <c r="AD47" s="46" t="e">
        <f>AD46*(1-DN47)+CD47</f>
        <v>#REF!</v>
      </c>
      <c r="AE47" s="46" t="e">
        <f>AE46*(1-DO47)+CE47</f>
        <v>#REF!</v>
      </c>
      <c r="AG47" s="316">
        <v>2021</v>
      </c>
      <c r="AH47" s="48" t="e">
        <f>(AT47+1)*AH46</f>
        <v>#REF!</v>
      </c>
      <c r="AI47" s="48" t="e">
        <f t="shared" ref="AI47:AM66" si="51">(AU47+1)*AI46</f>
        <v>#REF!</v>
      </c>
      <c r="AJ47" s="48" t="e">
        <f t="shared" si="51"/>
        <v>#REF!</v>
      </c>
      <c r="AK47" s="48" t="e">
        <f t="shared" si="51"/>
        <v>#REF!</v>
      </c>
      <c r="AL47" s="48" t="e">
        <f t="shared" si="51"/>
        <v>#REF!</v>
      </c>
      <c r="AM47" s="48" t="e">
        <f t="shared" si="51"/>
        <v>#REF!</v>
      </c>
      <c r="AO47" s="316">
        <v>2021</v>
      </c>
      <c r="AP47" s="88" t="e">
        <f>#REF!</f>
        <v>#REF!</v>
      </c>
      <c r="AQ47" s="62">
        <v>6.5000000000000002E-2</v>
      </c>
      <c r="AR47" s="44"/>
      <c r="AS47" s="316">
        <v>2021</v>
      </c>
      <c r="AT47" s="345" t="e">
        <f>AP47</f>
        <v>#REF!</v>
      </c>
      <c r="AU47" s="345" t="e">
        <f>AT47</f>
        <v>#REF!</v>
      </c>
      <c r="AV47" s="345" t="e">
        <f t="shared" ref="AV47:AY47" si="52">AU47</f>
        <v>#REF!</v>
      </c>
      <c r="AW47" s="345" t="e">
        <f t="shared" si="52"/>
        <v>#REF!</v>
      </c>
      <c r="AX47" s="345" t="e">
        <f t="shared" si="52"/>
        <v>#REF!</v>
      </c>
      <c r="AY47" s="345" t="e">
        <f t="shared" si="52"/>
        <v>#REF!</v>
      </c>
      <c r="BQ47" s="316">
        <v>2021</v>
      </c>
      <c r="BR47" s="346" t="e">
        <f>BZ47*CH47</f>
        <v>#REF!</v>
      </c>
      <c r="BS47" s="313">
        <f>AVERAGE(BS42:BS46)</f>
        <v>651.86</v>
      </c>
      <c r="BT47" s="346" t="e">
        <f>CB47*CJ47</f>
        <v>#REF!</v>
      </c>
      <c r="BU47" s="313">
        <f>AVERAGE(BU42:BU46)</f>
        <v>3952.1800000000003</v>
      </c>
      <c r="BV47" s="346">
        <f>DR47*EG47</f>
        <v>6874.0522288391521</v>
      </c>
      <c r="BW47" s="313">
        <f>AVERAGE(BW42:BW46)</f>
        <v>15853.52</v>
      </c>
      <c r="BY47" s="316">
        <v>2021</v>
      </c>
      <c r="BZ47" s="46" t="e">
        <f>Z47-Z46*(1-DJ47)</f>
        <v>#REF!</v>
      </c>
      <c r="CA47" s="46" t="e">
        <f>BS47/CI47</f>
        <v>#REF!</v>
      </c>
      <c r="CB47" s="46" t="e">
        <f>AB47-AB46*(1-DL47)</f>
        <v>#REF!</v>
      </c>
      <c r="CC47" s="46" t="e">
        <f>BU47/CK47</f>
        <v>#REF!</v>
      </c>
      <c r="CD47" s="46" t="e">
        <f>BV47/CL47</f>
        <v>#REF!</v>
      </c>
      <c r="CE47" s="46" t="e">
        <f>BW47/CM47</f>
        <v>#REF!</v>
      </c>
      <c r="CG47" s="316">
        <v>2021</v>
      </c>
      <c r="CH47" s="48" t="e">
        <f>(CT47+1)*CH46</f>
        <v>#REF!</v>
      </c>
      <c r="CI47" s="48" t="e">
        <f t="shared" ref="CI47:CM62" si="53">(CU47+1)*CI46</f>
        <v>#REF!</v>
      </c>
      <c r="CJ47" s="48" t="e">
        <f t="shared" si="53"/>
        <v>#REF!</v>
      </c>
      <c r="CK47" s="48" t="e">
        <f t="shared" si="53"/>
        <v>#REF!</v>
      </c>
      <c r="CL47" s="48" t="e">
        <f t="shared" si="53"/>
        <v>#REF!</v>
      </c>
      <c r="CM47" s="48" t="e">
        <f t="shared" si="53"/>
        <v>#REF!</v>
      </c>
      <c r="CO47" s="316">
        <v>2021</v>
      </c>
      <c r="CP47" s="88" t="e">
        <f>#REF!</f>
        <v>#REF!</v>
      </c>
      <c r="CQ47" s="62">
        <v>6.5000000000000002E-2</v>
      </c>
      <c r="CR47" s="45"/>
      <c r="CS47" s="316">
        <v>2021</v>
      </c>
      <c r="CT47" s="345" t="e">
        <f>CP47</f>
        <v>#REF!</v>
      </c>
      <c r="CU47" s="345" t="e">
        <f>CT47</f>
        <v>#REF!</v>
      </c>
      <c r="CV47" s="345" t="e">
        <f t="shared" ref="CV47:CY47" si="54">CU47</f>
        <v>#REF!</v>
      </c>
      <c r="CW47" s="345" t="e">
        <f t="shared" si="54"/>
        <v>#REF!</v>
      </c>
      <c r="CX47" s="345" t="e">
        <f t="shared" si="54"/>
        <v>#REF!</v>
      </c>
      <c r="CY47" s="345" t="e">
        <f t="shared" si="54"/>
        <v>#REF!</v>
      </c>
      <c r="DA47" s="316">
        <v>2021</v>
      </c>
      <c r="DI47" s="316">
        <v>2021</v>
      </c>
      <c r="DJ47" s="342">
        <f>AVERAGE(DJ42:DJ46)</f>
        <v>5.475613402610726E-2</v>
      </c>
      <c r="DK47" s="342">
        <f t="shared" ref="DK47:DO62" si="55">AVERAGE(DK42:DK46)</f>
        <v>5.2886778090110012E-2</v>
      </c>
      <c r="DL47" s="342">
        <f t="shared" si="55"/>
        <v>7.9332382181603933E-2</v>
      </c>
      <c r="DM47" s="342">
        <f t="shared" si="55"/>
        <v>7.8397457889894467E-2</v>
      </c>
      <c r="DN47" s="342">
        <f t="shared" si="55"/>
        <v>3.0212897124007876E-2</v>
      </c>
      <c r="DO47" s="342">
        <f t="shared" si="55"/>
        <v>1.9684330097015108E-2</v>
      </c>
      <c r="DQ47" s="316">
        <v>2021</v>
      </c>
      <c r="DR47" s="46">
        <f>(DS46/4+DS47*3/4)*1000</f>
        <v>542552.47499999998</v>
      </c>
      <c r="DS47" s="61">
        <v>544.9</v>
      </c>
      <c r="DT47" s="46">
        <f>(DU46/4+DU47*3/4)*1000</f>
        <v>535908.63685000013</v>
      </c>
      <c r="DU47" s="61">
        <v>539.32541580000009</v>
      </c>
      <c r="DW47" s="46">
        <f>(DX46/4+DX47*3/4)*1000</f>
        <v>567501.16850424011</v>
      </c>
      <c r="DX47" s="61">
        <v>567.17427562773412</v>
      </c>
      <c r="DY47" s="46">
        <f>(DZ46/4+DZ47*3/4)*1000</f>
        <v>560534.77956475597</v>
      </c>
      <c r="DZ47" s="61">
        <v>561.37181507431012</v>
      </c>
      <c r="EB47" s="316">
        <v>2021</v>
      </c>
      <c r="EC47" s="88" t="e">
        <f t="shared" ref="EC47:EF66" si="56">BR47/$DR47</f>
        <v>#REF!</v>
      </c>
      <c r="ED47" s="88">
        <f t="shared" si="56"/>
        <v>1.2014690376262684E-3</v>
      </c>
      <c r="EE47" s="88" t="e">
        <f t="shared" si="56"/>
        <v>#REF!</v>
      </c>
      <c r="EF47" s="88">
        <f t="shared" si="56"/>
        <v>7.2844198157975418E-3</v>
      </c>
      <c r="EG47" s="302">
        <f>-0.000337487976634 - 0.336351055557*FM46 -0.575414155043*(EG46-EG45)+EG46</f>
        <v>1.266983848675495E-2</v>
      </c>
      <c r="EH47" s="88">
        <f t="shared" ref="EH47:EH66" si="57">BW47/$DR47</f>
        <v>2.9220251921254256E-2</v>
      </c>
      <c r="EJ47" s="316">
        <v>2021</v>
      </c>
      <c r="EK47" s="302" t="e">
        <f>0.00310101035706 + 8.00320485051*((EW47-EW46)-(EW46-EW45)) - 0.508660861996*FK46+ 1.12119985655*(FE47-FE46)+EK46+EL46-EL47</f>
        <v>#REF!</v>
      </c>
      <c r="EL47" s="88" t="e">
        <f t="shared" ref="EL47:EL66" si="58">S47/$DW47</f>
        <v>#REF!</v>
      </c>
      <c r="EM47" s="302">
        <f>-0.00084172706378 + 4.18246738319*((EW47-EW46)-(EW46-EW45))  - 0.587575259043*FL46 + 0.69918699035*(FE47-FE46)+EM46</f>
        <v>0.33509303419628156</v>
      </c>
      <c r="EN47" s="88" t="e">
        <f t="shared" ref="EN47:EP66" si="59">U47/$DW47</f>
        <v>#REF!</v>
      </c>
      <c r="EO47" s="88" t="e">
        <f t="shared" si="59"/>
        <v>#REF!</v>
      </c>
      <c r="EP47" s="88" t="e">
        <f t="shared" si="59"/>
        <v>#REF!</v>
      </c>
      <c r="ER47" s="316">
        <v>2021</v>
      </c>
      <c r="ES47" s="317">
        <f t="shared" ref="ES47:ES66" si="60">SUM(ET47:EV47)</f>
        <v>122849</v>
      </c>
      <c r="ET47" s="61">
        <v>14667</v>
      </c>
      <c r="EU47" s="61">
        <v>72033</v>
      </c>
      <c r="EV47" s="61">
        <v>36149</v>
      </c>
      <c r="EW47" s="88">
        <f t="shared" si="49"/>
        <v>0.11939047122890703</v>
      </c>
      <c r="EX47" s="88">
        <f t="shared" si="49"/>
        <v>0.58635397927537058</v>
      </c>
      <c r="EY47" s="88">
        <f t="shared" si="49"/>
        <v>0.29425554949572241</v>
      </c>
      <c r="EZ47" s="88">
        <f t="shared" si="50"/>
        <v>2.2696227896014387E-4</v>
      </c>
      <c r="FA47" s="88">
        <f t="shared" si="50"/>
        <v>-8.8848709458017039E-3</v>
      </c>
      <c r="FB47" s="88">
        <f t="shared" si="50"/>
        <v>8.6579086668415739E-3</v>
      </c>
      <c r="FD47" s="316">
        <v>2021</v>
      </c>
      <c r="FE47" s="308">
        <f>FE46</f>
        <v>1.0518518518518499E-4</v>
      </c>
      <c r="FF47" s="159">
        <v>0</v>
      </c>
      <c r="FG47" s="308">
        <f>(FH46/4+FH47*3/4)</f>
        <v>5.7500000000000008E-3</v>
      </c>
      <c r="FH47" s="159">
        <v>6.0000000000000001E-3</v>
      </c>
      <c r="FI47" s="319">
        <f>FE47-FG47</f>
        <v>-5.644814814814816E-3</v>
      </c>
      <c r="FK47" s="345" t="e">
        <f t="shared" ref="FK47:FK65" si="61">SUM(EK47:EL47)-(24.0959475629*(EW47-EW46)+0.793461523015+0.837029275127*FE47)</f>
        <v>#REF!</v>
      </c>
      <c r="FL47" s="345">
        <f t="shared" ref="FL47:FL66" si="62">EM47-(4.79228258068*(EW47-EW46) + 0.334886759052 + 1.54914698576*FE47)</f>
        <v>-1.04433954422678E-3</v>
      </c>
      <c r="FM47" s="345">
        <f t="shared" ref="FM47:FM66" si="63">EG47-(-1.26996838471*(EW47-EW46) + 0.0104066687 + 0.130732498683*(FE47-FI47))</f>
        <v>1.7996928381288149E-3</v>
      </c>
      <c r="FO47" s="316">
        <v>2021</v>
      </c>
      <c r="FP47" s="46" t="e">
        <f t="shared" ref="FP47:FP66" si="64">BZ47/BZ$44*FP$44</f>
        <v>#REF!</v>
      </c>
      <c r="FQ47" s="46" t="e">
        <f t="shared" ref="FQ47:FQ66" si="65">CA47/CA$44*FQ$44</f>
        <v>#REF!</v>
      </c>
      <c r="FR47" s="46" t="e">
        <f t="shared" ref="FR47:FR66" si="66">CB47/CB$44*FR$44</f>
        <v>#REF!</v>
      </c>
      <c r="FS47" s="46" t="e">
        <f t="shared" ref="FS47:FS66" si="67">CC47/CC$44*FS$44</f>
        <v>#REF!</v>
      </c>
      <c r="FT47" s="46" t="e">
        <f t="shared" ref="FT47:FT66" si="68">CD47/CD$44*FT$44</f>
        <v>#REF!</v>
      </c>
      <c r="FU47" s="46" t="e">
        <f t="shared" ref="FU47:FU66" si="69">CE47/CE$44*FU$44</f>
        <v>#REF!</v>
      </c>
      <c r="FV47" s="285" t="e">
        <f t="shared" si="38"/>
        <v>#REF!</v>
      </c>
    </row>
    <row r="48" spans="1:178">
      <c r="Q48" s="316">
        <v>2022</v>
      </c>
      <c r="R48" s="46" t="e">
        <f t="shared" ref="R48:R66" si="70">DW48*EK48</f>
        <v>#REF!</v>
      </c>
      <c r="S48" s="46" t="e">
        <f t="shared" ref="S48:W66" si="71">AA48*AI48</f>
        <v>#REF!</v>
      </c>
      <c r="T48" s="46">
        <f t="shared" ref="T48:T66" si="72">DW48*EM48</f>
        <v>188652.90532695336</v>
      </c>
      <c r="U48" s="46" t="e">
        <f t="shared" si="71"/>
        <v>#REF!</v>
      </c>
      <c r="V48" s="46" t="e">
        <f t="shared" si="71"/>
        <v>#REF!</v>
      </c>
      <c r="W48" s="46" t="e">
        <f t="shared" si="71"/>
        <v>#REF!</v>
      </c>
      <c r="Y48" s="316">
        <v>2022</v>
      </c>
      <c r="Z48" s="46" t="e">
        <f t="shared" ref="Z48:AB66" si="73">R48/AH48</f>
        <v>#REF!</v>
      </c>
      <c r="AA48" s="46" t="e">
        <f t="shared" ref="AA48:AE66" si="74">AA47*(1-DK48)+CA48</f>
        <v>#REF!</v>
      </c>
      <c r="AB48" s="46" t="e">
        <f t="shared" si="73"/>
        <v>#REF!</v>
      </c>
      <c r="AC48" s="46" t="e">
        <f t="shared" si="74"/>
        <v>#REF!</v>
      </c>
      <c r="AD48" s="46" t="e">
        <f t="shared" si="74"/>
        <v>#REF!</v>
      </c>
      <c r="AE48" s="46" t="e">
        <f t="shared" si="74"/>
        <v>#REF!</v>
      </c>
      <c r="AG48" s="316">
        <v>2022</v>
      </c>
      <c r="AH48" s="48" t="e">
        <f t="shared" ref="AH48:AH65" si="75">(AT48+1)*AH47</f>
        <v>#REF!</v>
      </c>
      <c r="AI48" s="48" t="e">
        <f t="shared" si="51"/>
        <v>#REF!</v>
      </c>
      <c r="AJ48" s="48" t="e">
        <f t="shared" si="51"/>
        <v>#REF!</v>
      </c>
      <c r="AK48" s="48" t="e">
        <f t="shared" si="51"/>
        <v>#REF!</v>
      </c>
      <c r="AL48" s="48" t="e">
        <f t="shared" si="51"/>
        <v>#REF!</v>
      </c>
      <c r="AM48" s="48" t="e">
        <f t="shared" si="51"/>
        <v>#REF!</v>
      </c>
      <c r="AO48" s="316">
        <v>2022</v>
      </c>
      <c r="AP48" s="302">
        <f>(AQ47/4+AQ48*3/4)</f>
        <v>3.125E-2</v>
      </c>
      <c r="AQ48" s="62">
        <v>0.02</v>
      </c>
      <c r="AR48" s="44"/>
      <c r="AS48" s="316">
        <v>2022</v>
      </c>
      <c r="AT48" s="345">
        <f t="shared" ref="AT48:AT66" si="76">AP48</f>
        <v>3.125E-2</v>
      </c>
      <c r="AU48" s="345">
        <f t="shared" ref="AU48:AY63" si="77">AT48</f>
        <v>3.125E-2</v>
      </c>
      <c r="AV48" s="345">
        <f t="shared" si="77"/>
        <v>3.125E-2</v>
      </c>
      <c r="AW48" s="345">
        <f t="shared" si="77"/>
        <v>3.125E-2</v>
      </c>
      <c r="AX48" s="345">
        <f t="shared" si="77"/>
        <v>3.125E-2</v>
      </c>
      <c r="AY48" s="345">
        <f t="shared" si="77"/>
        <v>3.125E-2</v>
      </c>
      <c r="BQ48" s="316">
        <v>2022</v>
      </c>
      <c r="BR48" s="346" t="e">
        <f t="shared" ref="BR48:BT66" si="78">BZ48*CH48</f>
        <v>#REF!</v>
      </c>
      <c r="BS48" s="300">
        <f>BS47</f>
        <v>651.86</v>
      </c>
      <c r="BT48" s="346" t="e">
        <f t="shared" si="78"/>
        <v>#REF!</v>
      </c>
      <c r="BU48" s="300">
        <f>BU47</f>
        <v>3952.1800000000003</v>
      </c>
      <c r="BV48" s="346">
        <f t="shared" ref="BV48:BV66" si="79">DR48*EG48</f>
        <v>6847.3077254007167</v>
      </c>
      <c r="BW48" s="300">
        <f>BW47</f>
        <v>15853.52</v>
      </c>
      <c r="BY48" s="316">
        <v>2022</v>
      </c>
      <c r="BZ48" s="46" t="e">
        <f t="shared" ref="BZ48:CB66" si="80">Z48-Z47*(1-DJ48)</f>
        <v>#REF!</v>
      </c>
      <c r="CA48" s="46" t="e">
        <f t="shared" ref="CA48:CE66" si="81">BS48/CI48</f>
        <v>#REF!</v>
      </c>
      <c r="CB48" s="46" t="e">
        <f t="shared" si="80"/>
        <v>#REF!</v>
      </c>
      <c r="CC48" s="46" t="e">
        <f t="shared" si="81"/>
        <v>#REF!</v>
      </c>
      <c r="CD48" s="46" t="e">
        <f t="shared" si="81"/>
        <v>#REF!</v>
      </c>
      <c r="CE48" s="46" t="e">
        <f t="shared" si="81"/>
        <v>#REF!</v>
      </c>
      <c r="CG48" s="316">
        <v>2022</v>
      </c>
      <c r="CH48" s="48" t="e">
        <f t="shared" ref="CH48:CM65" si="82">(CT48+1)*CH47</f>
        <v>#REF!</v>
      </c>
      <c r="CI48" s="48" t="e">
        <f t="shared" si="53"/>
        <v>#REF!</v>
      </c>
      <c r="CJ48" s="48" t="e">
        <f t="shared" si="53"/>
        <v>#REF!</v>
      </c>
      <c r="CK48" s="48" t="e">
        <f t="shared" si="53"/>
        <v>#REF!</v>
      </c>
      <c r="CL48" s="48" t="e">
        <f t="shared" si="53"/>
        <v>#REF!</v>
      </c>
      <c r="CM48" s="48" t="e">
        <f t="shared" si="53"/>
        <v>#REF!</v>
      </c>
      <c r="CO48" s="316">
        <v>2022</v>
      </c>
      <c r="CP48" s="302">
        <f>(CQ47/4+CQ48*3/4)</f>
        <v>3.125E-2</v>
      </c>
      <c r="CQ48" s="62">
        <v>0.02</v>
      </c>
      <c r="CR48" s="45"/>
      <c r="CS48" s="316">
        <v>2022</v>
      </c>
      <c r="CT48" s="345">
        <f t="shared" ref="CT48:CT66" si="83">CP48</f>
        <v>3.125E-2</v>
      </c>
      <c r="CU48" s="345">
        <f t="shared" ref="CU48:CY63" si="84">CT48</f>
        <v>3.125E-2</v>
      </c>
      <c r="CV48" s="345">
        <f t="shared" si="84"/>
        <v>3.125E-2</v>
      </c>
      <c r="CW48" s="345">
        <f t="shared" si="84"/>
        <v>3.125E-2</v>
      </c>
      <c r="CX48" s="345">
        <f t="shared" si="84"/>
        <v>3.125E-2</v>
      </c>
      <c r="CY48" s="345">
        <f t="shared" si="84"/>
        <v>3.125E-2</v>
      </c>
      <c r="DA48" s="316">
        <v>2022</v>
      </c>
      <c r="DI48" s="316">
        <v>2022</v>
      </c>
      <c r="DJ48" s="342">
        <f t="shared" ref="DJ48:DO63" si="85">AVERAGE(DJ43:DJ47)</f>
        <v>5.4579536271041361E-2</v>
      </c>
      <c r="DK48" s="342">
        <f t="shared" si="55"/>
        <v>5.2808205018495799E-2</v>
      </c>
      <c r="DL48" s="342">
        <f t="shared" si="55"/>
        <v>7.942805553110828E-2</v>
      </c>
      <c r="DM48" s="342">
        <f t="shared" si="55"/>
        <v>7.8059528708134707E-2</v>
      </c>
      <c r="DN48" s="342">
        <f t="shared" si="55"/>
        <v>3.0751991099894266E-2</v>
      </c>
      <c r="DO48" s="342">
        <f t="shared" si="55"/>
        <v>1.94489684523028E-2</v>
      </c>
      <c r="DQ48" s="316">
        <v>2022</v>
      </c>
      <c r="DR48" s="46">
        <f t="shared" ref="DR48:DT63" si="86">(DS47/4+DS48*3/4)*1000</f>
        <v>559675.00000000012</v>
      </c>
      <c r="DS48" s="61">
        <v>564.6</v>
      </c>
      <c r="DT48" s="46">
        <f t="shared" si="86"/>
        <v>552269.22577920009</v>
      </c>
      <c r="DU48" s="61">
        <v>556.5838291056001</v>
      </c>
      <c r="DW48" s="46">
        <f t="shared" ref="DW48:DW66" si="87">(DX47/4+DX48*3/4)*1000</f>
        <v>573157.20451589546</v>
      </c>
      <c r="DX48" s="61">
        <v>575.15151414528259</v>
      </c>
      <c r="DY48" s="46">
        <f t="shared" ref="DY48:DY66" si="88">(DZ47/4+DZ48*3/4)*1000</f>
        <v>565582.10368736752</v>
      </c>
      <c r="DZ48" s="61">
        <v>566.98553322505325</v>
      </c>
      <c r="EB48" s="316">
        <v>2022</v>
      </c>
      <c r="EC48" s="88" t="e">
        <f t="shared" si="56"/>
        <v>#REF!</v>
      </c>
      <c r="ED48" s="88">
        <f t="shared" si="56"/>
        <v>1.164711663018716E-3</v>
      </c>
      <c r="EE48" s="88" t="e">
        <f t="shared" si="56"/>
        <v>#REF!</v>
      </c>
      <c r="EF48" s="88">
        <f t="shared" si="56"/>
        <v>7.0615625139589929E-3</v>
      </c>
      <c r="EG48" s="302">
        <f t="shared" ref="EG48:EG66" si="89">-0.000337487976634 - 0.336351055557*FM47 -0.575414155043*(EG47-EG46)+EG47</f>
        <v>1.2234435565999402E-2</v>
      </c>
      <c r="EH48" s="88">
        <f t="shared" si="57"/>
        <v>2.8326296511368199E-2</v>
      </c>
      <c r="EJ48" s="316">
        <v>2022</v>
      </c>
      <c r="EK48" s="302" t="e">
        <f t="shared" ref="EK48:EK66" si="90">0.00310101035706 + 8.00320485051*((EW48-EW47)-(EW47-EW46)) - 0.508660861996*FK47+ 1.12119985655*(FE48-FE47)+EK47+EL47-EL48</f>
        <v>#REF!</v>
      </c>
      <c r="EL48" s="88" t="e">
        <f t="shared" si="58"/>
        <v>#REF!</v>
      </c>
      <c r="EM48" s="302">
        <f t="shared" ref="EM48:EM66" si="91">-0.00084172706378 + 4.18246738319*((EW48-EW47)-(EW47-EW46))  - 0.587575259043*FL47 + 0.69918699035*(FE48-FE47)+EM47</f>
        <v>0.329146879495818</v>
      </c>
      <c r="EN48" s="88" t="e">
        <f t="shared" si="59"/>
        <v>#REF!</v>
      </c>
      <c r="EO48" s="88" t="e">
        <f t="shared" si="59"/>
        <v>#REF!</v>
      </c>
      <c r="EP48" s="88" t="e">
        <f t="shared" si="59"/>
        <v>#REF!</v>
      </c>
      <c r="ER48" s="316">
        <v>2022</v>
      </c>
      <c r="ES48" s="317">
        <f t="shared" si="60"/>
        <v>124310.239</v>
      </c>
      <c r="ET48" s="61">
        <v>14701.906999999999</v>
      </c>
      <c r="EU48" s="61">
        <v>73129.793999999994</v>
      </c>
      <c r="EV48" s="61">
        <v>36478.538</v>
      </c>
      <c r="EW48" s="88">
        <f t="shared" si="49"/>
        <v>0.11826786850598847</v>
      </c>
      <c r="EX48" s="88">
        <f t="shared" si="49"/>
        <v>0.58828455795986356</v>
      </c>
      <c r="EY48" s="88">
        <f t="shared" si="49"/>
        <v>0.29344757353414791</v>
      </c>
      <c r="EZ48" s="88">
        <f t="shared" si="50"/>
        <v>-1.1226027229185587E-3</v>
      </c>
      <c r="FA48" s="88">
        <f t="shared" si="50"/>
        <v>1.9305786844929784E-3</v>
      </c>
      <c r="FB48" s="88">
        <f t="shared" si="50"/>
        <v>-8.0797596157450302E-4</v>
      </c>
      <c r="FD48" s="316">
        <v>2022</v>
      </c>
      <c r="FE48" s="308">
        <f t="shared" ref="FE48:FG63" si="92">(FF47/4+FF48*3/4)</f>
        <v>0</v>
      </c>
      <c r="FF48" s="159">
        <v>0</v>
      </c>
      <c r="FG48" s="308">
        <f t="shared" si="92"/>
        <v>8.9999999999999993E-3</v>
      </c>
      <c r="FH48" s="159">
        <v>0.01</v>
      </c>
      <c r="FI48" s="319">
        <f t="shared" si="45"/>
        <v>-8.9999999999999993E-3</v>
      </c>
      <c r="FK48" s="345" t="e">
        <f t="shared" si="61"/>
        <v>#REF!</v>
      </c>
      <c r="FL48" s="345">
        <f t="shared" si="62"/>
        <v>-3.6005008211542622E-4</v>
      </c>
      <c r="FM48" s="345">
        <f t="shared" si="63"/>
        <v>-7.7449558884352607E-4</v>
      </c>
      <c r="FO48" s="316">
        <v>2022</v>
      </c>
      <c r="FP48" s="46" t="e">
        <f t="shared" si="64"/>
        <v>#REF!</v>
      </c>
      <c r="FQ48" s="46" t="e">
        <f t="shared" si="65"/>
        <v>#REF!</v>
      </c>
      <c r="FR48" s="46" t="e">
        <f t="shared" si="66"/>
        <v>#REF!</v>
      </c>
      <c r="FS48" s="46" t="e">
        <f t="shared" si="67"/>
        <v>#REF!</v>
      </c>
      <c r="FT48" s="46" t="e">
        <f t="shared" si="68"/>
        <v>#REF!</v>
      </c>
      <c r="FU48" s="46" t="e">
        <f t="shared" si="69"/>
        <v>#REF!</v>
      </c>
      <c r="FV48" s="285" t="e">
        <f t="shared" si="38"/>
        <v>#REF!</v>
      </c>
    </row>
    <row r="49" spans="17:178">
      <c r="Q49" s="316">
        <v>2023</v>
      </c>
      <c r="R49" s="46" t="e">
        <f t="shared" si="70"/>
        <v>#REF!</v>
      </c>
      <c r="S49" s="46" t="e">
        <f t="shared" si="71"/>
        <v>#REF!</v>
      </c>
      <c r="T49" s="46">
        <f t="shared" si="72"/>
        <v>191421.0011378029</v>
      </c>
      <c r="U49" s="46" t="e">
        <f t="shared" si="71"/>
        <v>#REF!</v>
      </c>
      <c r="V49" s="46" t="e">
        <f t="shared" si="71"/>
        <v>#REF!</v>
      </c>
      <c r="W49" s="46" t="e">
        <f t="shared" si="71"/>
        <v>#REF!</v>
      </c>
      <c r="Y49" s="316">
        <v>2023</v>
      </c>
      <c r="Z49" s="46" t="e">
        <f t="shared" si="73"/>
        <v>#REF!</v>
      </c>
      <c r="AA49" s="46" t="e">
        <f t="shared" si="74"/>
        <v>#REF!</v>
      </c>
      <c r="AB49" s="46" t="e">
        <f t="shared" si="73"/>
        <v>#REF!</v>
      </c>
      <c r="AC49" s="46" t="e">
        <f t="shared" si="74"/>
        <v>#REF!</v>
      </c>
      <c r="AD49" s="46" t="e">
        <f t="shared" si="74"/>
        <v>#REF!</v>
      </c>
      <c r="AE49" s="46" t="e">
        <f t="shared" si="74"/>
        <v>#REF!</v>
      </c>
      <c r="AG49" s="316">
        <v>2023</v>
      </c>
      <c r="AH49" s="48" t="e">
        <f t="shared" si="75"/>
        <v>#REF!</v>
      </c>
      <c r="AI49" s="48" t="e">
        <f t="shared" si="51"/>
        <v>#REF!</v>
      </c>
      <c r="AJ49" s="48" t="e">
        <f t="shared" si="51"/>
        <v>#REF!</v>
      </c>
      <c r="AK49" s="48" t="e">
        <f t="shared" si="51"/>
        <v>#REF!</v>
      </c>
      <c r="AL49" s="48" t="e">
        <f t="shared" si="51"/>
        <v>#REF!</v>
      </c>
      <c r="AM49" s="48" t="e">
        <f t="shared" si="51"/>
        <v>#REF!</v>
      </c>
      <c r="AO49" s="316">
        <v>2023</v>
      </c>
      <c r="AP49" s="302">
        <f t="shared" ref="AP49:AP66" si="93">(AQ48/4+AQ49*3/4)</f>
        <v>7.2500000000000004E-3</v>
      </c>
      <c r="AQ49" s="62">
        <v>3.0000000000000001E-3</v>
      </c>
      <c r="AR49" s="44"/>
      <c r="AS49" s="316">
        <v>2023</v>
      </c>
      <c r="AT49" s="345">
        <f t="shared" si="76"/>
        <v>7.2500000000000004E-3</v>
      </c>
      <c r="AU49" s="345">
        <f t="shared" si="77"/>
        <v>7.2500000000000004E-3</v>
      </c>
      <c r="AV49" s="345">
        <f t="shared" si="77"/>
        <v>7.2500000000000004E-3</v>
      </c>
      <c r="AW49" s="345">
        <f t="shared" si="77"/>
        <v>7.2500000000000004E-3</v>
      </c>
      <c r="AX49" s="345">
        <f t="shared" si="77"/>
        <v>7.2500000000000004E-3</v>
      </c>
      <c r="AY49" s="345">
        <f t="shared" si="77"/>
        <v>7.2500000000000004E-3</v>
      </c>
      <c r="BQ49" s="316">
        <v>2023</v>
      </c>
      <c r="BR49" s="346" t="e">
        <f t="shared" si="78"/>
        <v>#REF!</v>
      </c>
      <c r="BS49" s="300">
        <f t="shared" ref="BS49:BW66" si="94">BS48</f>
        <v>651.86</v>
      </c>
      <c r="BT49" s="346" t="e">
        <f t="shared" si="78"/>
        <v>#REF!</v>
      </c>
      <c r="BU49" s="300">
        <f t="shared" si="94"/>
        <v>3952.1800000000003</v>
      </c>
      <c r="BV49" s="346">
        <f t="shared" si="79"/>
        <v>7154.4453053226234</v>
      </c>
      <c r="BW49" s="300">
        <f t="shared" si="94"/>
        <v>15853.52</v>
      </c>
      <c r="BY49" s="316">
        <v>2023</v>
      </c>
      <c r="BZ49" s="46" t="e">
        <f t="shared" si="80"/>
        <v>#REF!</v>
      </c>
      <c r="CA49" s="46" t="e">
        <f t="shared" si="81"/>
        <v>#REF!</v>
      </c>
      <c r="CB49" s="46" t="e">
        <f t="shared" si="80"/>
        <v>#REF!</v>
      </c>
      <c r="CC49" s="46" t="e">
        <f t="shared" si="81"/>
        <v>#REF!</v>
      </c>
      <c r="CD49" s="46" t="e">
        <f t="shared" si="81"/>
        <v>#REF!</v>
      </c>
      <c r="CE49" s="46" t="e">
        <f t="shared" si="81"/>
        <v>#REF!</v>
      </c>
      <c r="CG49" s="316">
        <v>2023</v>
      </c>
      <c r="CH49" s="48" t="e">
        <f t="shared" si="82"/>
        <v>#REF!</v>
      </c>
      <c r="CI49" s="48" t="e">
        <f t="shared" si="53"/>
        <v>#REF!</v>
      </c>
      <c r="CJ49" s="48" t="e">
        <f t="shared" si="53"/>
        <v>#REF!</v>
      </c>
      <c r="CK49" s="48" t="e">
        <f t="shared" si="53"/>
        <v>#REF!</v>
      </c>
      <c r="CL49" s="48" t="e">
        <f t="shared" si="53"/>
        <v>#REF!</v>
      </c>
      <c r="CM49" s="48" t="e">
        <f t="shared" si="53"/>
        <v>#REF!</v>
      </c>
      <c r="CO49" s="316">
        <v>2023</v>
      </c>
      <c r="CP49" s="302">
        <f t="shared" ref="CP49:CP66" si="95">(CQ48/4+CQ49*3/4)</f>
        <v>7.2500000000000004E-3</v>
      </c>
      <c r="CQ49" s="62">
        <v>3.0000000000000001E-3</v>
      </c>
      <c r="CR49" s="45"/>
      <c r="CS49" s="316">
        <v>2023</v>
      </c>
      <c r="CT49" s="345">
        <f t="shared" si="83"/>
        <v>7.2500000000000004E-3</v>
      </c>
      <c r="CU49" s="345">
        <f t="shared" si="84"/>
        <v>7.2500000000000004E-3</v>
      </c>
      <c r="CV49" s="345">
        <f t="shared" si="84"/>
        <v>7.2500000000000004E-3</v>
      </c>
      <c r="CW49" s="345">
        <f t="shared" si="84"/>
        <v>7.2500000000000004E-3</v>
      </c>
      <c r="CX49" s="345">
        <f t="shared" si="84"/>
        <v>7.2500000000000004E-3</v>
      </c>
      <c r="CY49" s="345">
        <f t="shared" si="84"/>
        <v>7.2500000000000004E-3</v>
      </c>
      <c r="DA49" s="316">
        <v>2023</v>
      </c>
      <c r="DI49" s="316">
        <v>2023</v>
      </c>
      <c r="DJ49" s="342">
        <f t="shared" si="85"/>
        <v>5.4563795052014932E-2</v>
      </c>
      <c r="DK49" s="342">
        <f t="shared" si="55"/>
        <v>5.2839612123727064E-2</v>
      </c>
      <c r="DL49" s="342">
        <f t="shared" si="55"/>
        <v>7.9424330224610915E-2</v>
      </c>
      <c r="DM49" s="342">
        <f t="shared" si="55"/>
        <v>7.8114428746509534E-2</v>
      </c>
      <c r="DN49" s="342">
        <f t="shared" si="55"/>
        <v>3.0531447160625981E-2</v>
      </c>
      <c r="DO49" s="342">
        <f t="shared" si="55"/>
        <v>1.9511114546532725E-2</v>
      </c>
      <c r="DQ49" s="316">
        <v>2023</v>
      </c>
      <c r="DR49" s="46">
        <f t="shared" si="86"/>
        <v>576600</v>
      </c>
      <c r="DS49" s="61">
        <v>580.6</v>
      </c>
      <c r="DT49" s="46">
        <f t="shared" si="86"/>
        <v>565350.02441401337</v>
      </c>
      <c r="DU49" s="61">
        <v>568.27208951681769</v>
      </c>
      <c r="DW49" s="46">
        <f t="shared" si="87"/>
        <v>583465.59851832455</v>
      </c>
      <c r="DX49" s="61">
        <v>586.23695997600521</v>
      </c>
      <c r="DY49" s="46">
        <f t="shared" si="88"/>
        <v>572088.4030240787</v>
      </c>
      <c r="DZ49" s="61">
        <v>573.78935962375385</v>
      </c>
      <c r="EB49" s="316">
        <v>2023</v>
      </c>
      <c r="EC49" s="88" t="e">
        <f t="shared" si="56"/>
        <v>#REF!</v>
      </c>
      <c r="ED49" s="88">
        <f t="shared" si="56"/>
        <v>1.1305237599722512E-3</v>
      </c>
      <c r="EE49" s="88" t="e">
        <f t="shared" si="56"/>
        <v>#REF!</v>
      </c>
      <c r="EF49" s="88">
        <f t="shared" si="56"/>
        <v>6.8542837322233792E-3</v>
      </c>
      <c r="EG49" s="302">
        <f t="shared" si="89"/>
        <v>1.2407987001946971E-2</v>
      </c>
      <c r="EH49" s="88">
        <f t="shared" si="57"/>
        <v>2.7494831772459243E-2</v>
      </c>
      <c r="EJ49" s="316">
        <v>2023</v>
      </c>
      <c r="EK49" s="302" t="e">
        <f t="shared" si="90"/>
        <v>#REF!</v>
      </c>
      <c r="EL49" s="88" t="e">
        <f t="shared" si="58"/>
        <v>#REF!</v>
      </c>
      <c r="EM49" s="302">
        <f t="shared" si="91"/>
        <v>0.32807589963128059</v>
      </c>
      <c r="EN49" s="88" t="e">
        <f t="shared" si="59"/>
        <v>#REF!</v>
      </c>
      <c r="EO49" s="88" t="e">
        <f t="shared" si="59"/>
        <v>#REF!</v>
      </c>
      <c r="EP49" s="88" t="e">
        <f t="shared" si="59"/>
        <v>#REF!</v>
      </c>
      <c r="ER49" s="316">
        <v>2023</v>
      </c>
      <c r="ES49" s="317">
        <f t="shared" si="60"/>
        <v>123750.58900000001</v>
      </c>
      <c r="ET49" s="61">
        <v>14483.753000000001</v>
      </c>
      <c r="EU49" s="61">
        <v>72682.839000000007</v>
      </c>
      <c r="EV49" s="61">
        <v>36583.997000000003</v>
      </c>
      <c r="EW49" s="88">
        <f t="shared" si="49"/>
        <v>0.11703987122033011</v>
      </c>
      <c r="EX49" s="88">
        <f t="shared" si="49"/>
        <v>0.58733327725817941</v>
      </c>
      <c r="EY49" s="88">
        <f t="shared" si="49"/>
        <v>0.29562685152149054</v>
      </c>
      <c r="EZ49" s="88">
        <f t="shared" si="50"/>
        <v>-1.2279972856583665E-3</v>
      </c>
      <c r="FA49" s="88">
        <f t="shared" si="50"/>
        <v>-9.5128070168415402E-4</v>
      </c>
      <c r="FB49" s="88">
        <f t="shared" si="50"/>
        <v>2.1792779873426316E-3</v>
      </c>
      <c r="FD49" s="316">
        <v>2023</v>
      </c>
      <c r="FE49" s="308">
        <f t="shared" si="92"/>
        <v>0</v>
      </c>
      <c r="FF49" s="159">
        <v>0</v>
      </c>
      <c r="FG49" s="308">
        <f t="shared" si="92"/>
        <v>1.1500000000000002E-2</v>
      </c>
      <c r="FH49" s="159">
        <v>1.2E-2</v>
      </c>
      <c r="FI49" s="319">
        <f t="shared" si="45"/>
        <v>-1.1500000000000002E-2</v>
      </c>
      <c r="FK49" s="345" t="e">
        <f t="shared" si="61"/>
        <v>#REF!</v>
      </c>
      <c r="FL49" s="345">
        <f t="shared" si="62"/>
        <v>-9.2594941953649812E-4</v>
      </c>
      <c r="FM49" s="345">
        <f t="shared" si="63"/>
        <v>-1.0616231622033491E-3</v>
      </c>
      <c r="FO49" s="316">
        <v>2023</v>
      </c>
      <c r="FP49" s="46" t="e">
        <f t="shared" si="64"/>
        <v>#REF!</v>
      </c>
      <c r="FQ49" s="46" t="e">
        <f t="shared" si="65"/>
        <v>#REF!</v>
      </c>
      <c r="FR49" s="46" t="e">
        <f t="shared" si="66"/>
        <v>#REF!</v>
      </c>
      <c r="FS49" s="46" t="e">
        <f t="shared" si="67"/>
        <v>#REF!</v>
      </c>
      <c r="FT49" s="46" t="e">
        <f t="shared" si="68"/>
        <v>#REF!</v>
      </c>
      <c r="FU49" s="46" t="e">
        <f t="shared" si="69"/>
        <v>#REF!</v>
      </c>
      <c r="FV49" s="285" t="e">
        <f t="shared" si="38"/>
        <v>#REF!</v>
      </c>
    </row>
    <row r="50" spans="17:178">
      <c r="Q50" s="316">
        <v>2024</v>
      </c>
      <c r="R50" s="46" t="e">
        <f t="shared" si="70"/>
        <v>#REF!</v>
      </c>
      <c r="S50" s="46" t="e">
        <f t="shared" si="71"/>
        <v>#REF!</v>
      </c>
      <c r="T50" s="46">
        <f t="shared" si="72"/>
        <v>196080.10740941332</v>
      </c>
      <c r="U50" s="46" t="e">
        <f t="shared" si="71"/>
        <v>#REF!</v>
      </c>
      <c r="V50" s="46" t="e">
        <f t="shared" si="71"/>
        <v>#REF!</v>
      </c>
      <c r="W50" s="46" t="e">
        <f t="shared" si="71"/>
        <v>#REF!</v>
      </c>
      <c r="Y50" s="316">
        <v>2024</v>
      </c>
      <c r="Z50" s="46" t="e">
        <f t="shared" si="73"/>
        <v>#REF!</v>
      </c>
      <c r="AA50" s="46" t="e">
        <f t="shared" si="74"/>
        <v>#REF!</v>
      </c>
      <c r="AB50" s="46" t="e">
        <f t="shared" si="73"/>
        <v>#REF!</v>
      </c>
      <c r="AC50" s="46" t="e">
        <f t="shared" si="74"/>
        <v>#REF!</v>
      </c>
      <c r="AD50" s="46" t="e">
        <f t="shared" si="74"/>
        <v>#REF!</v>
      </c>
      <c r="AE50" s="46" t="e">
        <f t="shared" si="74"/>
        <v>#REF!</v>
      </c>
      <c r="AG50" s="316">
        <v>2024</v>
      </c>
      <c r="AH50" s="48" t="e">
        <f t="shared" si="75"/>
        <v>#REF!</v>
      </c>
      <c r="AI50" s="48" t="e">
        <f t="shared" si="51"/>
        <v>#REF!</v>
      </c>
      <c r="AJ50" s="48" t="e">
        <f t="shared" si="51"/>
        <v>#REF!</v>
      </c>
      <c r="AK50" s="48" t="e">
        <f t="shared" si="51"/>
        <v>#REF!</v>
      </c>
      <c r="AL50" s="48" t="e">
        <f t="shared" si="51"/>
        <v>#REF!</v>
      </c>
      <c r="AM50" s="48" t="e">
        <f t="shared" si="51"/>
        <v>#REF!</v>
      </c>
      <c r="AO50" s="316">
        <v>2024</v>
      </c>
      <c r="AP50" s="302">
        <f t="shared" si="93"/>
        <v>4.4999999999999997E-3</v>
      </c>
      <c r="AQ50" s="62">
        <v>5.0000000000000001E-3</v>
      </c>
      <c r="AR50" s="44"/>
      <c r="AS50" s="316">
        <v>2024</v>
      </c>
      <c r="AT50" s="345">
        <f t="shared" si="76"/>
        <v>4.4999999999999997E-3</v>
      </c>
      <c r="AU50" s="345">
        <f t="shared" si="77"/>
        <v>4.4999999999999997E-3</v>
      </c>
      <c r="AV50" s="345">
        <f t="shared" si="77"/>
        <v>4.4999999999999997E-3</v>
      </c>
      <c r="AW50" s="345">
        <f t="shared" si="77"/>
        <v>4.4999999999999997E-3</v>
      </c>
      <c r="AX50" s="345">
        <f t="shared" si="77"/>
        <v>4.4999999999999997E-3</v>
      </c>
      <c r="AY50" s="345">
        <f t="shared" si="77"/>
        <v>4.4999999999999997E-3</v>
      </c>
      <c r="BQ50" s="316">
        <v>2024</v>
      </c>
      <c r="BR50" s="346" t="e">
        <f t="shared" si="78"/>
        <v>#REF!</v>
      </c>
      <c r="BS50" s="300">
        <f t="shared" si="94"/>
        <v>651.86</v>
      </c>
      <c r="BT50" s="346" t="e">
        <f t="shared" si="78"/>
        <v>#REF!</v>
      </c>
      <c r="BU50" s="300">
        <f t="shared" si="94"/>
        <v>3952.1800000000003</v>
      </c>
      <c r="BV50" s="346">
        <f t="shared" si="79"/>
        <v>7353.4808901881543</v>
      </c>
      <c r="BW50" s="300">
        <f t="shared" si="94"/>
        <v>15853.52</v>
      </c>
      <c r="BY50" s="316">
        <v>2024</v>
      </c>
      <c r="BZ50" s="46" t="e">
        <f t="shared" si="80"/>
        <v>#REF!</v>
      </c>
      <c r="CA50" s="46" t="e">
        <f t="shared" si="81"/>
        <v>#REF!</v>
      </c>
      <c r="CB50" s="46" t="e">
        <f t="shared" si="80"/>
        <v>#REF!</v>
      </c>
      <c r="CC50" s="46" t="e">
        <f t="shared" si="81"/>
        <v>#REF!</v>
      </c>
      <c r="CD50" s="46" t="e">
        <f t="shared" si="81"/>
        <v>#REF!</v>
      </c>
      <c r="CE50" s="46" t="e">
        <f t="shared" si="81"/>
        <v>#REF!</v>
      </c>
      <c r="CG50" s="316">
        <v>2024</v>
      </c>
      <c r="CH50" s="48" t="e">
        <f t="shared" si="82"/>
        <v>#REF!</v>
      </c>
      <c r="CI50" s="48" t="e">
        <f t="shared" si="53"/>
        <v>#REF!</v>
      </c>
      <c r="CJ50" s="48" t="e">
        <f t="shared" si="53"/>
        <v>#REF!</v>
      </c>
      <c r="CK50" s="48" t="e">
        <f t="shared" si="53"/>
        <v>#REF!</v>
      </c>
      <c r="CL50" s="48" t="e">
        <f t="shared" si="53"/>
        <v>#REF!</v>
      </c>
      <c r="CM50" s="48" t="e">
        <f t="shared" si="53"/>
        <v>#REF!</v>
      </c>
      <c r="CO50" s="316">
        <v>2024</v>
      </c>
      <c r="CP50" s="302">
        <f t="shared" si="95"/>
        <v>4.4999999999999997E-3</v>
      </c>
      <c r="CQ50" s="62">
        <v>5.0000000000000001E-3</v>
      </c>
      <c r="CR50" s="45"/>
      <c r="CS50" s="316">
        <v>2024</v>
      </c>
      <c r="CT50" s="345">
        <f t="shared" si="83"/>
        <v>4.4999999999999997E-3</v>
      </c>
      <c r="CU50" s="345">
        <f t="shared" si="84"/>
        <v>4.4999999999999997E-3</v>
      </c>
      <c r="CV50" s="345">
        <f t="shared" si="84"/>
        <v>4.4999999999999997E-3</v>
      </c>
      <c r="CW50" s="345">
        <f t="shared" si="84"/>
        <v>4.4999999999999997E-3</v>
      </c>
      <c r="CX50" s="345">
        <f t="shared" si="84"/>
        <v>4.4999999999999997E-3</v>
      </c>
      <c r="CY50" s="345">
        <f t="shared" si="84"/>
        <v>4.4999999999999997E-3</v>
      </c>
      <c r="DA50" s="316">
        <v>2024</v>
      </c>
      <c r="DI50" s="316">
        <v>2024</v>
      </c>
      <c r="DJ50" s="342">
        <f t="shared" si="85"/>
        <v>5.4562816587143091E-2</v>
      </c>
      <c r="DK50" s="342">
        <f t="shared" si="55"/>
        <v>5.2860099056364226E-2</v>
      </c>
      <c r="DL50" s="342">
        <f t="shared" si="55"/>
        <v>7.9469736154837739E-2</v>
      </c>
      <c r="DM50" s="342">
        <f t="shared" si="55"/>
        <v>7.7947022232761357E-2</v>
      </c>
      <c r="DN50" s="342">
        <f t="shared" si="55"/>
        <v>3.1128455146529295E-2</v>
      </c>
      <c r="DO50" s="342">
        <f t="shared" si="55"/>
        <v>1.932483153895289E-2</v>
      </c>
      <c r="DQ50" s="316">
        <v>2024</v>
      </c>
      <c r="DR50" s="46">
        <f t="shared" si="86"/>
        <v>596500</v>
      </c>
      <c r="DS50" s="61">
        <v>601.79999999999995</v>
      </c>
      <c r="DT50" s="46">
        <f t="shared" si="86"/>
        <v>579353.39526239573</v>
      </c>
      <c r="DU50" s="61">
        <v>583.04716384425501</v>
      </c>
      <c r="DW50" s="46">
        <f t="shared" si="87"/>
        <v>597405.31416921341</v>
      </c>
      <c r="DX50" s="61">
        <v>601.12809890028268</v>
      </c>
      <c r="DY50" s="46">
        <f t="shared" si="88"/>
        <v>580244.48991952115</v>
      </c>
      <c r="DZ50" s="61">
        <v>582.39620001811011</v>
      </c>
      <c r="EB50" s="316">
        <v>2024</v>
      </c>
      <c r="EC50" s="88" t="e">
        <f t="shared" si="56"/>
        <v>#REF!</v>
      </c>
      <c r="ED50" s="88">
        <f t="shared" si="56"/>
        <v>1.0928080469404862E-3</v>
      </c>
      <c r="EE50" s="88" t="e">
        <f t="shared" si="56"/>
        <v>#REF!</v>
      </c>
      <c r="EF50" s="88">
        <f t="shared" si="56"/>
        <v>6.6256160938809724E-3</v>
      </c>
      <c r="EG50" s="302">
        <f t="shared" si="89"/>
        <v>1.2327713143651558E-2</v>
      </c>
      <c r="EH50" s="88">
        <f t="shared" si="57"/>
        <v>2.6577569153394803E-2</v>
      </c>
      <c r="EJ50" s="316">
        <v>2024</v>
      </c>
      <c r="EK50" s="302" t="e">
        <f t="shared" si="90"/>
        <v>#REF!</v>
      </c>
      <c r="EL50" s="88" t="e">
        <f t="shared" si="58"/>
        <v>#REF!</v>
      </c>
      <c r="EM50" s="302">
        <f t="shared" si="91"/>
        <v>0.32821955673777981</v>
      </c>
      <c r="EN50" s="88" t="e">
        <f t="shared" si="59"/>
        <v>#REF!</v>
      </c>
      <c r="EO50" s="88" t="e">
        <f t="shared" si="59"/>
        <v>#REF!</v>
      </c>
      <c r="EP50" s="88" t="e">
        <f t="shared" si="59"/>
        <v>#REF!</v>
      </c>
      <c r="ER50" s="316">
        <v>2024</v>
      </c>
      <c r="ES50" s="317">
        <f t="shared" si="60"/>
        <v>123160.804</v>
      </c>
      <c r="ET50" s="61">
        <v>14276.478999999999</v>
      </c>
      <c r="EU50" s="61">
        <v>72180.804000000004</v>
      </c>
      <c r="EV50" s="61">
        <v>36703.521000000001</v>
      </c>
      <c r="EW50" s="88">
        <f t="shared" si="49"/>
        <v>0.11591739040612303</v>
      </c>
      <c r="EX50" s="88">
        <f t="shared" si="49"/>
        <v>0.58606960701555666</v>
      </c>
      <c r="EY50" s="88">
        <f t="shared" si="49"/>
        <v>0.29801300257832031</v>
      </c>
      <c r="EZ50" s="88">
        <f t="shared" si="50"/>
        <v>-1.1224808142070719E-3</v>
      </c>
      <c r="FA50" s="88">
        <f t="shared" si="50"/>
        <v>-1.2636702426227497E-3</v>
      </c>
      <c r="FB50" s="88">
        <f t="shared" si="50"/>
        <v>2.3861510568297661E-3</v>
      </c>
      <c r="FD50" s="316">
        <v>2024</v>
      </c>
      <c r="FE50" s="308">
        <f t="shared" si="92"/>
        <v>0</v>
      </c>
      <c r="FF50" s="159">
        <v>0</v>
      </c>
      <c r="FG50" s="308">
        <f t="shared" si="92"/>
        <v>1.4249999999999999E-2</v>
      </c>
      <c r="FH50" s="159">
        <v>1.4999999999999999E-2</v>
      </c>
      <c r="FI50" s="319">
        <f t="shared" si="45"/>
        <v>-1.4249999999999999E-2</v>
      </c>
      <c r="FK50" s="345" t="e">
        <f t="shared" si="61"/>
        <v>#REF!</v>
      </c>
      <c r="FL50" s="345">
        <f t="shared" si="62"/>
        <v>-1.2879570611481483E-3</v>
      </c>
      <c r="FM50" s="345">
        <f t="shared" si="63"/>
        <v>-1.3674088090677126E-3</v>
      </c>
      <c r="FO50" s="316">
        <v>2024</v>
      </c>
      <c r="FP50" s="46" t="e">
        <f t="shared" si="64"/>
        <v>#REF!</v>
      </c>
      <c r="FQ50" s="46" t="e">
        <f t="shared" si="65"/>
        <v>#REF!</v>
      </c>
      <c r="FR50" s="46" t="e">
        <f t="shared" si="66"/>
        <v>#REF!</v>
      </c>
      <c r="FS50" s="46" t="e">
        <f t="shared" si="67"/>
        <v>#REF!</v>
      </c>
      <c r="FT50" s="46" t="e">
        <f t="shared" si="68"/>
        <v>#REF!</v>
      </c>
      <c r="FU50" s="46" t="e">
        <f t="shared" si="69"/>
        <v>#REF!</v>
      </c>
      <c r="FV50" s="285" t="e">
        <f t="shared" si="38"/>
        <v>#REF!</v>
      </c>
    </row>
    <row r="51" spans="17:178">
      <c r="Q51" s="316">
        <v>2025</v>
      </c>
      <c r="R51" s="46" t="e">
        <f t="shared" si="70"/>
        <v>#REF!</v>
      </c>
      <c r="S51" s="46" t="e">
        <f t="shared" si="71"/>
        <v>#REF!</v>
      </c>
      <c r="T51" s="46">
        <f t="shared" si="72"/>
        <v>202454.19268501716</v>
      </c>
      <c r="U51" s="46" t="e">
        <f t="shared" si="71"/>
        <v>#REF!</v>
      </c>
      <c r="V51" s="46" t="e">
        <f t="shared" si="71"/>
        <v>#REF!</v>
      </c>
      <c r="W51" s="46" t="e">
        <f t="shared" si="71"/>
        <v>#REF!</v>
      </c>
      <c r="Y51" s="316">
        <v>2025</v>
      </c>
      <c r="Z51" s="46" t="e">
        <f t="shared" si="73"/>
        <v>#REF!</v>
      </c>
      <c r="AA51" s="46" t="e">
        <f t="shared" si="74"/>
        <v>#REF!</v>
      </c>
      <c r="AB51" s="46" t="e">
        <f t="shared" si="73"/>
        <v>#REF!</v>
      </c>
      <c r="AC51" s="46" t="e">
        <f t="shared" si="74"/>
        <v>#REF!</v>
      </c>
      <c r="AD51" s="46" t="e">
        <f t="shared" si="74"/>
        <v>#REF!</v>
      </c>
      <c r="AE51" s="46" t="e">
        <f t="shared" si="74"/>
        <v>#REF!</v>
      </c>
      <c r="AG51" s="316">
        <v>2025</v>
      </c>
      <c r="AH51" s="48" t="e">
        <f t="shared" si="75"/>
        <v>#REF!</v>
      </c>
      <c r="AI51" s="48" t="e">
        <f t="shared" si="51"/>
        <v>#REF!</v>
      </c>
      <c r="AJ51" s="48" t="e">
        <f t="shared" si="51"/>
        <v>#REF!</v>
      </c>
      <c r="AK51" s="48" t="e">
        <f t="shared" si="51"/>
        <v>#REF!</v>
      </c>
      <c r="AL51" s="48" t="e">
        <f t="shared" si="51"/>
        <v>#REF!</v>
      </c>
      <c r="AM51" s="48" t="e">
        <f t="shared" si="51"/>
        <v>#REF!</v>
      </c>
      <c r="AO51" s="316">
        <v>2025</v>
      </c>
      <c r="AP51" s="302">
        <f t="shared" si="93"/>
        <v>5.7500000000000008E-3</v>
      </c>
      <c r="AQ51" s="62">
        <v>6.0000000000000001E-3</v>
      </c>
      <c r="AR51" s="44"/>
      <c r="AS51" s="316">
        <v>2025</v>
      </c>
      <c r="AT51" s="345">
        <f t="shared" si="76"/>
        <v>5.7500000000000008E-3</v>
      </c>
      <c r="AU51" s="345">
        <f t="shared" si="77"/>
        <v>5.7500000000000008E-3</v>
      </c>
      <c r="AV51" s="345">
        <f t="shared" si="77"/>
        <v>5.7500000000000008E-3</v>
      </c>
      <c r="AW51" s="345">
        <f t="shared" si="77"/>
        <v>5.7500000000000008E-3</v>
      </c>
      <c r="AX51" s="345">
        <f t="shared" si="77"/>
        <v>5.7500000000000008E-3</v>
      </c>
      <c r="AY51" s="345">
        <f t="shared" si="77"/>
        <v>5.7500000000000008E-3</v>
      </c>
      <c r="BQ51" s="316">
        <v>2025</v>
      </c>
      <c r="BR51" s="346" t="e">
        <f t="shared" si="78"/>
        <v>#REF!</v>
      </c>
      <c r="BS51" s="300">
        <f t="shared" si="94"/>
        <v>651.86</v>
      </c>
      <c r="BT51" s="346" t="e">
        <f t="shared" si="78"/>
        <v>#REF!</v>
      </c>
      <c r="BU51" s="300">
        <f t="shared" si="94"/>
        <v>3952.1800000000003</v>
      </c>
      <c r="BV51" s="346">
        <f t="shared" si="79"/>
        <v>7702.1224118909931</v>
      </c>
      <c r="BW51" s="300">
        <f t="shared" si="94"/>
        <v>15853.52</v>
      </c>
      <c r="BY51" s="316">
        <v>2025</v>
      </c>
      <c r="BZ51" s="46" t="e">
        <f t="shared" si="80"/>
        <v>#REF!</v>
      </c>
      <c r="CA51" s="46" t="e">
        <f t="shared" si="81"/>
        <v>#REF!</v>
      </c>
      <c r="CB51" s="46" t="e">
        <f t="shared" si="80"/>
        <v>#REF!</v>
      </c>
      <c r="CC51" s="46" t="e">
        <f t="shared" si="81"/>
        <v>#REF!</v>
      </c>
      <c r="CD51" s="46" t="e">
        <f t="shared" si="81"/>
        <v>#REF!</v>
      </c>
      <c r="CE51" s="46" t="e">
        <f t="shared" si="81"/>
        <v>#REF!</v>
      </c>
      <c r="CG51" s="316">
        <v>2025</v>
      </c>
      <c r="CH51" s="48" t="e">
        <f t="shared" si="82"/>
        <v>#REF!</v>
      </c>
      <c r="CI51" s="48" t="e">
        <f t="shared" si="53"/>
        <v>#REF!</v>
      </c>
      <c r="CJ51" s="48" t="e">
        <f t="shared" si="53"/>
        <v>#REF!</v>
      </c>
      <c r="CK51" s="48" t="e">
        <f t="shared" si="53"/>
        <v>#REF!</v>
      </c>
      <c r="CL51" s="48" t="e">
        <f t="shared" si="53"/>
        <v>#REF!</v>
      </c>
      <c r="CM51" s="48" t="e">
        <f t="shared" si="53"/>
        <v>#REF!</v>
      </c>
      <c r="CO51" s="316">
        <v>2025</v>
      </c>
      <c r="CP51" s="302">
        <f t="shared" si="95"/>
        <v>5.7500000000000008E-3</v>
      </c>
      <c r="CQ51" s="62">
        <v>6.0000000000000001E-3</v>
      </c>
      <c r="CR51" s="45"/>
      <c r="CS51" s="316">
        <v>2025</v>
      </c>
      <c r="CT51" s="345">
        <f t="shared" si="83"/>
        <v>5.7500000000000008E-3</v>
      </c>
      <c r="CU51" s="345">
        <f t="shared" si="84"/>
        <v>5.7500000000000008E-3</v>
      </c>
      <c r="CV51" s="345">
        <f t="shared" si="84"/>
        <v>5.7500000000000008E-3</v>
      </c>
      <c r="CW51" s="345">
        <f t="shared" si="84"/>
        <v>5.7500000000000008E-3</v>
      </c>
      <c r="CX51" s="345">
        <f t="shared" si="84"/>
        <v>5.7500000000000008E-3</v>
      </c>
      <c r="CY51" s="345">
        <f t="shared" si="84"/>
        <v>5.7500000000000008E-3</v>
      </c>
      <c r="DA51" s="316">
        <v>2025</v>
      </c>
      <c r="DI51" s="316">
        <v>2025</v>
      </c>
      <c r="DJ51" s="342">
        <f t="shared" si="85"/>
        <v>5.4578084433679043E-2</v>
      </c>
      <c r="DK51" s="342">
        <f t="shared" si="55"/>
        <v>5.2870850922986212E-2</v>
      </c>
      <c r="DL51" s="342">
        <f t="shared" si="55"/>
        <v>7.9454591215366979E-2</v>
      </c>
      <c r="DM51" s="342">
        <f t="shared" si="55"/>
        <v>7.8011344842633099E-2</v>
      </c>
      <c r="DN51" s="342">
        <f t="shared" si="55"/>
        <v>3.0941555309138214E-2</v>
      </c>
      <c r="DO51" s="342">
        <f t="shared" si="55"/>
        <v>1.938918759237087E-2</v>
      </c>
      <c r="DQ51" s="316">
        <v>2025</v>
      </c>
      <c r="DR51" s="46">
        <f t="shared" si="86"/>
        <v>616350</v>
      </c>
      <c r="DS51" s="61">
        <v>621.20000000000005</v>
      </c>
      <c r="DT51" s="46">
        <f t="shared" si="86"/>
        <v>591355.58592903556</v>
      </c>
      <c r="DU51" s="61">
        <v>594.12505995729578</v>
      </c>
      <c r="DW51" s="46">
        <f t="shared" si="87"/>
        <v>615661.85403321579</v>
      </c>
      <c r="DX51" s="61">
        <v>620.50643907752692</v>
      </c>
      <c r="DY51" s="46">
        <f t="shared" si="88"/>
        <v>590695.34586836817</v>
      </c>
      <c r="DZ51" s="61">
        <v>593.46172781845416</v>
      </c>
      <c r="EB51" s="316">
        <v>2025</v>
      </c>
      <c r="EC51" s="88" t="e">
        <f t="shared" si="56"/>
        <v>#REF!</v>
      </c>
      <c r="ED51" s="88">
        <f t="shared" si="56"/>
        <v>1.0576133690273384E-3</v>
      </c>
      <c r="EE51" s="88" t="e">
        <f t="shared" si="56"/>
        <v>#REF!</v>
      </c>
      <c r="EF51" s="88">
        <f t="shared" si="56"/>
        <v>6.4122333089965122E-3</v>
      </c>
      <c r="EG51" s="302">
        <f t="shared" si="89"/>
        <v>1.2496345277668521E-2</v>
      </c>
      <c r="EH51" s="88">
        <f t="shared" si="57"/>
        <v>2.5721619209864526E-2</v>
      </c>
      <c r="EJ51" s="316">
        <v>2025</v>
      </c>
      <c r="EK51" s="302" t="e">
        <f t="shared" si="90"/>
        <v>#REF!</v>
      </c>
      <c r="EL51" s="88" t="e">
        <f t="shared" si="58"/>
        <v>#REF!</v>
      </c>
      <c r="EM51" s="302">
        <f t="shared" si="91"/>
        <v>0.3288399165203022</v>
      </c>
      <c r="EN51" s="88" t="e">
        <f t="shared" si="59"/>
        <v>#REF!</v>
      </c>
      <c r="EO51" s="88" t="e">
        <f t="shared" si="59"/>
        <v>#REF!</v>
      </c>
      <c r="EP51" s="88" t="e">
        <f t="shared" si="59"/>
        <v>#REF!</v>
      </c>
      <c r="ER51" s="316">
        <v>2025</v>
      </c>
      <c r="ES51" s="317">
        <f t="shared" si="60"/>
        <v>122544.10100000001</v>
      </c>
      <c r="ET51" s="61">
        <v>14072.74</v>
      </c>
      <c r="EU51" s="61">
        <v>71700.512000000002</v>
      </c>
      <c r="EV51" s="61">
        <v>36770.849000000002</v>
      </c>
      <c r="EW51" s="88">
        <f t="shared" si="49"/>
        <v>0.11483816752631772</v>
      </c>
      <c r="EX51" s="88">
        <f t="shared" si="49"/>
        <v>0.58509966138639347</v>
      </c>
      <c r="EY51" s="88">
        <f t="shared" si="49"/>
        <v>0.30006217108728883</v>
      </c>
      <c r="EZ51" s="88">
        <f t="shared" si="50"/>
        <v>-1.0792228798053166E-3</v>
      </c>
      <c r="FA51" s="88">
        <f t="shared" si="50"/>
        <v>-9.699456291631936E-4</v>
      </c>
      <c r="FB51" s="88">
        <f t="shared" si="50"/>
        <v>2.0491685089685241E-3</v>
      </c>
      <c r="FD51" s="316">
        <v>2025</v>
      </c>
      <c r="FE51" s="308">
        <f t="shared" si="92"/>
        <v>7.5000000000000002E-4</v>
      </c>
      <c r="FF51" s="159">
        <v>1E-3</v>
      </c>
      <c r="FG51" s="308">
        <f t="shared" si="92"/>
        <v>1.7999999999999999E-2</v>
      </c>
      <c r="FH51" s="159">
        <v>1.9E-2</v>
      </c>
      <c r="FI51" s="319">
        <f t="shared" si="45"/>
        <v>-1.7249999999999998E-2</v>
      </c>
      <c r="FK51" s="345" t="e">
        <f t="shared" si="61"/>
        <v>#REF!</v>
      </c>
      <c r="FL51" s="345">
        <f t="shared" si="62"/>
        <v>-2.0367617634555191E-3</v>
      </c>
      <c r="FM51" s="345">
        <f t="shared" si="63"/>
        <v>-1.6340873360339118E-3</v>
      </c>
      <c r="FO51" s="316">
        <v>2025</v>
      </c>
      <c r="FP51" s="46" t="e">
        <f t="shared" si="64"/>
        <v>#REF!</v>
      </c>
      <c r="FQ51" s="46" t="e">
        <f t="shared" si="65"/>
        <v>#REF!</v>
      </c>
      <c r="FR51" s="46" t="e">
        <f t="shared" si="66"/>
        <v>#REF!</v>
      </c>
      <c r="FS51" s="46" t="e">
        <f t="shared" si="67"/>
        <v>#REF!</v>
      </c>
      <c r="FT51" s="46" t="e">
        <f t="shared" si="68"/>
        <v>#REF!</v>
      </c>
      <c r="FU51" s="46" t="e">
        <f t="shared" si="69"/>
        <v>#REF!</v>
      </c>
      <c r="FV51" s="285" t="e">
        <f t="shared" si="38"/>
        <v>#REF!</v>
      </c>
    </row>
    <row r="52" spans="17:178">
      <c r="Q52" s="316">
        <v>2026</v>
      </c>
      <c r="R52" s="46" t="e">
        <f t="shared" si="70"/>
        <v>#REF!</v>
      </c>
      <c r="S52" s="46" t="e">
        <f t="shared" si="71"/>
        <v>#REF!</v>
      </c>
      <c r="T52" s="46">
        <f t="shared" si="72"/>
        <v>210611.06757846562</v>
      </c>
      <c r="U52" s="46" t="e">
        <f t="shared" si="71"/>
        <v>#REF!</v>
      </c>
      <c r="V52" s="46" t="e">
        <f t="shared" si="71"/>
        <v>#REF!</v>
      </c>
      <c r="W52" s="46" t="e">
        <f t="shared" si="71"/>
        <v>#REF!</v>
      </c>
      <c r="Y52" s="316">
        <v>2026</v>
      </c>
      <c r="Z52" s="46" t="e">
        <f t="shared" si="73"/>
        <v>#REF!</v>
      </c>
      <c r="AA52" s="46" t="e">
        <f t="shared" si="74"/>
        <v>#REF!</v>
      </c>
      <c r="AB52" s="46" t="e">
        <f t="shared" si="73"/>
        <v>#REF!</v>
      </c>
      <c r="AC52" s="46" t="e">
        <f t="shared" si="74"/>
        <v>#REF!</v>
      </c>
      <c r="AD52" s="46" t="e">
        <f t="shared" si="74"/>
        <v>#REF!</v>
      </c>
      <c r="AE52" s="46" t="e">
        <f t="shared" si="74"/>
        <v>#REF!</v>
      </c>
      <c r="AG52" s="316">
        <v>2026</v>
      </c>
      <c r="AH52" s="48" t="e">
        <f t="shared" si="75"/>
        <v>#REF!</v>
      </c>
      <c r="AI52" s="48" t="e">
        <f t="shared" si="51"/>
        <v>#REF!</v>
      </c>
      <c r="AJ52" s="48" t="e">
        <f t="shared" si="51"/>
        <v>#REF!</v>
      </c>
      <c r="AK52" s="48" t="e">
        <f t="shared" si="51"/>
        <v>#REF!</v>
      </c>
      <c r="AL52" s="48" t="e">
        <f t="shared" si="51"/>
        <v>#REF!</v>
      </c>
      <c r="AM52" s="48" t="e">
        <f t="shared" si="51"/>
        <v>#REF!</v>
      </c>
      <c r="AO52" s="316">
        <v>2026</v>
      </c>
      <c r="AP52" s="302">
        <f t="shared" si="93"/>
        <v>5.2499999999999995E-3</v>
      </c>
      <c r="AQ52" s="62">
        <v>5.0000000000000001E-3</v>
      </c>
      <c r="AR52" s="44"/>
      <c r="AS52" s="316">
        <v>2026</v>
      </c>
      <c r="AT52" s="345">
        <f t="shared" si="76"/>
        <v>5.2499999999999995E-3</v>
      </c>
      <c r="AU52" s="345">
        <f t="shared" si="77"/>
        <v>5.2499999999999995E-3</v>
      </c>
      <c r="AV52" s="345">
        <f t="shared" si="77"/>
        <v>5.2499999999999995E-3</v>
      </c>
      <c r="AW52" s="345">
        <f t="shared" si="77"/>
        <v>5.2499999999999995E-3</v>
      </c>
      <c r="AX52" s="345">
        <f t="shared" si="77"/>
        <v>5.2499999999999995E-3</v>
      </c>
      <c r="AY52" s="345">
        <f t="shared" si="77"/>
        <v>5.2499999999999995E-3</v>
      </c>
      <c r="BQ52" s="316">
        <v>2026</v>
      </c>
      <c r="BR52" s="346" t="e">
        <f t="shared" si="78"/>
        <v>#REF!</v>
      </c>
      <c r="BS52" s="300">
        <f t="shared" si="94"/>
        <v>651.86</v>
      </c>
      <c r="BT52" s="346" t="e">
        <f t="shared" si="78"/>
        <v>#REF!</v>
      </c>
      <c r="BU52" s="300">
        <f t="shared" si="94"/>
        <v>3952.1800000000003</v>
      </c>
      <c r="BV52" s="346">
        <f t="shared" si="79"/>
        <v>8035.7012810318283</v>
      </c>
      <c r="BW52" s="300">
        <f t="shared" si="94"/>
        <v>15853.52</v>
      </c>
      <c r="BY52" s="316">
        <v>2026</v>
      </c>
      <c r="BZ52" s="46" t="e">
        <f t="shared" si="80"/>
        <v>#REF!</v>
      </c>
      <c r="CA52" s="46" t="e">
        <f t="shared" si="81"/>
        <v>#REF!</v>
      </c>
      <c r="CB52" s="46" t="e">
        <f t="shared" si="80"/>
        <v>#REF!</v>
      </c>
      <c r="CC52" s="46" t="e">
        <f t="shared" si="81"/>
        <v>#REF!</v>
      </c>
      <c r="CD52" s="46" t="e">
        <f t="shared" si="81"/>
        <v>#REF!</v>
      </c>
      <c r="CE52" s="46" t="e">
        <f t="shared" si="81"/>
        <v>#REF!</v>
      </c>
      <c r="CG52" s="316">
        <v>2026</v>
      </c>
      <c r="CH52" s="48" t="e">
        <f t="shared" si="82"/>
        <v>#REF!</v>
      </c>
      <c r="CI52" s="48" t="e">
        <f t="shared" si="53"/>
        <v>#REF!</v>
      </c>
      <c r="CJ52" s="48" t="e">
        <f t="shared" si="53"/>
        <v>#REF!</v>
      </c>
      <c r="CK52" s="48" t="e">
        <f t="shared" si="53"/>
        <v>#REF!</v>
      </c>
      <c r="CL52" s="48" t="e">
        <f t="shared" si="53"/>
        <v>#REF!</v>
      </c>
      <c r="CM52" s="48" t="e">
        <f t="shared" si="53"/>
        <v>#REF!</v>
      </c>
      <c r="CO52" s="316">
        <v>2026</v>
      </c>
      <c r="CP52" s="302">
        <f t="shared" si="95"/>
        <v>5.2499999999999995E-3</v>
      </c>
      <c r="CQ52" s="62">
        <v>5.0000000000000001E-3</v>
      </c>
      <c r="CR52" s="45"/>
      <c r="CS52" s="316">
        <v>2026</v>
      </c>
      <c r="CT52" s="345">
        <f t="shared" si="83"/>
        <v>5.2499999999999995E-3</v>
      </c>
      <c r="CU52" s="345">
        <f t="shared" si="84"/>
        <v>5.2499999999999995E-3</v>
      </c>
      <c r="CV52" s="345">
        <f t="shared" si="84"/>
        <v>5.2499999999999995E-3</v>
      </c>
      <c r="CW52" s="345">
        <f t="shared" si="84"/>
        <v>5.2499999999999995E-3</v>
      </c>
      <c r="CX52" s="345">
        <f t="shared" si="84"/>
        <v>5.2499999999999995E-3</v>
      </c>
      <c r="CY52" s="345">
        <f t="shared" si="84"/>
        <v>5.2499999999999995E-3</v>
      </c>
      <c r="DA52" s="316">
        <v>2026</v>
      </c>
      <c r="DI52" s="316">
        <v>2026</v>
      </c>
      <c r="DJ52" s="342">
        <f t="shared" si="85"/>
        <v>5.4608073273997138E-2</v>
      </c>
      <c r="DK52" s="342">
        <f t="shared" si="55"/>
        <v>5.2853109042336664E-2</v>
      </c>
      <c r="DL52" s="342">
        <f t="shared" si="55"/>
        <v>7.9421819061505569E-2</v>
      </c>
      <c r="DM52" s="342">
        <f t="shared" si="55"/>
        <v>7.8105956483986633E-2</v>
      </c>
      <c r="DN52" s="342">
        <f t="shared" si="55"/>
        <v>3.0713269168039126E-2</v>
      </c>
      <c r="DO52" s="342">
        <f t="shared" si="55"/>
        <v>1.9471686445434878E-2</v>
      </c>
      <c r="DQ52" s="316">
        <v>2026</v>
      </c>
      <c r="DR52" s="46">
        <f t="shared" si="86"/>
        <v>637175</v>
      </c>
      <c r="DS52" s="61">
        <v>642.5</v>
      </c>
      <c r="DT52" s="46">
        <f t="shared" si="86"/>
        <v>603036.93585665536</v>
      </c>
      <c r="DU52" s="61">
        <v>606.00756115644174</v>
      </c>
      <c r="DW52" s="46">
        <f t="shared" si="87"/>
        <v>636463.6032183246</v>
      </c>
      <c r="DX52" s="61">
        <v>641.78265793192372</v>
      </c>
      <c r="DY52" s="46">
        <f t="shared" si="88"/>
        <v>602363.65373573091</v>
      </c>
      <c r="DZ52" s="61">
        <v>605.33096237482323</v>
      </c>
      <c r="EB52" s="316">
        <v>2026</v>
      </c>
      <c r="EC52" s="88" t="e">
        <f t="shared" si="56"/>
        <v>#REF!</v>
      </c>
      <c r="ED52" s="88">
        <f t="shared" si="56"/>
        <v>1.0230470435908503E-3</v>
      </c>
      <c r="EE52" s="88" t="e">
        <f t="shared" si="56"/>
        <v>#REF!</v>
      </c>
      <c r="EF52" s="88">
        <f t="shared" si="56"/>
        <v>6.2026601796994554E-3</v>
      </c>
      <c r="EG52" s="302">
        <f t="shared" si="89"/>
        <v>1.2611450984473385E-2</v>
      </c>
      <c r="EH52" s="88">
        <f t="shared" si="57"/>
        <v>2.488095107309609E-2</v>
      </c>
      <c r="EJ52" s="316">
        <v>2026</v>
      </c>
      <c r="EK52" s="302" t="e">
        <f t="shared" si="90"/>
        <v>#REF!</v>
      </c>
      <c r="EL52" s="88" t="e">
        <f t="shared" si="58"/>
        <v>#REF!</v>
      </c>
      <c r="EM52" s="302">
        <f t="shared" si="91"/>
        <v>0.33090826641695675</v>
      </c>
      <c r="EN52" s="88" t="e">
        <f t="shared" si="59"/>
        <v>#REF!</v>
      </c>
      <c r="EO52" s="88" t="e">
        <f t="shared" si="59"/>
        <v>#REF!</v>
      </c>
      <c r="EP52" s="88" t="e">
        <f t="shared" si="59"/>
        <v>#REF!</v>
      </c>
      <c r="ER52" s="316">
        <v>2026</v>
      </c>
      <c r="ES52" s="317">
        <f t="shared" si="60"/>
        <v>121903.09700000001</v>
      </c>
      <c r="ET52" s="61">
        <v>13866.558000000001</v>
      </c>
      <c r="EU52" s="61">
        <v>71231.392000000007</v>
      </c>
      <c r="EV52" s="61">
        <v>36805.146999999997</v>
      </c>
      <c r="EW52" s="88">
        <f t="shared" si="49"/>
        <v>0.11375066213453133</v>
      </c>
      <c r="EX52" s="88">
        <f t="shared" si="49"/>
        <v>0.58432799291391258</v>
      </c>
      <c r="EY52" s="88">
        <f t="shared" si="49"/>
        <v>0.30192134495155604</v>
      </c>
      <c r="EZ52" s="88">
        <f t="shared" si="50"/>
        <v>-1.0875053917863836E-3</v>
      </c>
      <c r="FA52" s="88">
        <f t="shared" si="50"/>
        <v>-7.7166847248089088E-4</v>
      </c>
      <c r="FB52" s="88">
        <f t="shared" si="50"/>
        <v>1.8591738642672051E-3</v>
      </c>
      <c r="FD52" s="316">
        <v>2026</v>
      </c>
      <c r="FE52" s="308">
        <f t="shared" si="92"/>
        <v>3.2500000000000003E-3</v>
      </c>
      <c r="FF52" s="159">
        <v>4.0000000000000001E-3</v>
      </c>
      <c r="FG52" s="308">
        <f t="shared" si="92"/>
        <v>1.975E-2</v>
      </c>
      <c r="FH52" s="159">
        <v>0.02</v>
      </c>
      <c r="FI52" s="319">
        <f t="shared" si="45"/>
        <v>-1.6500000000000001E-2</v>
      </c>
      <c r="FK52" s="345" t="e">
        <f t="shared" si="61"/>
        <v>#REF!</v>
      </c>
      <c r="FL52" s="345">
        <f t="shared" si="62"/>
        <v>-3.8015871933097523E-3</v>
      </c>
      <c r="FM52" s="345">
        <f t="shared" si="63"/>
        <v>-1.7582820302862352E-3</v>
      </c>
      <c r="FO52" s="316">
        <v>2026</v>
      </c>
      <c r="FP52" s="46" t="e">
        <f t="shared" si="64"/>
        <v>#REF!</v>
      </c>
      <c r="FQ52" s="46" t="e">
        <f t="shared" si="65"/>
        <v>#REF!</v>
      </c>
      <c r="FR52" s="46" t="e">
        <f t="shared" si="66"/>
        <v>#REF!</v>
      </c>
      <c r="FS52" s="46" t="e">
        <f t="shared" si="67"/>
        <v>#REF!</v>
      </c>
      <c r="FT52" s="46" t="e">
        <f t="shared" si="68"/>
        <v>#REF!</v>
      </c>
      <c r="FU52" s="46" t="e">
        <f t="shared" si="69"/>
        <v>#REF!</v>
      </c>
      <c r="FV52" s="285" t="e">
        <f t="shared" si="38"/>
        <v>#REF!</v>
      </c>
    </row>
    <row r="53" spans="17:178">
      <c r="Q53" s="316">
        <v>2027</v>
      </c>
      <c r="R53" s="46" t="e">
        <f t="shared" si="70"/>
        <v>#REF!</v>
      </c>
      <c r="S53" s="46" t="e">
        <f t="shared" si="71"/>
        <v>#REF!</v>
      </c>
      <c r="T53" s="46">
        <f t="shared" si="72"/>
        <v>221687.39150744709</v>
      </c>
      <c r="U53" s="46" t="e">
        <f t="shared" si="71"/>
        <v>#REF!</v>
      </c>
      <c r="V53" s="46" t="e">
        <f t="shared" si="71"/>
        <v>#REF!</v>
      </c>
      <c r="W53" s="46" t="e">
        <f t="shared" si="71"/>
        <v>#REF!</v>
      </c>
      <c r="Y53" s="316">
        <v>2027</v>
      </c>
      <c r="Z53" s="46" t="e">
        <f t="shared" si="73"/>
        <v>#REF!</v>
      </c>
      <c r="AA53" s="46" t="e">
        <f t="shared" si="74"/>
        <v>#REF!</v>
      </c>
      <c r="AB53" s="46" t="e">
        <f t="shared" si="73"/>
        <v>#REF!</v>
      </c>
      <c r="AC53" s="46" t="e">
        <f t="shared" si="74"/>
        <v>#REF!</v>
      </c>
      <c r="AD53" s="46" t="e">
        <f t="shared" si="74"/>
        <v>#REF!</v>
      </c>
      <c r="AE53" s="46" t="e">
        <f t="shared" si="74"/>
        <v>#REF!</v>
      </c>
      <c r="AG53" s="316">
        <v>2027</v>
      </c>
      <c r="AH53" s="48" t="e">
        <f t="shared" si="75"/>
        <v>#REF!</v>
      </c>
      <c r="AI53" s="48" t="e">
        <f t="shared" si="51"/>
        <v>#REF!</v>
      </c>
      <c r="AJ53" s="48" t="e">
        <f t="shared" si="51"/>
        <v>#REF!</v>
      </c>
      <c r="AK53" s="48" t="e">
        <f t="shared" si="51"/>
        <v>#REF!</v>
      </c>
      <c r="AL53" s="48" t="e">
        <f t="shared" si="51"/>
        <v>#REF!</v>
      </c>
      <c r="AM53" s="48" t="e">
        <f t="shared" si="51"/>
        <v>#REF!</v>
      </c>
      <c r="AO53" s="316">
        <v>2027</v>
      </c>
      <c r="AP53" s="302">
        <f t="shared" si="93"/>
        <v>5.0000000000000001E-3</v>
      </c>
      <c r="AQ53" s="62">
        <v>5.0000000000000001E-3</v>
      </c>
      <c r="AR53" s="44"/>
      <c r="AS53" s="316">
        <v>2027</v>
      </c>
      <c r="AT53" s="345">
        <f t="shared" si="76"/>
        <v>5.0000000000000001E-3</v>
      </c>
      <c r="AU53" s="345">
        <f t="shared" si="77"/>
        <v>5.0000000000000001E-3</v>
      </c>
      <c r="AV53" s="345">
        <f t="shared" si="77"/>
        <v>5.0000000000000001E-3</v>
      </c>
      <c r="AW53" s="345">
        <f t="shared" si="77"/>
        <v>5.0000000000000001E-3</v>
      </c>
      <c r="AX53" s="345">
        <f t="shared" si="77"/>
        <v>5.0000000000000001E-3</v>
      </c>
      <c r="AY53" s="345">
        <f t="shared" si="77"/>
        <v>5.0000000000000001E-3</v>
      </c>
      <c r="BQ53" s="316">
        <v>2027</v>
      </c>
      <c r="BR53" s="346" t="e">
        <f t="shared" si="78"/>
        <v>#REF!</v>
      </c>
      <c r="BS53" s="300">
        <f t="shared" si="94"/>
        <v>651.86</v>
      </c>
      <c r="BT53" s="346" t="e">
        <f t="shared" si="78"/>
        <v>#REF!</v>
      </c>
      <c r="BU53" s="300">
        <f t="shared" si="94"/>
        <v>3952.1800000000003</v>
      </c>
      <c r="BV53" s="346">
        <f t="shared" si="79"/>
        <v>8433.6664530135222</v>
      </c>
      <c r="BW53" s="300">
        <f t="shared" si="94"/>
        <v>15853.52</v>
      </c>
      <c r="BY53" s="316">
        <v>2027</v>
      </c>
      <c r="BZ53" s="46" t="e">
        <f t="shared" si="80"/>
        <v>#REF!</v>
      </c>
      <c r="CA53" s="46" t="e">
        <f t="shared" si="81"/>
        <v>#REF!</v>
      </c>
      <c r="CB53" s="46" t="e">
        <f t="shared" si="80"/>
        <v>#REF!</v>
      </c>
      <c r="CC53" s="46" t="e">
        <f t="shared" si="81"/>
        <v>#REF!</v>
      </c>
      <c r="CD53" s="46" t="e">
        <f t="shared" si="81"/>
        <v>#REF!</v>
      </c>
      <c r="CE53" s="46" t="e">
        <f t="shared" si="81"/>
        <v>#REF!</v>
      </c>
      <c r="CG53" s="316">
        <v>2027</v>
      </c>
      <c r="CH53" s="48" t="e">
        <f t="shared" si="82"/>
        <v>#REF!</v>
      </c>
      <c r="CI53" s="48" t="e">
        <f t="shared" si="53"/>
        <v>#REF!</v>
      </c>
      <c r="CJ53" s="48" t="e">
        <f t="shared" si="53"/>
        <v>#REF!</v>
      </c>
      <c r="CK53" s="48" t="e">
        <f t="shared" si="53"/>
        <v>#REF!</v>
      </c>
      <c r="CL53" s="48" t="e">
        <f t="shared" si="53"/>
        <v>#REF!</v>
      </c>
      <c r="CM53" s="48" t="e">
        <f t="shared" si="53"/>
        <v>#REF!</v>
      </c>
      <c r="CO53" s="316">
        <v>2027</v>
      </c>
      <c r="CP53" s="302">
        <f t="shared" si="95"/>
        <v>5.0000000000000001E-3</v>
      </c>
      <c r="CQ53" s="62">
        <v>5.0000000000000001E-3</v>
      </c>
      <c r="CR53" s="45"/>
      <c r="CS53" s="316">
        <v>2027</v>
      </c>
      <c r="CT53" s="345">
        <f t="shared" si="83"/>
        <v>5.0000000000000001E-3</v>
      </c>
      <c r="CU53" s="345">
        <f t="shared" si="84"/>
        <v>5.0000000000000001E-3</v>
      </c>
      <c r="CV53" s="345">
        <f t="shared" si="84"/>
        <v>5.0000000000000001E-3</v>
      </c>
      <c r="CW53" s="345">
        <f t="shared" si="84"/>
        <v>5.0000000000000001E-3</v>
      </c>
      <c r="CX53" s="345">
        <f t="shared" si="84"/>
        <v>5.0000000000000001E-3</v>
      </c>
      <c r="CY53" s="345">
        <f t="shared" si="84"/>
        <v>5.0000000000000001E-3</v>
      </c>
      <c r="DA53" s="316">
        <v>2027</v>
      </c>
      <c r="DI53" s="316">
        <v>2027</v>
      </c>
      <c r="DJ53" s="342">
        <f t="shared" si="85"/>
        <v>5.4578461123575117E-2</v>
      </c>
      <c r="DK53" s="342">
        <f t="shared" si="55"/>
        <v>5.2846375232781996E-2</v>
      </c>
      <c r="DL53" s="342">
        <f t="shared" si="55"/>
        <v>7.9439706437485907E-2</v>
      </c>
      <c r="DM53" s="342">
        <f t="shared" si="55"/>
        <v>7.8047656202805071E-2</v>
      </c>
      <c r="DN53" s="342">
        <f t="shared" si="55"/>
        <v>3.0813343576845377E-2</v>
      </c>
      <c r="DO53" s="342">
        <f t="shared" si="55"/>
        <v>1.9429157715118835E-2</v>
      </c>
      <c r="DQ53" s="316">
        <v>2027</v>
      </c>
      <c r="DR53" s="46">
        <f t="shared" si="86"/>
        <v>658925</v>
      </c>
      <c r="DS53" s="61">
        <v>664.4</v>
      </c>
      <c r="DT53" s="46">
        <f t="shared" si="86"/>
        <v>614643.16890292091</v>
      </c>
      <c r="DU53" s="61">
        <v>617.52170481841404</v>
      </c>
      <c r="DW53" s="46">
        <f t="shared" si="87"/>
        <v>658189.31965415226</v>
      </c>
      <c r="DX53" s="61">
        <v>663.6582068948951</v>
      </c>
      <c r="DY53" s="46">
        <f t="shared" si="88"/>
        <v>613956.92858866451</v>
      </c>
      <c r="DZ53" s="61">
        <v>616.83225065994486</v>
      </c>
      <c r="EB53" s="316">
        <v>2027</v>
      </c>
      <c r="EC53" s="88" t="e">
        <f t="shared" si="56"/>
        <v>#REF!</v>
      </c>
      <c r="ED53" s="88">
        <f t="shared" si="56"/>
        <v>9.8927799066661601E-4</v>
      </c>
      <c r="EE53" s="88" t="e">
        <f t="shared" si="56"/>
        <v>#REF!</v>
      </c>
      <c r="EF53" s="88">
        <f t="shared" si="56"/>
        <v>5.997920855939599E-3</v>
      </c>
      <c r="EG53" s="302">
        <f t="shared" si="89"/>
        <v>1.2799129571671317E-2</v>
      </c>
      <c r="EH53" s="88">
        <f t="shared" si="57"/>
        <v>2.4059672952156923E-2</v>
      </c>
      <c r="EJ53" s="316">
        <v>2027</v>
      </c>
      <c r="EK53" s="302" t="e">
        <f t="shared" si="90"/>
        <v>#REF!</v>
      </c>
      <c r="EL53" s="88" t="e">
        <f t="shared" si="58"/>
        <v>#REF!</v>
      </c>
      <c r="EM53" s="302">
        <f t="shared" si="91"/>
        <v>0.33681402126660676</v>
      </c>
      <c r="EN53" s="88" t="e">
        <f t="shared" si="59"/>
        <v>#REF!</v>
      </c>
      <c r="EO53" s="88" t="e">
        <f t="shared" si="59"/>
        <v>#REF!</v>
      </c>
      <c r="EP53" s="88" t="e">
        <f t="shared" si="59"/>
        <v>#REF!</v>
      </c>
      <c r="ER53" s="316">
        <v>2027</v>
      </c>
      <c r="ES53" s="317">
        <f t="shared" si="60"/>
        <v>121239.693</v>
      </c>
      <c r="ET53" s="61">
        <v>13683.683999999999</v>
      </c>
      <c r="EU53" s="61">
        <v>70715.53</v>
      </c>
      <c r="EV53" s="61">
        <v>36840.478999999999</v>
      </c>
      <c r="EW53" s="88">
        <f t="shared" si="49"/>
        <v>0.11286471997252583</v>
      </c>
      <c r="EX53" s="88">
        <f t="shared" si="49"/>
        <v>0.58327044757528379</v>
      </c>
      <c r="EY53" s="88">
        <f t="shared" si="49"/>
        <v>0.30386483245219037</v>
      </c>
      <c r="EZ53" s="88">
        <f t="shared" si="50"/>
        <v>-8.8594216200550691E-4</v>
      </c>
      <c r="FA53" s="88">
        <f t="shared" si="50"/>
        <v>-1.0575453386287847E-3</v>
      </c>
      <c r="FB53" s="88">
        <f t="shared" si="50"/>
        <v>1.9434875006343333E-3</v>
      </c>
      <c r="FD53" s="316">
        <v>2027</v>
      </c>
      <c r="FE53" s="308">
        <f t="shared" si="92"/>
        <v>8.5000000000000006E-3</v>
      </c>
      <c r="FF53" s="159">
        <v>0.01</v>
      </c>
      <c r="FG53" s="308">
        <f t="shared" si="92"/>
        <v>1.925E-2</v>
      </c>
      <c r="FH53" s="159">
        <v>1.9E-2</v>
      </c>
      <c r="FI53" s="319">
        <f t="shared" si="45"/>
        <v>-1.0749999999999999E-2</v>
      </c>
      <c r="FK53" s="345" t="e">
        <f t="shared" si="61"/>
        <v>#REF!</v>
      </c>
      <c r="FL53" s="345">
        <f t="shared" si="62"/>
        <v>-6.994801973884246E-3</v>
      </c>
      <c r="FM53" s="345">
        <f t="shared" si="63"/>
        <v>-1.2492582644050496E-3</v>
      </c>
      <c r="FO53" s="316">
        <v>2027</v>
      </c>
      <c r="FP53" s="46" t="e">
        <f t="shared" si="64"/>
        <v>#REF!</v>
      </c>
      <c r="FQ53" s="46" t="e">
        <f t="shared" si="65"/>
        <v>#REF!</v>
      </c>
      <c r="FR53" s="46" t="e">
        <f t="shared" si="66"/>
        <v>#REF!</v>
      </c>
      <c r="FS53" s="46" t="e">
        <f t="shared" si="67"/>
        <v>#REF!</v>
      </c>
      <c r="FT53" s="46" t="e">
        <f t="shared" si="68"/>
        <v>#REF!</v>
      </c>
      <c r="FU53" s="46" t="e">
        <f t="shared" si="69"/>
        <v>#REF!</v>
      </c>
      <c r="FV53" s="285" t="e">
        <f t="shared" si="38"/>
        <v>#REF!</v>
      </c>
    </row>
    <row r="54" spans="17:178">
      <c r="Q54" s="316">
        <v>2028</v>
      </c>
      <c r="R54" s="46" t="e">
        <f t="shared" si="70"/>
        <v>#REF!</v>
      </c>
      <c r="S54" s="46" t="e">
        <f t="shared" si="71"/>
        <v>#REF!</v>
      </c>
      <c r="T54" s="46">
        <f t="shared" si="72"/>
        <v>234605.63565116609</v>
      </c>
      <c r="U54" s="46" t="e">
        <f t="shared" si="71"/>
        <v>#REF!</v>
      </c>
      <c r="V54" s="46" t="e">
        <f t="shared" si="71"/>
        <v>#REF!</v>
      </c>
      <c r="W54" s="46" t="e">
        <f t="shared" si="71"/>
        <v>#REF!</v>
      </c>
      <c r="Y54" s="316">
        <v>2028</v>
      </c>
      <c r="Z54" s="46" t="e">
        <f t="shared" si="73"/>
        <v>#REF!</v>
      </c>
      <c r="AA54" s="46" t="e">
        <f t="shared" si="74"/>
        <v>#REF!</v>
      </c>
      <c r="AB54" s="46" t="e">
        <f t="shared" si="73"/>
        <v>#REF!</v>
      </c>
      <c r="AC54" s="46" t="e">
        <f t="shared" si="74"/>
        <v>#REF!</v>
      </c>
      <c r="AD54" s="46" t="e">
        <f t="shared" si="74"/>
        <v>#REF!</v>
      </c>
      <c r="AE54" s="46" t="e">
        <f t="shared" si="74"/>
        <v>#REF!</v>
      </c>
      <c r="AG54" s="316">
        <v>2028</v>
      </c>
      <c r="AH54" s="48" t="e">
        <f t="shared" si="75"/>
        <v>#REF!</v>
      </c>
      <c r="AI54" s="48" t="e">
        <f t="shared" si="51"/>
        <v>#REF!</v>
      </c>
      <c r="AJ54" s="48" t="e">
        <f t="shared" si="51"/>
        <v>#REF!</v>
      </c>
      <c r="AK54" s="48" t="e">
        <f t="shared" si="51"/>
        <v>#REF!</v>
      </c>
      <c r="AL54" s="48" t="e">
        <f t="shared" si="51"/>
        <v>#REF!</v>
      </c>
      <c r="AM54" s="48" t="e">
        <f t="shared" si="51"/>
        <v>#REF!</v>
      </c>
      <c r="AO54" s="316">
        <v>2028</v>
      </c>
      <c r="AP54" s="302">
        <f t="shared" si="93"/>
        <v>5.0000000000000001E-3</v>
      </c>
      <c r="AQ54" s="62">
        <v>5.0000000000000001E-3</v>
      </c>
      <c r="AR54" s="44"/>
      <c r="AS54" s="316">
        <v>2028</v>
      </c>
      <c r="AT54" s="345">
        <f t="shared" si="76"/>
        <v>5.0000000000000001E-3</v>
      </c>
      <c r="AU54" s="345">
        <f t="shared" si="77"/>
        <v>5.0000000000000001E-3</v>
      </c>
      <c r="AV54" s="345">
        <f t="shared" si="77"/>
        <v>5.0000000000000001E-3</v>
      </c>
      <c r="AW54" s="345">
        <f t="shared" si="77"/>
        <v>5.0000000000000001E-3</v>
      </c>
      <c r="AX54" s="345">
        <f t="shared" si="77"/>
        <v>5.0000000000000001E-3</v>
      </c>
      <c r="AY54" s="345">
        <f t="shared" si="77"/>
        <v>5.0000000000000001E-3</v>
      </c>
      <c r="BQ54" s="316">
        <v>2028</v>
      </c>
      <c r="BR54" s="346" t="e">
        <f t="shared" si="78"/>
        <v>#REF!</v>
      </c>
      <c r="BS54" s="300">
        <f t="shared" si="94"/>
        <v>651.86</v>
      </c>
      <c r="BT54" s="346" t="e">
        <f t="shared" si="78"/>
        <v>#REF!</v>
      </c>
      <c r="BU54" s="300">
        <f t="shared" si="94"/>
        <v>3952.1800000000003</v>
      </c>
      <c r="BV54" s="346">
        <f t="shared" si="79"/>
        <v>8698.6643424424274</v>
      </c>
      <c r="BW54" s="300">
        <f t="shared" si="94"/>
        <v>15853.52</v>
      </c>
      <c r="BY54" s="316">
        <v>2028</v>
      </c>
      <c r="BZ54" s="46" t="e">
        <f t="shared" si="80"/>
        <v>#REF!</v>
      </c>
      <c r="CA54" s="46" t="e">
        <f t="shared" si="81"/>
        <v>#REF!</v>
      </c>
      <c r="CB54" s="46" t="e">
        <f t="shared" si="80"/>
        <v>#REF!</v>
      </c>
      <c r="CC54" s="46" t="e">
        <f t="shared" si="81"/>
        <v>#REF!</v>
      </c>
      <c r="CD54" s="46" t="e">
        <f t="shared" si="81"/>
        <v>#REF!</v>
      </c>
      <c r="CE54" s="46" t="e">
        <f t="shared" si="81"/>
        <v>#REF!</v>
      </c>
      <c r="CG54" s="316">
        <v>2028</v>
      </c>
      <c r="CH54" s="48" t="e">
        <f t="shared" si="82"/>
        <v>#REF!</v>
      </c>
      <c r="CI54" s="48" t="e">
        <f t="shared" si="53"/>
        <v>#REF!</v>
      </c>
      <c r="CJ54" s="48" t="e">
        <f t="shared" si="53"/>
        <v>#REF!</v>
      </c>
      <c r="CK54" s="48" t="e">
        <f t="shared" si="53"/>
        <v>#REF!</v>
      </c>
      <c r="CL54" s="48" t="e">
        <f t="shared" si="53"/>
        <v>#REF!</v>
      </c>
      <c r="CM54" s="48" t="e">
        <f t="shared" si="53"/>
        <v>#REF!</v>
      </c>
      <c r="CO54" s="316">
        <v>2028</v>
      </c>
      <c r="CP54" s="302">
        <f t="shared" si="95"/>
        <v>5.0000000000000001E-3</v>
      </c>
      <c r="CQ54" s="62">
        <v>5.0000000000000001E-3</v>
      </c>
      <c r="CR54" s="45"/>
      <c r="CS54" s="316">
        <v>2028</v>
      </c>
      <c r="CT54" s="345">
        <f t="shared" si="83"/>
        <v>5.0000000000000001E-3</v>
      </c>
      <c r="CU54" s="345">
        <f t="shared" si="84"/>
        <v>5.0000000000000001E-3</v>
      </c>
      <c r="CV54" s="345">
        <f t="shared" si="84"/>
        <v>5.0000000000000001E-3</v>
      </c>
      <c r="CW54" s="345">
        <f t="shared" si="84"/>
        <v>5.0000000000000001E-3</v>
      </c>
      <c r="CX54" s="345">
        <f t="shared" si="84"/>
        <v>5.0000000000000001E-3</v>
      </c>
      <c r="CY54" s="345">
        <f t="shared" si="84"/>
        <v>5.0000000000000001E-3</v>
      </c>
      <c r="DA54" s="316">
        <v>2028</v>
      </c>
      <c r="DI54" s="316">
        <v>2028</v>
      </c>
      <c r="DJ54" s="342">
        <f t="shared" si="85"/>
        <v>5.4578246094081864E-2</v>
      </c>
      <c r="DK54" s="342">
        <f t="shared" si="55"/>
        <v>5.2854009275639234E-2</v>
      </c>
      <c r="DL54" s="342">
        <f t="shared" si="55"/>
        <v>7.9442036618761411E-2</v>
      </c>
      <c r="DM54" s="342">
        <f t="shared" si="55"/>
        <v>7.8045281701739147E-2</v>
      </c>
      <c r="DN54" s="342">
        <f t="shared" si="55"/>
        <v>3.0825614072235597E-2</v>
      </c>
      <c r="DO54" s="342">
        <f t="shared" si="55"/>
        <v>1.942519556768204E-2</v>
      </c>
      <c r="DQ54" s="316">
        <v>2028</v>
      </c>
      <c r="DR54" s="46">
        <f t="shared" si="86"/>
        <v>680975</v>
      </c>
      <c r="DS54" s="61">
        <v>686.5</v>
      </c>
      <c r="DT54" s="46">
        <f t="shared" si="86"/>
        <v>626321.38911207637</v>
      </c>
      <c r="DU54" s="61">
        <v>629.25461720996384</v>
      </c>
      <c r="DW54" s="46">
        <f t="shared" si="87"/>
        <v>680214.70114426746</v>
      </c>
      <c r="DX54" s="61">
        <v>685.73353256072483</v>
      </c>
      <c r="DY54" s="46">
        <f t="shared" si="88"/>
        <v>625622.11023184913</v>
      </c>
      <c r="DZ54" s="61">
        <v>628.5520634224838</v>
      </c>
      <c r="EB54" s="316">
        <v>2028</v>
      </c>
      <c r="EC54" s="88" t="e">
        <f t="shared" si="56"/>
        <v>#REF!</v>
      </c>
      <c r="ED54" s="88">
        <f t="shared" si="56"/>
        <v>9.5724512647307172E-4</v>
      </c>
      <c r="EE54" s="88" t="e">
        <f t="shared" si="56"/>
        <v>#REF!</v>
      </c>
      <c r="EF54" s="88">
        <f t="shared" si="56"/>
        <v>5.803707918792908E-3</v>
      </c>
      <c r="EG54" s="302">
        <f t="shared" si="89"/>
        <v>1.2773838015261099E-2</v>
      </c>
      <c r="EH54" s="88">
        <f t="shared" si="57"/>
        <v>2.328061969969529E-2</v>
      </c>
      <c r="EJ54" s="316">
        <v>2028</v>
      </c>
      <c r="EK54" s="302" t="e">
        <f t="shared" si="90"/>
        <v>#REF!</v>
      </c>
      <c r="EL54" s="88" t="e">
        <f t="shared" si="58"/>
        <v>#REF!</v>
      </c>
      <c r="EM54" s="302">
        <f t="shared" si="91"/>
        <v>0.34489939023150917</v>
      </c>
      <c r="EN54" s="88" t="e">
        <f t="shared" si="59"/>
        <v>#REF!</v>
      </c>
      <c r="EO54" s="88" t="e">
        <f t="shared" si="59"/>
        <v>#REF!</v>
      </c>
      <c r="EP54" s="88" t="e">
        <f t="shared" si="59"/>
        <v>#REF!</v>
      </c>
      <c r="ER54" s="316">
        <v>2028</v>
      </c>
      <c r="ES54" s="317">
        <f t="shared" si="60"/>
        <v>120555.14199999999</v>
      </c>
      <c r="ET54" s="61">
        <v>13502.431</v>
      </c>
      <c r="EU54" s="61">
        <v>70147.364000000001</v>
      </c>
      <c r="EV54" s="61">
        <v>36905.347000000002</v>
      </c>
      <c r="EW54" s="88">
        <f t="shared" si="49"/>
        <v>0.11200211601094544</v>
      </c>
      <c r="EX54" s="88">
        <f t="shared" si="49"/>
        <v>0.58186953153769261</v>
      </c>
      <c r="EY54" s="88">
        <f t="shared" si="49"/>
        <v>0.30612835245136211</v>
      </c>
      <c r="EZ54" s="88">
        <f t="shared" si="50"/>
        <v>-8.6260396158038821E-4</v>
      </c>
      <c r="FA54" s="88">
        <f t="shared" si="50"/>
        <v>-1.4009160375911822E-3</v>
      </c>
      <c r="FB54" s="88">
        <f t="shared" si="50"/>
        <v>2.263519999171737E-3</v>
      </c>
      <c r="FD54" s="316">
        <v>2028</v>
      </c>
      <c r="FE54" s="308">
        <f t="shared" si="92"/>
        <v>1.5250000000000001E-2</v>
      </c>
      <c r="FF54" s="159">
        <v>1.7000000000000001E-2</v>
      </c>
      <c r="FG54" s="308">
        <f t="shared" si="92"/>
        <v>1.9E-2</v>
      </c>
      <c r="FH54" s="159">
        <v>1.9E-2</v>
      </c>
      <c r="FI54" s="319">
        <f t="shared" si="45"/>
        <v>-3.7499999999999981E-3</v>
      </c>
      <c r="FK54" s="345" t="e">
        <f t="shared" si="61"/>
        <v>#REF!</v>
      </c>
      <c r="FL54" s="345">
        <f t="shared" si="62"/>
        <v>-9.4780184142235768E-3</v>
      </c>
      <c r="FM54" s="345">
        <f t="shared" si="63"/>
        <v>-1.2122279194485951E-3</v>
      </c>
      <c r="FO54" s="316">
        <v>2028</v>
      </c>
      <c r="FP54" s="46" t="e">
        <f t="shared" si="64"/>
        <v>#REF!</v>
      </c>
      <c r="FQ54" s="46" t="e">
        <f t="shared" si="65"/>
        <v>#REF!</v>
      </c>
      <c r="FR54" s="46" t="e">
        <f t="shared" si="66"/>
        <v>#REF!</v>
      </c>
      <c r="FS54" s="46" t="e">
        <f t="shared" si="67"/>
        <v>#REF!</v>
      </c>
      <c r="FT54" s="46" t="e">
        <f t="shared" si="68"/>
        <v>#REF!</v>
      </c>
      <c r="FU54" s="46" t="e">
        <f t="shared" si="69"/>
        <v>#REF!</v>
      </c>
      <c r="FV54" s="285" t="e">
        <f t="shared" si="38"/>
        <v>#REF!</v>
      </c>
    </row>
    <row r="55" spans="17:178">
      <c r="Q55" s="316">
        <v>2029</v>
      </c>
      <c r="R55" s="46" t="e">
        <f t="shared" si="70"/>
        <v>#REF!</v>
      </c>
      <c r="S55" s="46" t="e">
        <f t="shared" si="71"/>
        <v>#REF!</v>
      </c>
      <c r="T55" s="46">
        <f t="shared" si="72"/>
        <v>249154.81668449935</v>
      </c>
      <c r="U55" s="46" t="e">
        <f t="shared" si="71"/>
        <v>#REF!</v>
      </c>
      <c r="V55" s="46" t="e">
        <f t="shared" si="71"/>
        <v>#REF!</v>
      </c>
      <c r="W55" s="46" t="e">
        <f t="shared" si="71"/>
        <v>#REF!</v>
      </c>
      <c r="Y55" s="316">
        <v>2029</v>
      </c>
      <c r="Z55" s="46" t="e">
        <f t="shared" si="73"/>
        <v>#REF!</v>
      </c>
      <c r="AA55" s="46" t="e">
        <f t="shared" si="74"/>
        <v>#REF!</v>
      </c>
      <c r="AB55" s="46" t="e">
        <f t="shared" si="73"/>
        <v>#REF!</v>
      </c>
      <c r="AC55" s="46" t="e">
        <f t="shared" si="74"/>
        <v>#REF!</v>
      </c>
      <c r="AD55" s="46" t="e">
        <f t="shared" si="74"/>
        <v>#REF!</v>
      </c>
      <c r="AE55" s="46" t="e">
        <f t="shared" si="74"/>
        <v>#REF!</v>
      </c>
      <c r="AG55" s="316">
        <v>2029</v>
      </c>
      <c r="AH55" s="48" t="e">
        <f t="shared" si="75"/>
        <v>#REF!</v>
      </c>
      <c r="AI55" s="48" t="e">
        <f t="shared" si="51"/>
        <v>#REF!</v>
      </c>
      <c r="AJ55" s="48" t="e">
        <f t="shared" si="51"/>
        <v>#REF!</v>
      </c>
      <c r="AK55" s="48" t="e">
        <f t="shared" si="51"/>
        <v>#REF!</v>
      </c>
      <c r="AL55" s="48" t="e">
        <f t="shared" si="51"/>
        <v>#REF!</v>
      </c>
      <c r="AM55" s="48" t="e">
        <f t="shared" si="51"/>
        <v>#REF!</v>
      </c>
      <c r="AO55" s="316">
        <v>2029</v>
      </c>
      <c r="AP55" s="302">
        <f t="shared" si="93"/>
        <v>5.0000000000000001E-3</v>
      </c>
      <c r="AQ55" s="62">
        <v>5.0000000000000001E-3</v>
      </c>
      <c r="AR55" s="44"/>
      <c r="AS55" s="316">
        <v>2029</v>
      </c>
      <c r="AT55" s="345">
        <f t="shared" si="76"/>
        <v>5.0000000000000001E-3</v>
      </c>
      <c r="AU55" s="345">
        <f t="shared" si="77"/>
        <v>5.0000000000000001E-3</v>
      </c>
      <c r="AV55" s="345">
        <f t="shared" si="77"/>
        <v>5.0000000000000001E-3</v>
      </c>
      <c r="AW55" s="345">
        <f t="shared" si="77"/>
        <v>5.0000000000000001E-3</v>
      </c>
      <c r="AX55" s="345">
        <f t="shared" si="77"/>
        <v>5.0000000000000001E-3</v>
      </c>
      <c r="AY55" s="345">
        <f t="shared" si="77"/>
        <v>5.0000000000000001E-3</v>
      </c>
      <c r="BQ55" s="316">
        <v>2029</v>
      </c>
      <c r="BR55" s="346" t="e">
        <f t="shared" si="78"/>
        <v>#REF!</v>
      </c>
      <c r="BS55" s="300">
        <f t="shared" si="94"/>
        <v>651.86</v>
      </c>
      <c r="BT55" s="346" t="e">
        <f t="shared" si="78"/>
        <v>#REF!</v>
      </c>
      <c r="BU55" s="300">
        <f t="shared" si="94"/>
        <v>3952.1800000000003</v>
      </c>
      <c r="BV55" s="346">
        <f t="shared" si="79"/>
        <v>9044.4440098119048</v>
      </c>
      <c r="BW55" s="300">
        <f t="shared" si="94"/>
        <v>15853.52</v>
      </c>
      <c r="BY55" s="316">
        <v>2029</v>
      </c>
      <c r="BZ55" s="46" t="e">
        <f t="shared" si="80"/>
        <v>#REF!</v>
      </c>
      <c r="CA55" s="46" t="e">
        <f t="shared" si="81"/>
        <v>#REF!</v>
      </c>
      <c r="CB55" s="46" t="e">
        <f t="shared" si="80"/>
        <v>#REF!</v>
      </c>
      <c r="CC55" s="46" t="e">
        <f t="shared" si="81"/>
        <v>#REF!</v>
      </c>
      <c r="CD55" s="46" t="e">
        <f t="shared" si="81"/>
        <v>#REF!</v>
      </c>
      <c r="CE55" s="46" t="e">
        <f t="shared" si="81"/>
        <v>#REF!</v>
      </c>
      <c r="CG55" s="316">
        <v>2029</v>
      </c>
      <c r="CH55" s="48" t="e">
        <f t="shared" si="82"/>
        <v>#REF!</v>
      </c>
      <c r="CI55" s="48" t="e">
        <f t="shared" si="53"/>
        <v>#REF!</v>
      </c>
      <c r="CJ55" s="48" t="e">
        <f t="shared" si="53"/>
        <v>#REF!</v>
      </c>
      <c r="CK55" s="48" t="e">
        <f t="shared" si="53"/>
        <v>#REF!</v>
      </c>
      <c r="CL55" s="48" t="e">
        <f t="shared" si="53"/>
        <v>#REF!</v>
      </c>
      <c r="CM55" s="48" t="e">
        <f t="shared" si="53"/>
        <v>#REF!</v>
      </c>
      <c r="CO55" s="316">
        <v>2029</v>
      </c>
      <c r="CP55" s="302">
        <f t="shared" si="95"/>
        <v>5.0000000000000001E-3</v>
      </c>
      <c r="CQ55" s="62">
        <v>5.0000000000000001E-3</v>
      </c>
      <c r="CR55" s="45"/>
      <c r="CS55" s="316">
        <v>2029</v>
      </c>
      <c r="CT55" s="345">
        <f t="shared" si="83"/>
        <v>5.0000000000000001E-3</v>
      </c>
      <c r="CU55" s="345">
        <f t="shared" si="84"/>
        <v>5.0000000000000001E-3</v>
      </c>
      <c r="CV55" s="345">
        <f t="shared" si="84"/>
        <v>5.0000000000000001E-3</v>
      </c>
      <c r="CW55" s="345">
        <f t="shared" si="84"/>
        <v>5.0000000000000001E-3</v>
      </c>
      <c r="CX55" s="345">
        <f t="shared" si="84"/>
        <v>5.0000000000000001E-3</v>
      </c>
      <c r="CY55" s="345">
        <f t="shared" si="84"/>
        <v>5.0000000000000001E-3</v>
      </c>
      <c r="DA55" s="316">
        <v>2029</v>
      </c>
      <c r="DI55" s="316">
        <v>2029</v>
      </c>
      <c r="DJ55" s="342">
        <f t="shared" si="85"/>
        <v>5.4581136302495246E-2</v>
      </c>
      <c r="DK55" s="342">
        <f t="shared" si="55"/>
        <v>5.2856888706021662E-2</v>
      </c>
      <c r="DL55" s="342">
        <f t="shared" si="55"/>
        <v>7.9445577897591532E-2</v>
      </c>
      <c r="DM55" s="342">
        <f t="shared" si="55"/>
        <v>7.8031452292785061E-2</v>
      </c>
      <c r="DN55" s="342">
        <f t="shared" si="55"/>
        <v>3.0884447454557522E-2</v>
      </c>
      <c r="DO55" s="342">
        <f t="shared" si="55"/>
        <v>1.9408011771911905E-2</v>
      </c>
      <c r="DQ55" s="316">
        <v>2029</v>
      </c>
      <c r="DR55" s="46">
        <f t="shared" si="86"/>
        <v>703375</v>
      </c>
      <c r="DS55" s="61">
        <v>709</v>
      </c>
      <c r="DT55" s="46">
        <f t="shared" si="86"/>
        <v>637749.55454229831</v>
      </c>
      <c r="DU55" s="61">
        <v>640.58120031974317</v>
      </c>
      <c r="DW55" s="46">
        <f t="shared" si="87"/>
        <v>702589.69186438434</v>
      </c>
      <c r="DX55" s="61">
        <v>708.20841163227078</v>
      </c>
      <c r="DY55" s="46">
        <f t="shared" si="88"/>
        <v>637037.51627868728</v>
      </c>
      <c r="DZ55" s="61">
        <v>639.86600056408849</v>
      </c>
      <c r="EB55" s="316">
        <v>2029</v>
      </c>
      <c r="EC55" s="88" t="e">
        <f t="shared" si="56"/>
        <v>#REF!</v>
      </c>
      <c r="ED55" s="88">
        <f t="shared" si="56"/>
        <v>9.2676026301759381E-4</v>
      </c>
      <c r="EE55" s="88" t="e">
        <f t="shared" si="56"/>
        <v>#REF!</v>
      </c>
      <c r="EF55" s="88">
        <f t="shared" si="56"/>
        <v>5.6188803980806827E-3</v>
      </c>
      <c r="EG55" s="302">
        <f t="shared" si="89"/>
        <v>1.2858637298470808E-2</v>
      </c>
      <c r="EH55" s="88">
        <f t="shared" si="57"/>
        <v>2.2539214501510575E-2</v>
      </c>
      <c r="EJ55" s="316">
        <v>2029</v>
      </c>
      <c r="EK55" s="302" t="e">
        <f t="shared" si="90"/>
        <v>#REF!</v>
      </c>
      <c r="EL55" s="88" t="e">
        <f t="shared" si="58"/>
        <v>#REF!</v>
      </c>
      <c r="EM55" s="302">
        <f t="shared" si="91"/>
        <v>0.35462350155372313</v>
      </c>
      <c r="EN55" s="88" t="e">
        <f t="shared" si="59"/>
        <v>#REF!</v>
      </c>
      <c r="EO55" s="88" t="e">
        <f t="shared" si="59"/>
        <v>#REF!</v>
      </c>
      <c r="EP55" s="88" t="e">
        <f t="shared" si="59"/>
        <v>#REF!</v>
      </c>
      <c r="ER55" s="316">
        <v>2029</v>
      </c>
      <c r="ES55" s="317">
        <f t="shared" si="60"/>
        <v>119850.16800000001</v>
      </c>
      <c r="ET55" s="61">
        <v>13353.079</v>
      </c>
      <c r="EU55" s="61">
        <v>69507.292000000001</v>
      </c>
      <c r="EV55" s="61">
        <v>36989.796999999999</v>
      </c>
      <c r="EW55" s="88">
        <f t="shared" si="49"/>
        <v>0.1114147708161744</v>
      </c>
      <c r="EX55" s="88">
        <f t="shared" si="49"/>
        <v>0.57995156085221344</v>
      </c>
      <c r="EY55" s="88">
        <f t="shared" si="49"/>
        <v>0.30863366833161215</v>
      </c>
      <c r="EZ55" s="88">
        <f t="shared" si="50"/>
        <v>-5.8734519477103564E-4</v>
      </c>
      <c r="FA55" s="88">
        <f t="shared" si="50"/>
        <v>-1.9179706854791645E-3</v>
      </c>
      <c r="FB55" s="88">
        <f t="shared" si="50"/>
        <v>2.5053158802500475E-3</v>
      </c>
      <c r="FD55" s="316">
        <v>2029</v>
      </c>
      <c r="FE55" s="308">
        <f t="shared" si="92"/>
        <v>2.0750000000000001E-2</v>
      </c>
      <c r="FF55" s="159">
        <v>2.2000000000000002E-2</v>
      </c>
      <c r="FG55" s="308">
        <f t="shared" si="92"/>
        <v>1.8250000000000002E-2</v>
      </c>
      <c r="FH55" s="159">
        <v>1.8000000000000002E-2</v>
      </c>
      <c r="FI55" s="319">
        <f t="shared" si="45"/>
        <v>2.4999999999999988E-3</v>
      </c>
      <c r="FK55" s="345" t="e">
        <f t="shared" si="61"/>
        <v>#REF!</v>
      </c>
      <c r="FL55" s="345">
        <f t="shared" si="62"/>
        <v>-9.5933333070495341E-3</v>
      </c>
      <c r="FM55" s="345">
        <f t="shared" si="63"/>
        <v>-6.7980933076449389E-4</v>
      </c>
      <c r="FO55" s="316">
        <v>2029</v>
      </c>
      <c r="FP55" s="46" t="e">
        <f t="shared" si="64"/>
        <v>#REF!</v>
      </c>
      <c r="FQ55" s="46" t="e">
        <f t="shared" si="65"/>
        <v>#REF!</v>
      </c>
      <c r="FR55" s="46" t="e">
        <f t="shared" si="66"/>
        <v>#REF!</v>
      </c>
      <c r="FS55" s="46" t="e">
        <f t="shared" si="67"/>
        <v>#REF!</v>
      </c>
      <c r="FT55" s="46" t="e">
        <f t="shared" si="68"/>
        <v>#REF!</v>
      </c>
      <c r="FU55" s="46" t="e">
        <f t="shared" si="69"/>
        <v>#REF!</v>
      </c>
      <c r="FV55" s="285" t="e">
        <f t="shared" si="38"/>
        <v>#REF!</v>
      </c>
    </row>
    <row r="56" spans="17:178">
      <c r="Q56" s="316">
        <v>2030</v>
      </c>
      <c r="R56" s="46" t="e">
        <f t="shared" si="70"/>
        <v>#REF!</v>
      </c>
      <c r="S56" s="46" t="e">
        <f t="shared" si="71"/>
        <v>#REF!</v>
      </c>
      <c r="T56" s="46">
        <f t="shared" si="72"/>
        <v>263081.65858192317</v>
      </c>
      <c r="U56" s="46" t="e">
        <f t="shared" si="71"/>
        <v>#REF!</v>
      </c>
      <c r="V56" s="46" t="e">
        <f t="shared" si="71"/>
        <v>#REF!</v>
      </c>
      <c r="W56" s="46" t="e">
        <f t="shared" si="71"/>
        <v>#REF!</v>
      </c>
      <c r="Y56" s="316">
        <v>2030</v>
      </c>
      <c r="Z56" s="46" t="e">
        <f t="shared" si="73"/>
        <v>#REF!</v>
      </c>
      <c r="AA56" s="46" t="e">
        <f t="shared" si="74"/>
        <v>#REF!</v>
      </c>
      <c r="AB56" s="46" t="e">
        <f t="shared" si="73"/>
        <v>#REF!</v>
      </c>
      <c r="AC56" s="46" t="e">
        <f t="shared" si="74"/>
        <v>#REF!</v>
      </c>
      <c r="AD56" s="46" t="e">
        <f t="shared" si="74"/>
        <v>#REF!</v>
      </c>
      <c r="AE56" s="46" t="e">
        <f t="shared" si="74"/>
        <v>#REF!</v>
      </c>
      <c r="AG56" s="316">
        <v>2030</v>
      </c>
      <c r="AH56" s="48" t="e">
        <f t="shared" si="75"/>
        <v>#REF!</v>
      </c>
      <c r="AI56" s="48" t="e">
        <f t="shared" si="51"/>
        <v>#REF!</v>
      </c>
      <c r="AJ56" s="48" t="e">
        <f t="shared" si="51"/>
        <v>#REF!</v>
      </c>
      <c r="AK56" s="48" t="e">
        <f t="shared" si="51"/>
        <v>#REF!</v>
      </c>
      <c r="AL56" s="48" t="e">
        <f t="shared" si="51"/>
        <v>#REF!</v>
      </c>
      <c r="AM56" s="48" t="e">
        <f t="shared" si="51"/>
        <v>#REF!</v>
      </c>
      <c r="AO56" s="316">
        <v>2030</v>
      </c>
      <c r="AP56" s="302">
        <f t="shared" si="93"/>
        <v>5.0000000000000001E-3</v>
      </c>
      <c r="AQ56" s="62">
        <v>5.0000000000000001E-3</v>
      </c>
      <c r="AR56" s="44"/>
      <c r="AS56" s="316">
        <v>2030</v>
      </c>
      <c r="AT56" s="345">
        <f t="shared" si="76"/>
        <v>5.0000000000000001E-3</v>
      </c>
      <c r="AU56" s="345">
        <f t="shared" si="77"/>
        <v>5.0000000000000001E-3</v>
      </c>
      <c r="AV56" s="345">
        <f t="shared" si="77"/>
        <v>5.0000000000000001E-3</v>
      </c>
      <c r="AW56" s="345">
        <f t="shared" si="77"/>
        <v>5.0000000000000001E-3</v>
      </c>
      <c r="AX56" s="345">
        <f t="shared" si="77"/>
        <v>5.0000000000000001E-3</v>
      </c>
      <c r="AY56" s="345">
        <f t="shared" si="77"/>
        <v>5.0000000000000001E-3</v>
      </c>
      <c r="BQ56" s="316">
        <v>2030</v>
      </c>
      <c r="BR56" s="346" t="e">
        <f t="shared" si="78"/>
        <v>#REF!</v>
      </c>
      <c r="BS56" s="300">
        <f t="shared" si="94"/>
        <v>651.86</v>
      </c>
      <c r="BT56" s="346" t="e">
        <f t="shared" si="78"/>
        <v>#REF!</v>
      </c>
      <c r="BU56" s="300">
        <f t="shared" si="94"/>
        <v>3952.1800000000003</v>
      </c>
      <c r="BV56" s="346">
        <f t="shared" si="79"/>
        <v>9222.2027800623291</v>
      </c>
      <c r="BW56" s="300">
        <f t="shared" si="94"/>
        <v>15853.52</v>
      </c>
      <c r="BY56" s="316">
        <v>2030</v>
      </c>
      <c r="BZ56" s="46" t="e">
        <f t="shared" si="80"/>
        <v>#REF!</v>
      </c>
      <c r="CA56" s="46" t="e">
        <f t="shared" si="81"/>
        <v>#REF!</v>
      </c>
      <c r="CB56" s="46" t="e">
        <f t="shared" si="80"/>
        <v>#REF!</v>
      </c>
      <c r="CC56" s="46" t="e">
        <f t="shared" si="81"/>
        <v>#REF!</v>
      </c>
      <c r="CD56" s="46" t="e">
        <f t="shared" si="81"/>
        <v>#REF!</v>
      </c>
      <c r="CE56" s="46" t="e">
        <f t="shared" si="81"/>
        <v>#REF!</v>
      </c>
      <c r="CG56" s="316">
        <v>2030</v>
      </c>
      <c r="CH56" s="48" t="e">
        <f t="shared" si="82"/>
        <v>#REF!</v>
      </c>
      <c r="CI56" s="48" t="e">
        <f t="shared" si="53"/>
        <v>#REF!</v>
      </c>
      <c r="CJ56" s="48" t="e">
        <f t="shared" si="53"/>
        <v>#REF!</v>
      </c>
      <c r="CK56" s="48" t="e">
        <f t="shared" si="53"/>
        <v>#REF!</v>
      </c>
      <c r="CL56" s="48" t="e">
        <f t="shared" si="53"/>
        <v>#REF!</v>
      </c>
      <c r="CM56" s="48" t="e">
        <f t="shared" si="53"/>
        <v>#REF!</v>
      </c>
      <c r="CO56" s="316">
        <v>2030</v>
      </c>
      <c r="CP56" s="302">
        <f t="shared" si="95"/>
        <v>5.0000000000000001E-3</v>
      </c>
      <c r="CQ56" s="62">
        <v>5.0000000000000001E-3</v>
      </c>
      <c r="CR56" s="45"/>
      <c r="CS56" s="316">
        <v>2030</v>
      </c>
      <c r="CT56" s="345">
        <f t="shared" si="83"/>
        <v>5.0000000000000001E-3</v>
      </c>
      <c r="CU56" s="345">
        <f t="shared" si="84"/>
        <v>5.0000000000000001E-3</v>
      </c>
      <c r="CV56" s="345">
        <f t="shared" si="84"/>
        <v>5.0000000000000001E-3</v>
      </c>
      <c r="CW56" s="345">
        <f t="shared" si="84"/>
        <v>5.0000000000000001E-3</v>
      </c>
      <c r="CX56" s="345">
        <f t="shared" si="84"/>
        <v>5.0000000000000001E-3</v>
      </c>
      <c r="CY56" s="345">
        <f t="shared" si="84"/>
        <v>5.0000000000000001E-3</v>
      </c>
      <c r="DA56" s="316">
        <v>2030</v>
      </c>
      <c r="DI56" s="316">
        <v>2030</v>
      </c>
      <c r="DJ56" s="342">
        <f t="shared" si="85"/>
        <v>5.4584800245565682E-2</v>
      </c>
      <c r="DK56" s="342">
        <f t="shared" si="55"/>
        <v>5.2856246635953154E-2</v>
      </c>
      <c r="DL56" s="342">
        <f t="shared" si="55"/>
        <v>7.944074624614228E-2</v>
      </c>
      <c r="DM56" s="342">
        <f t="shared" si="55"/>
        <v>7.8048338304789799E-2</v>
      </c>
      <c r="DN56" s="342">
        <f t="shared" si="55"/>
        <v>3.0835645916163168E-2</v>
      </c>
      <c r="DO56" s="342">
        <f t="shared" si="55"/>
        <v>1.9424647818503706E-2</v>
      </c>
      <c r="DQ56" s="316">
        <v>2030</v>
      </c>
      <c r="DR56" s="46">
        <f t="shared" si="86"/>
        <v>726099.99999999988</v>
      </c>
      <c r="DS56" s="61">
        <v>731.8</v>
      </c>
      <c r="DT56" s="46">
        <f t="shared" si="86"/>
        <v>649229.04652405961</v>
      </c>
      <c r="DU56" s="61">
        <v>652.11166192549854</v>
      </c>
      <c r="DW56" s="46">
        <f t="shared" si="87"/>
        <v>725289.31972664571</v>
      </c>
      <c r="DX56" s="61">
        <v>730.98295575810403</v>
      </c>
      <c r="DY56" s="46">
        <f t="shared" si="88"/>
        <v>648504.19157170365</v>
      </c>
      <c r="DZ56" s="61">
        <v>651.38358857424214</v>
      </c>
      <c r="EB56" s="316">
        <v>2030</v>
      </c>
      <c r="EC56" s="88" t="e">
        <f t="shared" si="56"/>
        <v>#REF!</v>
      </c>
      <c r="ED56" s="88">
        <f t="shared" si="56"/>
        <v>8.977551301473628E-4</v>
      </c>
      <c r="EE56" s="88" t="e">
        <f t="shared" si="56"/>
        <v>#REF!</v>
      </c>
      <c r="EF56" s="88">
        <f t="shared" si="56"/>
        <v>5.4430243768076036E-3</v>
      </c>
      <c r="EG56" s="302">
        <f t="shared" si="89"/>
        <v>1.2701009199920576E-2</v>
      </c>
      <c r="EH56" s="88">
        <f t="shared" si="57"/>
        <v>2.1833796997658729E-2</v>
      </c>
      <c r="EJ56" s="316">
        <v>2030</v>
      </c>
      <c r="EK56" s="302" t="e">
        <f>0.00310101035706 + 8.00320485051*((EW56-EW55)-(EW55-EW54)) - 0.508660861996*FK55+ 1.12119985655*(FE56-FE55)+EK55+EL55-EL56</f>
        <v>#REF!</v>
      </c>
      <c r="EL56" s="88" t="e">
        <f t="shared" si="58"/>
        <v>#REF!</v>
      </c>
      <c r="EM56" s="302">
        <f t="shared" si="91"/>
        <v>0.36272650296446668</v>
      </c>
      <c r="EN56" s="88" t="e">
        <f t="shared" si="59"/>
        <v>#REF!</v>
      </c>
      <c r="EO56" s="88" t="e">
        <f t="shared" si="59"/>
        <v>#REF!</v>
      </c>
      <c r="EP56" s="88" t="e">
        <f t="shared" si="59"/>
        <v>#REF!</v>
      </c>
      <c r="ER56" s="316">
        <v>2030</v>
      </c>
      <c r="ES56" s="317">
        <f t="shared" si="60"/>
        <v>119125.13699999999</v>
      </c>
      <c r="ET56" s="61">
        <v>13211.913</v>
      </c>
      <c r="EU56" s="61">
        <v>68753.638999999996</v>
      </c>
      <c r="EV56" s="61">
        <v>37159.584999999999</v>
      </c>
      <c r="EW56" s="88">
        <f t="shared" si="49"/>
        <v>0.11090785146379309</v>
      </c>
      <c r="EX56" s="88">
        <f t="shared" si="49"/>
        <v>0.57715475282097684</v>
      </c>
      <c r="EY56" s="88">
        <f t="shared" si="49"/>
        <v>0.31193739571523016</v>
      </c>
      <c r="EZ56" s="88">
        <f t="shared" si="50"/>
        <v>-5.0691935238131314E-4</v>
      </c>
      <c r="FA56" s="88">
        <f t="shared" si="50"/>
        <v>-2.7968080312366084E-3</v>
      </c>
      <c r="FB56" s="88">
        <f t="shared" si="50"/>
        <v>3.3037273836180048E-3</v>
      </c>
      <c r="FD56" s="316">
        <v>2030</v>
      </c>
      <c r="FE56" s="308">
        <f t="shared" si="92"/>
        <v>2.5000000000000005E-2</v>
      </c>
      <c r="FF56" s="159">
        <v>2.6000000000000002E-2</v>
      </c>
      <c r="FG56" s="308">
        <f t="shared" si="92"/>
        <v>1.8000000000000002E-2</v>
      </c>
      <c r="FH56" s="159">
        <v>1.8000000000000002E-2</v>
      </c>
      <c r="FI56" s="319">
        <f t="shared" si="45"/>
        <v>7.0000000000000027E-3</v>
      </c>
      <c r="FK56" s="345" t="e">
        <f t="shared" si="61"/>
        <v>#REF!</v>
      </c>
      <c r="FL56" s="345">
        <f t="shared" si="62"/>
        <v>-8.4596299493067684E-3</v>
      </c>
      <c r="FM56" s="345">
        <f t="shared" si="63"/>
        <v>-7.0261602749535981E-4</v>
      </c>
      <c r="FO56" s="316">
        <v>2030</v>
      </c>
      <c r="FP56" s="46" t="e">
        <f t="shared" si="64"/>
        <v>#REF!</v>
      </c>
      <c r="FQ56" s="46" t="e">
        <f t="shared" si="65"/>
        <v>#REF!</v>
      </c>
      <c r="FR56" s="46" t="e">
        <f t="shared" si="66"/>
        <v>#REF!</v>
      </c>
      <c r="FS56" s="46" t="e">
        <f t="shared" si="67"/>
        <v>#REF!</v>
      </c>
      <c r="FT56" s="46" t="e">
        <f t="shared" si="68"/>
        <v>#REF!</v>
      </c>
      <c r="FU56" s="46" t="e">
        <f t="shared" si="69"/>
        <v>#REF!</v>
      </c>
      <c r="FV56" s="285" t="e">
        <f t="shared" si="38"/>
        <v>#REF!</v>
      </c>
    </row>
    <row r="57" spans="17:178">
      <c r="Q57" s="316">
        <v>2031</v>
      </c>
      <c r="R57" s="46" t="e">
        <f t="shared" si="70"/>
        <v>#REF!</v>
      </c>
      <c r="S57" s="46" t="e">
        <f t="shared" si="71"/>
        <v>#REF!</v>
      </c>
      <c r="T57" s="46">
        <f t="shared" si="72"/>
        <v>275508.93707347044</v>
      </c>
      <c r="U57" s="46" t="e">
        <f t="shared" si="71"/>
        <v>#REF!</v>
      </c>
      <c r="V57" s="46" t="e">
        <f t="shared" si="71"/>
        <v>#REF!</v>
      </c>
      <c r="W57" s="46" t="e">
        <f t="shared" si="71"/>
        <v>#REF!</v>
      </c>
      <c r="Y57" s="316">
        <v>2031</v>
      </c>
      <c r="Z57" s="46" t="e">
        <f t="shared" si="73"/>
        <v>#REF!</v>
      </c>
      <c r="AA57" s="46" t="e">
        <f t="shared" si="74"/>
        <v>#REF!</v>
      </c>
      <c r="AB57" s="46" t="e">
        <f t="shared" si="73"/>
        <v>#REF!</v>
      </c>
      <c r="AC57" s="46" t="e">
        <f t="shared" si="74"/>
        <v>#REF!</v>
      </c>
      <c r="AD57" s="46" t="e">
        <f t="shared" si="74"/>
        <v>#REF!</v>
      </c>
      <c r="AE57" s="46" t="e">
        <f t="shared" si="74"/>
        <v>#REF!</v>
      </c>
      <c r="AG57" s="316">
        <v>2031</v>
      </c>
      <c r="AH57" s="48" t="e">
        <f t="shared" si="75"/>
        <v>#REF!</v>
      </c>
      <c r="AI57" s="48" t="e">
        <f t="shared" si="51"/>
        <v>#REF!</v>
      </c>
      <c r="AJ57" s="48" t="e">
        <f t="shared" si="51"/>
        <v>#REF!</v>
      </c>
      <c r="AK57" s="48" t="e">
        <f t="shared" si="51"/>
        <v>#REF!</v>
      </c>
      <c r="AL57" s="48" t="e">
        <f t="shared" si="51"/>
        <v>#REF!</v>
      </c>
      <c r="AM57" s="48" t="e">
        <f t="shared" si="51"/>
        <v>#REF!</v>
      </c>
      <c r="AO57" s="316">
        <v>2031</v>
      </c>
      <c r="AP57" s="302">
        <f t="shared" si="93"/>
        <v>5.0000000000000001E-3</v>
      </c>
      <c r="AQ57" s="62">
        <v>5.0000000000000001E-3</v>
      </c>
      <c r="AR57" s="44"/>
      <c r="AS57" s="316">
        <v>2031</v>
      </c>
      <c r="AT57" s="345">
        <f t="shared" si="76"/>
        <v>5.0000000000000001E-3</v>
      </c>
      <c r="AU57" s="345">
        <f t="shared" si="77"/>
        <v>5.0000000000000001E-3</v>
      </c>
      <c r="AV57" s="345">
        <f t="shared" si="77"/>
        <v>5.0000000000000001E-3</v>
      </c>
      <c r="AW57" s="345">
        <f t="shared" si="77"/>
        <v>5.0000000000000001E-3</v>
      </c>
      <c r="AX57" s="345">
        <f t="shared" si="77"/>
        <v>5.0000000000000001E-3</v>
      </c>
      <c r="AY57" s="345">
        <f t="shared" si="77"/>
        <v>5.0000000000000001E-3</v>
      </c>
      <c r="BQ57" s="316">
        <v>2031</v>
      </c>
      <c r="BR57" s="346" t="e">
        <f t="shared" si="78"/>
        <v>#REF!</v>
      </c>
      <c r="BS57" s="300">
        <f t="shared" si="94"/>
        <v>651.86</v>
      </c>
      <c r="BT57" s="346" t="e">
        <f t="shared" si="78"/>
        <v>#REF!</v>
      </c>
      <c r="BU57" s="300">
        <f t="shared" si="94"/>
        <v>3952.1800000000003</v>
      </c>
      <c r="BV57" s="346">
        <f t="shared" si="79"/>
        <v>9506.8069989263586</v>
      </c>
      <c r="BW57" s="300">
        <f t="shared" si="94"/>
        <v>15853.52</v>
      </c>
      <c r="BY57" s="316">
        <v>2031</v>
      </c>
      <c r="BZ57" s="46" t="e">
        <f t="shared" si="80"/>
        <v>#REF!</v>
      </c>
      <c r="CA57" s="46" t="e">
        <f t="shared" si="81"/>
        <v>#REF!</v>
      </c>
      <c r="CB57" s="46" t="e">
        <f t="shared" si="80"/>
        <v>#REF!</v>
      </c>
      <c r="CC57" s="46" t="e">
        <f t="shared" si="81"/>
        <v>#REF!</v>
      </c>
      <c r="CD57" s="46" t="e">
        <f t="shared" si="81"/>
        <v>#REF!</v>
      </c>
      <c r="CE57" s="46" t="e">
        <f t="shared" si="81"/>
        <v>#REF!</v>
      </c>
      <c r="CG57" s="316">
        <v>2031</v>
      </c>
      <c r="CH57" s="48" t="e">
        <f t="shared" si="82"/>
        <v>#REF!</v>
      </c>
      <c r="CI57" s="48" t="e">
        <f t="shared" si="53"/>
        <v>#REF!</v>
      </c>
      <c r="CJ57" s="48" t="e">
        <f t="shared" si="53"/>
        <v>#REF!</v>
      </c>
      <c r="CK57" s="48" t="e">
        <f t="shared" si="53"/>
        <v>#REF!</v>
      </c>
      <c r="CL57" s="48" t="e">
        <f t="shared" si="53"/>
        <v>#REF!</v>
      </c>
      <c r="CM57" s="48" t="e">
        <f t="shared" si="53"/>
        <v>#REF!</v>
      </c>
      <c r="CO57" s="316">
        <v>2031</v>
      </c>
      <c r="CP57" s="302">
        <f t="shared" si="95"/>
        <v>5.0000000000000001E-3</v>
      </c>
      <c r="CQ57" s="62">
        <v>5.0000000000000001E-3</v>
      </c>
      <c r="CR57" s="45"/>
      <c r="CS57" s="316">
        <v>2031</v>
      </c>
      <c r="CT57" s="345">
        <f t="shared" si="83"/>
        <v>5.0000000000000001E-3</v>
      </c>
      <c r="CU57" s="345">
        <f t="shared" si="84"/>
        <v>5.0000000000000001E-3</v>
      </c>
      <c r="CV57" s="345">
        <f t="shared" si="84"/>
        <v>5.0000000000000001E-3</v>
      </c>
      <c r="CW57" s="345">
        <f t="shared" si="84"/>
        <v>5.0000000000000001E-3</v>
      </c>
      <c r="CX57" s="345">
        <f t="shared" si="84"/>
        <v>5.0000000000000001E-3</v>
      </c>
      <c r="CY57" s="345">
        <f t="shared" si="84"/>
        <v>5.0000000000000001E-3</v>
      </c>
      <c r="DA57" s="316">
        <v>2031</v>
      </c>
      <c r="DI57" s="316">
        <v>2031</v>
      </c>
      <c r="DJ57" s="342">
        <f t="shared" si="85"/>
        <v>5.4586143407943009E-2</v>
      </c>
      <c r="DK57" s="342">
        <f t="shared" si="55"/>
        <v>5.2853325778546546E-2</v>
      </c>
      <c r="DL57" s="342">
        <f t="shared" si="55"/>
        <v>7.9437977252297343E-2</v>
      </c>
      <c r="DM57" s="342">
        <f t="shared" si="55"/>
        <v>7.8055736997221153E-2</v>
      </c>
      <c r="DN57" s="342">
        <f t="shared" si="55"/>
        <v>3.0814464037568157E-2</v>
      </c>
      <c r="DO57" s="342">
        <f t="shared" si="55"/>
        <v>1.9431739863730275E-2</v>
      </c>
      <c r="DQ57" s="316">
        <v>2031</v>
      </c>
      <c r="DR57" s="46">
        <f t="shared" si="86"/>
        <v>749125</v>
      </c>
      <c r="DS57" s="61">
        <v>754.9</v>
      </c>
      <c r="DT57" s="46">
        <f t="shared" si="86"/>
        <v>660426.08561504853</v>
      </c>
      <c r="DU57" s="61">
        <v>663.19756017823192</v>
      </c>
      <c r="DW57" s="46">
        <f t="shared" si="87"/>
        <v>748288.6126431945</v>
      </c>
      <c r="DX57" s="61">
        <v>754.05716493822456</v>
      </c>
      <c r="DY57" s="46">
        <f t="shared" si="88"/>
        <v>659688.72932856355</v>
      </c>
      <c r="DZ57" s="61">
        <v>662.45710958000416</v>
      </c>
      <c r="EB57" s="316">
        <v>2031</v>
      </c>
      <c r="EC57" s="88" t="e">
        <f t="shared" si="56"/>
        <v>#REF!</v>
      </c>
      <c r="ED57" s="88">
        <f t="shared" si="56"/>
        <v>8.7016185549808106E-4</v>
      </c>
      <c r="EE57" s="88" t="e">
        <f t="shared" si="56"/>
        <v>#REF!</v>
      </c>
      <c r="EF57" s="88">
        <f t="shared" si="56"/>
        <v>5.2757283497413656E-3</v>
      </c>
      <c r="EG57" s="302">
        <f t="shared" si="89"/>
        <v>1.2690548304924222E-2</v>
      </c>
      <c r="EH57" s="88">
        <f t="shared" si="57"/>
        <v>2.1162716502586353E-2</v>
      </c>
      <c r="EJ57" s="316">
        <v>2031</v>
      </c>
      <c r="EK57" s="302" t="e">
        <f>0.00310101035706 + 8.00320485051*((EW57-EW56)-(EW56-EW55)) - 0.508660861996*FK56+ 1.12119985655*(FE57-FE56)+EK56+EL56-EL57</f>
        <v>#REF!</v>
      </c>
      <c r="EL57" s="88" t="e">
        <f t="shared" si="58"/>
        <v>#REF!</v>
      </c>
      <c r="EM57" s="302">
        <f t="shared" si="91"/>
        <v>0.36818539320047222</v>
      </c>
      <c r="EN57" s="88" t="e">
        <f t="shared" si="59"/>
        <v>#REF!</v>
      </c>
      <c r="EO57" s="88" t="e">
        <f t="shared" si="59"/>
        <v>#REF!</v>
      </c>
      <c r="EP57" s="88" t="e">
        <f t="shared" si="59"/>
        <v>#REF!</v>
      </c>
      <c r="ER57" s="316">
        <v>2031</v>
      </c>
      <c r="ES57" s="317">
        <f t="shared" si="60"/>
        <v>118380.325</v>
      </c>
      <c r="ET57" s="61">
        <v>13027.781999999999</v>
      </c>
      <c r="EU57" s="61">
        <v>68352.653000000006</v>
      </c>
      <c r="EV57" s="61">
        <v>36999.89</v>
      </c>
      <c r="EW57" s="88">
        <f t="shared" si="49"/>
        <v>0.11005023005300922</v>
      </c>
      <c r="EX57" s="88">
        <f t="shared" si="49"/>
        <v>0.5773987611539334</v>
      </c>
      <c r="EY57" s="88">
        <f t="shared" si="49"/>
        <v>0.31255100879305747</v>
      </c>
      <c r="EZ57" s="88">
        <f t="shared" si="50"/>
        <v>-8.5762141078386811E-4</v>
      </c>
      <c r="FA57" s="88">
        <f t="shared" si="50"/>
        <v>2.4400833295656899E-4</v>
      </c>
      <c r="FB57" s="88">
        <f t="shared" si="50"/>
        <v>6.13613077827313E-4</v>
      </c>
      <c r="FD57" s="316">
        <v>2031</v>
      </c>
      <c r="FE57" s="308">
        <f t="shared" si="92"/>
        <v>2.8999999999999998E-2</v>
      </c>
      <c r="FF57" s="159">
        <v>0.03</v>
      </c>
      <c r="FG57" s="308">
        <f t="shared" si="92"/>
        <v>1.7250000000000001E-2</v>
      </c>
      <c r="FH57" s="159">
        <v>1.7000000000000001E-2</v>
      </c>
      <c r="FI57" s="319">
        <f t="shared" si="45"/>
        <v>1.1749999999999997E-2</v>
      </c>
      <c r="FK57" s="345" t="e">
        <f t="shared" si="61"/>
        <v>#REF!</v>
      </c>
      <c r="FL57" s="345">
        <f t="shared" si="62"/>
        <v>-7.516664290850017E-3</v>
      </c>
      <c r="FM57" s="345">
        <f t="shared" si="63"/>
        <v>-1.0604080751034275E-3</v>
      </c>
      <c r="FO57" s="316">
        <v>2031</v>
      </c>
      <c r="FP57" s="46" t="e">
        <f t="shared" si="64"/>
        <v>#REF!</v>
      </c>
      <c r="FQ57" s="46" t="e">
        <f t="shared" si="65"/>
        <v>#REF!</v>
      </c>
      <c r="FR57" s="46" t="e">
        <f t="shared" si="66"/>
        <v>#REF!</v>
      </c>
      <c r="FS57" s="46" t="e">
        <f t="shared" si="67"/>
        <v>#REF!</v>
      </c>
      <c r="FT57" s="46" t="e">
        <f t="shared" si="68"/>
        <v>#REF!</v>
      </c>
      <c r="FU57" s="46" t="e">
        <f t="shared" si="69"/>
        <v>#REF!</v>
      </c>
      <c r="FV57" s="285" t="e">
        <f t="shared" si="38"/>
        <v>#REF!</v>
      </c>
    </row>
    <row r="58" spans="17:178">
      <c r="Q58" s="316">
        <v>2032</v>
      </c>
      <c r="R58" s="46" t="e">
        <f t="shared" si="70"/>
        <v>#REF!</v>
      </c>
      <c r="S58" s="46" t="e">
        <f t="shared" si="71"/>
        <v>#REF!</v>
      </c>
      <c r="T58" s="46">
        <f t="shared" si="72"/>
        <v>288117.87281890347</v>
      </c>
      <c r="U58" s="46" t="e">
        <f t="shared" si="71"/>
        <v>#REF!</v>
      </c>
      <c r="V58" s="46" t="e">
        <f t="shared" si="71"/>
        <v>#REF!</v>
      </c>
      <c r="W58" s="46" t="e">
        <f t="shared" si="71"/>
        <v>#REF!</v>
      </c>
      <c r="Y58" s="316">
        <v>2032</v>
      </c>
      <c r="Z58" s="46" t="e">
        <f t="shared" si="73"/>
        <v>#REF!</v>
      </c>
      <c r="AA58" s="46" t="e">
        <f t="shared" si="74"/>
        <v>#REF!</v>
      </c>
      <c r="AB58" s="46" t="e">
        <f t="shared" si="73"/>
        <v>#REF!</v>
      </c>
      <c r="AC58" s="46" t="e">
        <f t="shared" si="74"/>
        <v>#REF!</v>
      </c>
      <c r="AD58" s="46" t="e">
        <f t="shared" si="74"/>
        <v>#REF!</v>
      </c>
      <c r="AE58" s="46" t="e">
        <f t="shared" si="74"/>
        <v>#REF!</v>
      </c>
      <c r="AG58" s="316">
        <v>2032</v>
      </c>
      <c r="AH58" s="48" t="e">
        <f t="shared" si="75"/>
        <v>#REF!</v>
      </c>
      <c r="AI58" s="48" t="e">
        <f t="shared" si="51"/>
        <v>#REF!</v>
      </c>
      <c r="AJ58" s="48" t="e">
        <f t="shared" si="51"/>
        <v>#REF!</v>
      </c>
      <c r="AK58" s="48" t="e">
        <f t="shared" si="51"/>
        <v>#REF!</v>
      </c>
      <c r="AL58" s="48" t="e">
        <f t="shared" si="51"/>
        <v>#REF!</v>
      </c>
      <c r="AM58" s="48" t="e">
        <f t="shared" si="51"/>
        <v>#REF!</v>
      </c>
      <c r="AO58" s="316">
        <v>2032</v>
      </c>
      <c r="AP58" s="302">
        <f t="shared" si="93"/>
        <v>5.0000000000000001E-3</v>
      </c>
      <c r="AQ58" s="302">
        <f t="shared" ref="AQ58:AQ66" si="96">AQ57</f>
        <v>5.0000000000000001E-3</v>
      </c>
      <c r="AR58" s="44"/>
      <c r="AS58" s="316">
        <v>2032</v>
      </c>
      <c r="AT58" s="345">
        <f t="shared" si="76"/>
        <v>5.0000000000000001E-3</v>
      </c>
      <c r="AU58" s="345">
        <f t="shared" si="77"/>
        <v>5.0000000000000001E-3</v>
      </c>
      <c r="AV58" s="345">
        <f t="shared" si="77"/>
        <v>5.0000000000000001E-3</v>
      </c>
      <c r="AW58" s="345">
        <f t="shared" si="77"/>
        <v>5.0000000000000001E-3</v>
      </c>
      <c r="AX58" s="345">
        <f t="shared" si="77"/>
        <v>5.0000000000000001E-3</v>
      </c>
      <c r="AY58" s="345">
        <f t="shared" si="77"/>
        <v>5.0000000000000001E-3</v>
      </c>
      <c r="BQ58" s="316">
        <v>2032</v>
      </c>
      <c r="BR58" s="346" t="e">
        <f t="shared" si="78"/>
        <v>#REF!</v>
      </c>
      <c r="BS58" s="300">
        <f t="shared" si="94"/>
        <v>651.86</v>
      </c>
      <c r="BT58" s="346" t="e">
        <f t="shared" si="78"/>
        <v>#REF!</v>
      </c>
      <c r="BU58" s="300">
        <f t="shared" si="94"/>
        <v>3952.1800000000003</v>
      </c>
      <c r="BV58" s="346">
        <f t="shared" si="79"/>
        <v>9829.4978133958411</v>
      </c>
      <c r="BW58" s="300">
        <f t="shared" si="94"/>
        <v>15853.52</v>
      </c>
      <c r="BY58" s="316">
        <v>2032</v>
      </c>
      <c r="BZ58" s="46" t="e">
        <f t="shared" si="80"/>
        <v>#REF!</v>
      </c>
      <c r="CA58" s="46" t="e">
        <f t="shared" si="81"/>
        <v>#REF!</v>
      </c>
      <c r="CB58" s="46" t="e">
        <f t="shared" si="80"/>
        <v>#REF!</v>
      </c>
      <c r="CC58" s="46" t="e">
        <f t="shared" si="81"/>
        <v>#REF!</v>
      </c>
      <c r="CD58" s="46" t="e">
        <f t="shared" si="81"/>
        <v>#REF!</v>
      </c>
      <c r="CE58" s="46" t="e">
        <f t="shared" si="81"/>
        <v>#REF!</v>
      </c>
      <c r="CG58" s="316">
        <v>2032</v>
      </c>
      <c r="CH58" s="48" t="e">
        <f t="shared" si="82"/>
        <v>#REF!</v>
      </c>
      <c r="CI58" s="48" t="e">
        <f t="shared" si="53"/>
        <v>#REF!</v>
      </c>
      <c r="CJ58" s="48" t="e">
        <f t="shared" si="53"/>
        <v>#REF!</v>
      </c>
      <c r="CK58" s="48" t="e">
        <f t="shared" si="53"/>
        <v>#REF!</v>
      </c>
      <c r="CL58" s="48" t="e">
        <f t="shared" si="53"/>
        <v>#REF!</v>
      </c>
      <c r="CM58" s="48" t="e">
        <f t="shared" si="53"/>
        <v>#REF!</v>
      </c>
      <c r="CO58" s="316">
        <v>2032</v>
      </c>
      <c r="CP58" s="302">
        <f t="shared" si="95"/>
        <v>5.0000000000000001E-3</v>
      </c>
      <c r="CQ58" s="302">
        <f t="shared" ref="CQ58:CQ66" si="97">CQ57</f>
        <v>5.0000000000000001E-3</v>
      </c>
      <c r="CR58" s="45"/>
      <c r="CS58" s="316">
        <v>2032</v>
      </c>
      <c r="CT58" s="345">
        <f t="shared" si="83"/>
        <v>5.0000000000000001E-3</v>
      </c>
      <c r="CU58" s="345">
        <f t="shared" si="84"/>
        <v>5.0000000000000001E-3</v>
      </c>
      <c r="CV58" s="345">
        <f t="shared" si="84"/>
        <v>5.0000000000000001E-3</v>
      </c>
      <c r="CW58" s="345">
        <f t="shared" si="84"/>
        <v>5.0000000000000001E-3</v>
      </c>
      <c r="CX58" s="345">
        <f t="shared" si="84"/>
        <v>5.0000000000000001E-3</v>
      </c>
      <c r="CY58" s="345">
        <f t="shared" si="84"/>
        <v>5.0000000000000001E-3</v>
      </c>
      <c r="DA58" s="316">
        <v>2032</v>
      </c>
      <c r="DI58" s="316">
        <v>2032</v>
      </c>
      <c r="DJ58" s="342">
        <f t="shared" si="85"/>
        <v>5.4581757434732182E-2</v>
      </c>
      <c r="DK58" s="342">
        <f t="shared" si="55"/>
        <v>5.2853369125788516E-2</v>
      </c>
      <c r="DL58" s="342">
        <f t="shared" si="55"/>
        <v>7.9441208890455695E-2</v>
      </c>
      <c r="DM58" s="342">
        <f t="shared" si="55"/>
        <v>7.8045693099868044E-2</v>
      </c>
      <c r="DN58" s="342">
        <f t="shared" si="55"/>
        <v>3.0834703011473962E-2</v>
      </c>
      <c r="DO58" s="342">
        <f t="shared" si="55"/>
        <v>1.9423750547389353E-2</v>
      </c>
      <c r="DQ58" s="316">
        <v>2032</v>
      </c>
      <c r="DR58" s="46">
        <f t="shared" si="86"/>
        <v>773017.59999999998</v>
      </c>
      <c r="DS58" s="61">
        <v>779.05679999999995</v>
      </c>
      <c r="DT58" s="46">
        <f t="shared" si="86"/>
        <v>671653.32907050429</v>
      </c>
      <c r="DU58" s="61">
        <v>674.47191870126176</v>
      </c>
      <c r="DW58" s="46">
        <f t="shared" si="87"/>
        <v>772154.53689674195</v>
      </c>
      <c r="DX58" s="61">
        <v>778.18699421624774</v>
      </c>
      <c r="DY58" s="46">
        <f t="shared" si="88"/>
        <v>670903.43772714911</v>
      </c>
      <c r="DZ58" s="61">
        <v>673.71888044286413</v>
      </c>
      <c r="EB58" s="316">
        <v>2032</v>
      </c>
      <c r="EC58" s="88" t="e">
        <f t="shared" si="56"/>
        <v>#REF!</v>
      </c>
      <c r="ED58" s="88">
        <f t="shared" si="56"/>
        <v>8.432666992316864E-4</v>
      </c>
      <c r="EE58" s="88" t="e">
        <f t="shared" si="56"/>
        <v>#REF!</v>
      </c>
      <c r="EF58" s="88">
        <f t="shared" si="56"/>
        <v>5.1126649639025041E-3</v>
      </c>
      <c r="EG58" s="302">
        <f t="shared" si="89"/>
        <v>1.2715749050727747E-2</v>
      </c>
      <c r="EH58" s="88">
        <f t="shared" si="57"/>
        <v>2.0508614551596239E-2</v>
      </c>
      <c r="EJ58" s="316">
        <v>2032</v>
      </c>
      <c r="EK58" s="302" t="e">
        <f t="shared" si="90"/>
        <v>#REF!</v>
      </c>
      <c r="EL58" s="88" t="e">
        <f t="shared" si="58"/>
        <v>#REF!</v>
      </c>
      <c r="EM58" s="302">
        <f t="shared" si="91"/>
        <v>0.37313498665285011</v>
      </c>
      <c r="EN58" s="88" t="e">
        <f t="shared" si="59"/>
        <v>#REF!</v>
      </c>
      <c r="EO58" s="88" t="e">
        <f t="shared" si="59"/>
        <v>#REF!</v>
      </c>
      <c r="EP58" s="88" t="e">
        <f t="shared" si="59"/>
        <v>#REF!</v>
      </c>
      <c r="ER58" s="316">
        <v>2032</v>
      </c>
      <c r="ES58" s="317">
        <f t="shared" si="60"/>
        <v>117616.16</v>
      </c>
      <c r="ET58" s="61">
        <v>12861.812</v>
      </c>
      <c r="EU58" s="61">
        <v>67557.058999999994</v>
      </c>
      <c r="EV58" s="61">
        <v>37197.288999999997</v>
      </c>
      <c r="EW58" s="88">
        <f t="shared" si="49"/>
        <v>0.10935412276680347</v>
      </c>
      <c r="EX58" s="88">
        <f t="shared" si="49"/>
        <v>0.57438585820179811</v>
      </c>
      <c r="EY58" s="88">
        <f t="shared" si="49"/>
        <v>0.31626001903139839</v>
      </c>
      <c r="EZ58" s="88">
        <f t="shared" si="50"/>
        <v>-6.961072862057549E-4</v>
      </c>
      <c r="FA58" s="88">
        <f t="shared" si="50"/>
        <v>-3.012902952135299E-3</v>
      </c>
      <c r="FB58" s="88">
        <f t="shared" si="50"/>
        <v>3.7090102383409151E-3</v>
      </c>
      <c r="FD58" s="316">
        <v>2032</v>
      </c>
      <c r="FE58" s="308">
        <f t="shared" si="92"/>
        <v>0.03</v>
      </c>
      <c r="FF58" s="343">
        <f>FF57</f>
        <v>0.03</v>
      </c>
      <c r="FG58" s="308">
        <f t="shared" si="92"/>
        <v>1.7000000000000001E-2</v>
      </c>
      <c r="FH58" s="345">
        <f>FH57</f>
        <v>1.7000000000000001E-2</v>
      </c>
      <c r="FI58" s="319">
        <f t="shared" si="45"/>
        <v>1.2999999999999998E-2</v>
      </c>
      <c r="FK58" s="345" t="e">
        <f t="shared" si="61"/>
        <v>#REF!</v>
      </c>
      <c r="FL58" s="345">
        <f t="shared" si="62"/>
        <v>-4.8902391499816011E-3</v>
      </c>
      <c r="FM58" s="345">
        <f t="shared" si="63"/>
        <v>-7.9740637273083628E-4</v>
      </c>
      <c r="FO58" s="316">
        <v>2032</v>
      </c>
      <c r="FP58" s="46" t="e">
        <f t="shared" si="64"/>
        <v>#REF!</v>
      </c>
      <c r="FQ58" s="46" t="e">
        <f t="shared" si="65"/>
        <v>#REF!</v>
      </c>
      <c r="FR58" s="46" t="e">
        <f t="shared" si="66"/>
        <v>#REF!</v>
      </c>
      <c r="FS58" s="46" t="e">
        <f t="shared" si="67"/>
        <v>#REF!</v>
      </c>
      <c r="FT58" s="46" t="e">
        <f t="shared" si="68"/>
        <v>#REF!</v>
      </c>
      <c r="FU58" s="46" t="e">
        <f t="shared" si="69"/>
        <v>#REF!</v>
      </c>
      <c r="FV58" s="285" t="e">
        <f t="shared" si="38"/>
        <v>#REF!</v>
      </c>
    </row>
    <row r="59" spans="17:178">
      <c r="Q59" s="316">
        <v>2033</v>
      </c>
      <c r="R59" s="46" t="e">
        <f t="shared" si="70"/>
        <v>#REF!</v>
      </c>
      <c r="S59" s="46" t="e">
        <f t="shared" si="71"/>
        <v>#REF!</v>
      </c>
      <c r="T59" s="46">
        <f t="shared" si="72"/>
        <v>299461.3916456002</v>
      </c>
      <c r="U59" s="46" t="e">
        <f t="shared" si="71"/>
        <v>#REF!</v>
      </c>
      <c r="V59" s="46" t="e">
        <f t="shared" si="71"/>
        <v>#REF!</v>
      </c>
      <c r="W59" s="46" t="e">
        <f t="shared" si="71"/>
        <v>#REF!</v>
      </c>
      <c r="Y59" s="316">
        <v>2033</v>
      </c>
      <c r="Z59" s="46" t="e">
        <f t="shared" si="73"/>
        <v>#REF!</v>
      </c>
      <c r="AA59" s="46" t="e">
        <f t="shared" si="74"/>
        <v>#REF!</v>
      </c>
      <c r="AB59" s="46" t="e">
        <f t="shared" si="73"/>
        <v>#REF!</v>
      </c>
      <c r="AC59" s="46" t="e">
        <f t="shared" si="74"/>
        <v>#REF!</v>
      </c>
      <c r="AD59" s="46" t="e">
        <f t="shared" si="74"/>
        <v>#REF!</v>
      </c>
      <c r="AE59" s="46" t="e">
        <f t="shared" si="74"/>
        <v>#REF!</v>
      </c>
      <c r="AG59" s="316">
        <v>2033</v>
      </c>
      <c r="AH59" s="48" t="e">
        <f t="shared" si="75"/>
        <v>#REF!</v>
      </c>
      <c r="AI59" s="48" t="e">
        <f t="shared" si="51"/>
        <v>#REF!</v>
      </c>
      <c r="AJ59" s="48" t="e">
        <f t="shared" si="51"/>
        <v>#REF!</v>
      </c>
      <c r="AK59" s="48" t="e">
        <f t="shared" si="51"/>
        <v>#REF!</v>
      </c>
      <c r="AL59" s="48" t="e">
        <f t="shared" si="51"/>
        <v>#REF!</v>
      </c>
      <c r="AM59" s="48" t="e">
        <f t="shared" si="51"/>
        <v>#REF!</v>
      </c>
      <c r="AO59" s="316">
        <v>2033</v>
      </c>
      <c r="AP59" s="302">
        <f t="shared" si="93"/>
        <v>5.0000000000000001E-3</v>
      </c>
      <c r="AQ59" s="302">
        <f t="shared" si="96"/>
        <v>5.0000000000000001E-3</v>
      </c>
      <c r="AR59" s="44"/>
      <c r="AS59" s="316">
        <v>2033</v>
      </c>
      <c r="AT59" s="345">
        <f t="shared" si="76"/>
        <v>5.0000000000000001E-3</v>
      </c>
      <c r="AU59" s="345">
        <f t="shared" si="77"/>
        <v>5.0000000000000001E-3</v>
      </c>
      <c r="AV59" s="345">
        <f t="shared" si="77"/>
        <v>5.0000000000000001E-3</v>
      </c>
      <c r="AW59" s="345">
        <f t="shared" si="77"/>
        <v>5.0000000000000001E-3</v>
      </c>
      <c r="AX59" s="345">
        <f t="shared" si="77"/>
        <v>5.0000000000000001E-3</v>
      </c>
      <c r="AY59" s="345">
        <f t="shared" si="77"/>
        <v>5.0000000000000001E-3</v>
      </c>
      <c r="BQ59" s="316">
        <v>2033</v>
      </c>
      <c r="BR59" s="346" t="e">
        <f t="shared" si="78"/>
        <v>#REF!</v>
      </c>
      <c r="BS59" s="300">
        <f t="shared" si="94"/>
        <v>651.86</v>
      </c>
      <c r="BT59" s="346" t="e">
        <f t="shared" si="78"/>
        <v>#REF!</v>
      </c>
      <c r="BU59" s="300">
        <f t="shared" si="94"/>
        <v>3952.1800000000003</v>
      </c>
      <c r="BV59" s="346">
        <f t="shared" si="79"/>
        <v>10077.205606607657</v>
      </c>
      <c r="BW59" s="300">
        <f t="shared" si="94"/>
        <v>15853.52</v>
      </c>
      <c r="BY59" s="316">
        <v>2033</v>
      </c>
      <c r="BZ59" s="46" t="e">
        <f t="shared" si="80"/>
        <v>#REF!</v>
      </c>
      <c r="CA59" s="46" t="e">
        <f t="shared" si="81"/>
        <v>#REF!</v>
      </c>
      <c r="CB59" s="46" t="e">
        <f t="shared" si="80"/>
        <v>#REF!</v>
      </c>
      <c r="CC59" s="46" t="e">
        <f t="shared" si="81"/>
        <v>#REF!</v>
      </c>
      <c r="CD59" s="46" t="e">
        <f t="shared" si="81"/>
        <v>#REF!</v>
      </c>
      <c r="CE59" s="46" t="e">
        <f t="shared" si="81"/>
        <v>#REF!</v>
      </c>
      <c r="CG59" s="316">
        <v>2033</v>
      </c>
      <c r="CH59" s="48" t="e">
        <f t="shared" si="82"/>
        <v>#REF!</v>
      </c>
      <c r="CI59" s="48" t="e">
        <f t="shared" si="53"/>
        <v>#REF!</v>
      </c>
      <c r="CJ59" s="48" t="e">
        <f t="shared" si="53"/>
        <v>#REF!</v>
      </c>
      <c r="CK59" s="48" t="e">
        <f t="shared" si="53"/>
        <v>#REF!</v>
      </c>
      <c r="CL59" s="48" t="e">
        <f t="shared" si="53"/>
        <v>#REF!</v>
      </c>
      <c r="CM59" s="48" t="e">
        <f t="shared" si="53"/>
        <v>#REF!</v>
      </c>
      <c r="CO59" s="316">
        <v>2033</v>
      </c>
      <c r="CP59" s="302">
        <f t="shared" si="95"/>
        <v>5.0000000000000001E-3</v>
      </c>
      <c r="CQ59" s="302">
        <f t="shared" si="97"/>
        <v>5.0000000000000001E-3</v>
      </c>
      <c r="CR59" s="45"/>
      <c r="CS59" s="316">
        <v>2033</v>
      </c>
      <c r="CT59" s="345">
        <f t="shared" si="83"/>
        <v>5.0000000000000001E-3</v>
      </c>
      <c r="CU59" s="345">
        <f t="shared" si="84"/>
        <v>5.0000000000000001E-3</v>
      </c>
      <c r="CV59" s="345">
        <f t="shared" si="84"/>
        <v>5.0000000000000001E-3</v>
      </c>
      <c r="CW59" s="345">
        <f t="shared" si="84"/>
        <v>5.0000000000000001E-3</v>
      </c>
      <c r="CX59" s="345">
        <f t="shared" si="84"/>
        <v>5.0000000000000001E-3</v>
      </c>
      <c r="CY59" s="345">
        <f t="shared" si="84"/>
        <v>5.0000000000000001E-3</v>
      </c>
      <c r="DA59" s="316">
        <v>2033</v>
      </c>
      <c r="DI59" s="316">
        <v>2033</v>
      </c>
      <c r="DJ59" s="342">
        <f t="shared" si="85"/>
        <v>5.45824166969636E-2</v>
      </c>
      <c r="DK59" s="342">
        <f t="shared" si="55"/>
        <v>5.2854767904389824E-2</v>
      </c>
      <c r="DL59" s="342">
        <f t="shared" si="55"/>
        <v>7.9441509381049658E-2</v>
      </c>
      <c r="DM59" s="342">
        <f t="shared" si="55"/>
        <v>7.8045300479280627E-2</v>
      </c>
      <c r="DN59" s="342">
        <f t="shared" si="55"/>
        <v>3.0838974898399679E-2</v>
      </c>
      <c r="DO59" s="342">
        <f t="shared" si="55"/>
        <v>1.9422669113843456E-2</v>
      </c>
      <c r="DQ59" s="316">
        <v>2033</v>
      </c>
      <c r="DR59" s="46">
        <f t="shared" si="86"/>
        <v>797754.16319999984</v>
      </c>
      <c r="DS59" s="61">
        <v>803.98661759999993</v>
      </c>
      <c r="DT59" s="46">
        <f t="shared" si="86"/>
        <v>683071.43566470267</v>
      </c>
      <c r="DU59" s="61">
        <v>685.9379413191831</v>
      </c>
      <c r="DW59" s="46">
        <f t="shared" si="87"/>
        <v>796863.48207743757</v>
      </c>
      <c r="DX59" s="61">
        <v>803.08897803116758</v>
      </c>
      <c r="DY59" s="46">
        <f t="shared" si="88"/>
        <v>682308.79616851069</v>
      </c>
      <c r="DZ59" s="61">
        <v>685.17210141039277</v>
      </c>
      <c r="EB59" s="316">
        <v>2033</v>
      </c>
      <c r="EC59" s="88" t="e">
        <f t="shared" si="56"/>
        <v>#REF!</v>
      </c>
      <c r="ED59" s="88">
        <f t="shared" si="56"/>
        <v>8.1711889460434734E-4</v>
      </c>
      <c r="EE59" s="88" t="e">
        <f t="shared" si="56"/>
        <v>#REF!</v>
      </c>
      <c r="EF59" s="88">
        <f t="shared" si="56"/>
        <v>4.9541327169597919E-3</v>
      </c>
      <c r="EG59" s="302">
        <f t="shared" si="89"/>
        <v>1.2631968683416653E-2</v>
      </c>
      <c r="EH59" s="88">
        <f t="shared" si="57"/>
        <v>1.9872688518988608E-2</v>
      </c>
      <c r="EJ59" s="316">
        <v>2033</v>
      </c>
      <c r="EK59" s="302" t="e">
        <f t="shared" si="90"/>
        <v>#REF!</v>
      </c>
      <c r="EL59" s="88" t="e">
        <f t="shared" si="58"/>
        <v>#REF!</v>
      </c>
      <c r="EM59" s="302">
        <f t="shared" si="91"/>
        <v>0.37580011931893142</v>
      </c>
      <c r="EN59" s="88" t="e">
        <f t="shared" si="59"/>
        <v>#REF!</v>
      </c>
      <c r="EO59" s="88" t="e">
        <f t="shared" si="59"/>
        <v>#REF!</v>
      </c>
      <c r="EP59" s="88" t="e">
        <f t="shared" si="59"/>
        <v>#REF!</v>
      </c>
      <c r="ER59" s="316">
        <v>2033</v>
      </c>
      <c r="ES59" s="317">
        <f t="shared" si="60"/>
        <v>116833.33599999998</v>
      </c>
      <c r="ET59" s="61">
        <v>12712.574000000001</v>
      </c>
      <c r="EU59" s="61">
        <v>66738.233999999997</v>
      </c>
      <c r="EV59" s="61">
        <v>37382.527999999998</v>
      </c>
      <c r="EW59" s="88">
        <f t="shared" si="49"/>
        <v>0.10880947540520458</v>
      </c>
      <c r="EX59" s="88">
        <f t="shared" si="49"/>
        <v>0.57122595557829492</v>
      </c>
      <c r="EY59" s="88">
        <f t="shared" si="49"/>
        <v>0.31996456901650061</v>
      </c>
      <c r="EZ59" s="88">
        <f t="shared" si="50"/>
        <v>-5.4464736159888505E-4</v>
      </c>
      <c r="FA59" s="88">
        <f t="shared" si="50"/>
        <v>-3.1599026235031857E-3</v>
      </c>
      <c r="FB59" s="88">
        <f t="shared" si="50"/>
        <v>3.7045499851022234E-3</v>
      </c>
      <c r="FD59" s="316">
        <v>2033</v>
      </c>
      <c r="FE59" s="308">
        <f t="shared" si="92"/>
        <v>0.03</v>
      </c>
      <c r="FF59" s="343">
        <f t="shared" ref="FF59:FH66" si="98">FF58</f>
        <v>0.03</v>
      </c>
      <c r="FG59" s="308">
        <f t="shared" si="92"/>
        <v>1.7000000000000001E-2</v>
      </c>
      <c r="FH59" s="345">
        <f t="shared" si="98"/>
        <v>1.7000000000000001E-2</v>
      </c>
      <c r="FI59" s="319">
        <f t="shared" si="45"/>
        <v>1.2999999999999998E-2</v>
      </c>
      <c r="FK59" s="345" t="e">
        <f t="shared" si="61"/>
        <v>#REF!</v>
      </c>
      <c r="FL59" s="345">
        <f t="shared" si="62"/>
        <v>-2.9509452422649129E-3</v>
      </c>
      <c r="FM59" s="345">
        <f t="shared" si="63"/>
        <v>-6.8883742424064726E-4</v>
      </c>
      <c r="FO59" s="316">
        <v>2033</v>
      </c>
      <c r="FP59" s="46" t="e">
        <f t="shared" si="64"/>
        <v>#REF!</v>
      </c>
      <c r="FQ59" s="46" t="e">
        <f t="shared" si="65"/>
        <v>#REF!</v>
      </c>
      <c r="FR59" s="46" t="e">
        <f t="shared" si="66"/>
        <v>#REF!</v>
      </c>
      <c r="FS59" s="46" t="e">
        <f t="shared" si="67"/>
        <v>#REF!</v>
      </c>
      <c r="FT59" s="46" t="e">
        <f t="shared" si="68"/>
        <v>#REF!</v>
      </c>
      <c r="FU59" s="46" t="e">
        <f t="shared" si="69"/>
        <v>#REF!</v>
      </c>
      <c r="FV59" s="285" t="e">
        <f t="shared" si="38"/>
        <v>#REF!</v>
      </c>
    </row>
    <row r="60" spans="17:178">
      <c r="Q60" s="316">
        <v>2034</v>
      </c>
      <c r="R60" s="46" t="e">
        <f t="shared" si="70"/>
        <v>#REF!</v>
      </c>
      <c r="S60" s="46" t="e">
        <f t="shared" si="71"/>
        <v>#REF!</v>
      </c>
      <c r="T60" s="46">
        <f t="shared" si="72"/>
        <v>310274.6891829833</v>
      </c>
      <c r="U60" s="46" t="e">
        <f t="shared" si="71"/>
        <v>#REF!</v>
      </c>
      <c r="V60" s="46" t="e">
        <f t="shared" si="71"/>
        <v>#REF!</v>
      </c>
      <c r="W60" s="46" t="e">
        <f t="shared" si="71"/>
        <v>#REF!</v>
      </c>
      <c r="Y60" s="316">
        <v>2034</v>
      </c>
      <c r="Z60" s="46" t="e">
        <f t="shared" si="73"/>
        <v>#REF!</v>
      </c>
      <c r="AA60" s="46" t="e">
        <f t="shared" si="74"/>
        <v>#REF!</v>
      </c>
      <c r="AB60" s="46" t="e">
        <f t="shared" si="73"/>
        <v>#REF!</v>
      </c>
      <c r="AC60" s="46" t="e">
        <f t="shared" si="74"/>
        <v>#REF!</v>
      </c>
      <c r="AD60" s="46" t="e">
        <f t="shared" si="74"/>
        <v>#REF!</v>
      </c>
      <c r="AE60" s="46" t="e">
        <f t="shared" si="74"/>
        <v>#REF!</v>
      </c>
      <c r="AG60" s="316">
        <v>2034</v>
      </c>
      <c r="AH60" s="48" t="e">
        <f t="shared" si="75"/>
        <v>#REF!</v>
      </c>
      <c r="AI60" s="48" t="e">
        <f t="shared" si="51"/>
        <v>#REF!</v>
      </c>
      <c r="AJ60" s="48" t="e">
        <f t="shared" si="51"/>
        <v>#REF!</v>
      </c>
      <c r="AK60" s="48" t="e">
        <f t="shared" si="51"/>
        <v>#REF!</v>
      </c>
      <c r="AL60" s="48" t="e">
        <f t="shared" si="51"/>
        <v>#REF!</v>
      </c>
      <c r="AM60" s="48" t="e">
        <f t="shared" si="51"/>
        <v>#REF!</v>
      </c>
      <c r="AO60" s="316">
        <v>2034</v>
      </c>
      <c r="AP60" s="302">
        <f t="shared" si="93"/>
        <v>5.0000000000000001E-3</v>
      </c>
      <c r="AQ60" s="302">
        <f t="shared" si="96"/>
        <v>5.0000000000000001E-3</v>
      </c>
      <c r="AR60" s="44"/>
      <c r="AS60" s="316">
        <v>2034</v>
      </c>
      <c r="AT60" s="345">
        <f t="shared" si="76"/>
        <v>5.0000000000000001E-3</v>
      </c>
      <c r="AU60" s="345">
        <f t="shared" si="77"/>
        <v>5.0000000000000001E-3</v>
      </c>
      <c r="AV60" s="345">
        <f t="shared" si="77"/>
        <v>5.0000000000000001E-3</v>
      </c>
      <c r="AW60" s="345">
        <f t="shared" si="77"/>
        <v>5.0000000000000001E-3</v>
      </c>
      <c r="AX60" s="345">
        <f t="shared" si="77"/>
        <v>5.0000000000000001E-3</v>
      </c>
      <c r="AY60" s="345">
        <f t="shared" si="77"/>
        <v>5.0000000000000001E-3</v>
      </c>
      <c r="BQ60" s="316">
        <v>2034</v>
      </c>
      <c r="BR60" s="346" t="e">
        <f t="shared" si="78"/>
        <v>#REF!</v>
      </c>
      <c r="BS60" s="300">
        <f t="shared" si="94"/>
        <v>651.86</v>
      </c>
      <c r="BT60" s="346" t="e">
        <f t="shared" si="78"/>
        <v>#REF!</v>
      </c>
      <c r="BU60" s="300">
        <f t="shared" si="94"/>
        <v>3952.1800000000003</v>
      </c>
      <c r="BV60" s="346">
        <f t="shared" si="79"/>
        <v>10352.264698362938</v>
      </c>
      <c r="BW60" s="300">
        <f t="shared" si="94"/>
        <v>15853.52</v>
      </c>
      <c r="BY60" s="316">
        <v>2034</v>
      </c>
      <c r="BZ60" s="46" t="e">
        <f t="shared" si="80"/>
        <v>#REF!</v>
      </c>
      <c r="CA60" s="46" t="e">
        <f t="shared" si="81"/>
        <v>#REF!</v>
      </c>
      <c r="CB60" s="46" t="e">
        <f t="shared" si="80"/>
        <v>#REF!</v>
      </c>
      <c r="CC60" s="46" t="e">
        <f t="shared" si="81"/>
        <v>#REF!</v>
      </c>
      <c r="CD60" s="46" t="e">
        <f t="shared" si="81"/>
        <v>#REF!</v>
      </c>
      <c r="CE60" s="46" t="e">
        <f t="shared" si="81"/>
        <v>#REF!</v>
      </c>
      <c r="CG60" s="316">
        <v>2034</v>
      </c>
      <c r="CH60" s="48" t="e">
        <f t="shared" si="82"/>
        <v>#REF!</v>
      </c>
      <c r="CI60" s="48" t="e">
        <f t="shared" si="53"/>
        <v>#REF!</v>
      </c>
      <c r="CJ60" s="48" t="e">
        <f t="shared" si="53"/>
        <v>#REF!</v>
      </c>
      <c r="CK60" s="48" t="e">
        <f t="shared" si="53"/>
        <v>#REF!</v>
      </c>
      <c r="CL60" s="48" t="e">
        <f t="shared" si="53"/>
        <v>#REF!</v>
      </c>
      <c r="CM60" s="48" t="e">
        <f t="shared" si="53"/>
        <v>#REF!</v>
      </c>
      <c r="CO60" s="316">
        <v>2034</v>
      </c>
      <c r="CP60" s="302">
        <f t="shared" si="95"/>
        <v>5.0000000000000001E-3</v>
      </c>
      <c r="CQ60" s="302">
        <f t="shared" si="97"/>
        <v>5.0000000000000001E-3</v>
      </c>
      <c r="CR60" s="45"/>
      <c r="CS60" s="316">
        <v>2034</v>
      </c>
      <c r="CT60" s="345">
        <f t="shared" si="83"/>
        <v>5.0000000000000001E-3</v>
      </c>
      <c r="CU60" s="345">
        <f t="shared" si="84"/>
        <v>5.0000000000000001E-3</v>
      </c>
      <c r="CV60" s="345">
        <f t="shared" si="84"/>
        <v>5.0000000000000001E-3</v>
      </c>
      <c r="CW60" s="345">
        <f t="shared" si="84"/>
        <v>5.0000000000000001E-3</v>
      </c>
      <c r="CX60" s="345">
        <f t="shared" si="84"/>
        <v>5.0000000000000001E-3</v>
      </c>
      <c r="CY60" s="345">
        <f t="shared" si="84"/>
        <v>5.0000000000000001E-3</v>
      </c>
      <c r="DA60" s="316">
        <v>2034</v>
      </c>
      <c r="DI60" s="316">
        <v>2034</v>
      </c>
      <c r="DJ60" s="342">
        <f t="shared" si="85"/>
        <v>5.4583250817539938E-2</v>
      </c>
      <c r="DK60" s="342">
        <f t="shared" si="55"/>
        <v>5.285491963013994E-2</v>
      </c>
      <c r="DL60" s="342">
        <f t="shared" si="55"/>
        <v>7.9441403933507307E-2</v>
      </c>
      <c r="DM60" s="342">
        <f t="shared" si="55"/>
        <v>7.8045304234788948E-2</v>
      </c>
      <c r="DN60" s="342">
        <f t="shared" si="55"/>
        <v>3.0841647063632498E-2</v>
      </c>
      <c r="DO60" s="342">
        <f t="shared" si="55"/>
        <v>1.9422163823075735E-2</v>
      </c>
      <c r="DQ60" s="316">
        <v>2034</v>
      </c>
      <c r="DR60" s="46">
        <f t="shared" si="86"/>
        <v>823282.29642240005</v>
      </c>
      <c r="DS60" s="61">
        <v>829.71418936319992</v>
      </c>
      <c r="DT60" s="46">
        <f t="shared" si="86"/>
        <v>694683.65007100266</v>
      </c>
      <c r="DU60" s="61">
        <v>697.59888632160914</v>
      </c>
      <c r="DW60" s="46">
        <f t="shared" si="87"/>
        <v>822363.11350391572</v>
      </c>
      <c r="DX60" s="61">
        <v>828.78782532816513</v>
      </c>
      <c r="DY60" s="46">
        <f t="shared" si="88"/>
        <v>693908.04570337525</v>
      </c>
      <c r="DZ60" s="61">
        <v>696.82002713436941</v>
      </c>
      <c r="EB60" s="316">
        <v>2034</v>
      </c>
      <c r="EC60" s="88" t="e">
        <f t="shared" si="56"/>
        <v>#REF!</v>
      </c>
      <c r="ED60" s="88">
        <f t="shared" si="56"/>
        <v>7.9178187461661543E-4</v>
      </c>
      <c r="EE60" s="88" t="e">
        <f t="shared" si="56"/>
        <v>#REF!</v>
      </c>
      <c r="EF60" s="88">
        <f t="shared" si="56"/>
        <v>4.8005161986044483E-3</v>
      </c>
      <c r="EG60" s="302">
        <f t="shared" si="89"/>
        <v>1.2574380310798666E-2</v>
      </c>
      <c r="EH60" s="88">
        <f t="shared" si="57"/>
        <v>1.9256481123050971E-2</v>
      </c>
      <c r="EJ60" s="316">
        <v>2034</v>
      </c>
      <c r="EK60" s="302" t="e">
        <f t="shared" si="90"/>
        <v>#REF!</v>
      </c>
      <c r="EL60" s="88" t="e">
        <f t="shared" si="58"/>
        <v>#REF!</v>
      </c>
      <c r="EM60" s="302">
        <f t="shared" si="91"/>
        <v>0.37729645711000864</v>
      </c>
      <c r="EN60" s="88" t="e">
        <f t="shared" si="59"/>
        <v>#REF!</v>
      </c>
      <c r="EO60" s="88" t="e">
        <f t="shared" si="59"/>
        <v>#REF!</v>
      </c>
      <c r="EP60" s="88" t="e">
        <f t="shared" si="59"/>
        <v>#REF!</v>
      </c>
      <c r="ER60" s="316">
        <v>2034</v>
      </c>
      <c r="ES60" s="317">
        <f t="shared" si="60"/>
        <v>116032.79799999998</v>
      </c>
      <c r="ET60" s="61">
        <v>12579.031999999999</v>
      </c>
      <c r="EU60" s="61">
        <v>65861.48</v>
      </c>
      <c r="EV60" s="61">
        <v>37592.286</v>
      </c>
      <c r="EW60" s="88">
        <f t="shared" si="49"/>
        <v>0.1084092792453389</v>
      </c>
      <c r="EX60" s="88">
        <f t="shared" si="49"/>
        <v>0.56761089222376593</v>
      </c>
      <c r="EY60" s="88">
        <f t="shared" si="49"/>
        <v>0.32397982853089524</v>
      </c>
      <c r="EZ60" s="88">
        <f t="shared" si="50"/>
        <v>-4.0019615986568169E-4</v>
      </c>
      <c r="FA60" s="88">
        <f t="shared" si="50"/>
        <v>-3.6150633545289912E-3</v>
      </c>
      <c r="FB60" s="88">
        <f t="shared" si="50"/>
        <v>4.0152595143946312E-3</v>
      </c>
      <c r="FD60" s="316">
        <v>2034</v>
      </c>
      <c r="FE60" s="308">
        <f t="shared" si="92"/>
        <v>0.03</v>
      </c>
      <c r="FF60" s="343">
        <f t="shared" si="98"/>
        <v>0.03</v>
      </c>
      <c r="FG60" s="308">
        <f t="shared" si="92"/>
        <v>1.7000000000000001E-2</v>
      </c>
      <c r="FH60" s="345">
        <f t="shared" si="98"/>
        <v>1.7000000000000001E-2</v>
      </c>
      <c r="FI60" s="319">
        <f t="shared" si="45"/>
        <v>1.2999999999999998E-2</v>
      </c>
      <c r="FK60" s="345" t="e">
        <f t="shared" si="61"/>
        <v>#REF!</v>
      </c>
      <c r="FL60" s="345">
        <f t="shared" si="62"/>
        <v>-2.1468584290120218E-3</v>
      </c>
      <c r="FM60" s="345">
        <f t="shared" si="63"/>
        <v>-5.6297733752409991E-4</v>
      </c>
      <c r="FO60" s="316">
        <v>2034</v>
      </c>
      <c r="FP60" s="46" t="e">
        <f t="shared" si="64"/>
        <v>#REF!</v>
      </c>
      <c r="FQ60" s="46" t="e">
        <f t="shared" si="65"/>
        <v>#REF!</v>
      </c>
      <c r="FR60" s="46" t="e">
        <f t="shared" si="66"/>
        <v>#REF!</v>
      </c>
      <c r="FS60" s="46" t="e">
        <f t="shared" si="67"/>
        <v>#REF!</v>
      </c>
      <c r="FT60" s="46" t="e">
        <f t="shared" si="68"/>
        <v>#REF!</v>
      </c>
      <c r="FU60" s="46" t="e">
        <f t="shared" si="69"/>
        <v>#REF!</v>
      </c>
      <c r="FV60" s="285" t="e">
        <f t="shared" si="38"/>
        <v>#REF!</v>
      </c>
    </row>
    <row r="61" spans="17:178">
      <c r="Q61" s="316">
        <v>2035</v>
      </c>
      <c r="R61" s="46" t="e">
        <f t="shared" si="70"/>
        <v>#REF!</v>
      </c>
      <c r="S61" s="46" t="e">
        <f t="shared" si="71"/>
        <v>#REF!</v>
      </c>
      <c r="T61" s="46">
        <f t="shared" si="72"/>
        <v>320956.24581770273</v>
      </c>
      <c r="U61" s="46" t="e">
        <f t="shared" si="71"/>
        <v>#REF!</v>
      </c>
      <c r="V61" s="46" t="e">
        <f t="shared" si="71"/>
        <v>#REF!</v>
      </c>
      <c r="W61" s="46" t="e">
        <f t="shared" si="71"/>
        <v>#REF!</v>
      </c>
      <c r="Y61" s="316">
        <v>2035</v>
      </c>
      <c r="Z61" s="46" t="e">
        <f t="shared" si="73"/>
        <v>#REF!</v>
      </c>
      <c r="AA61" s="46" t="e">
        <f t="shared" si="74"/>
        <v>#REF!</v>
      </c>
      <c r="AB61" s="46" t="e">
        <f t="shared" si="73"/>
        <v>#REF!</v>
      </c>
      <c r="AC61" s="46" t="e">
        <f t="shared" si="74"/>
        <v>#REF!</v>
      </c>
      <c r="AD61" s="46" t="e">
        <f t="shared" si="74"/>
        <v>#REF!</v>
      </c>
      <c r="AE61" s="46" t="e">
        <f t="shared" si="74"/>
        <v>#REF!</v>
      </c>
      <c r="AG61" s="316">
        <v>2035</v>
      </c>
      <c r="AH61" s="48" t="e">
        <f t="shared" si="75"/>
        <v>#REF!</v>
      </c>
      <c r="AI61" s="48" t="e">
        <f t="shared" si="51"/>
        <v>#REF!</v>
      </c>
      <c r="AJ61" s="48" t="e">
        <f t="shared" si="51"/>
        <v>#REF!</v>
      </c>
      <c r="AK61" s="48" t="e">
        <f t="shared" si="51"/>
        <v>#REF!</v>
      </c>
      <c r="AL61" s="48" t="e">
        <f t="shared" si="51"/>
        <v>#REF!</v>
      </c>
      <c r="AM61" s="48" t="e">
        <f t="shared" si="51"/>
        <v>#REF!</v>
      </c>
      <c r="AO61" s="316">
        <v>2035</v>
      </c>
      <c r="AP61" s="302">
        <f t="shared" si="93"/>
        <v>5.0000000000000001E-3</v>
      </c>
      <c r="AQ61" s="302">
        <f t="shared" si="96"/>
        <v>5.0000000000000001E-3</v>
      </c>
      <c r="AR61" s="44"/>
      <c r="AS61" s="316">
        <v>2035</v>
      </c>
      <c r="AT61" s="345">
        <f t="shared" si="76"/>
        <v>5.0000000000000001E-3</v>
      </c>
      <c r="AU61" s="345">
        <f t="shared" si="77"/>
        <v>5.0000000000000001E-3</v>
      </c>
      <c r="AV61" s="345">
        <f t="shared" si="77"/>
        <v>5.0000000000000001E-3</v>
      </c>
      <c r="AW61" s="345">
        <f t="shared" si="77"/>
        <v>5.0000000000000001E-3</v>
      </c>
      <c r="AX61" s="345">
        <f t="shared" si="77"/>
        <v>5.0000000000000001E-3</v>
      </c>
      <c r="AY61" s="345">
        <f t="shared" si="77"/>
        <v>5.0000000000000001E-3</v>
      </c>
      <c r="BQ61" s="316">
        <v>2035</v>
      </c>
      <c r="BR61" s="346" t="e">
        <f t="shared" si="78"/>
        <v>#REF!</v>
      </c>
      <c r="BS61" s="300">
        <f t="shared" si="94"/>
        <v>651.86</v>
      </c>
      <c r="BT61" s="346" t="e">
        <f t="shared" si="78"/>
        <v>#REF!</v>
      </c>
      <c r="BU61" s="300">
        <f t="shared" si="94"/>
        <v>3952.1800000000003</v>
      </c>
      <c r="BV61" s="346">
        <f t="shared" si="79"/>
        <v>10585.836151471342</v>
      </c>
      <c r="BW61" s="300">
        <f t="shared" si="94"/>
        <v>15853.52</v>
      </c>
      <c r="BY61" s="316">
        <v>2035</v>
      </c>
      <c r="BZ61" s="46" t="e">
        <f t="shared" si="80"/>
        <v>#REF!</v>
      </c>
      <c r="CA61" s="46" t="e">
        <f t="shared" si="81"/>
        <v>#REF!</v>
      </c>
      <c r="CB61" s="46" t="e">
        <f t="shared" si="80"/>
        <v>#REF!</v>
      </c>
      <c r="CC61" s="46" t="e">
        <f t="shared" si="81"/>
        <v>#REF!</v>
      </c>
      <c r="CD61" s="46" t="e">
        <f t="shared" si="81"/>
        <v>#REF!</v>
      </c>
      <c r="CE61" s="46" t="e">
        <f t="shared" si="81"/>
        <v>#REF!</v>
      </c>
      <c r="CG61" s="316">
        <v>2035</v>
      </c>
      <c r="CH61" s="48" t="e">
        <f t="shared" si="82"/>
        <v>#REF!</v>
      </c>
      <c r="CI61" s="48" t="e">
        <f t="shared" si="53"/>
        <v>#REF!</v>
      </c>
      <c r="CJ61" s="48" t="e">
        <f t="shared" si="53"/>
        <v>#REF!</v>
      </c>
      <c r="CK61" s="48" t="e">
        <f t="shared" si="53"/>
        <v>#REF!</v>
      </c>
      <c r="CL61" s="48" t="e">
        <f t="shared" si="53"/>
        <v>#REF!</v>
      </c>
      <c r="CM61" s="48" t="e">
        <f t="shared" si="53"/>
        <v>#REF!</v>
      </c>
      <c r="CO61" s="316">
        <v>2035</v>
      </c>
      <c r="CP61" s="302">
        <f t="shared" si="95"/>
        <v>5.0000000000000001E-3</v>
      </c>
      <c r="CQ61" s="302">
        <f t="shared" si="97"/>
        <v>5.0000000000000001E-3</v>
      </c>
      <c r="CR61" s="45"/>
      <c r="CS61" s="316">
        <v>2035</v>
      </c>
      <c r="CT61" s="345">
        <f t="shared" si="83"/>
        <v>5.0000000000000001E-3</v>
      </c>
      <c r="CU61" s="345">
        <f t="shared" si="84"/>
        <v>5.0000000000000001E-3</v>
      </c>
      <c r="CV61" s="345">
        <f t="shared" si="84"/>
        <v>5.0000000000000001E-3</v>
      </c>
      <c r="CW61" s="345">
        <f t="shared" si="84"/>
        <v>5.0000000000000001E-3</v>
      </c>
      <c r="CX61" s="345">
        <f t="shared" si="84"/>
        <v>5.0000000000000001E-3</v>
      </c>
      <c r="CY61" s="345">
        <f t="shared" si="84"/>
        <v>5.0000000000000001E-3</v>
      </c>
      <c r="DA61" s="316">
        <v>2035</v>
      </c>
      <c r="DI61" s="316">
        <v>2035</v>
      </c>
      <c r="DJ61" s="342">
        <f t="shared" si="85"/>
        <v>5.4583673720548877E-2</v>
      </c>
      <c r="DK61" s="342">
        <f t="shared" si="55"/>
        <v>5.2854525814963596E-2</v>
      </c>
      <c r="DL61" s="342">
        <f t="shared" si="55"/>
        <v>7.9440569140690448E-2</v>
      </c>
      <c r="DM61" s="342">
        <f t="shared" si="55"/>
        <v>7.8048074623189717E-2</v>
      </c>
      <c r="DN61" s="342">
        <f t="shared" si="55"/>
        <v>3.0833086985447494E-2</v>
      </c>
      <c r="DO61" s="342">
        <f t="shared" si="55"/>
        <v>1.9424994233308505E-2</v>
      </c>
      <c r="DQ61" s="316">
        <v>2035</v>
      </c>
      <c r="DR61" s="46">
        <f t="shared" si="86"/>
        <v>849627.3299079166</v>
      </c>
      <c r="DS61" s="61">
        <v>856.26504342282237</v>
      </c>
      <c r="DT61" s="46">
        <f t="shared" si="86"/>
        <v>706493.27212220966</v>
      </c>
      <c r="DU61" s="61">
        <v>709.4580673890764</v>
      </c>
      <c r="DW61" s="46">
        <f t="shared" si="87"/>
        <v>848678.73313604109</v>
      </c>
      <c r="DX61" s="61">
        <v>855.30903573866635</v>
      </c>
      <c r="DY61" s="46">
        <f t="shared" si="88"/>
        <v>705704.4824803326</v>
      </c>
      <c r="DZ61" s="61">
        <v>708.66596759565357</v>
      </c>
      <c r="EB61" s="316">
        <v>2035</v>
      </c>
      <c r="EC61" s="88" t="e">
        <f t="shared" si="56"/>
        <v>#REF!</v>
      </c>
      <c r="ED61" s="88">
        <f t="shared" si="56"/>
        <v>7.672304986595114E-4</v>
      </c>
      <c r="EE61" s="88" t="e">
        <f t="shared" si="56"/>
        <v>#REF!</v>
      </c>
      <c r="EF61" s="88">
        <f t="shared" si="56"/>
        <v>4.6516629831438467E-3</v>
      </c>
      <c r="EG61" s="302">
        <f t="shared" si="89"/>
        <v>1.2459387520665848E-2</v>
      </c>
      <c r="EH61" s="88">
        <f t="shared" si="57"/>
        <v>1.8659380933188932E-2</v>
      </c>
      <c r="EJ61" s="316">
        <v>2035</v>
      </c>
      <c r="EK61" s="302" t="e">
        <f t="shared" si="90"/>
        <v>#REF!</v>
      </c>
      <c r="EL61" s="88" t="e">
        <f t="shared" si="58"/>
        <v>#REF!</v>
      </c>
      <c r="EM61" s="302">
        <f t="shared" si="91"/>
        <v>0.37818344361205319</v>
      </c>
      <c r="EN61" s="88" t="e">
        <f t="shared" si="59"/>
        <v>#REF!</v>
      </c>
      <c r="EO61" s="88" t="e">
        <f t="shared" si="59"/>
        <v>#REF!</v>
      </c>
      <c r="EP61" s="88" t="e">
        <f t="shared" si="59"/>
        <v>#REF!</v>
      </c>
      <c r="ER61" s="316">
        <v>2035</v>
      </c>
      <c r="ES61" s="317">
        <f t="shared" si="60"/>
        <v>115215.69799999999</v>
      </c>
      <c r="ET61" s="61">
        <v>12457.214</v>
      </c>
      <c r="EU61" s="61">
        <v>64941.881999999998</v>
      </c>
      <c r="EV61" s="61">
        <v>37816.601999999999</v>
      </c>
      <c r="EW61" s="88">
        <f t="shared" si="49"/>
        <v>0.10812080485768528</v>
      </c>
      <c r="EX61" s="88">
        <f t="shared" si="49"/>
        <v>0.56365480683022906</v>
      </c>
      <c r="EY61" s="88">
        <f t="shared" si="49"/>
        <v>0.32822438831208578</v>
      </c>
      <c r="EZ61" s="88">
        <f t="shared" si="50"/>
        <v>-2.8847438765361444E-4</v>
      </c>
      <c r="FA61" s="88">
        <f t="shared" si="50"/>
        <v>-3.9560853935368678E-3</v>
      </c>
      <c r="FB61" s="88">
        <f t="shared" si="50"/>
        <v>4.2445597811905378E-3</v>
      </c>
      <c r="FD61" s="316">
        <v>2035</v>
      </c>
      <c r="FE61" s="308">
        <f t="shared" si="92"/>
        <v>0.03</v>
      </c>
      <c r="FF61" s="343">
        <f t="shared" si="98"/>
        <v>0.03</v>
      </c>
      <c r="FG61" s="308">
        <f t="shared" si="92"/>
        <v>1.7000000000000001E-2</v>
      </c>
      <c r="FH61" s="345">
        <f t="shared" si="98"/>
        <v>1.7000000000000001E-2</v>
      </c>
      <c r="FI61" s="319">
        <f t="shared" si="45"/>
        <v>1.2999999999999998E-2</v>
      </c>
      <c r="FK61" s="345" t="e">
        <f t="shared" si="61"/>
        <v>#REF!</v>
      </c>
      <c r="FL61" s="345">
        <f t="shared" si="62"/>
        <v>-1.7952742298220081E-3</v>
      </c>
      <c r="FM61" s="345">
        <f t="shared" si="63"/>
        <v>-5.3608700906381847E-4</v>
      </c>
      <c r="FO61" s="316">
        <v>2035</v>
      </c>
      <c r="FP61" s="46" t="e">
        <f t="shared" si="64"/>
        <v>#REF!</v>
      </c>
      <c r="FQ61" s="46" t="e">
        <f t="shared" si="65"/>
        <v>#REF!</v>
      </c>
      <c r="FR61" s="46" t="e">
        <f t="shared" si="66"/>
        <v>#REF!</v>
      </c>
      <c r="FS61" s="46" t="e">
        <f t="shared" si="67"/>
        <v>#REF!</v>
      </c>
      <c r="FT61" s="46" t="e">
        <f t="shared" si="68"/>
        <v>#REF!</v>
      </c>
      <c r="FU61" s="46" t="e">
        <f t="shared" si="69"/>
        <v>#REF!</v>
      </c>
      <c r="FV61" s="285" t="e">
        <f t="shared" si="38"/>
        <v>#REF!</v>
      </c>
    </row>
    <row r="62" spans="17:178">
      <c r="Q62" s="316">
        <v>2036</v>
      </c>
      <c r="R62" s="46" t="e">
        <f t="shared" si="70"/>
        <v>#REF!</v>
      </c>
      <c r="S62" s="46" t="e">
        <f t="shared" si="71"/>
        <v>#REF!</v>
      </c>
      <c r="T62" s="46">
        <f t="shared" si="72"/>
        <v>331744.72166516923</v>
      </c>
      <c r="U62" s="46" t="e">
        <f t="shared" si="71"/>
        <v>#REF!</v>
      </c>
      <c r="V62" s="46" t="e">
        <f t="shared" si="71"/>
        <v>#REF!</v>
      </c>
      <c r="W62" s="46" t="e">
        <f t="shared" si="71"/>
        <v>#REF!</v>
      </c>
      <c r="Y62" s="316">
        <v>2036</v>
      </c>
      <c r="Z62" s="46" t="e">
        <f t="shared" si="73"/>
        <v>#REF!</v>
      </c>
      <c r="AA62" s="46" t="e">
        <f t="shared" si="74"/>
        <v>#REF!</v>
      </c>
      <c r="AB62" s="46" t="e">
        <f t="shared" si="73"/>
        <v>#REF!</v>
      </c>
      <c r="AC62" s="46" t="e">
        <f t="shared" si="74"/>
        <v>#REF!</v>
      </c>
      <c r="AD62" s="46" t="e">
        <f t="shared" si="74"/>
        <v>#REF!</v>
      </c>
      <c r="AE62" s="46" t="e">
        <f t="shared" si="74"/>
        <v>#REF!</v>
      </c>
      <c r="AG62" s="316">
        <v>2036</v>
      </c>
      <c r="AH62" s="48" t="e">
        <f t="shared" si="75"/>
        <v>#REF!</v>
      </c>
      <c r="AI62" s="48" t="e">
        <f t="shared" si="51"/>
        <v>#REF!</v>
      </c>
      <c r="AJ62" s="48" t="e">
        <f t="shared" si="51"/>
        <v>#REF!</v>
      </c>
      <c r="AK62" s="48" t="e">
        <f t="shared" si="51"/>
        <v>#REF!</v>
      </c>
      <c r="AL62" s="48" t="e">
        <f t="shared" si="51"/>
        <v>#REF!</v>
      </c>
      <c r="AM62" s="48" t="e">
        <f t="shared" si="51"/>
        <v>#REF!</v>
      </c>
      <c r="AO62" s="316">
        <v>2036</v>
      </c>
      <c r="AP62" s="302">
        <f t="shared" si="93"/>
        <v>5.0000000000000001E-3</v>
      </c>
      <c r="AQ62" s="302">
        <f t="shared" si="96"/>
        <v>5.0000000000000001E-3</v>
      </c>
      <c r="AR62" s="44"/>
      <c r="AS62" s="316">
        <v>2036</v>
      </c>
      <c r="AT62" s="345">
        <f t="shared" si="76"/>
        <v>5.0000000000000001E-3</v>
      </c>
      <c r="AU62" s="345">
        <f t="shared" si="77"/>
        <v>5.0000000000000001E-3</v>
      </c>
      <c r="AV62" s="345">
        <f t="shared" si="77"/>
        <v>5.0000000000000001E-3</v>
      </c>
      <c r="AW62" s="345">
        <f t="shared" si="77"/>
        <v>5.0000000000000001E-3</v>
      </c>
      <c r="AX62" s="345">
        <f t="shared" si="77"/>
        <v>5.0000000000000001E-3</v>
      </c>
      <c r="AY62" s="345">
        <f t="shared" si="77"/>
        <v>5.0000000000000001E-3</v>
      </c>
      <c r="BQ62" s="316">
        <v>2036</v>
      </c>
      <c r="BR62" s="346" t="e">
        <f t="shared" si="78"/>
        <v>#REF!</v>
      </c>
      <c r="BS62" s="300">
        <f t="shared" si="94"/>
        <v>651.86</v>
      </c>
      <c r="BT62" s="346" t="e">
        <f t="shared" si="78"/>
        <v>#REF!</v>
      </c>
      <c r="BU62" s="300">
        <f t="shared" si="94"/>
        <v>3952.1800000000003</v>
      </c>
      <c r="BV62" s="346">
        <f t="shared" si="79"/>
        <v>10844.787387666858</v>
      </c>
      <c r="BW62" s="300">
        <f t="shared" si="94"/>
        <v>15853.52</v>
      </c>
      <c r="BY62" s="316">
        <v>2036</v>
      </c>
      <c r="BZ62" s="46" t="e">
        <f t="shared" si="80"/>
        <v>#REF!</v>
      </c>
      <c r="CA62" s="46" t="e">
        <f t="shared" si="81"/>
        <v>#REF!</v>
      </c>
      <c r="CB62" s="46" t="e">
        <f t="shared" si="80"/>
        <v>#REF!</v>
      </c>
      <c r="CC62" s="46" t="e">
        <f t="shared" si="81"/>
        <v>#REF!</v>
      </c>
      <c r="CD62" s="46" t="e">
        <f t="shared" si="81"/>
        <v>#REF!</v>
      </c>
      <c r="CE62" s="46" t="e">
        <f t="shared" si="81"/>
        <v>#REF!</v>
      </c>
      <c r="CG62" s="316">
        <v>2036</v>
      </c>
      <c r="CH62" s="48" t="e">
        <f t="shared" si="82"/>
        <v>#REF!</v>
      </c>
      <c r="CI62" s="48" t="e">
        <f t="shared" si="53"/>
        <v>#REF!</v>
      </c>
      <c r="CJ62" s="48" t="e">
        <f t="shared" si="53"/>
        <v>#REF!</v>
      </c>
      <c r="CK62" s="48" t="e">
        <f t="shared" si="53"/>
        <v>#REF!</v>
      </c>
      <c r="CL62" s="48" t="e">
        <f t="shared" si="53"/>
        <v>#REF!</v>
      </c>
      <c r="CM62" s="48" t="e">
        <f t="shared" si="53"/>
        <v>#REF!</v>
      </c>
      <c r="CO62" s="316">
        <v>2036</v>
      </c>
      <c r="CP62" s="302">
        <f t="shared" si="95"/>
        <v>5.0000000000000001E-3</v>
      </c>
      <c r="CQ62" s="302">
        <f t="shared" si="97"/>
        <v>5.0000000000000001E-3</v>
      </c>
      <c r="CR62" s="45"/>
      <c r="CS62" s="316">
        <v>2036</v>
      </c>
      <c r="CT62" s="345">
        <f t="shared" si="83"/>
        <v>5.0000000000000001E-3</v>
      </c>
      <c r="CU62" s="345">
        <f t="shared" si="84"/>
        <v>5.0000000000000001E-3</v>
      </c>
      <c r="CV62" s="345">
        <f t="shared" si="84"/>
        <v>5.0000000000000001E-3</v>
      </c>
      <c r="CW62" s="345">
        <f t="shared" si="84"/>
        <v>5.0000000000000001E-3</v>
      </c>
      <c r="CX62" s="345">
        <f t="shared" si="84"/>
        <v>5.0000000000000001E-3</v>
      </c>
      <c r="CY62" s="345">
        <f t="shared" si="84"/>
        <v>5.0000000000000001E-3</v>
      </c>
      <c r="DA62" s="316">
        <v>2036</v>
      </c>
      <c r="DI62" s="316">
        <v>2036</v>
      </c>
      <c r="DJ62" s="342">
        <f t="shared" si="85"/>
        <v>5.4583448415545521E-2</v>
      </c>
      <c r="DK62" s="342">
        <f t="shared" si="55"/>
        <v>5.2854181650765684E-2</v>
      </c>
      <c r="DL62" s="342">
        <f t="shared" si="55"/>
        <v>7.9440533719600095E-2</v>
      </c>
      <c r="DM62" s="342">
        <f t="shared" si="55"/>
        <v>7.8048021886869698E-2</v>
      </c>
      <c r="DN62" s="342">
        <f t="shared" si="55"/>
        <v>3.0832575199304359E-2</v>
      </c>
      <c r="DO62" s="342">
        <f t="shared" si="55"/>
        <v>1.9425063516269464E-2</v>
      </c>
      <c r="DQ62" s="316">
        <v>2036</v>
      </c>
      <c r="DR62" s="46">
        <f t="shared" si="86"/>
        <v>876815.40446497023</v>
      </c>
      <c r="DS62" s="61">
        <v>883.66552481235271</v>
      </c>
      <c r="DT62" s="46">
        <f t="shared" si="86"/>
        <v>718503.65774828708</v>
      </c>
      <c r="DU62" s="61">
        <v>721.5188545346906</v>
      </c>
      <c r="DW62" s="46">
        <f t="shared" si="87"/>
        <v>875836.45259639435</v>
      </c>
      <c r="DX62" s="61">
        <v>882.6789248823037</v>
      </c>
      <c r="DY62" s="46">
        <f t="shared" si="88"/>
        <v>717701.45868249796</v>
      </c>
      <c r="DZ62" s="61">
        <v>720.71328904477957</v>
      </c>
      <c r="EB62" s="316">
        <v>2036</v>
      </c>
      <c r="EC62" s="88" t="e">
        <f t="shared" si="56"/>
        <v>#REF!</v>
      </c>
      <c r="ED62" s="88">
        <f t="shared" si="56"/>
        <v>7.4344040567782081E-4</v>
      </c>
      <c r="EE62" s="88" t="e">
        <f t="shared" si="56"/>
        <v>#REF!</v>
      </c>
      <c r="EF62" s="88">
        <f t="shared" si="56"/>
        <v>4.5074253712634156E-3</v>
      </c>
      <c r="EG62" s="302">
        <f t="shared" si="89"/>
        <v>1.236838145457117E-2</v>
      </c>
      <c r="EH62" s="88">
        <f t="shared" si="57"/>
        <v>1.8080795477896244E-2</v>
      </c>
      <c r="EJ62" s="316">
        <v>2036</v>
      </c>
      <c r="EK62" s="302" t="e">
        <f t="shared" si="90"/>
        <v>#REF!</v>
      </c>
      <c r="EL62" s="88" t="e">
        <f t="shared" si="58"/>
        <v>#REF!</v>
      </c>
      <c r="EM62" s="302">
        <f t="shared" si="91"/>
        <v>0.37877473663230238</v>
      </c>
      <c r="EN62" s="88" t="e">
        <f t="shared" si="59"/>
        <v>#REF!</v>
      </c>
      <c r="EO62" s="88" t="e">
        <f t="shared" si="59"/>
        <v>#REF!</v>
      </c>
      <c r="EP62" s="88" t="e">
        <f t="shared" si="59"/>
        <v>#REF!</v>
      </c>
      <c r="ER62" s="316">
        <v>2036</v>
      </c>
      <c r="ES62" s="317">
        <f t="shared" si="60"/>
        <v>114382.59700000001</v>
      </c>
      <c r="ET62" s="61">
        <v>12344.484</v>
      </c>
      <c r="EU62" s="61">
        <v>63953.892</v>
      </c>
      <c r="EV62" s="61">
        <v>38084.220999999998</v>
      </c>
      <c r="EW62" s="88">
        <f t="shared" ref="EW62:EY66" si="99">ET62/$ES62</f>
        <v>0.10792274632477526</v>
      </c>
      <c r="EX62" s="88">
        <f t="shared" si="99"/>
        <v>0.55912257351526995</v>
      </c>
      <c r="EY62" s="88">
        <f t="shared" si="99"/>
        <v>0.33295468015995472</v>
      </c>
      <c r="EZ62" s="88">
        <f t="shared" ref="EZ62:FB66" si="100">EW62-EW61</f>
        <v>-1.9805853291002262E-4</v>
      </c>
      <c r="FA62" s="88">
        <f t="shared" si="100"/>
        <v>-4.532233314959111E-3</v>
      </c>
      <c r="FB62" s="88">
        <f t="shared" si="100"/>
        <v>4.7302918478689393E-3</v>
      </c>
      <c r="FD62" s="316">
        <v>2036</v>
      </c>
      <c r="FE62" s="308">
        <f t="shared" si="92"/>
        <v>0.03</v>
      </c>
      <c r="FF62" s="343">
        <f t="shared" si="98"/>
        <v>0.03</v>
      </c>
      <c r="FG62" s="308">
        <f t="shared" si="92"/>
        <v>1.7000000000000001E-2</v>
      </c>
      <c r="FH62" s="345">
        <f t="shared" si="98"/>
        <v>1.7000000000000001E-2</v>
      </c>
      <c r="FI62" s="319">
        <f t="shared" si="45"/>
        <v>1.2999999999999998E-2</v>
      </c>
      <c r="FK62" s="345" t="e">
        <f t="shared" si="61"/>
        <v>#REF!</v>
      </c>
      <c r="FL62" s="345">
        <f t="shared" si="62"/>
        <v>-1.6372795352778691E-3</v>
      </c>
      <c r="FM62" s="345">
        <f t="shared" si="63"/>
        <v>-5.1226779815760279E-4</v>
      </c>
      <c r="FO62" s="316">
        <v>2036</v>
      </c>
      <c r="FP62" s="46" t="e">
        <f t="shared" si="64"/>
        <v>#REF!</v>
      </c>
      <c r="FQ62" s="46" t="e">
        <f t="shared" si="65"/>
        <v>#REF!</v>
      </c>
      <c r="FR62" s="46" t="e">
        <f t="shared" si="66"/>
        <v>#REF!</v>
      </c>
      <c r="FS62" s="46" t="e">
        <f t="shared" si="67"/>
        <v>#REF!</v>
      </c>
      <c r="FT62" s="46" t="e">
        <f t="shared" si="68"/>
        <v>#REF!</v>
      </c>
      <c r="FU62" s="46" t="e">
        <f t="shared" si="69"/>
        <v>#REF!</v>
      </c>
      <c r="FV62" s="285" t="e">
        <f t="shared" si="38"/>
        <v>#REF!</v>
      </c>
    </row>
    <row r="63" spans="17:178">
      <c r="Q63" s="316">
        <v>2037</v>
      </c>
      <c r="R63" s="46" t="e">
        <f t="shared" si="70"/>
        <v>#REF!</v>
      </c>
      <c r="S63" s="46" t="e">
        <f t="shared" si="71"/>
        <v>#REF!</v>
      </c>
      <c r="T63" s="46">
        <f t="shared" si="72"/>
        <v>342737.80934771919</v>
      </c>
      <c r="U63" s="46" t="e">
        <f t="shared" si="71"/>
        <v>#REF!</v>
      </c>
      <c r="V63" s="46" t="e">
        <f t="shared" si="71"/>
        <v>#REF!</v>
      </c>
      <c r="W63" s="46" t="e">
        <f t="shared" si="71"/>
        <v>#REF!</v>
      </c>
      <c r="Y63" s="316">
        <v>2037</v>
      </c>
      <c r="Z63" s="46" t="e">
        <f t="shared" si="73"/>
        <v>#REF!</v>
      </c>
      <c r="AA63" s="46" t="e">
        <f t="shared" si="74"/>
        <v>#REF!</v>
      </c>
      <c r="AB63" s="46" t="e">
        <f t="shared" si="73"/>
        <v>#REF!</v>
      </c>
      <c r="AC63" s="46" t="e">
        <f t="shared" si="74"/>
        <v>#REF!</v>
      </c>
      <c r="AD63" s="46" t="e">
        <f t="shared" si="74"/>
        <v>#REF!</v>
      </c>
      <c r="AE63" s="46" t="e">
        <f t="shared" si="74"/>
        <v>#REF!</v>
      </c>
      <c r="AG63" s="316">
        <v>2037</v>
      </c>
      <c r="AH63" s="48" t="e">
        <f t="shared" si="75"/>
        <v>#REF!</v>
      </c>
      <c r="AI63" s="48" t="e">
        <f t="shared" si="51"/>
        <v>#REF!</v>
      </c>
      <c r="AJ63" s="48" t="e">
        <f t="shared" si="51"/>
        <v>#REF!</v>
      </c>
      <c r="AK63" s="48" t="e">
        <f t="shared" si="51"/>
        <v>#REF!</v>
      </c>
      <c r="AL63" s="48" t="e">
        <f t="shared" si="51"/>
        <v>#REF!</v>
      </c>
      <c r="AM63" s="48" t="e">
        <f t="shared" si="51"/>
        <v>#REF!</v>
      </c>
      <c r="AO63" s="316">
        <v>2037</v>
      </c>
      <c r="AP63" s="302">
        <f t="shared" si="93"/>
        <v>5.0000000000000001E-3</v>
      </c>
      <c r="AQ63" s="302">
        <f t="shared" si="96"/>
        <v>5.0000000000000001E-3</v>
      </c>
      <c r="AR63" s="44"/>
      <c r="AS63" s="316">
        <v>2037</v>
      </c>
      <c r="AT63" s="345">
        <f t="shared" si="76"/>
        <v>5.0000000000000001E-3</v>
      </c>
      <c r="AU63" s="345">
        <f t="shared" si="77"/>
        <v>5.0000000000000001E-3</v>
      </c>
      <c r="AV63" s="345">
        <f t="shared" si="77"/>
        <v>5.0000000000000001E-3</v>
      </c>
      <c r="AW63" s="345">
        <f t="shared" si="77"/>
        <v>5.0000000000000001E-3</v>
      </c>
      <c r="AX63" s="345">
        <f t="shared" si="77"/>
        <v>5.0000000000000001E-3</v>
      </c>
      <c r="AY63" s="345">
        <f t="shared" si="77"/>
        <v>5.0000000000000001E-3</v>
      </c>
      <c r="BQ63" s="316">
        <v>2037</v>
      </c>
      <c r="BR63" s="346" t="e">
        <f t="shared" si="78"/>
        <v>#REF!</v>
      </c>
      <c r="BS63" s="300">
        <f t="shared" si="94"/>
        <v>651.86</v>
      </c>
      <c r="BT63" s="346" t="e">
        <f t="shared" si="78"/>
        <v>#REF!</v>
      </c>
      <c r="BU63" s="300">
        <f t="shared" si="94"/>
        <v>3952.1800000000003</v>
      </c>
      <c r="BV63" s="346">
        <f t="shared" si="79"/>
        <v>11089.732771142533</v>
      </c>
      <c r="BW63" s="300">
        <f t="shared" si="94"/>
        <v>15853.52</v>
      </c>
      <c r="BY63" s="316">
        <v>2037</v>
      </c>
      <c r="BZ63" s="46" t="e">
        <f t="shared" si="80"/>
        <v>#REF!</v>
      </c>
      <c r="CA63" s="46" t="e">
        <f t="shared" si="81"/>
        <v>#REF!</v>
      </c>
      <c r="CB63" s="46" t="e">
        <f t="shared" si="80"/>
        <v>#REF!</v>
      </c>
      <c r="CC63" s="46" t="e">
        <f t="shared" si="81"/>
        <v>#REF!</v>
      </c>
      <c r="CD63" s="46" t="e">
        <f t="shared" si="81"/>
        <v>#REF!</v>
      </c>
      <c r="CE63" s="46" t="e">
        <f t="shared" si="81"/>
        <v>#REF!</v>
      </c>
      <c r="CG63" s="316">
        <v>2037</v>
      </c>
      <c r="CH63" s="48" t="e">
        <f t="shared" si="82"/>
        <v>#REF!</v>
      </c>
      <c r="CI63" s="48" t="e">
        <f t="shared" si="82"/>
        <v>#REF!</v>
      </c>
      <c r="CJ63" s="48" t="e">
        <f t="shared" si="82"/>
        <v>#REF!</v>
      </c>
      <c r="CK63" s="48" t="e">
        <f t="shared" si="82"/>
        <v>#REF!</v>
      </c>
      <c r="CL63" s="48" t="e">
        <f t="shared" si="82"/>
        <v>#REF!</v>
      </c>
      <c r="CM63" s="48" t="e">
        <f t="shared" si="82"/>
        <v>#REF!</v>
      </c>
      <c r="CO63" s="316">
        <v>2037</v>
      </c>
      <c r="CP63" s="302">
        <f t="shared" si="95"/>
        <v>5.0000000000000001E-3</v>
      </c>
      <c r="CQ63" s="302">
        <f t="shared" si="97"/>
        <v>5.0000000000000001E-3</v>
      </c>
      <c r="CR63" s="45"/>
      <c r="CS63" s="316">
        <v>2037</v>
      </c>
      <c r="CT63" s="345">
        <f t="shared" si="83"/>
        <v>5.0000000000000001E-3</v>
      </c>
      <c r="CU63" s="345">
        <f t="shared" si="84"/>
        <v>5.0000000000000001E-3</v>
      </c>
      <c r="CV63" s="345">
        <f t="shared" si="84"/>
        <v>5.0000000000000001E-3</v>
      </c>
      <c r="CW63" s="345">
        <f t="shared" si="84"/>
        <v>5.0000000000000001E-3</v>
      </c>
      <c r="CX63" s="345">
        <f t="shared" si="84"/>
        <v>5.0000000000000001E-3</v>
      </c>
      <c r="CY63" s="345">
        <f t="shared" si="84"/>
        <v>5.0000000000000001E-3</v>
      </c>
      <c r="DA63" s="316">
        <v>2037</v>
      </c>
      <c r="DI63" s="316">
        <v>2037</v>
      </c>
      <c r="DJ63" s="342">
        <f t="shared" si="85"/>
        <v>5.4582909417066026E-2</v>
      </c>
      <c r="DK63" s="342">
        <f t="shared" si="85"/>
        <v>5.2854352825209505E-2</v>
      </c>
      <c r="DL63" s="342">
        <f t="shared" si="85"/>
        <v>7.9441045013060624E-2</v>
      </c>
      <c r="DM63" s="342">
        <f t="shared" si="85"/>
        <v>7.8046478864799415E-2</v>
      </c>
      <c r="DN63" s="342">
        <f t="shared" si="85"/>
        <v>3.0836197431651603E-2</v>
      </c>
      <c r="DO63" s="342">
        <f t="shared" si="85"/>
        <v>1.9423728246777305E-2</v>
      </c>
      <c r="DQ63" s="316">
        <v>2037</v>
      </c>
      <c r="DR63" s="46">
        <f t="shared" si="86"/>
        <v>904873.4974078493</v>
      </c>
      <c r="DS63" s="61">
        <v>911.94282160634805</v>
      </c>
      <c r="DT63" s="46">
        <f t="shared" si="86"/>
        <v>730718.21993000782</v>
      </c>
      <c r="DU63" s="61">
        <v>733.78467506178026</v>
      </c>
      <c r="DW63" s="46">
        <f t="shared" si="87"/>
        <v>903863.21907947911</v>
      </c>
      <c r="DX63" s="61">
        <v>910.92465047853761</v>
      </c>
      <c r="DY63" s="46">
        <f t="shared" si="88"/>
        <v>729902.38348010054</v>
      </c>
      <c r="DZ63" s="61">
        <v>732.9654149585408</v>
      </c>
      <c r="EB63" s="316">
        <v>2037</v>
      </c>
      <c r="EC63" s="88" t="e">
        <f t="shared" si="56"/>
        <v>#REF!</v>
      </c>
      <c r="ED63" s="88">
        <f t="shared" si="56"/>
        <v>7.2038798999788842E-4</v>
      </c>
      <c r="EE63" s="88" t="e">
        <f t="shared" si="56"/>
        <v>#REF!</v>
      </c>
      <c r="EF63" s="88">
        <f t="shared" si="56"/>
        <v>4.367660243472302E-3</v>
      </c>
      <c r="EG63" s="302">
        <f t="shared" si="89"/>
        <v>1.2255561471200997E-2</v>
      </c>
      <c r="EH63" s="88">
        <f t="shared" si="57"/>
        <v>1.7520150656876204E-2</v>
      </c>
      <c r="EJ63" s="316">
        <v>2037</v>
      </c>
      <c r="EK63" s="302" t="e">
        <f t="shared" si="90"/>
        <v>#REF!</v>
      </c>
      <c r="EL63" s="88" t="e">
        <f t="shared" si="58"/>
        <v>#REF!</v>
      </c>
      <c r="EM63" s="302">
        <f t="shared" si="91"/>
        <v>0.37919211902081096</v>
      </c>
      <c r="EN63" s="88" t="e">
        <f t="shared" si="59"/>
        <v>#REF!</v>
      </c>
      <c r="EO63" s="88" t="e">
        <f t="shared" si="59"/>
        <v>#REF!</v>
      </c>
      <c r="EP63" s="88" t="e">
        <f t="shared" si="59"/>
        <v>#REF!</v>
      </c>
      <c r="ER63" s="316">
        <v>2037</v>
      </c>
      <c r="ES63" s="317">
        <f t="shared" si="60"/>
        <v>113534.84299999999</v>
      </c>
      <c r="ET63" s="61">
        <v>12238.57</v>
      </c>
      <c r="EU63" s="61">
        <v>62905.048000000003</v>
      </c>
      <c r="EV63" s="61">
        <v>38391.224999999999</v>
      </c>
      <c r="EW63" s="88">
        <f t="shared" si="99"/>
        <v>0.10779571871165577</v>
      </c>
      <c r="EX63" s="88">
        <f t="shared" si="99"/>
        <v>0.55405940888120142</v>
      </c>
      <c r="EY63" s="88">
        <f t="shared" si="99"/>
        <v>0.33814487240714292</v>
      </c>
      <c r="EZ63" s="88">
        <f t="shared" si="100"/>
        <v>-1.2702761311948751E-4</v>
      </c>
      <c r="FA63" s="88">
        <f t="shared" si="100"/>
        <v>-5.0631646340685288E-3</v>
      </c>
      <c r="FB63" s="88">
        <f t="shared" si="100"/>
        <v>5.1901922471881967E-3</v>
      </c>
      <c r="FD63" s="316">
        <v>2037</v>
      </c>
      <c r="FE63" s="308">
        <f t="shared" si="92"/>
        <v>0.03</v>
      </c>
      <c r="FF63" s="343">
        <f t="shared" si="98"/>
        <v>0.03</v>
      </c>
      <c r="FG63" s="308">
        <f t="shared" si="92"/>
        <v>1.7000000000000001E-2</v>
      </c>
      <c r="FH63" s="345">
        <f t="shared" si="98"/>
        <v>1.7000000000000001E-2</v>
      </c>
      <c r="FI63" s="319">
        <f t="shared" si="45"/>
        <v>1.2999999999999998E-2</v>
      </c>
      <c r="FK63" s="345" t="e">
        <f t="shared" si="61"/>
        <v>#REF!</v>
      </c>
      <c r="FL63" s="345">
        <f t="shared" si="62"/>
        <v>-1.5602973863712011E-3</v>
      </c>
      <c r="FM63" s="345">
        <f t="shared" si="63"/>
        <v>-5.3488075905692642E-4</v>
      </c>
      <c r="FO63" s="316">
        <v>2037</v>
      </c>
      <c r="FP63" s="46" t="e">
        <f t="shared" si="64"/>
        <v>#REF!</v>
      </c>
      <c r="FQ63" s="46" t="e">
        <f t="shared" si="65"/>
        <v>#REF!</v>
      </c>
      <c r="FR63" s="46" t="e">
        <f t="shared" si="66"/>
        <v>#REF!</v>
      </c>
      <c r="FS63" s="46" t="e">
        <f t="shared" si="67"/>
        <v>#REF!</v>
      </c>
      <c r="FT63" s="46" t="e">
        <f t="shared" si="68"/>
        <v>#REF!</v>
      </c>
      <c r="FU63" s="46" t="e">
        <f t="shared" si="69"/>
        <v>#REF!</v>
      </c>
      <c r="FV63" s="285" t="e">
        <f t="shared" si="38"/>
        <v>#REF!</v>
      </c>
    </row>
    <row r="64" spans="17:178">
      <c r="Q64" s="316">
        <v>2038</v>
      </c>
      <c r="R64" s="46" t="e">
        <f t="shared" si="70"/>
        <v>#REF!</v>
      </c>
      <c r="S64" s="46" t="e">
        <f t="shared" si="71"/>
        <v>#REF!</v>
      </c>
      <c r="T64" s="46">
        <f t="shared" si="72"/>
        <v>353962.95297378552</v>
      </c>
      <c r="U64" s="46" t="e">
        <f t="shared" si="71"/>
        <v>#REF!</v>
      </c>
      <c r="V64" s="46" t="e">
        <f t="shared" si="71"/>
        <v>#REF!</v>
      </c>
      <c r="W64" s="46" t="e">
        <f t="shared" si="71"/>
        <v>#REF!</v>
      </c>
      <c r="Y64" s="316">
        <v>2038</v>
      </c>
      <c r="Z64" s="46" t="e">
        <f t="shared" si="73"/>
        <v>#REF!</v>
      </c>
      <c r="AA64" s="46" t="e">
        <f t="shared" si="74"/>
        <v>#REF!</v>
      </c>
      <c r="AB64" s="46" t="e">
        <f t="shared" si="73"/>
        <v>#REF!</v>
      </c>
      <c r="AC64" s="46" t="e">
        <f t="shared" si="74"/>
        <v>#REF!</v>
      </c>
      <c r="AD64" s="46" t="e">
        <f t="shared" si="74"/>
        <v>#REF!</v>
      </c>
      <c r="AE64" s="46" t="e">
        <f t="shared" si="74"/>
        <v>#REF!</v>
      </c>
      <c r="AG64" s="316">
        <v>2038</v>
      </c>
      <c r="AH64" s="48" t="e">
        <f t="shared" si="75"/>
        <v>#REF!</v>
      </c>
      <c r="AI64" s="48" t="e">
        <f t="shared" si="51"/>
        <v>#REF!</v>
      </c>
      <c r="AJ64" s="48" t="e">
        <f t="shared" si="51"/>
        <v>#REF!</v>
      </c>
      <c r="AK64" s="48" t="e">
        <f t="shared" si="51"/>
        <v>#REF!</v>
      </c>
      <c r="AL64" s="48" t="e">
        <f t="shared" si="51"/>
        <v>#REF!</v>
      </c>
      <c r="AM64" s="48" t="e">
        <f t="shared" si="51"/>
        <v>#REF!</v>
      </c>
      <c r="AO64" s="316">
        <v>2038</v>
      </c>
      <c r="AP64" s="302">
        <f t="shared" si="93"/>
        <v>5.0000000000000001E-3</v>
      </c>
      <c r="AQ64" s="302">
        <f t="shared" si="96"/>
        <v>5.0000000000000001E-3</v>
      </c>
      <c r="AR64" s="44"/>
      <c r="AS64" s="316">
        <v>2038</v>
      </c>
      <c r="AT64" s="345">
        <f t="shared" si="76"/>
        <v>5.0000000000000001E-3</v>
      </c>
      <c r="AU64" s="345">
        <f t="shared" ref="AU64:AY66" si="101">AT64</f>
        <v>5.0000000000000001E-3</v>
      </c>
      <c r="AV64" s="345">
        <f t="shared" si="101"/>
        <v>5.0000000000000001E-3</v>
      </c>
      <c r="AW64" s="345">
        <f t="shared" si="101"/>
        <v>5.0000000000000001E-3</v>
      </c>
      <c r="AX64" s="345">
        <f t="shared" si="101"/>
        <v>5.0000000000000001E-3</v>
      </c>
      <c r="AY64" s="345">
        <f t="shared" si="101"/>
        <v>5.0000000000000001E-3</v>
      </c>
      <c r="BQ64" s="316">
        <v>2038</v>
      </c>
      <c r="BR64" s="346" t="e">
        <f t="shared" si="78"/>
        <v>#REF!</v>
      </c>
      <c r="BS64" s="300">
        <f t="shared" si="94"/>
        <v>651.86</v>
      </c>
      <c r="BT64" s="346" t="e">
        <f t="shared" si="78"/>
        <v>#REF!</v>
      </c>
      <c r="BU64" s="300">
        <f t="shared" si="94"/>
        <v>3952.1800000000003</v>
      </c>
      <c r="BV64" s="346">
        <f t="shared" si="79"/>
        <v>11358.073665589145</v>
      </c>
      <c r="BW64" s="300">
        <f t="shared" si="94"/>
        <v>15853.52</v>
      </c>
      <c r="BY64" s="316">
        <v>2038</v>
      </c>
      <c r="BZ64" s="46" t="e">
        <f t="shared" si="80"/>
        <v>#REF!</v>
      </c>
      <c r="CA64" s="46" t="e">
        <f t="shared" si="81"/>
        <v>#REF!</v>
      </c>
      <c r="CB64" s="46" t="e">
        <f t="shared" si="80"/>
        <v>#REF!</v>
      </c>
      <c r="CC64" s="46" t="e">
        <f t="shared" si="81"/>
        <v>#REF!</v>
      </c>
      <c r="CD64" s="46" t="e">
        <f t="shared" si="81"/>
        <v>#REF!</v>
      </c>
      <c r="CE64" s="46" t="e">
        <f t="shared" si="81"/>
        <v>#REF!</v>
      </c>
      <c r="CG64" s="316">
        <v>2038</v>
      </c>
      <c r="CH64" s="48" t="e">
        <f t="shared" si="82"/>
        <v>#REF!</v>
      </c>
      <c r="CI64" s="48" t="e">
        <f t="shared" si="82"/>
        <v>#REF!</v>
      </c>
      <c r="CJ64" s="48" t="e">
        <f t="shared" si="82"/>
        <v>#REF!</v>
      </c>
      <c r="CK64" s="48" t="e">
        <f t="shared" si="82"/>
        <v>#REF!</v>
      </c>
      <c r="CL64" s="48" t="e">
        <f t="shared" si="82"/>
        <v>#REF!</v>
      </c>
      <c r="CM64" s="48" t="e">
        <f t="shared" si="82"/>
        <v>#REF!</v>
      </c>
      <c r="CO64" s="316">
        <v>2038</v>
      </c>
      <c r="CP64" s="302">
        <f t="shared" si="95"/>
        <v>5.0000000000000001E-3</v>
      </c>
      <c r="CQ64" s="302">
        <f t="shared" si="97"/>
        <v>5.0000000000000001E-3</v>
      </c>
      <c r="CR64" s="45"/>
      <c r="CS64" s="316">
        <v>2038</v>
      </c>
      <c r="CT64" s="345">
        <f t="shared" si="83"/>
        <v>5.0000000000000001E-3</v>
      </c>
      <c r="CU64" s="345">
        <f t="shared" ref="CU64:CY66" si="102">CT64</f>
        <v>5.0000000000000001E-3</v>
      </c>
      <c r="CV64" s="345">
        <f t="shared" si="102"/>
        <v>5.0000000000000001E-3</v>
      </c>
      <c r="CW64" s="345">
        <f t="shared" si="102"/>
        <v>5.0000000000000001E-3</v>
      </c>
      <c r="CX64" s="345">
        <f t="shared" si="102"/>
        <v>5.0000000000000001E-3</v>
      </c>
      <c r="CY64" s="345">
        <f t="shared" si="102"/>
        <v>5.0000000000000001E-3</v>
      </c>
      <c r="DA64" s="316">
        <v>2038</v>
      </c>
      <c r="DI64" s="316">
        <v>2038</v>
      </c>
      <c r="DJ64" s="342">
        <f t="shared" ref="DJ64:DO66" si="103">AVERAGE(DJ59:DJ63)</f>
        <v>5.4583139813532786E-2</v>
      </c>
      <c r="DK64" s="342">
        <f t="shared" si="103"/>
        <v>5.2854549565093709E-2</v>
      </c>
      <c r="DL64" s="342">
        <f t="shared" si="103"/>
        <v>7.9441012237581626E-2</v>
      </c>
      <c r="DM64" s="342">
        <f t="shared" si="103"/>
        <v>7.8046636017785692E-2</v>
      </c>
      <c r="DN64" s="342">
        <f t="shared" si="103"/>
        <v>3.0836496315687127E-2</v>
      </c>
      <c r="DO64" s="342">
        <f t="shared" si="103"/>
        <v>1.9423723786654891E-2</v>
      </c>
      <c r="DQ64" s="316">
        <v>2038</v>
      </c>
      <c r="DR64" s="46">
        <f t="shared" ref="DR64:DT66" si="104">(DS63/4+DS64*3/4)*1000</f>
        <v>933829.4493249004</v>
      </c>
      <c r="DS64" s="61">
        <v>941.12499189775122</v>
      </c>
      <c r="DT64" s="46">
        <f t="shared" si="104"/>
        <v>743140.4296688179</v>
      </c>
      <c r="DU64" s="61">
        <v>746.25901453783047</v>
      </c>
      <c r="DW64" s="46">
        <f t="shared" si="87"/>
        <v>932786.8420900224</v>
      </c>
      <c r="DX64" s="61">
        <v>940.07423929385084</v>
      </c>
      <c r="DY64" s="46">
        <f t="shared" si="88"/>
        <v>742310.72399926221</v>
      </c>
      <c r="DZ64" s="61">
        <v>745.42582701283595</v>
      </c>
      <c r="EB64" s="316">
        <v>2038</v>
      </c>
      <c r="EC64" s="88" t="e">
        <f t="shared" si="56"/>
        <v>#REF!</v>
      </c>
      <c r="ED64" s="88">
        <f t="shared" si="56"/>
        <v>6.9805037790493063E-4</v>
      </c>
      <c r="EE64" s="88" t="e">
        <f t="shared" si="56"/>
        <v>#REF!</v>
      </c>
      <c r="EF64" s="88">
        <f t="shared" si="56"/>
        <v>4.232228918093316E-3</v>
      </c>
      <c r="EG64" s="302">
        <f t="shared" si="89"/>
        <v>1.2162899417875838E-2</v>
      </c>
      <c r="EH64" s="88">
        <f t="shared" si="57"/>
        <v>1.6976890171391673E-2</v>
      </c>
      <c r="EJ64" s="316">
        <v>2038</v>
      </c>
      <c r="EK64" s="302" t="e">
        <f t="shared" si="90"/>
        <v>#REF!</v>
      </c>
      <c r="EL64" s="88" t="e">
        <f t="shared" si="58"/>
        <v>#REF!</v>
      </c>
      <c r="EM64" s="302">
        <f t="shared" si="91"/>
        <v>0.37946820967230677</v>
      </c>
      <c r="EN64" s="88" t="e">
        <f t="shared" si="59"/>
        <v>#REF!</v>
      </c>
      <c r="EO64" s="88" t="e">
        <f t="shared" si="59"/>
        <v>#REF!</v>
      </c>
      <c r="EP64" s="88" t="e">
        <f t="shared" si="59"/>
        <v>#REF!</v>
      </c>
      <c r="ER64" s="316">
        <v>2038</v>
      </c>
      <c r="ES64" s="317">
        <f t="shared" si="60"/>
        <v>112673.864</v>
      </c>
      <c r="ET64" s="61">
        <v>12136.862999999999</v>
      </c>
      <c r="EU64" s="61">
        <v>61813.150999999998</v>
      </c>
      <c r="EV64" s="61">
        <v>38723.85</v>
      </c>
      <c r="EW64" s="88">
        <f t="shared" si="99"/>
        <v>0.10771675496990145</v>
      </c>
      <c r="EX64" s="88">
        <f t="shared" si="99"/>
        <v>0.54860238928168825</v>
      </c>
      <c r="EY64" s="88">
        <f t="shared" si="99"/>
        <v>0.34368085574841029</v>
      </c>
      <c r="EZ64" s="88">
        <f t="shared" si="100"/>
        <v>-7.8963741754325967E-5</v>
      </c>
      <c r="FA64" s="88">
        <f t="shared" si="100"/>
        <v>-5.4570195995131687E-3</v>
      </c>
      <c r="FB64" s="88">
        <f t="shared" si="100"/>
        <v>5.5359833412673698E-3</v>
      </c>
      <c r="FD64" s="316">
        <v>2038</v>
      </c>
      <c r="FE64" s="308">
        <f t="shared" ref="FE64:FG66" si="105">(FF63/4+FF64*3/4)</f>
        <v>0.03</v>
      </c>
      <c r="FF64" s="343">
        <f t="shared" si="98"/>
        <v>0.03</v>
      </c>
      <c r="FG64" s="308">
        <f t="shared" si="105"/>
        <v>1.7000000000000001E-2</v>
      </c>
      <c r="FH64" s="345">
        <f t="shared" si="98"/>
        <v>1.7000000000000001E-2</v>
      </c>
      <c r="FI64" s="319">
        <f t="shared" si="45"/>
        <v>1.2999999999999998E-2</v>
      </c>
      <c r="FK64" s="345" t="e">
        <f t="shared" si="61"/>
        <v>#REF!</v>
      </c>
      <c r="FL64" s="345">
        <f t="shared" si="62"/>
        <v>-1.5145423883786702E-3</v>
      </c>
      <c r="FM64" s="345">
        <f t="shared" si="63"/>
        <v>-5.6650321530156249E-4</v>
      </c>
      <c r="FO64" s="316">
        <v>2038</v>
      </c>
      <c r="FP64" s="46" t="e">
        <f t="shared" si="64"/>
        <v>#REF!</v>
      </c>
      <c r="FQ64" s="46" t="e">
        <f t="shared" si="65"/>
        <v>#REF!</v>
      </c>
      <c r="FR64" s="46" t="e">
        <f t="shared" si="66"/>
        <v>#REF!</v>
      </c>
      <c r="FS64" s="46" t="e">
        <f t="shared" si="67"/>
        <v>#REF!</v>
      </c>
      <c r="FT64" s="46" t="e">
        <f t="shared" si="68"/>
        <v>#REF!</v>
      </c>
      <c r="FU64" s="46" t="e">
        <f t="shared" si="69"/>
        <v>#REF!</v>
      </c>
      <c r="FV64" s="285" t="e">
        <f t="shared" si="38"/>
        <v>#REF!</v>
      </c>
    </row>
    <row r="65" spans="17:178">
      <c r="Q65" s="316">
        <v>2039</v>
      </c>
      <c r="R65" s="46" t="e">
        <f t="shared" si="70"/>
        <v>#REF!</v>
      </c>
      <c r="S65" s="46" t="e">
        <f t="shared" si="71"/>
        <v>#REF!</v>
      </c>
      <c r="T65" s="46">
        <f t="shared" si="72"/>
        <v>365434.2183712172</v>
      </c>
      <c r="U65" s="46" t="e">
        <f t="shared" si="71"/>
        <v>#REF!</v>
      </c>
      <c r="V65" s="46" t="e">
        <f t="shared" si="71"/>
        <v>#REF!</v>
      </c>
      <c r="W65" s="46" t="e">
        <f t="shared" si="71"/>
        <v>#REF!</v>
      </c>
      <c r="Y65" s="316">
        <v>2039</v>
      </c>
      <c r="Z65" s="46" t="e">
        <f t="shared" si="73"/>
        <v>#REF!</v>
      </c>
      <c r="AA65" s="46" t="e">
        <f t="shared" si="74"/>
        <v>#REF!</v>
      </c>
      <c r="AB65" s="46" t="e">
        <f t="shared" si="73"/>
        <v>#REF!</v>
      </c>
      <c r="AC65" s="46" t="e">
        <f t="shared" si="74"/>
        <v>#REF!</v>
      </c>
      <c r="AD65" s="46" t="e">
        <f t="shared" si="74"/>
        <v>#REF!</v>
      </c>
      <c r="AE65" s="46" t="e">
        <f t="shared" si="74"/>
        <v>#REF!</v>
      </c>
      <c r="AG65" s="316">
        <v>2039</v>
      </c>
      <c r="AH65" s="48" t="e">
        <f t="shared" si="75"/>
        <v>#REF!</v>
      </c>
      <c r="AI65" s="48" t="e">
        <f t="shared" si="51"/>
        <v>#REF!</v>
      </c>
      <c r="AJ65" s="48" t="e">
        <f t="shared" si="51"/>
        <v>#REF!</v>
      </c>
      <c r="AK65" s="48" t="e">
        <f t="shared" si="51"/>
        <v>#REF!</v>
      </c>
      <c r="AL65" s="48" t="e">
        <f t="shared" si="51"/>
        <v>#REF!</v>
      </c>
      <c r="AM65" s="48" t="e">
        <f t="shared" si="51"/>
        <v>#REF!</v>
      </c>
      <c r="AO65" s="316">
        <v>2039</v>
      </c>
      <c r="AP65" s="302">
        <f t="shared" si="93"/>
        <v>5.0000000000000001E-3</v>
      </c>
      <c r="AQ65" s="302">
        <f t="shared" si="96"/>
        <v>5.0000000000000001E-3</v>
      </c>
      <c r="AR65" s="44"/>
      <c r="AS65" s="316">
        <v>2039</v>
      </c>
      <c r="AT65" s="345">
        <f t="shared" si="76"/>
        <v>5.0000000000000001E-3</v>
      </c>
      <c r="AU65" s="345">
        <f t="shared" si="101"/>
        <v>5.0000000000000001E-3</v>
      </c>
      <c r="AV65" s="345">
        <f t="shared" si="101"/>
        <v>5.0000000000000001E-3</v>
      </c>
      <c r="AW65" s="345">
        <f t="shared" si="101"/>
        <v>5.0000000000000001E-3</v>
      </c>
      <c r="AX65" s="345">
        <f t="shared" si="101"/>
        <v>5.0000000000000001E-3</v>
      </c>
      <c r="AY65" s="345">
        <f t="shared" si="101"/>
        <v>5.0000000000000001E-3</v>
      </c>
      <c r="BQ65" s="316">
        <v>2039</v>
      </c>
      <c r="BR65" s="346" t="e">
        <f t="shared" si="78"/>
        <v>#REF!</v>
      </c>
      <c r="BS65" s="300">
        <f t="shared" si="94"/>
        <v>651.86</v>
      </c>
      <c r="BT65" s="346" t="e">
        <f t="shared" si="78"/>
        <v>#REF!</v>
      </c>
      <c r="BU65" s="300">
        <f t="shared" si="94"/>
        <v>3952.1800000000003</v>
      </c>
      <c r="BV65" s="346">
        <f t="shared" si="79"/>
        <v>11631.304521325077</v>
      </c>
      <c r="BW65" s="300">
        <f t="shared" si="94"/>
        <v>15853.52</v>
      </c>
      <c r="BY65" s="316">
        <v>2039</v>
      </c>
      <c r="BZ65" s="46" t="e">
        <f t="shared" si="80"/>
        <v>#REF!</v>
      </c>
      <c r="CA65" s="46" t="e">
        <f t="shared" si="81"/>
        <v>#REF!</v>
      </c>
      <c r="CB65" s="46" t="e">
        <f t="shared" si="80"/>
        <v>#REF!</v>
      </c>
      <c r="CC65" s="46" t="e">
        <f t="shared" si="81"/>
        <v>#REF!</v>
      </c>
      <c r="CD65" s="46" t="e">
        <f t="shared" si="81"/>
        <v>#REF!</v>
      </c>
      <c r="CE65" s="46" t="e">
        <f t="shared" si="81"/>
        <v>#REF!</v>
      </c>
      <c r="CG65" s="316">
        <v>2039</v>
      </c>
      <c r="CH65" s="48" t="e">
        <f t="shared" si="82"/>
        <v>#REF!</v>
      </c>
      <c r="CI65" s="48" t="e">
        <f t="shared" si="82"/>
        <v>#REF!</v>
      </c>
      <c r="CJ65" s="48" t="e">
        <f t="shared" si="82"/>
        <v>#REF!</v>
      </c>
      <c r="CK65" s="48" t="e">
        <f t="shared" si="82"/>
        <v>#REF!</v>
      </c>
      <c r="CL65" s="48" t="e">
        <f t="shared" si="82"/>
        <v>#REF!</v>
      </c>
      <c r="CM65" s="48" t="e">
        <f t="shared" si="82"/>
        <v>#REF!</v>
      </c>
      <c r="CO65" s="316">
        <v>2039</v>
      </c>
      <c r="CP65" s="302">
        <f t="shared" si="95"/>
        <v>5.0000000000000001E-3</v>
      </c>
      <c r="CQ65" s="302">
        <f t="shared" si="97"/>
        <v>5.0000000000000001E-3</v>
      </c>
      <c r="CR65" s="45"/>
      <c r="CS65" s="316">
        <v>2039</v>
      </c>
      <c r="CT65" s="345">
        <f t="shared" si="83"/>
        <v>5.0000000000000001E-3</v>
      </c>
      <c r="CU65" s="345">
        <f t="shared" si="102"/>
        <v>5.0000000000000001E-3</v>
      </c>
      <c r="CV65" s="345">
        <f t="shared" si="102"/>
        <v>5.0000000000000001E-3</v>
      </c>
      <c r="CW65" s="345">
        <f t="shared" si="102"/>
        <v>5.0000000000000001E-3</v>
      </c>
      <c r="CX65" s="345">
        <f t="shared" si="102"/>
        <v>5.0000000000000001E-3</v>
      </c>
      <c r="CY65" s="345">
        <f t="shared" si="102"/>
        <v>5.0000000000000001E-3</v>
      </c>
      <c r="DA65" s="316">
        <v>2039</v>
      </c>
      <c r="DI65" s="316">
        <v>2039</v>
      </c>
      <c r="DJ65" s="342">
        <f t="shared" si="103"/>
        <v>5.4583284436846638E-2</v>
      </c>
      <c r="DK65" s="342">
        <f t="shared" si="103"/>
        <v>5.2854505897234484E-2</v>
      </c>
      <c r="DL65" s="342">
        <f t="shared" si="103"/>
        <v>7.9440912808888015E-2</v>
      </c>
      <c r="DM65" s="342">
        <f t="shared" si="103"/>
        <v>7.8046903125486705E-2</v>
      </c>
      <c r="DN65" s="342">
        <f t="shared" si="103"/>
        <v>3.0836000599144615E-2</v>
      </c>
      <c r="DO65" s="342">
        <f t="shared" si="103"/>
        <v>1.942393472121718E-2</v>
      </c>
      <c r="DQ65" s="316">
        <v>2039</v>
      </c>
      <c r="DR65" s="46">
        <f t="shared" si="104"/>
        <v>963711.99170329713</v>
      </c>
      <c r="DS65" s="61">
        <v>971.24099163847927</v>
      </c>
      <c r="DT65" s="46">
        <f t="shared" si="104"/>
        <v>755773.81697318773</v>
      </c>
      <c r="DU65" s="61">
        <v>758.94541778497353</v>
      </c>
      <c r="DW65" s="46">
        <f t="shared" si="87"/>
        <v>962636.02103690337</v>
      </c>
      <c r="DX65" s="61">
        <v>970.15661495125414</v>
      </c>
      <c r="DY65" s="46">
        <f t="shared" si="88"/>
        <v>754930.00630724942</v>
      </c>
      <c r="DZ65" s="61">
        <v>758.09806607205405</v>
      </c>
      <c r="EB65" s="316">
        <v>2039</v>
      </c>
      <c r="EC65" s="88" t="e">
        <f t="shared" si="56"/>
        <v>#REF!</v>
      </c>
      <c r="ED65" s="88">
        <f t="shared" si="56"/>
        <v>6.7640540494663833E-4</v>
      </c>
      <c r="EE65" s="88" t="e">
        <f t="shared" si="56"/>
        <v>#REF!</v>
      </c>
      <c r="EF65" s="88">
        <f t="shared" si="56"/>
        <v>4.1009970136563142E-3</v>
      </c>
      <c r="EG65" s="302">
        <f t="shared" si="89"/>
        <v>1.2069274452803598E-2</v>
      </c>
      <c r="EH65" s="88">
        <f t="shared" si="57"/>
        <v>1.6450474972278754E-2</v>
      </c>
      <c r="EJ65" s="316">
        <v>2039</v>
      </c>
      <c r="EK65" s="302" t="e">
        <f t="shared" si="90"/>
        <v>#REF!</v>
      </c>
      <c r="EL65" s="88" t="e">
        <f t="shared" si="58"/>
        <v>#REF!</v>
      </c>
      <c r="EM65" s="302">
        <f t="shared" si="91"/>
        <v>0.37961826732557724</v>
      </c>
      <c r="EN65" s="88" t="e">
        <f t="shared" si="59"/>
        <v>#REF!</v>
      </c>
      <c r="EO65" s="88" t="e">
        <f t="shared" si="59"/>
        <v>#REF!</v>
      </c>
      <c r="EP65" s="88" t="e">
        <f t="shared" si="59"/>
        <v>#REF!</v>
      </c>
      <c r="ER65" s="316">
        <v>2039</v>
      </c>
      <c r="ES65" s="317">
        <f t="shared" si="60"/>
        <v>111801.21400000001</v>
      </c>
      <c r="ET65" s="61">
        <v>12036.759</v>
      </c>
      <c r="EU65" s="61">
        <v>60748.023000000001</v>
      </c>
      <c r="EV65" s="61">
        <v>39016.432000000001</v>
      </c>
      <c r="EW65" s="88">
        <f t="shared" si="99"/>
        <v>0.1076621493573406</v>
      </c>
      <c r="EX65" s="88">
        <f t="shared" si="99"/>
        <v>0.543357454061277</v>
      </c>
      <c r="EY65" s="88">
        <f t="shared" si="99"/>
        <v>0.34898039658138236</v>
      </c>
      <c r="EZ65" s="88">
        <f t="shared" si="100"/>
        <v>-5.4605612560848504E-5</v>
      </c>
      <c r="FA65" s="88">
        <f t="shared" si="100"/>
        <v>-5.2449352204112509E-3</v>
      </c>
      <c r="FB65" s="88">
        <f t="shared" si="100"/>
        <v>5.2995408329720717E-3</v>
      </c>
      <c r="FD65" s="316">
        <v>2039</v>
      </c>
      <c r="FE65" s="308">
        <f t="shared" si="105"/>
        <v>0.03</v>
      </c>
      <c r="FF65" s="343">
        <f t="shared" si="98"/>
        <v>0.03</v>
      </c>
      <c r="FG65" s="308">
        <f t="shared" si="105"/>
        <v>1.7000000000000001E-2</v>
      </c>
      <c r="FH65" s="345">
        <f t="shared" si="98"/>
        <v>1.7000000000000001E-2</v>
      </c>
      <c r="FI65" s="319">
        <f t="shared" si="45"/>
        <v>1.2999999999999998E-2</v>
      </c>
      <c r="FK65" s="345" t="e">
        <f t="shared" si="61"/>
        <v>#REF!</v>
      </c>
      <c r="FL65" s="345">
        <f t="shared" si="62"/>
        <v>-1.4812157733400388E-3</v>
      </c>
      <c r="FM65" s="345">
        <f t="shared" si="63"/>
        <v>-6.291941263874036E-4</v>
      </c>
      <c r="FO65" s="316">
        <v>2039</v>
      </c>
      <c r="FP65" s="46" t="e">
        <f t="shared" si="64"/>
        <v>#REF!</v>
      </c>
      <c r="FQ65" s="46" t="e">
        <f t="shared" si="65"/>
        <v>#REF!</v>
      </c>
      <c r="FR65" s="46" t="e">
        <f t="shared" si="66"/>
        <v>#REF!</v>
      </c>
      <c r="FS65" s="46" t="e">
        <f t="shared" si="67"/>
        <v>#REF!</v>
      </c>
      <c r="FT65" s="46" t="e">
        <f t="shared" si="68"/>
        <v>#REF!</v>
      </c>
      <c r="FU65" s="46" t="e">
        <f t="shared" si="69"/>
        <v>#REF!</v>
      </c>
      <c r="FV65" s="285" t="e">
        <f t="shared" si="38"/>
        <v>#REF!</v>
      </c>
    </row>
    <row r="66" spans="17:178">
      <c r="Q66" s="316">
        <v>2040</v>
      </c>
      <c r="R66" s="46" t="e">
        <f t="shared" si="70"/>
        <v>#REF!</v>
      </c>
      <c r="S66" s="46" t="e">
        <f t="shared" si="71"/>
        <v>#REF!</v>
      </c>
      <c r="T66" s="46">
        <f t="shared" si="72"/>
        <v>377166.93269654241</v>
      </c>
      <c r="U66" s="46" t="e">
        <f t="shared" si="71"/>
        <v>#REF!</v>
      </c>
      <c r="V66" s="46" t="e">
        <f t="shared" si="71"/>
        <v>#REF!</v>
      </c>
      <c r="W66" s="46" t="e">
        <f t="shared" si="71"/>
        <v>#REF!</v>
      </c>
      <c r="Y66" s="316">
        <v>2040</v>
      </c>
      <c r="Z66" s="46" t="e">
        <f t="shared" si="73"/>
        <v>#REF!</v>
      </c>
      <c r="AA66" s="46" t="e">
        <f t="shared" si="74"/>
        <v>#REF!</v>
      </c>
      <c r="AB66" s="46" t="e">
        <f t="shared" si="73"/>
        <v>#REF!</v>
      </c>
      <c r="AC66" s="46" t="e">
        <f t="shared" si="74"/>
        <v>#REF!</v>
      </c>
      <c r="AD66" s="46" t="e">
        <f t="shared" si="74"/>
        <v>#REF!</v>
      </c>
      <c r="AE66" s="46" t="e">
        <f t="shared" si="74"/>
        <v>#REF!</v>
      </c>
      <c r="AG66" s="316">
        <v>2040</v>
      </c>
      <c r="AH66" s="48" t="e">
        <f>(AT66+1)*AH65</f>
        <v>#REF!</v>
      </c>
      <c r="AI66" s="48" t="e">
        <f t="shared" si="51"/>
        <v>#REF!</v>
      </c>
      <c r="AJ66" s="48" t="e">
        <f t="shared" si="51"/>
        <v>#REF!</v>
      </c>
      <c r="AK66" s="48" t="e">
        <f t="shared" si="51"/>
        <v>#REF!</v>
      </c>
      <c r="AL66" s="48" t="e">
        <f t="shared" si="51"/>
        <v>#REF!</v>
      </c>
      <c r="AM66" s="48" t="e">
        <f t="shared" si="51"/>
        <v>#REF!</v>
      </c>
      <c r="AO66" s="316">
        <v>2040</v>
      </c>
      <c r="AP66" s="302">
        <f t="shared" si="93"/>
        <v>5.0000000000000001E-3</v>
      </c>
      <c r="AQ66" s="302">
        <f t="shared" si="96"/>
        <v>5.0000000000000001E-3</v>
      </c>
      <c r="AR66" s="44"/>
      <c r="AS66" s="316">
        <v>2040</v>
      </c>
      <c r="AT66" s="345">
        <f t="shared" si="76"/>
        <v>5.0000000000000001E-3</v>
      </c>
      <c r="AU66" s="345">
        <f t="shared" si="101"/>
        <v>5.0000000000000001E-3</v>
      </c>
      <c r="AV66" s="345">
        <f t="shared" si="101"/>
        <v>5.0000000000000001E-3</v>
      </c>
      <c r="AW66" s="345">
        <f t="shared" si="101"/>
        <v>5.0000000000000001E-3</v>
      </c>
      <c r="AX66" s="345">
        <f t="shared" si="101"/>
        <v>5.0000000000000001E-3</v>
      </c>
      <c r="AY66" s="345">
        <f t="shared" si="101"/>
        <v>5.0000000000000001E-3</v>
      </c>
      <c r="BQ66" s="316">
        <v>2040</v>
      </c>
      <c r="BR66" s="346" t="e">
        <f t="shared" si="78"/>
        <v>#REF!</v>
      </c>
      <c r="BS66" s="300">
        <f t="shared" si="94"/>
        <v>651.86</v>
      </c>
      <c r="BT66" s="346" t="e">
        <f t="shared" si="78"/>
        <v>#REF!</v>
      </c>
      <c r="BU66" s="300">
        <f t="shared" si="94"/>
        <v>3952.1800000000003</v>
      </c>
      <c r="BV66" s="346">
        <f t="shared" si="79"/>
        <v>11931.913789104021</v>
      </c>
      <c r="BW66" s="300">
        <f t="shared" si="94"/>
        <v>15853.52</v>
      </c>
      <c r="BY66" s="316">
        <v>2040</v>
      </c>
      <c r="BZ66" s="46" t="e">
        <f t="shared" si="80"/>
        <v>#REF!</v>
      </c>
      <c r="CA66" s="46" t="e">
        <f t="shared" si="81"/>
        <v>#REF!</v>
      </c>
      <c r="CB66" s="46" t="e">
        <f t="shared" si="80"/>
        <v>#REF!</v>
      </c>
      <c r="CC66" s="46" t="e">
        <f t="shared" si="81"/>
        <v>#REF!</v>
      </c>
      <c r="CD66" s="46" t="e">
        <f t="shared" si="81"/>
        <v>#REF!</v>
      </c>
      <c r="CE66" s="46" t="e">
        <f t="shared" si="81"/>
        <v>#REF!</v>
      </c>
      <c r="CG66" s="316">
        <v>2040</v>
      </c>
      <c r="CH66" s="48" t="e">
        <f>(CT66+1)*CH65</f>
        <v>#REF!</v>
      </c>
      <c r="CI66" s="48" t="e">
        <f t="shared" ref="CI66:CM66" si="106">(CU66+1)*CI65</f>
        <v>#REF!</v>
      </c>
      <c r="CJ66" s="48" t="e">
        <f t="shared" si="106"/>
        <v>#REF!</v>
      </c>
      <c r="CK66" s="48" t="e">
        <f t="shared" si="106"/>
        <v>#REF!</v>
      </c>
      <c r="CL66" s="48" t="e">
        <f t="shared" si="106"/>
        <v>#REF!</v>
      </c>
      <c r="CM66" s="48" t="e">
        <f t="shared" si="106"/>
        <v>#REF!</v>
      </c>
      <c r="CO66" s="316">
        <v>2040</v>
      </c>
      <c r="CP66" s="302">
        <f t="shared" si="95"/>
        <v>5.0000000000000001E-3</v>
      </c>
      <c r="CQ66" s="302">
        <f t="shared" si="97"/>
        <v>5.0000000000000001E-3</v>
      </c>
      <c r="CR66" s="45"/>
      <c r="CS66" s="316">
        <v>2040</v>
      </c>
      <c r="CT66" s="345">
        <f t="shared" si="83"/>
        <v>5.0000000000000001E-3</v>
      </c>
      <c r="CU66" s="345">
        <f t="shared" si="102"/>
        <v>5.0000000000000001E-3</v>
      </c>
      <c r="CV66" s="345">
        <f t="shared" si="102"/>
        <v>5.0000000000000001E-3</v>
      </c>
      <c r="CW66" s="345">
        <f t="shared" si="102"/>
        <v>5.0000000000000001E-3</v>
      </c>
      <c r="CX66" s="345">
        <f t="shared" si="102"/>
        <v>5.0000000000000001E-3</v>
      </c>
      <c r="CY66" s="345">
        <f t="shared" si="102"/>
        <v>5.0000000000000001E-3</v>
      </c>
      <c r="DA66" s="316">
        <v>2040</v>
      </c>
      <c r="DI66" s="316">
        <v>2040</v>
      </c>
      <c r="DJ66" s="342">
        <f t="shared" si="103"/>
        <v>5.4583291160707967E-2</v>
      </c>
      <c r="DK66" s="342">
        <f t="shared" si="103"/>
        <v>5.2854423150653397E-2</v>
      </c>
      <c r="DL66" s="342">
        <f t="shared" si="103"/>
        <v>7.9440814583964167E-2</v>
      </c>
      <c r="DM66" s="342">
        <f t="shared" si="103"/>
        <v>7.8047222903626243E-2</v>
      </c>
      <c r="DN66" s="342">
        <f t="shared" si="103"/>
        <v>3.0834871306247041E-2</v>
      </c>
      <c r="DO66" s="342">
        <f t="shared" si="103"/>
        <v>1.9424288900845466E-2</v>
      </c>
      <c r="DQ66" s="316">
        <v>2040</v>
      </c>
      <c r="DR66" s="46">
        <f t="shared" si="104"/>
        <v>994550.77543780289</v>
      </c>
      <c r="DS66" s="61">
        <v>1002.3207033709107</v>
      </c>
      <c r="DT66" s="46">
        <f t="shared" si="104"/>
        <v>768621.97186173184</v>
      </c>
      <c r="DU66" s="61">
        <v>771.84748988731803</v>
      </c>
      <c r="DW66" s="46">
        <f t="shared" si="87"/>
        <v>993440.37371008424</v>
      </c>
      <c r="DX66" s="61">
        <v>1001.2016266296943</v>
      </c>
      <c r="DY66" s="46">
        <f t="shared" si="88"/>
        <v>767763.81641447276</v>
      </c>
      <c r="DZ66" s="61">
        <v>770.98573319527895</v>
      </c>
      <c r="EB66" s="316">
        <v>2040</v>
      </c>
      <c r="EC66" s="88" t="e">
        <f t="shared" si="56"/>
        <v>#REF!</v>
      </c>
      <c r="ED66" s="88">
        <f t="shared" si="56"/>
        <v>6.5543159394054079E-4</v>
      </c>
      <c r="EE66" s="88" t="e">
        <f t="shared" si="56"/>
        <v>#REF!</v>
      </c>
      <c r="EF66" s="88">
        <f t="shared" si="56"/>
        <v>3.973834315558443E-3</v>
      </c>
      <c r="EG66" s="302">
        <f t="shared" si="89"/>
        <v>1.1997289714898239E-2</v>
      </c>
      <c r="EH66" s="88">
        <f t="shared" si="57"/>
        <v>1.5940382725076307E-2</v>
      </c>
      <c r="EJ66" s="316">
        <v>2040</v>
      </c>
      <c r="EK66" s="302" t="e">
        <f t="shared" si="90"/>
        <v>#REF!</v>
      </c>
      <c r="EL66" s="88" t="e">
        <f t="shared" si="58"/>
        <v>#REF!</v>
      </c>
      <c r="EM66" s="302">
        <f t="shared" si="91"/>
        <v>0.37965734298474468</v>
      </c>
      <c r="EN66" s="88" t="e">
        <f t="shared" si="59"/>
        <v>#REF!</v>
      </c>
      <c r="EO66" s="88" t="e">
        <f t="shared" si="59"/>
        <v>#REF!</v>
      </c>
      <c r="EP66" s="88" t="e">
        <f>W66/$DW66</f>
        <v>#REF!</v>
      </c>
      <c r="ER66" s="316">
        <v>2040</v>
      </c>
      <c r="ES66" s="317">
        <f t="shared" si="60"/>
        <v>110918.554</v>
      </c>
      <c r="ET66" s="61">
        <v>11935.950999999999</v>
      </c>
      <c r="EU66" s="61">
        <v>59776.889000000003</v>
      </c>
      <c r="EV66" s="61">
        <v>39205.714</v>
      </c>
      <c r="EW66" s="88">
        <f t="shared" si="99"/>
        <v>0.10761004872097411</v>
      </c>
      <c r="EX66" s="88">
        <f t="shared" si="99"/>
        <v>0.53892596724620123</v>
      </c>
      <c r="EY66" s="88">
        <f t="shared" si="99"/>
        <v>0.35346398403282464</v>
      </c>
      <c r="EZ66" s="88">
        <f t="shared" si="100"/>
        <v>-5.2100636366486652E-5</v>
      </c>
      <c r="FA66" s="88">
        <f t="shared" si="100"/>
        <v>-4.4314868150757691E-3</v>
      </c>
      <c r="FB66" s="88">
        <f t="shared" si="100"/>
        <v>4.4835874514422835E-3</v>
      </c>
      <c r="FD66" s="316">
        <v>2040</v>
      </c>
      <c r="FE66" s="308">
        <f t="shared" si="105"/>
        <v>0.03</v>
      </c>
      <c r="FF66" s="343">
        <f t="shared" si="98"/>
        <v>0.03</v>
      </c>
      <c r="FG66" s="308">
        <f t="shared" si="105"/>
        <v>1.7000000000000001E-2</v>
      </c>
      <c r="FH66" s="345">
        <f t="shared" si="98"/>
        <v>1.7000000000000001E-2</v>
      </c>
      <c r="FI66" s="319">
        <f t="shared" si="45"/>
        <v>1.2999999999999998E-2</v>
      </c>
      <c r="FK66" s="345" t="e">
        <f>SUM(EK66:EL66)-(24.0959475629*(EW66-EW65)+0.793461523015+0.837029275127*FE66)</f>
        <v>#REF!</v>
      </c>
      <c r="FL66" s="345">
        <f t="shared" si="62"/>
        <v>-1.4541446679538494E-3</v>
      </c>
      <c r="FM66" s="345">
        <f t="shared" si="63"/>
        <v>-6.9799762372146912E-4</v>
      </c>
      <c r="FO66" s="316">
        <v>2040</v>
      </c>
      <c r="FP66" s="46" t="e">
        <f t="shared" si="64"/>
        <v>#REF!</v>
      </c>
      <c r="FQ66" s="46" t="e">
        <f t="shared" si="65"/>
        <v>#REF!</v>
      </c>
      <c r="FR66" s="46" t="e">
        <f t="shared" si="66"/>
        <v>#REF!</v>
      </c>
      <c r="FS66" s="46" t="e">
        <f t="shared" si="67"/>
        <v>#REF!</v>
      </c>
      <c r="FT66" s="46" t="e">
        <f t="shared" si="68"/>
        <v>#REF!</v>
      </c>
      <c r="FU66" s="46" t="e">
        <f t="shared" si="69"/>
        <v>#REF!</v>
      </c>
      <c r="FV66" s="285" t="e">
        <f t="shared" si="38"/>
        <v>#REF!</v>
      </c>
    </row>
    <row r="72" spans="17:178" ht="108" customHeight="1">
      <c r="AP72" s="66" t="s">
        <v>596</v>
      </c>
      <c r="AQ72" s="67" t="s">
        <v>597</v>
      </c>
      <c r="AR72" s="49"/>
      <c r="AT72" s="431" t="s">
        <v>598</v>
      </c>
      <c r="AU72" s="431"/>
      <c r="AV72" s="431"/>
      <c r="AW72" s="431"/>
      <c r="AX72" s="431"/>
      <c r="AY72" s="431"/>
      <c r="BS72" s="67" t="s">
        <v>599</v>
      </c>
      <c r="BU72" s="67" t="s">
        <v>599</v>
      </c>
      <c r="BW72" s="67" t="s">
        <v>599</v>
      </c>
      <c r="CP72" s="66" t="s">
        <v>596</v>
      </c>
      <c r="CQ72" s="67" t="s">
        <v>597</v>
      </c>
      <c r="CR72" s="49"/>
      <c r="CT72" s="431" t="s">
        <v>598</v>
      </c>
      <c r="CU72" s="431"/>
      <c r="CV72" s="431"/>
      <c r="CW72" s="431"/>
      <c r="CX72" s="431"/>
      <c r="CY72" s="431"/>
      <c r="DR72" s="66" t="s">
        <v>596</v>
      </c>
      <c r="DS72" s="67" t="s">
        <v>597</v>
      </c>
      <c r="DT72" s="66" t="s">
        <v>596</v>
      </c>
      <c r="DU72" s="67" t="s">
        <v>597</v>
      </c>
      <c r="DW72" s="66" t="s">
        <v>596</v>
      </c>
      <c r="DX72" s="67" t="s">
        <v>597</v>
      </c>
      <c r="DY72" s="66" t="s">
        <v>596</v>
      </c>
      <c r="DZ72" s="67" t="s">
        <v>597</v>
      </c>
      <c r="EG72" s="66" t="s">
        <v>600</v>
      </c>
      <c r="EK72" s="455" t="s">
        <v>601</v>
      </c>
      <c r="EL72" s="455"/>
      <c r="EM72" s="455"/>
      <c r="EN72" s="455"/>
      <c r="EQ72" s="37"/>
      <c r="ES72" s="32"/>
      <c r="ET72" s="430" t="s">
        <v>602</v>
      </c>
      <c r="EU72" s="430"/>
      <c r="EV72" s="430"/>
      <c r="EW72" s="32"/>
      <c r="EX72" s="32"/>
      <c r="EY72" s="32"/>
      <c r="FE72" s="66" t="s">
        <v>596</v>
      </c>
      <c r="FF72" s="67" t="s">
        <v>597</v>
      </c>
      <c r="FG72" s="96" t="s">
        <v>596</v>
      </c>
      <c r="FH72" s="96" t="s">
        <v>597</v>
      </c>
      <c r="FP72" s="414" t="s">
        <v>603</v>
      </c>
      <c r="FQ72" s="414"/>
      <c r="FR72" s="414"/>
      <c r="FS72" s="414"/>
      <c r="FT72" s="414"/>
      <c r="FU72" s="414"/>
    </row>
  </sheetData>
  <mergeCells count="25">
    <mergeCell ref="FK3:FL3"/>
    <mergeCell ref="FP3:FV3"/>
    <mergeCell ref="AT72:AY72"/>
    <mergeCell ref="CT72:CY72"/>
    <mergeCell ref="EK72:EN72"/>
    <mergeCell ref="ET72:EV72"/>
    <mergeCell ref="FP72:FU72"/>
    <mergeCell ref="DB3:DG3"/>
    <mergeCell ref="DJ3:DO3"/>
    <mergeCell ref="DR3:DY3"/>
    <mergeCell ref="EC3:EH3"/>
    <mergeCell ref="EK3:EP3"/>
    <mergeCell ref="ES3:FB3"/>
    <mergeCell ref="BB3:BG3"/>
    <mergeCell ref="BJ3:BO3"/>
    <mergeCell ref="BR3:BW3"/>
    <mergeCell ref="BZ3:CE3"/>
    <mergeCell ref="CH3:CM3"/>
    <mergeCell ref="CT3:CY3"/>
    <mergeCell ref="B3:G3"/>
    <mergeCell ref="J3:O3"/>
    <mergeCell ref="R3:W3"/>
    <mergeCell ref="Z3:AE3"/>
    <mergeCell ref="AH3:AM3"/>
    <mergeCell ref="AT3:AY3"/>
  </mergeCells>
  <phoneticPr fontId="1"/>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B9645-D8AC-4A69-B967-A21CDCC34061}">
  <dimension ref="A1:T62"/>
  <sheetViews>
    <sheetView topLeftCell="A28" zoomScale="85" zoomScaleNormal="85" workbookViewId="0">
      <selection activeCell="V37" sqref="V37"/>
    </sheetView>
  </sheetViews>
  <sheetFormatPr defaultColWidth="8.84375" defaultRowHeight="18.45"/>
  <cols>
    <col min="1" max="1" width="8.84375" style="87"/>
    <col min="2" max="3" width="19" style="367" bestFit="1" customWidth="1"/>
    <col min="4" max="4" width="8.84375" style="367"/>
    <col min="5" max="16384" width="8.84375" style="24"/>
  </cols>
  <sheetData>
    <row r="1" spans="1:20">
      <c r="A1" s="87" t="s">
        <v>7</v>
      </c>
      <c r="B1" s="367" t="s">
        <v>127</v>
      </c>
      <c r="C1" s="367" t="s">
        <v>150</v>
      </c>
      <c r="D1" s="367" t="s">
        <v>413</v>
      </c>
    </row>
    <row r="2" spans="1:20">
      <c r="A2" s="129">
        <v>1980</v>
      </c>
      <c r="B2" s="366">
        <f>'★図13　需要側合計'!B2/10000</f>
        <v>67.561164047159934</v>
      </c>
      <c r="C2" s="366">
        <f>'★図13　需要側合計'!C2/10000</f>
        <v>67.561164047159934</v>
      </c>
      <c r="D2" s="366">
        <f>'★図13　需要側合計'!D2/10000</f>
        <v>67.561164047159934</v>
      </c>
    </row>
    <row r="3" spans="1:20">
      <c r="A3" s="129">
        <v>1981</v>
      </c>
      <c r="B3" s="366">
        <f>'★図13　需要側合計'!B3/10000</f>
        <v>65.624971464099985</v>
      </c>
      <c r="C3" s="366">
        <f>'★図13　需要側合計'!C3/10000</f>
        <v>65.624971464099985</v>
      </c>
      <c r="D3" s="366">
        <f>'★図13　需要側合計'!D3/10000</f>
        <v>65.624971464099985</v>
      </c>
    </row>
    <row r="4" spans="1:20">
      <c r="A4" s="129">
        <v>1982</v>
      </c>
      <c r="B4" s="366">
        <f>'★図13　需要側合計'!B4/10000</f>
        <v>66.156322702856116</v>
      </c>
      <c r="C4" s="366">
        <f>'★図13　需要側合計'!C4/10000</f>
        <v>66.156322702856116</v>
      </c>
      <c r="D4" s="366">
        <f>'★図13　需要側合計'!D4/10000</f>
        <v>66.156322702856116</v>
      </c>
    </row>
    <row r="5" spans="1:20">
      <c r="A5" s="129">
        <v>1983</v>
      </c>
      <c r="B5" s="366">
        <f>'★図13　需要側合計'!B5/10000</f>
        <v>63.142281931843861</v>
      </c>
      <c r="C5" s="366">
        <f>'★図13　需要側合計'!C5/10000</f>
        <v>63.142281931843861</v>
      </c>
      <c r="D5" s="366">
        <f>'★図13　需要側合計'!D5/10000</f>
        <v>63.142281931843861</v>
      </c>
    </row>
    <row r="6" spans="1:20">
      <c r="A6" s="129">
        <v>1984</v>
      </c>
      <c r="B6" s="366">
        <f>'★図13　需要側合計'!B6/10000</f>
        <v>63.05966532765612</v>
      </c>
      <c r="C6" s="366">
        <f>'★図13　需要側合計'!C6/10000</f>
        <v>63.05966532765612</v>
      </c>
      <c r="D6" s="366">
        <f>'★図13　需要側合計'!D6/10000</f>
        <v>63.05966532765612</v>
      </c>
    </row>
    <row r="7" spans="1:20">
      <c r="A7" s="129">
        <v>1985</v>
      </c>
      <c r="B7" s="366">
        <f>'★図13　需要側合計'!B7/10000</f>
        <v>63.683949725459222</v>
      </c>
      <c r="C7" s="366">
        <f>'★図13　需要側合計'!C7/10000</f>
        <v>63.683949725459222</v>
      </c>
      <c r="D7" s="366">
        <f>'★図13　需要側合計'!D7/10000</f>
        <v>63.683949725459222</v>
      </c>
    </row>
    <row r="8" spans="1:20">
      <c r="A8" s="129">
        <v>1986</v>
      </c>
      <c r="B8" s="366">
        <f>'★図13　需要側合計'!B8/10000</f>
        <v>68.292115114852692</v>
      </c>
      <c r="C8" s="366">
        <f>'★図13　需要側合計'!C8/10000</f>
        <v>68.292115114852692</v>
      </c>
      <c r="D8" s="366">
        <f>'★図13　需要側合計'!D8/10000</f>
        <v>68.292115114852692</v>
      </c>
      <c r="T8" s="347"/>
    </row>
    <row r="9" spans="1:20">
      <c r="A9" s="129">
        <v>1987</v>
      </c>
      <c r="B9" s="366">
        <f>'★図13　需要側合計'!B9/10000</f>
        <v>75.574779202608468</v>
      </c>
      <c r="C9" s="366">
        <f>'★図13　需要側合計'!C9/10000</f>
        <v>75.574779202608468</v>
      </c>
      <c r="D9" s="366">
        <f>'★図13　需要側合計'!D9/10000</f>
        <v>75.574779202608468</v>
      </c>
    </row>
    <row r="10" spans="1:20">
      <c r="A10" s="129">
        <v>1988</v>
      </c>
      <c r="B10" s="366">
        <f>'★図13　需要側合計'!B10/10000</f>
        <v>83.081255366915329</v>
      </c>
      <c r="C10" s="366">
        <f>'★図13　需要側合計'!C10/10000</f>
        <v>83.081255366915329</v>
      </c>
      <c r="D10" s="366">
        <f>'★図13　需要側合計'!D10/10000</f>
        <v>83.081255366915329</v>
      </c>
    </row>
    <row r="11" spans="1:20">
      <c r="A11" s="129">
        <v>1989</v>
      </c>
      <c r="B11" s="366">
        <f>'★図13　需要側合計'!B11/10000</f>
        <v>86.253728205168557</v>
      </c>
      <c r="C11" s="366">
        <f>'★図13　需要側合計'!C11/10000</f>
        <v>86.253728205168557</v>
      </c>
      <c r="D11" s="366">
        <f>'★図13　需要側合計'!D11/10000</f>
        <v>86.253728205168557</v>
      </c>
    </row>
    <row r="12" spans="1:20">
      <c r="A12" s="129">
        <v>1990</v>
      </c>
      <c r="B12" s="366">
        <f>'★図13　需要側合計'!B12/10000</f>
        <v>93.001869481936907</v>
      </c>
      <c r="C12" s="366">
        <f>'★図13　需要側合計'!C12/10000</f>
        <v>93.001869481936907</v>
      </c>
      <c r="D12" s="366">
        <f>'★図13　需要側合計'!D12/10000</f>
        <v>93.001869481936907</v>
      </c>
    </row>
    <row r="13" spans="1:20">
      <c r="A13" s="129">
        <v>1991</v>
      </c>
      <c r="B13" s="366">
        <f>'★図13　需要側合計'!B13/10000</f>
        <v>93.007407912184632</v>
      </c>
      <c r="C13" s="366">
        <f>'★図13　需要側合計'!C13/10000</f>
        <v>93.007407912184632</v>
      </c>
      <c r="D13" s="366">
        <f>'★図13　需要側合計'!D13/10000</f>
        <v>93.007407912184632</v>
      </c>
    </row>
    <row r="14" spans="1:20">
      <c r="A14" s="129">
        <v>1992</v>
      </c>
      <c r="B14" s="366">
        <f>'★図13　需要側合計'!B14/10000</f>
        <v>93.624337829754367</v>
      </c>
      <c r="C14" s="366">
        <f>'★図13　需要側合計'!C14/10000</f>
        <v>93.624337829754367</v>
      </c>
      <c r="D14" s="366">
        <f>'★図13　需要側合計'!D14/10000</f>
        <v>93.624337829754367</v>
      </c>
    </row>
    <row r="15" spans="1:20">
      <c r="A15" s="129">
        <v>1993</v>
      </c>
      <c r="B15" s="366">
        <f>'★図13　需要側合計'!B15/10000</f>
        <v>91.15208117216828</v>
      </c>
      <c r="C15" s="366">
        <f>'★図13　需要側合計'!C15/10000</f>
        <v>91.15208117216828</v>
      </c>
      <c r="D15" s="366">
        <f>'★図13　需要側合計'!D15/10000</f>
        <v>91.15208117216828</v>
      </c>
    </row>
    <row r="16" spans="1:20">
      <c r="A16" s="129">
        <v>1994</v>
      </c>
      <c r="B16" s="366">
        <f>'★図13　需要側合計'!B16/10000</f>
        <v>87.92687013193536</v>
      </c>
      <c r="C16" s="366">
        <f>'★図13　需要側合計'!C16/10000</f>
        <v>87.92687013193536</v>
      </c>
      <c r="D16" s="366">
        <f>'★図13　需要側合計'!D16/10000</f>
        <v>87.92687013193536</v>
      </c>
    </row>
    <row r="17" spans="1:4">
      <c r="A17" s="129">
        <v>1995</v>
      </c>
      <c r="B17" s="366">
        <f>'★図13　需要側合計'!B17/10000</f>
        <v>85.291185695646419</v>
      </c>
      <c r="C17" s="366">
        <f>'★図13　需要側合計'!C17/10000</f>
        <v>85.291185695646419</v>
      </c>
      <c r="D17" s="366">
        <f>'★図13　需要側合計'!D17/10000</f>
        <v>85.291185695646419</v>
      </c>
    </row>
    <row r="18" spans="1:4">
      <c r="A18" s="129">
        <v>1996</v>
      </c>
      <c r="B18" s="366">
        <f>'★図13　需要側合計'!B18/10000</f>
        <v>91.379542875690703</v>
      </c>
      <c r="C18" s="366">
        <f>'★図13　需要側合計'!C18/10000</f>
        <v>91.379542875690703</v>
      </c>
      <c r="D18" s="366">
        <f>'★図13　需要側合計'!D18/10000</f>
        <v>91.379542875690703</v>
      </c>
    </row>
    <row r="19" spans="1:4">
      <c r="A19" s="129">
        <v>1997</v>
      </c>
      <c r="B19" s="366">
        <f>'★図13　需要側合計'!B19/10000</f>
        <v>84.214724991048442</v>
      </c>
      <c r="C19" s="366">
        <f>'★図13　需要側合計'!C19/10000</f>
        <v>84.214724991048442</v>
      </c>
      <c r="D19" s="366">
        <f>'★図13　需要側合計'!D19/10000</f>
        <v>84.214724991048442</v>
      </c>
    </row>
    <row r="20" spans="1:4">
      <c r="A20" s="129">
        <v>1998</v>
      </c>
      <c r="B20" s="366">
        <f>'★図13　需要側合計'!B20/10000</f>
        <v>79.212836784281521</v>
      </c>
      <c r="C20" s="366">
        <f>'★図13　需要側合計'!C20/10000</f>
        <v>79.212836784281521</v>
      </c>
      <c r="D20" s="366">
        <f>'★図13　需要側合計'!D20/10000</f>
        <v>79.212836784281521</v>
      </c>
    </row>
    <row r="21" spans="1:4">
      <c r="A21" s="129">
        <v>1999</v>
      </c>
      <c r="B21" s="366">
        <f>'★図13　需要側合計'!B21/10000</f>
        <v>77.995531695557034</v>
      </c>
      <c r="C21" s="366">
        <f>'★図13　需要側合計'!C21/10000</f>
        <v>77.995531695557034</v>
      </c>
      <c r="D21" s="366">
        <f>'★図13　需要側合計'!D21/10000</f>
        <v>77.995531695557034</v>
      </c>
    </row>
    <row r="22" spans="1:4">
      <c r="A22" s="129">
        <v>2000</v>
      </c>
      <c r="B22" s="366">
        <f>'★図13　需要側合計'!B22/10000</f>
        <v>73.537797712155438</v>
      </c>
      <c r="C22" s="366">
        <f>'★図13　需要側合計'!C22/10000</f>
        <v>73.537797712155438</v>
      </c>
      <c r="D22" s="366">
        <f>'★図13　需要側合計'!D22/10000</f>
        <v>73.537797712155438</v>
      </c>
    </row>
    <row r="23" spans="1:4">
      <c r="A23" s="129">
        <v>2001</v>
      </c>
      <c r="B23" s="366">
        <f>'★図13　需要側合計'!B23/10000</f>
        <v>71.218682389267883</v>
      </c>
      <c r="C23" s="366">
        <f>'★図13　需要側合計'!C23/10000</f>
        <v>71.218682389267883</v>
      </c>
      <c r="D23" s="366">
        <f>'★図13　需要側合計'!D23/10000</f>
        <v>71.218682389267883</v>
      </c>
    </row>
    <row r="24" spans="1:4">
      <c r="A24" s="129">
        <v>2002</v>
      </c>
      <c r="B24" s="366">
        <f>'★図13　需要側合計'!B24/10000</f>
        <v>66.639352951853184</v>
      </c>
      <c r="C24" s="366">
        <f>'★図13　需要側合計'!C24/10000</f>
        <v>66.639352951853184</v>
      </c>
      <c r="D24" s="366">
        <f>'★図13　需要側合計'!D24/10000</f>
        <v>66.639352951853184</v>
      </c>
    </row>
    <row r="25" spans="1:4">
      <c r="A25" s="129">
        <v>2003</v>
      </c>
      <c r="B25" s="366">
        <f>'★図13　需要側合計'!B25/10000</f>
        <v>62.460839192366635</v>
      </c>
      <c r="C25" s="366">
        <f>'★図13　需要側合計'!C25/10000</f>
        <v>62.460839192366635</v>
      </c>
      <c r="D25" s="366">
        <f>'★図13　需要側合計'!D25/10000</f>
        <v>62.460839192366635</v>
      </c>
    </row>
    <row r="26" spans="1:4">
      <c r="A26" s="129">
        <v>2004</v>
      </c>
      <c r="B26" s="366">
        <f>'★図13　需要側合計'!B26/10000</f>
        <v>59.792852910741175</v>
      </c>
      <c r="C26" s="366">
        <f>'★図13　需要側合計'!C26/10000</f>
        <v>59.792852910741175</v>
      </c>
      <c r="D26" s="366">
        <f>'★図13　需要側合計'!D26/10000</f>
        <v>59.792852910741175</v>
      </c>
    </row>
    <row r="27" spans="1:4">
      <c r="A27" s="129">
        <v>2005</v>
      </c>
      <c r="B27" s="366">
        <f>'★図13　需要側合計'!B27/10000</f>
        <v>57.899793350860477</v>
      </c>
      <c r="C27" s="366">
        <f>'★図13　需要側合計'!C27/10000</f>
        <v>57.899793350860477</v>
      </c>
      <c r="D27" s="366">
        <f>'★図13　需要側合計'!D27/10000</f>
        <v>57.899793350860477</v>
      </c>
    </row>
    <row r="28" spans="1:4">
      <c r="A28" s="129">
        <v>2006</v>
      </c>
      <c r="B28" s="366">
        <f>'★図13　需要側合計'!B28/10000</f>
        <v>56.504847532275413</v>
      </c>
      <c r="C28" s="366">
        <f>'★図13　需要側合計'!C28/10000</f>
        <v>56.504847532275413</v>
      </c>
      <c r="D28" s="366">
        <f>'★図13　需要側合計'!D28/10000</f>
        <v>56.504847532275413</v>
      </c>
    </row>
    <row r="29" spans="1:4">
      <c r="A29" s="129">
        <v>2007</v>
      </c>
      <c r="B29" s="366">
        <f>'★図13　需要側合計'!B29/10000</f>
        <v>52.375461380397788</v>
      </c>
      <c r="C29" s="366">
        <f>'★図13　需要側合計'!C29/10000</f>
        <v>52.375461380397788</v>
      </c>
      <c r="D29" s="366">
        <f>'★図13　需要側合計'!D29/10000</f>
        <v>52.375461380397788</v>
      </c>
    </row>
    <row r="30" spans="1:4">
      <c r="A30" s="129">
        <v>2008</v>
      </c>
      <c r="B30" s="366">
        <f>'★図13　需要側合計'!B30/10000</f>
        <v>49.893397362326738</v>
      </c>
      <c r="C30" s="366">
        <f>'★図13　需要側合計'!C30/10000</f>
        <v>49.893397362326738</v>
      </c>
      <c r="D30" s="366">
        <f>'★図13　需要側合計'!D30/10000</f>
        <v>49.893397362326738</v>
      </c>
    </row>
    <row r="31" spans="1:4">
      <c r="A31" s="129">
        <v>2009</v>
      </c>
      <c r="B31" s="366">
        <f>'★図13　需要側合計'!B31/10000</f>
        <v>46.274517776524199</v>
      </c>
      <c r="C31" s="366">
        <f>'★図13　需要側合計'!C31/10000</f>
        <v>46.274517776524199</v>
      </c>
      <c r="D31" s="366">
        <f>'★図13　需要側合計'!D31/10000</f>
        <v>46.274517776524199</v>
      </c>
    </row>
    <row r="32" spans="1:4">
      <c r="A32" s="129">
        <v>2010</v>
      </c>
      <c r="B32" s="366">
        <f>'★図13　需要側合計'!B32/10000</f>
        <v>44.697776782772664</v>
      </c>
      <c r="C32" s="366">
        <f>'★図13　需要側合計'!C32/10000</f>
        <v>44.697776782772664</v>
      </c>
      <c r="D32" s="366">
        <f>'★図13　需要側合計'!D32/10000</f>
        <v>44.697776782772664</v>
      </c>
    </row>
    <row r="33" spans="1:4">
      <c r="A33" s="129">
        <v>2011</v>
      </c>
      <c r="B33" s="366">
        <f>'★図13　需要側合計'!B33/10000</f>
        <v>44.606994860838995</v>
      </c>
      <c r="C33" s="366">
        <f>'★図13　需要側合計'!C33/10000</f>
        <v>44.606994860838995</v>
      </c>
      <c r="D33" s="366">
        <f>'★図13　需要側合計'!D33/10000</f>
        <v>44.606994860838995</v>
      </c>
    </row>
    <row r="34" spans="1:4">
      <c r="A34" s="129">
        <v>2012</v>
      </c>
      <c r="B34" s="366">
        <f>'★図13　需要側合計'!B34/10000</f>
        <v>44.968161798681095</v>
      </c>
      <c r="C34" s="366">
        <f>'★図13　需要側合計'!C34/10000</f>
        <v>44.968161798681095</v>
      </c>
      <c r="D34" s="366">
        <f>'★図13　需要側合計'!D34/10000</f>
        <v>44.968161798681095</v>
      </c>
    </row>
    <row r="35" spans="1:4">
      <c r="A35" s="129">
        <v>2013</v>
      </c>
      <c r="B35" s="366">
        <f>'★図13　需要側合計'!B35/10000</f>
        <v>48.819848128962548</v>
      </c>
      <c r="C35" s="366">
        <f>'★図13　需要側合計'!C35/10000</f>
        <v>48.819848128962548</v>
      </c>
      <c r="D35" s="366">
        <f>'★図13　需要側合計'!D35/10000</f>
        <v>48.819848128962548</v>
      </c>
    </row>
    <row r="36" spans="1:4">
      <c r="A36" s="129">
        <v>2014</v>
      </c>
      <c r="B36" s="366">
        <f>'★図13　需要側合計'!B36/10000</f>
        <v>48.559379057289568</v>
      </c>
      <c r="C36" s="366">
        <f>'★図13　需要側合計'!C36/10000</f>
        <v>48.559379057289568</v>
      </c>
      <c r="D36" s="366">
        <f>'★図13　需要側合計'!D36/10000</f>
        <v>48.559379057289568</v>
      </c>
    </row>
    <row r="37" spans="1:4">
      <c r="A37" s="129">
        <v>2015</v>
      </c>
      <c r="B37" s="366">
        <f>'★図13　需要側合計'!B37/10000</f>
        <v>53.957338020544512</v>
      </c>
      <c r="C37" s="366">
        <f>'★図13　需要側合計'!C37/10000</f>
        <v>53.957338020544512</v>
      </c>
      <c r="D37" s="366">
        <f>'★図13　需要側合計'!D37/10000</f>
        <v>53.957338020544512</v>
      </c>
    </row>
    <row r="38" spans="1:4">
      <c r="A38" s="129">
        <v>2016</v>
      </c>
      <c r="B38" s="366">
        <f>'★図13　需要側合計'!B38/10000</f>
        <v>58.1088236980126</v>
      </c>
      <c r="C38" s="366">
        <f>'★図13　需要側合計'!C38/10000</f>
        <v>58.1088236980126</v>
      </c>
      <c r="D38" s="366">
        <f>'★図13　需要側合計'!D38/10000</f>
        <v>58.1088236980126</v>
      </c>
    </row>
    <row r="39" spans="1:4">
      <c r="A39" s="129">
        <v>2017</v>
      </c>
      <c r="B39" s="366">
        <f>'★図13　需要側合計'!B39/10000</f>
        <v>59.917292942574221</v>
      </c>
      <c r="C39" s="366">
        <f>'★図13　需要側合計'!C39/10000</f>
        <v>59.917292942574221</v>
      </c>
      <c r="D39" s="366">
        <f>'★図13　需要側合計'!D39/10000</f>
        <v>59.917292942574221</v>
      </c>
    </row>
    <row r="40" spans="1:4">
      <c r="A40" s="129">
        <v>2018</v>
      </c>
      <c r="B40" s="366">
        <f>'★図13　需要側合計'!B40/10000</f>
        <v>58.8328477826267</v>
      </c>
      <c r="C40" s="366">
        <f>'★図13　需要側合計'!C40/10000</f>
        <v>58.8328477826267</v>
      </c>
      <c r="D40" s="366">
        <f>'★図13　需要側合計'!D40/10000</f>
        <v>58.8328477826267</v>
      </c>
    </row>
    <row r="41" spans="1:4">
      <c r="A41" s="129">
        <v>2019</v>
      </c>
      <c r="B41" s="366">
        <f>'★図13　需要側合計'!B41/10000</f>
        <v>58.327032016486555</v>
      </c>
      <c r="C41" s="366">
        <f>'★図13　需要側合計'!C41/10000</f>
        <v>58.327032016486555</v>
      </c>
      <c r="D41" s="366">
        <f>'★図13　需要側合計'!D41/10000</f>
        <v>58.327032016486555</v>
      </c>
    </row>
    <row r="42" spans="1:4">
      <c r="A42" s="129">
        <v>2020</v>
      </c>
      <c r="B42" s="366">
        <f>'★図13　需要側合計'!B42/10000</f>
        <v>56.566115425904549</v>
      </c>
      <c r="C42" s="366">
        <f>'★図13　需要側合計'!C42/10000</f>
        <v>56.566115425904549</v>
      </c>
      <c r="D42" s="366">
        <f>'★図13　需要側合計'!D42/10000</f>
        <v>56.566115425904549</v>
      </c>
    </row>
    <row r="43" spans="1:4">
      <c r="A43" s="129">
        <v>2021</v>
      </c>
      <c r="B43" s="366">
        <f>'★図13　需要側合計'!B43/10000</f>
        <v>56.763666163192902</v>
      </c>
      <c r="C43" s="366">
        <f>'★図13　需要側合計'!C43/10000</f>
        <v>56.763666163192902</v>
      </c>
      <c r="D43" s="366">
        <f>'★図13　需要側合計'!D43/10000</f>
        <v>56.763666163192902</v>
      </c>
    </row>
    <row r="44" spans="1:4">
      <c r="A44" s="129">
        <v>2022</v>
      </c>
      <c r="B44" s="366">
        <f>'★図13　需要側合計'!B44/10000</f>
        <v>57.458868916883702</v>
      </c>
      <c r="C44" s="366">
        <f>'★図13　需要側合計'!C44/10000</f>
        <v>57.458868916883702</v>
      </c>
      <c r="D44" s="366">
        <f>'★図13　需要側合計'!D44/10000</f>
        <v>57.458868916883702</v>
      </c>
    </row>
    <row r="45" spans="1:4">
      <c r="A45" s="129">
        <v>2023</v>
      </c>
      <c r="B45" s="366">
        <f>'★図13　需要側合計'!B45/10000</f>
        <v>61.035584869894109</v>
      </c>
      <c r="C45" s="366">
        <f>'★図13　需要側合計'!C45/10000</f>
        <v>58.318606873390102</v>
      </c>
    </row>
    <row r="46" spans="1:4">
      <c r="A46" s="129">
        <v>2024</v>
      </c>
      <c r="B46" s="366">
        <f>'★図13　需要側合計'!B46/10000</f>
        <v>67.418943062712444</v>
      </c>
      <c r="C46" s="366">
        <f>'★図13　需要側合計'!C46/10000</f>
        <v>61.471995708511756</v>
      </c>
    </row>
    <row r="47" spans="1:4">
      <c r="A47" s="129">
        <v>2025</v>
      </c>
      <c r="B47" s="366">
        <f>'★図13　需要側合計'!B47/10000</f>
        <v>72.431916907453427</v>
      </c>
      <c r="C47" s="366">
        <f>'★図13　需要側合計'!C47/10000</f>
        <v>61.806424490148757</v>
      </c>
    </row>
    <row r="48" spans="1:4">
      <c r="A48" s="129">
        <v>2026</v>
      </c>
      <c r="B48" s="366">
        <f>'★図13　需要側合計'!B48/10000</f>
        <v>77.391756240401889</v>
      </c>
      <c r="C48" s="366">
        <f>'★図13　需要側合計'!C48/10000</f>
        <v>64.046164739013776</v>
      </c>
    </row>
    <row r="49" spans="1:3">
      <c r="A49" s="129">
        <v>2027</v>
      </c>
      <c r="B49" s="366">
        <f>'★図13　需要側合計'!B49/10000</f>
        <v>83.589751114736771</v>
      </c>
      <c r="C49" s="366">
        <f>'★図13　需要側合計'!C49/10000</f>
        <v>67.9933398989305</v>
      </c>
    </row>
    <row r="50" spans="1:3">
      <c r="A50" s="129">
        <v>2028</v>
      </c>
      <c r="B50" s="366">
        <f>'★図13　需要側合計'!B50/10000</f>
        <v>87.588044198780011</v>
      </c>
      <c r="C50" s="366">
        <f>'★図13　需要側合計'!C50/10000</f>
        <v>69.328219845975099</v>
      </c>
    </row>
    <row r="51" spans="1:3">
      <c r="A51" s="129">
        <v>2029</v>
      </c>
      <c r="B51" s="366">
        <f>'★図13　需要側合計'!B51/10000</f>
        <v>90.719207560842335</v>
      </c>
      <c r="C51" s="366">
        <f>'★図13　需要側合計'!C51/10000</f>
        <v>70.984919569562379</v>
      </c>
    </row>
    <row r="52" spans="1:3">
      <c r="A52" s="129">
        <v>2030</v>
      </c>
      <c r="B52" s="366">
        <f>'★図13　需要側合計'!B52/10000</f>
        <v>91.64066649893212</v>
      </c>
      <c r="C52" s="366">
        <f>'★図13　需要側合計'!C52/10000</f>
        <v>69.733454808675759</v>
      </c>
    </row>
    <row r="53" spans="1:3">
      <c r="A53" s="129">
        <v>2031</v>
      </c>
      <c r="B53" s="366">
        <f>'★図13　需要側合計'!B53/10000</f>
        <v>90.028225860887716</v>
      </c>
      <c r="C53" s="366">
        <f>'★図13　需要側合計'!C53/10000</f>
        <v>65.873193203369041</v>
      </c>
    </row>
    <row r="54" spans="1:3">
      <c r="A54" s="129">
        <v>2032</v>
      </c>
      <c r="B54" s="366">
        <f>'★図13　需要側合計'!B54/10000</f>
        <v>90.56588073819411</v>
      </c>
      <c r="C54" s="366">
        <f>'★図13　需要側合計'!C54/10000</f>
        <v>66.83347651522277</v>
      </c>
    </row>
    <row r="55" spans="1:3">
      <c r="A55" s="129">
        <v>2033</v>
      </c>
      <c r="B55" s="366">
        <f>'★図13　需要側合計'!B55/10000</f>
        <v>92.39892754391218</v>
      </c>
      <c r="C55" s="366">
        <f>'★図13　需要側合計'!C55/10000</f>
        <v>68.226865292457163</v>
      </c>
    </row>
    <row r="56" spans="1:3">
      <c r="A56" s="129">
        <v>2034</v>
      </c>
      <c r="B56" s="366">
        <f>'★図13　需要側合計'!B56/10000</f>
        <v>94.778502004920185</v>
      </c>
      <c r="C56" s="366">
        <f>'★図13　需要側合計'!C56/10000</f>
        <v>69.183702147326457</v>
      </c>
    </row>
    <row r="57" spans="1:3">
      <c r="A57" s="129">
        <v>2035</v>
      </c>
      <c r="B57" s="366">
        <f>'★図13　需要側合計'!B57/10000</f>
        <v>96.866122229711578</v>
      </c>
      <c r="C57" s="366">
        <f>'★図13　需要側合計'!C57/10000</f>
        <v>69.696263739234624</v>
      </c>
    </row>
    <row r="58" spans="1:3">
      <c r="A58" s="129">
        <v>2036</v>
      </c>
      <c r="B58" s="366">
        <f>'★図13　需要側合計'!B58/10000</f>
        <v>98.881168776274976</v>
      </c>
      <c r="C58" s="366">
        <f>'★図13　需要側合計'!C58/10000</f>
        <v>70.031014389438909</v>
      </c>
    </row>
    <row r="59" spans="1:3">
      <c r="A59" s="129">
        <v>2037</v>
      </c>
      <c r="B59" s="366">
        <f>'★図13　需要側合計'!B59/10000</f>
        <v>100.83311704472197</v>
      </c>
      <c r="C59" s="366">
        <f>'★図13　需要側合計'!C59/10000</f>
        <v>70.271465191437173</v>
      </c>
    </row>
    <row r="60" spans="1:3">
      <c r="A60" s="129">
        <v>2038</v>
      </c>
      <c r="B60" s="366">
        <f>'★図13　需要側合計'!B60/10000</f>
        <v>102.7574469980587</v>
      </c>
      <c r="C60" s="366">
        <f>'★図13　需要側合計'!C60/10000</f>
        <v>70.446013385246673</v>
      </c>
    </row>
    <row r="61" spans="1:3">
      <c r="A61" s="129">
        <v>2039</v>
      </c>
      <c r="B61" s="366">
        <f>'★図13　需要側合計'!B61/10000</f>
        <v>104.62958948001709</v>
      </c>
      <c r="C61" s="366">
        <f>'★図13　需要側合計'!C61/10000</f>
        <v>70.559469340635232</v>
      </c>
    </row>
    <row r="62" spans="1:3">
      <c r="A62" s="129">
        <v>2040</v>
      </c>
      <c r="B62" s="366">
        <f>'★図13　需要側合計'!B62/10000</f>
        <v>106.50937440613669</v>
      </c>
      <c r="C62" s="366">
        <f>'★図13　需要側合計'!C62/10000</f>
        <v>70.65148797568979</v>
      </c>
    </row>
  </sheetData>
  <phoneticPr fontId="1"/>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08424-F89F-400A-A21C-8693BDBC5065}">
  <dimension ref="A1:T62"/>
  <sheetViews>
    <sheetView zoomScale="85" zoomScaleNormal="85" workbookViewId="0">
      <selection activeCell="V37" sqref="V37"/>
    </sheetView>
  </sheetViews>
  <sheetFormatPr defaultColWidth="8.84375" defaultRowHeight="18.45"/>
  <cols>
    <col min="1" max="1" width="8.84375" style="87"/>
    <col min="2" max="3" width="19" style="37" bestFit="1" customWidth="1"/>
    <col min="4" max="4" width="8.84375" style="37"/>
    <col min="5" max="16384" width="8.84375" style="24"/>
  </cols>
  <sheetData>
    <row r="1" spans="1:20">
      <c r="A1" s="87" t="s">
        <v>7</v>
      </c>
      <c r="B1" s="37" t="s">
        <v>127</v>
      </c>
      <c r="C1" s="37" t="s">
        <v>150</v>
      </c>
      <c r="D1" s="37" t="s">
        <v>413</v>
      </c>
    </row>
    <row r="2" spans="1:20">
      <c r="A2" s="129">
        <v>1980</v>
      </c>
      <c r="B2" s="46">
        <f>'需要側予測（成長実現ケース）'!FV6</f>
        <v>675611.6404715993</v>
      </c>
      <c r="C2" s="46">
        <f>B2</f>
        <v>675611.6404715993</v>
      </c>
      <c r="D2" s="46">
        <f>C2</f>
        <v>675611.6404715993</v>
      </c>
    </row>
    <row r="3" spans="1:20">
      <c r="A3" s="129">
        <v>1981</v>
      </c>
      <c r="B3" s="46">
        <f>'需要側予測（成長実現ケース）'!FV7</f>
        <v>656249.71464099991</v>
      </c>
      <c r="C3" s="46">
        <f t="shared" ref="C3:D44" si="0">B3</f>
        <v>656249.71464099991</v>
      </c>
      <c r="D3" s="46">
        <f t="shared" si="0"/>
        <v>656249.71464099991</v>
      </c>
    </row>
    <row r="4" spans="1:20">
      <c r="A4" s="129">
        <v>1982</v>
      </c>
      <c r="B4" s="46">
        <f>'需要側予測（成長実現ケース）'!FV8</f>
        <v>661563.22702856117</v>
      </c>
      <c r="C4" s="46">
        <f t="shared" si="0"/>
        <v>661563.22702856117</v>
      </c>
      <c r="D4" s="46">
        <f t="shared" si="0"/>
        <v>661563.22702856117</v>
      </c>
    </row>
    <row r="5" spans="1:20">
      <c r="A5" s="129">
        <v>1983</v>
      </c>
      <c r="B5" s="46">
        <f>'需要側予測（成長実現ケース）'!FV9</f>
        <v>631422.81931843865</v>
      </c>
      <c r="C5" s="46">
        <f t="shared" si="0"/>
        <v>631422.81931843865</v>
      </c>
      <c r="D5" s="46">
        <f t="shared" si="0"/>
        <v>631422.81931843865</v>
      </c>
    </row>
    <row r="6" spans="1:20">
      <c r="A6" s="129">
        <v>1984</v>
      </c>
      <c r="B6" s="46">
        <f>'需要側予測（成長実現ケース）'!FV10</f>
        <v>630596.65327656118</v>
      </c>
      <c r="C6" s="46">
        <f t="shared" si="0"/>
        <v>630596.65327656118</v>
      </c>
      <c r="D6" s="46">
        <f t="shared" si="0"/>
        <v>630596.65327656118</v>
      </c>
    </row>
    <row r="7" spans="1:20">
      <c r="A7" s="129">
        <v>1985</v>
      </c>
      <c r="B7" s="46">
        <f>'需要側予測（成長実現ケース）'!FV11</f>
        <v>636839.49725459225</v>
      </c>
      <c r="C7" s="46">
        <f t="shared" si="0"/>
        <v>636839.49725459225</v>
      </c>
      <c r="D7" s="46">
        <f t="shared" si="0"/>
        <v>636839.49725459225</v>
      </c>
    </row>
    <row r="8" spans="1:20">
      <c r="A8" s="129">
        <v>1986</v>
      </c>
      <c r="B8" s="46">
        <f>'需要側予測（成長実現ケース）'!FV12</f>
        <v>682921.15114852693</v>
      </c>
      <c r="C8" s="46">
        <f t="shared" si="0"/>
        <v>682921.15114852693</v>
      </c>
      <c r="D8" s="46">
        <f t="shared" si="0"/>
        <v>682921.15114852693</v>
      </c>
      <c r="T8" s="347"/>
    </row>
    <row r="9" spans="1:20">
      <c r="A9" s="129">
        <v>1987</v>
      </c>
      <c r="B9" s="46">
        <f>'需要側予測（成長実現ケース）'!FV13</f>
        <v>755747.79202608461</v>
      </c>
      <c r="C9" s="46">
        <f t="shared" si="0"/>
        <v>755747.79202608461</v>
      </c>
      <c r="D9" s="46">
        <f t="shared" si="0"/>
        <v>755747.79202608461</v>
      </c>
    </row>
    <row r="10" spans="1:20">
      <c r="A10" s="129">
        <v>1988</v>
      </c>
      <c r="B10" s="46">
        <f>'需要側予測（成長実現ケース）'!FV14</f>
        <v>830812.55366915325</v>
      </c>
      <c r="C10" s="46">
        <f t="shared" si="0"/>
        <v>830812.55366915325</v>
      </c>
      <c r="D10" s="46">
        <f t="shared" si="0"/>
        <v>830812.55366915325</v>
      </c>
    </row>
    <row r="11" spans="1:20">
      <c r="A11" s="129">
        <v>1989</v>
      </c>
      <c r="B11" s="46">
        <f>'需要側予測（成長実現ケース）'!FV15</f>
        <v>862537.2820516855</v>
      </c>
      <c r="C11" s="46">
        <f t="shared" si="0"/>
        <v>862537.2820516855</v>
      </c>
      <c r="D11" s="46">
        <f t="shared" si="0"/>
        <v>862537.2820516855</v>
      </c>
    </row>
    <row r="12" spans="1:20">
      <c r="A12" s="129">
        <v>1990</v>
      </c>
      <c r="B12" s="46">
        <f>'需要側予測（成長実現ケース）'!FV16</f>
        <v>930018.694819369</v>
      </c>
      <c r="C12" s="46">
        <f t="shared" si="0"/>
        <v>930018.694819369</v>
      </c>
      <c r="D12" s="46">
        <f t="shared" si="0"/>
        <v>930018.694819369</v>
      </c>
    </row>
    <row r="13" spans="1:20">
      <c r="A13" s="129">
        <v>1991</v>
      </c>
      <c r="B13" s="46">
        <f>'需要側予測（成長実現ケース）'!FV17</f>
        <v>930074.07912184636</v>
      </c>
      <c r="C13" s="46">
        <f t="shared" si="0"/>
        <v>930074.07912184636</v>
      </c>
      <c r="D13" s="46">
        <f t="shared" si="0"/>
        <v>930074.07912184636</v>
      </c>
    </row>
    <row r="14" spans="1:20">
      <c r="A14" s="129">
        <v>1992</v>
      </c>
      <c r="B14" s="46">
        <f>'需要側予測（成長実現ケース）'!FV18</f>
        <v>936243.37829754362</v>
      </c>
      <c r="C14" s="46">
        <f t="shared" si="0"/>
        <v>936243.37829754362</v>
      </c>
      <c r="D14" s="46">
        <f t="shared" si="0"/>
        <v>936243.37829754362</v>
      </c>
    </row>
    <row r="15" spans="1:20">
      <c r="A15" s="129">
        <v>1993</v>
      </c>
      <c r="B15" s="46">
        <f>'需要側予測（成長実現ケース）'!FV19</f>
        <v>911520.81172168278</v>
      </c>
      <c r="C15" s="46">
        <f t="shared" si="0"/>
        <v>911520.81172168278</v>
      </c>
      <c r="D15" s="46">
        <f t="shared" si="0"/>
        <v>911520.81172168278</v>
      </c>
    </row>
    <row r="16" spans="1:20">
      <c r="A16" s="129">
        <v>1994</v>
      </c>
      <c r="B16" s="46">
        <f>'需要側予測（成長実現ケース）'!FV20</f>
        <v>879268.70131935354</v>
      </c>
      <c r="C16" s="46">
        <f t="shared" si="0"/>
        <v>879268.70131935354</v>
      </c>
      <c r="D16" s="46">
        <f t="shared" si="0"/>
        <v>879268.70131935354</v>
      </c>
    </row>
    <row r="17" spans="1:4">
      <c r="A17" s="129">
        <v>1995</v>
      </c>
      <c r="B17" s="46">
        <f>'需要側予測（成長実現ケース）'!FV21</f>
        <v>852911.85695646424</v>
      </c>
      <c r="C17" s="46">
        <f t="shared" si="0"/>
        <v>852911.85695646424</v>
      </c>
      <c r="D17" s="46">
        <f t="shared" si="0"/>
        <v>852911.85695646424</v>
      </c>
    </row>
    <row r="18" spans="1:4">
      <c r="A18" s="129">
        <v>1996</v>
      </c>
      <c r="B18" s="46">
        <f>'需要側予測（成長実現ケース）'!FV22</f>
        <v>913795.428756907</v>
      </c>
      <c r="C18" s="46">
        <f t="shared" si="0"/>
        <v>913795.428756907</v>
      </c>
      <c r="D18" s="46">
        <f t="shared" si="0"/>
        <v>913795.428756907</v>
      </c>
    </row>
    <row r="19" spans="1:4">
      <c r="A19" s="129">
        <v>1997</v>
      </c>
      <c r="B19" s="46">
        <f>'需要側予測（成長実現ケース）'!FV23</f>
        <v>842147.24991048442</v>
      </c>
      <c r="C19" s="46">
        <f t="shared" si="0"/>
        <v>842147.24991048442</v>
      </c>
      <c r="D19" s="46">
        <f t="shared" si="0"/>
        <v>842147.24991048442</v>
      </c>
    </row>
    <row r="20" spans="1:4">
      <c r="A20" s="129">
        <v>1998</v>
      </c>
      <c r="B20" s="46">
        <f>'需要側予測（成長実現ケース）'!FV24</f>
        <v>792128.36784281523</v>
      </c>
      <c r="C20" s="46">
        <f t="shared" si="0"/>
        <v>792128.36784281523</v>
      </c>
      <c r="D20" s="46">
        <f t="shared" si="0"/>
        <v>792128.36784281523</v>
      </c>
    </row>
    <row r="21" spans="1:4">
      <c r="A21" s="129">
        <v>1999</v>
      </c>
      <c r="B21" s="46">
        <f>'需要側予測（成長実現ケース）'!FV25</f>
        <v>779955.31695557036</v>
      </c>
      <c r="C21" s="46">
        <f t="shared" si="0"/>
        <v>779955.31695557036</v>
      </c>
      <c r="D21" s="46">
        <f t="shared" si="0"/>
        <v>779955.31695557036</v>
      </c>
    </row>
    <row r="22" spans="1:4">
      <c r="A22" s="129">
        <v>2000</v>
      </c>
      <c r="B22" s="46">
        <f>'需要側予測（成長実現ケース）'!FV26</f>
        <v>735377.97712155432</v>
      </c>
      <c r="C22" s="46">
        <f t="shared" si="0"/>
        <v>735377.97712155432</v>
      </c>
      <c r="D22" s="46">
        <f t="shared" si="0"/>
        <v>735377.97712155432</v>
      </c>
    </row>
    <row r="23" spans="1:4">
      <c r="A23" s="129">
        <v>2001</v>
      </c>
      <c r="B23" s="46">
        <f>'需要側予測（成長実現ケース）'!FV27</f>
        <v>712186.82389267883</v>
      </c>
      <c r="C23" s="46">
        <f t="shared" si="0"/>
        <v>712186.82389267883</v>
      </c>
      <c r="D23" s="46">
        <f t="shared" si="0"/>
        <v>712186.82389267883</v>
      </c>
    </row>
    <row r="24" spans="1:4">
      <c r="A24" s="129">
        <v>2002</v>
      </c>
      <c r="B24" s="46">
        <f>'需要側予測（成長実現ケース）'!FV28</f>
        <v>666393.52951853187</v>
      </c>
      <c r="C24" s="46">
        <f t="shared" si="0"/>
        <v>666393.52951853187</v>
      </c>
      <c r="D24" s="46">
        <f t="shared" si="0"/>
        <v>666393.52951853187</v>
      </c>
    </row>
    <row r="25" spans="1:4">
      <c r="A25" s="129">
        <v>2003</v>
      </c>
      <c r="B25" s="46">
        <f>'需要側予測（成長実現ケース）'!FV29</f>
        <v>624608.39192366635</v>
      </c>
      <c r="C25" s="46">
        <f t="shared" si="0"/>
        <v>624608.39192366635</v>
      </c>
      <c r="D25" s="46">
        <f t="shared" si="0"/>
        <v>624608.39192366635</v>
      </c>
    </row>
    <row r="26" spans="1:4">
      <c r="A26" s="129">
        <v>2004</v>
      </c>
      <c r="B26" s="46">
        <f>'需要側予測（成長実現ケース）'!FV30</f>
        <v>597928.52910741174</v>
      </c>
      <c r="C26" s="46">
        <f t="shared" si="0"/>
        <v>597928.52910741174</v>
      </c>
      <c r="D26" s="46">
        <f t="shared" si="0"/>
        <v>597928.52910741174</v>
      </c>
    </row>
    <row r="27" spans="1:4">
      <c r="A27" s="129">
        <v>2005</v>
      </c>
      <c r="B27" s="46">
        <f>'需要側予測（成長実現ケース）'!FV31</f>
        <v>578997.93350860476</v>
      </c>
      <c r="C27" s="46">
        <f t="shared" si="0"/>
        <v>578997.93350860476</v>
      </c>
      <c r="D27" s="46">
        <f t="shared" si="0"/>
        <v>578997.93350860476</v>
      </c>
    </row>
    <row r="28" spans="1:4">
      <c r="A28" s="129">
        <v>2006</v>
      </c>
      <c r="B28" s="46">
        <f>'需要側予測（成長実現ケース）'!FV32</f>
        <v>565048.47532275412</v>
      </c>
      <c r="C28" s="46">
        <f t="shared" si="0"/>
        <v>565048.47532275412</v>
      </c>
      <c r="D28" s="46">
        <f t="shared" si="0"/>
        <v>565048.47532275412</v>
      </c>
    </row>
    <row r="29" spans="1:4">
      <c r="A29" s="129">
        <v>2007</v>
      </c>
      <c r="B29" s="46">
        <f>'需要側予測（成長実現ケース）'!FV33</f>
        <v>523754.61380397785</v>
      </c>
      <c r="C29" s="46">
        <f t="shared" si="0"/>
        <v>523754.61380397785</v>
      </c>
      <c r="D29" s="46">
        <f t="shared" si="0"/>
        <v>523754.61380397785</v>
      </c>
    </row>
    <row r="30" spans="1:4">
      <c r="A30" s="129">
        <v>2008</v>
      </c>
      <c r="B30" s="46">
        <f>'需要側予測（成長実現ケース）'!FV34</f>
        <v>498933.97362326737</v>
      </c>
      <c r="C30" s="46">
        <f t="shared" si="0"/>
        <v>498933.97362326737</v>
      </c>
      <c r="D30" s="46">
        <f t="shared" si="0"/>
        <v>498933.97362326737</v>
      </c>
    </row>
    <row r="31" spans="1:4">
      <c r="A31" s="129">
        <v>2009</v>
      </c>
      <c r="B31" s="46">
        <f>'需要側予測（成長実現ケース）'!FV35</f>
        <v>462745.177765242</v>
      </c>
      <c r="C31" s="46">
        <f t="shared" si="0"/>
        <v>462745.177765242</v>
      </c>
      <c r="D31" s="46">
        <f t="shared" si="0"/>
        <v>462745.177765242</v>
      </c>
    </row>
    <row r="32" spans="1:4">
      <c r="A32" s="129">
        <v>2010</v>
      </c>
      <c r="B32" s="46">
        <f>'需要側予測（成長実現ケース）'!FV36</f>
        <v>446977.76782772667</v>
      </c>
      <c r="C32" s="46">
        <f t="shared" si="0"/>
        <v>446977.76782772667</v>
      </c>
      <c r="D32" s="46">
        <f t="shared" si="0"/>
        <v>446977.76782772667</v>
      </c>
    </row>
    <row r="33" spans="1:4">
      <c r="A33" s="129">
        <v>2011</v>
      </c>
      <c r="B33" s="46">
        <f>'需要側予測（成長実現ケース）'!FV37</f>
        <v>446069.94860838994</v>
      </c>
      <c r="C33" s="46">
        <f t="shared" si="0"/>
        <v>446069.94860838994</v>
      </c>
      <c r="D33" s="46">
        <f t="shared" si="0"/>
        <v>446069.94860838994</v>
      </c>
    </row>
    <row r="34" spans="1:4">
      <c r="A34" s="129">
        <v>2012</v>
      </c>
      <c r="B34" s="46">
        <f>'需要側予測（成長実現ケース）'!FV38</f>
        <v>449681.61798681098</v>
      </c>
      <c r="C34" s="46">
        <f t="shared" si="0"/>
        <v>449681.61798681098</v>
      </c>
      <c r="D34" s="46">
        <f t="shared" si="0"/>
        <v>449681.61798681098</v>
      </c>
    </row>
    <row r="35" spans="1:4">
      <c r="A35" s="129">
        <v>2013</v>
      </c>
      <c r="B35" s="46">
        <f>'需要側予測（成長実現ケース）'!FV39</f>
        <v>488198.48128962546</v>
      </c>
      <c r="C35" s="46">
        <f t="shared" si="0"/>
        <v>488198.48128962546</v>
      </c>
      <c r="D35" s="46">
        <f t="shared" si="0"/>
        <v>488198.48128962546</v>
      </c>
    </row>
    <row r="36" spans="1:4">
      <c r="A36" s="129">
        <v>2014</v>
      </c>
      <c r="B36" s="46">
        <f>'需要側予測（成長実現ケース）'!FV40</f>
        <v>485593.79057289567</v>
      </c>
      <c r="C36" s="46">
        <f t="shared" si="0"/>
        <v>485593.79057289567</v>
      </c>
      <c r="D36" s="46">
        <f t="shared" si="0"/>
        <v>485593.79057289567</v>
      </c>
    </row>
    <row r="37" spans="1:4">
      <c r="A37" s="129">
        <v>2015</v>
      </c>
      <c r="B37" s="46">
        <f>'需要側予測（成長実現ケース）'!FV41</f>
        <v>539573.38020544511</v>
      </c>
      <c r="C37" s="46">
        <f t="shared" si="0"/>
        <v>539573.38020544511</v>
      </c>
      <c r="D37" s="46">
        <f t="shared" si="0"/>
        <v>539573.38020544511</v>
      </c>
    </row>
    <row r="38" spans="1:4">
      <c r="A38" s="129">
        <v>2016</v>
      </c>
      <c r="B38" s="46">
        <f>'需要側予測（成長実現ケース）'!FV42</f>
        <v>581088.23698012601</v>
      </c>
      <c r="C38" s="46">
        <f t="shared" si="0"/>
        <v>581088.23698012601</v>
      </c>
      <c r="D38" s="46">
        <f t="shared" si="0"/>
        <v>581088.23698012601</v>
      </c>
    </row>
    <row r="39" spans="1:4">
      <c r="A39" s="129">
        <v>2017</v>
      </c>
      <c r="B39" s="46">
        <f>'需要側予測（成長実現ケース）'!FV43</f>
        <v>599172.92942574224</v>
      </c>
      <c r="C39" s="46">
        <f t="shared" si="0"/>
        <v>599172.92942574224</v>
      </c>
      <c r="D39" s="46">
        <f t="shared" si="0"/>
        <v>599172.92942574224</v>
      </c>
    </row>
    <row r="40" spans="1:4">
      <c r="A40" s="129">
        <v>2018</v>
      </c>
      <c r="B40" s="46">
        <f>'需要側予測（成長実現ケース）'!FV44</f>
        <v>588328.47782626702</v>
      </c>
      <c r="C40" s="46">
        <f t="shared" si="0"/>
        <v>588328.47782626702</v>
      </c>
      <c r="D40" s="46">
        <f t="shared" si="0"/>
        <v>588328.47782626702</v>
      </c>
    </row>
    <row r="41" spans="1:4">
      <c r="A41" s="129">
        <v>2019</v>
      </c>
      <c r="B41" s="46">
        <f>'需要側予測（成長実現ケース）'!FV45</f>
        <v>583270.32016486558</v>
      </c>
      <c r="C41" s="46">
        <f t="shared" si="0"/>
        <v>583270.32016486558</v>
      </c>
      <c r="D41" s="46">
        <f t="shared" si="0"/>
        <v>583270.32016486558</v>
      </c>
    </row>
    <row r="42" spans="1:4">
      <c r="A42" s="129">
        <v>2020</v>
      </c>
      <c r="B42" s="46">
        <f>'需要側予測（成長実現ケース）'!FV46</f>
        <v>565661.15425904549</v>
      </c>
      <c r="C42" s="46">
        <f t="shared" si="0"/>
        <v>565661.15425904549</v>
      </c>
      <c r="D42" s="46">
        <f t="shared" si="0"/>
        <v>565661.15425904549</v>
      </c>
    </row>
    <row r="43" spans="1:4">
      <c r="A43" s="129">
        <v>2021</v>
      </c>
      <c r="B43" s="348">
        <f>★図7!B43</f>
        <v>567636.66163192899</v>
      </c>
      <c r="C43" s="46">
        <f t="shared" si="0"/>
        <v>567636.66163192899</v>
      </c>
      <c r="D43" s="46">
        <f t="shared" si="0"/>
        <v>567636.66163192899</v>
      </c>
    </row>
    <row r="44" spans="1:4">
      <c r="A44" s="129">
        <v>2022</v>
      </c>
      <c r="B44" s="348">
        <f>★図7!B44</f>
        <v>574588.68916883704</v>
      </c>
      <c r="C44" s="46">
        <f t="shared" si="0"/>
        <v>574588.68916883704</v>
      </c>
      <c r="D44" s="46">
        <f t="shared" si="0"/>
        <v>574588.68916883704</v>
      </c>
    </row>
    <row r="45" spans="1:4">
      <c r="A45" s="129">
        <v>2023</v>
      </c>
      <c r="B45" s="46">
        <f>'需要側予測（成長実現ケース）'!FV49</f>
        <v>610355.84869894106</v>
      </c>
      <c r="C45" s="46">
        <f>'需要側予測（ベースラインケース)'!FV49</f>
        <v>583186.06873390102</v>
      </c>
    </row>
    <row r="46" spans="1:4">
      <c r="A46" s="129">
        <v>2024</v>
      </c>
      <c r="B46" s="46">
        <f>'需要側予測（成長実現ケース）'!FV50</f>
        <v>674189.43062712438</v>
      </c>
      <c r="C46" s="46">
        <f>'需要側予測（ベースラインケース)'!FV50</f>
        <v>614719.95708511758</v>
      </c>
    </row>
    <row r="47" spans="1:4">
      <c r="A47" s="129">
        <v>2025</v>
      </c>
      <c r="B47" s="46">
        <f>'需要側予測（成長実現ケース）'!FV51</f>
        <v>724319.16907453421</v>
      </c>
      <c r="C47" s="46">
        <f>'需要側予測（ベースラインケース)'!FV51</f>
        <v>618064.2449014876</v>
      </c>
    </row>
    <row r="48" spans="1:4">
      <c r="A48" s="129">
        <v>2026</v>
      </c>
      <c r="B48" s="46">
        <f>'需要側予測（成長実現ケース）'!FV52</f>
        <v>773917.56240401894</v>
      </c>
      <c r="C48" s="46">
        <f>'需要側予測（ベースラインケース)'!FV52</f>
        <v>640461.64739013778</v>
      </c>
    </row>
    <row r="49" spans="1:3">
      <c r="A49" s="129">
        <v>2027</v>
      </c>
      <c r="B49" s="46">
        <f>'需要側予測（成長実現ケース）'!FV53</f>
        <v>835897.51114736765</v>
      </c>
      <c r="C49" s="46">
        <f>'需要側予測（ベースラインケース)'!FV53</f>
        <v>679933.39898930502</v>
      </c>
    </row>
    <row r="50" spans="1:3">
      <c r="A50" s="129">
        <v>2028</v>
      </c>
      <c r="B50" s="46">
        <f>'需要側予測（成長実現ケース）'!FV54</f>
        <v>875880.44198780006</v>
      </c>
      <c r="C50" s="46">
        <f>'需要側予測（ベースラインケース)'!FV54</f>
        <v>693282.19845975097</v>
      </c>
    </row>
    <row r="51" spans="1:3">
      <c r="A51" s="129">
        <v>2029</v>
      </c>
      <c r="B51" s="46">
        <f>'需要側予測（成長実現ケース）'!FV55</f>
        <v>907192.07560842333</v>
      </c>
      <c r="C51" s="46">
        <f>'需要側予測（ベースラインケース)'!FV55</f>
        <v>709849.19569562376</v>
      </c>
    </row>
    <row r="52" spans="1:3">
      <c r="A52" s="129">
        <v>2030</v>
      </c>
      <c r="B52" s="46">
        <f>'需要側予測（成長実現ケース）'!FV56</f>
        <v>916406.66498932126</v>
      </c>
      <c r="C52" s="46">
        <f>'需要側予測（ベースラインケース)'!FV56</f>
        <v>697334.54808675754</v>
      </c>
    </row>
    <row r="53" spans="1:3">
      <c r="A53" s="129">
        <v>2031</v>
      </c>
      <c r="B53" s="46">
        <f>'需要側予測（成長実現ケース）'!FV57</f>
        <v>900282.25860887719</v>
      </c>
      <c r="C53" s="46">
        <f>'需要側予測（ベースラインケース)'!FV57</f>
        <v>658731.93203369039</v>
      </c>
    </row>
    <row r="54" spans="1:3">
      <c r="A54" s="129">
        <v>2032</v>
      </c>
      <c r="B54" s="46">
        <f>'需要側予測（成長実現ケース）'!FV58</f>
        <v>905658.80738194112</v>
      </c>
      <c r="C54" s="46">
        <f>'需要側予測（ベースラインケース)'!FV58</f>
        <v>668334.76515222772</v>
      </c>
    </row>
    <row r="55" spans="1:3">
      <c r="A55" s="129">
        <v>2033</v>
      </c>
      <c r="B55" s="46">
        <f>'需要側予測（成長実現ケース）'!FV59</f>
        <v>923989.27543912176</v>
      </c>
      <c r="C55" s="46">
        <f>'需要側予測（ベースラインケース)'!FV59</f>
        <v>682268.65292457165</v>
      </c>
    </row>
    <row r="56" spans="1:3">
      <c r="A56" s="129">
        <v>2034</v>
      </c>
      <c r="B56" s="46">
        <f>'需要側予測（成長実現ケース）'!FV60</f>
        <v>947785.02004920179</v>
      </c>
      <c r="C56" s="46">
        <f>'需要側予測（ベースラインケース)'!FV60</f>
        <v>691837.02147326455</v>
      </c>
    </row>
    <row r="57" spans="1:3">
      <c r="A57" s="129">
        <v>2035</v>
      </c>
      <c r="B57" s="46">
        <f>'需要側予測（成長実現ケース）'!FV61</f>
        <v>968661.22229711572</v>
      </c>
      <c r="C57" s="46">
        <f>'需要側予測（ベースラインケース)'!FV61</f>
        <v>696962.63739234628</v>
      </c>
    </row>
    <row r="58" spans="1:3">
      <c r="A58" s="129">
        <v>2036</v>
      </c>
      <c r="B58" s="46">
        <f>'需要側予測（成長実現ケース）'!FV62</f>
        <v>988811.68776274973</v>
      </c>
      <c r="C58" s="46">
        <f>'需要側予測（ベースラインケース)'!FV62</f>
        <v>700310.14389438904</v>
      </c>
    </row>
    <row r="59" spans="1:3">
      <c r="A59" s="129">
        <v>2037</v>
      </c>
      <c r="B59" s="46">
        <f>'需要側予測（成長実現ケース）'!FV63</f>
        <v>1008331.1704472197</v>
      </c>
      <c r="C59" s="46">
        <f>'需要側予測（ベースラインケース)'!FV63</f>
        <v>702714.65191437176</v>
      </c>
    </row>
    <row r="60" spans="1:3">
      <c r="A60" s="129">
        <v>2038</v>
      </c>
      <c r="B60" s="46">
        <f>'需要側予測（成長実現ケース）'!FV64</f>
        <v>1027574.469980587</v>
      </c>
      <c r="C60" s="46">
        <f>'需要側予測（ベースラインケース)'!FV64</f>
        <v>704460.13385246671</v>
      </c>
    </row>
    <row r="61" spans="1:3">
      <c r="A61" s="129">
        <v>2039</v>
      </c>
      <c r="B61" s="46">
        <f>'需要側予測（成長実現ケース）'!FV65</f>
        <v>1046295.8948001709</v>
      </c>
      <c r="C61" s="46">
        <f>'需要側予測（ベースラインケース)'!FV65</f>
        <v>705594.69340635231</v>
      </c>
    </row>
    <row r="62" spans="1:3">
      <c r="A62" s="129">
        <v>2040</v>
      </c>
      <c r="B62" s="46">
        <f>'需要側予測（成長実現ケース）'!FV66</f>
        <v>1065093.7440613669</v>
      </c>
      <c r="C62" s="46">
        <f>'需要側予測（ベースラインケース)'!FV66</f>
        <v>706514.87975689792</v>
      </c>
    </row>
  </sheetData>
  <phoneticPr fontId="1"/>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C9F39-3BD8-4AAD-AFDD-74CF81AB3B1A}">
  <dimension ref="A1:G64"/>
  <sheetViews>
    <sheetView workbookViewId="0">
      <selection activeCell="V37" sqref="V37"/>
    </sheetView>
  </sheetViews>
  <sheetFormatPr defaultColWidth="8.84375" defaultRowHeight="18.45" outlineLevelRow="1"/>
  <cols>
    <col min="1" max="1" width="8.84375" style="87"/>
    <col min="2" max="3" width="19" style="37" bestFit="1" customWidth="1"/>
    <col min="4" max="4" width="16.765625" style="37" bestFit="1" customWidth="1"/>
    <col min="5" max="5" width="21.3046875" style="37" bestFit="1" customWidth="1"/>
    <col min="6" max="7" width="8.84375" style="37"/>
    <col min="8" max="16384" width="8.84375" style="24"/>
  </cols>
  <sheetData>
    <row r="1" spans="1:7">
      <c r="B1" s="37" t="s">
        <v>604</v>
      </c>
      <c r="D1" s="37" t="s">
        <v>605</v>
      </c>
      <c r="F1" s="37" t="s">
        <v>606</v>
      </c>
    </row>
    <row r="2" spans="1:7">
      <c r="A2" s="87" t="s">
        <v>7</v>
      </c>
      <c r="B2" s="37" t="s">
        <v>127</v>
      </c>
      <c r="C2" s="37" t="s">
        <v>150</v>
      </c>
      <c r="D2" s="37" t="s">
        <v>127</v>
      </c>
      <c r="E2" s="37" t="s">
        <v>607</v>
      </c>
      <c r="F2" s="37" t="s">
        <v>127</v>
      </c>
      <c r="G2" s="37" t="s">
        <v>607</v>
      </c>
    </row>
    <row r="3" spans="1:7">
      <c r="A3" s="129">
        <v>1980</v>
      </c>
      <c r="B3" s="46">
        <v>209115.89550873864</v>
      </c>
      <c r="C3" s="46">
        <v>209115.89550873864</v>
      </c>
      <c r="D3" s="46">
        <v>129499.31966766097</v>
      </c>
      <c r="E3" s="37">
        <v>129499.31966766097</v>
      </c>
      <c r="F3" s="37">
        <v>69112.274387905345</v>
      </c>
      <c r="G3" s="37">
        <v>69112.274387905345</v>
      </c>
    </row>
    <row r="4" spans="1:7" hidden="1" outlineLevel="1">
      <c r="A4" s="129">
        <v>1981</v>
      </c>
      <c r="B4" s="46">
        <v>192233.3971502608</v>
      </c>
      <c r="C4" s="46">
        <v>192233.3971502608</v>
      </c>
      <c r="D4" s="46">
        <v>122949.88497664926</v>
      </c>
      <c r="E4" s="37">
        <v>122949.88497664926</v>
      </c>
      <c r="F4" s="37">
        <v>75441.126091765123</v>
      </c>
      <c r="G4" s="37">
        <v>75441.126091765123</v>
      </c>
    </row>
    <row r="5" spans="1:7" hidden="1" outlineLevel="1">
      <c r="A5" s="129">
        <v>1982</v>
      </c>
      <c r="B5" s="46">
        <v>198773.39734513013</v>
      </c>
      <c r="C5" s="46">
        <v>198773.39734513013</v>
      </c>
      <c r="D5" s="46">
        <v>117807.82633205278</v>
      </c>
      <c r="E5" s="37">
        <v>117807.82633205278</v>
      </c>
      <c r="F5" s="37">
        <v>77609.379083273889</v>
      </c>
      <c r="G5" s="37">
        <v>77609.379083273889</v>
      </c>
    </row>
    <row r="6" spans="1:7" hidden="1" outlineLevel="1">
      <c r="A6" s="129">
        <v>1983</v>
      </c>
      <c r="B6" s="46">
        <v>186580.87495231561</v>
      </c>
      <c r="C6" s="46">
        <v>186580.87495231561</v>
      </c>
      <c r="D6" s="46">
        <v>119700.25530258204</v>
      </c>
      <c r="E6" s="37">
        <v>119700.25530258204</v>
      </c>
      <c r="F6" s="37">
        <v>61030.108693556635</v>
      </c>
      <c r="G6" s="37">
        <v>61030.108693556635</v>
      </c>
    </row>
    <row r="7" spans="1:7" hidden="1" outlineLevel="1">
      <c r="A7" s="129">
        <v>1984</v>
      </c>
      <c r="B7" s="46">
        <v>183316.46164974963</v>
      </c>
      <c r="C7" s="46">
        <v>183316.46164974963</v>
      </c>
      <c r="D7" s="46">
        <v>132872.6220074202</v>
      </c>
      <c r="E7" s="37">
        <v>132872.6220074202</v>
      </c>
      <c r="F7" s="37">
        <v>56797.668049522254</v>
      </c>
      <c r="G7" s="37">
        <v>56797.668049522254</v>
      </c>
    </row>
    <row r="8" spans="1:7" collapsed="1">
      <c r="A8" s="129">
        <v>1985</v>
      </c>
      <c r="B8" s="46">
        <v>188008.8058138889</v>
      </c>
      <c r="C8" s="46">
        <v>188008.8058138889</v>
      </c>
      <c r="D8" s="46">
        <v>140469.11870846161</v>
      </c>
      <c r="E8" s="37">
        <v>140469.11870846161</v>
      </c>
      <c r="F8" s="37">
        <v>59616.226028088997</v>
      </c>
      <c r="G8" s="37">
        <v>59616.226028088997</v>
      </c>
    </row>
    <row r="9" spans="1:7" hidden="1" outlineLevel="1">
      <c r="A9" s="129">
        <v>1986</v>
      </c>
      <c r="B9" s="46">
        <v>203669.28314025773</v>
      </c>
      <c r="C9" s="46">
        <v>203669.28314025773</v>
      </c>
      <c r="D9" s="46">
        <v>148434.06157465052</v>
      </c>
      <c r="E9" s="37">
        <v>148434.06157465052</v>
      </c>
      <c r="F9" s="37">
        <v>62402.797154670094</v>
      </c>
      <c r="G9" s="37">
        <v>62402.797154670094</v>
      </c>
    </row>
    <row r="10" spans="1:7" hidden="1" outlineLevel="1">
      <c r="A10" s="129">
        <v>1987</v>
      </c>
      <c r="B10" s="46">
        <v>247527.87236867321</v>
      </c>
      <c r="C10" s="46">
        <v>247527.87236867321</v>
      </c>
      <c r="D10" s="46">
        <v>158980.90996544124</v>
      </c>
      <c r="E10" s="37">
        <v>158980.90996544124</v>
      </c>
      <c r="F10" s="37">
        <v>66344.736357248345</v>
      </c>
      <c r="G10" s="37">
        <v>66344.736357248345</v>
      </c>
    </row>
    <row r="11" spans="1:7" hidden="1" outlineLevel="1">
      <c r="A11" s="129">
        <v>1988</v>
      </c>
      <c r="B11" s="46">
        <v>276009.70308196789</v>
      </c>
      <c r="C11" s="46">
        <v>276009.70308196789</v>
      </c>
      <c r="D11" s="46">
        <v>187138.826864426</v>
      </c>
      <c r="E11" s="37">
        <v>187138.826864426</v>
      </c>
      <c r="F11" s="37">
        <v>68853.775936686056</v>
      </c>
      <c r="G11" s="37">
        <v>68853.775936686056</v>
      </c>
    </row>
    <row r="12" spans="1:7" hidden="1" outlineLevel="1">
      <c r="A12" s="129">
        <v>1989</v>
      </c>
      <c r="B12" s="46">
        <v>276475.52717596584</v>
      </c>
      <c r="C12" s="46">
        <v>276475.52717596584</v>
      </c>
      <c r="D12" s="46">
        <v>216600.90022876172</v>
      </c>
      <c r="E12" s="37">
        <v>216600.90022876172</v>
      </c>
      <c r="F12" s="37">
        <v>78110.645520670441</v>
      </c>
      <c r="G12" s="37">
        <v>78110.645520670441</v>
      </c>
    </row>
    <row r="13" spans="1:7" collapsed="1">
      <c r="A13" s="129">
        <v>1990</v>
      </c>
      <c r="B13" s="46">
        <v>291705.86100284825</v>
      </c>
      <c r="C13" s="46">
        <v>291705.86100284825</v>
      </c>
      <c r="D13" s="46">
        <v>245539.27533971323</v>
      </c>
      <c r="E13" s="37">
        <v>245539.27533971323</v>
      </c>
      <c r="F13" s="37">
        <v>91079.487514409862</v>
      </c>
      <c r="G13" s="37">
        <v>91079.487514409862</v>
      </c>
    </row>
    <row r="14" spans="1:7" hidden="1" outlineLevel="1">
      <c r="A14" s="129">
        <v>1991</v>
      </c>
      <c r="B14" s="46">
        <v>266617.62469571969</v>
      </c>
      <c r="C14" s="46">
        <v>266617.62469571969</v>
      </c>
      <c r="D14" s="46">
        <v>250607.73863147068</v>
      </c>
      <c r="E14" s="37">
        <v>250607.73863147068</v>
      </c>
      <c r="F14" s="37">
        <v>96262.083044016399</v>
      </c>
      <c r="G14" s="37">
        <v>96262.083044016399</v>
      </c>
    </row>
    <row r="15" spans="1:7" hidden="1" outlineLevel="1">
      <c r="A15" s="129">
        <v>1992</v>
      </c>
      <c r="B15" s="46">
        <v>249693.19601185148</v>
      </c>
      <c r="C15" s="46">
        <v>249693.19601185148</v>
      </c>
      <c r="D15" s="46">
        <v>231691.50632899883</v>
      </c>
      <c r="E15" s="37">
        <v>231691.50632899883</v>
      </c>
      <c r="F15" s="37">
        <v>100604.31713659353</v>
      </c>
      <c r="G15" s="37">
        <v>100604.31713659353</v>
      </c>
    </row>
    <row r="16" spans="1:7" hidden="1" outlineLevel="1">
      <c r="A16" s="129">
        <v>1993</v>
      </c>
      <c r="B16" s="46">
        <v>256914.81187267735</v>
      </c>
      <c r="C16" s="46">
        <v>256914.81187267735</v>
      </c>
      <c r="D16" s="46">
        <v>173169.5629921793</v>
      </c>
      <c r="E16" s="37">
        <v>173169.5629921793</v>
      </c>
      <c r="F16" s="37">
        <v>100293.00251845777</v>
      </c>
      <c r="G16" s="37">
        <v>100293.00251845777</v>
      </c>
    </row>
    <row r="17" spans="1:7" hidden="1" outlineLevel="1">
      <c r="A17" s="129">
        <v>1994</v>
      </c>
      <c r="B17" s="46">
        <v>273139.35492519301</v>
      </c>
      <c r="C17" s="46">
        <v>273139.35492519301</v>
      </c>
      <c r="D17" s="46">
        <v>134648.41893150099</v>
      </c>
      <c r="E17" s="37">
        <v>134648.41893150099</v>
      </c>
      <c r="F17" s="37">
        <v>92083.147856277501</v>
      </c>
      <c r="G17" s="37">
        <v>92083.147856277501</v>
      </c>
    </row>
    <row r="18" spans="1:7" collapsed="1">
      <c r="A18" s="129">
        <v>1995</v>
      </c>
      <c r="B18" s="46">
        <v>261032.82362725239</v>
      </c>
      <c r="C18" s="46">
        <v>261032.82362725239</v>
      </c>
      <c r="D18" s="46">
        <v>122844.29150569983</v>
      </c>
      <c r="E18" s="37">
        <v>122844.29150569983</v>
      </c>
      <c r="F18" s="37">
        <v>94882.371677233547</v>
      </c>
      <c r="G18" s="37">
        <v>94882.371677233547</v>
      </c>
    </row>
    <row r="19" spans="1:7" hidden="1" outlineLevel="1">
      <c r="A19" s="129">
        <v>1996</v>
      </c>
      <c r="B19" s="46">
        <v>294042.70406954671</v>
      </c>
      <c r="C19" s="46">
        <v>294042.70406954671</v>
      </c>
      <c r="D19" s="46">
        <v>130122.78759462836</v>
      </c>
      <c r="E19" s="37">
        <v>130122.78759462836</v>
      </c>
      <c r="F19" s="37">
        <v>91429.568433127468</v>
      </c>
      <c r="G19" s="37">
        <v>91429.568433127468</v>
      </c>
    </row>
    <row r="20" spans="1:7" hidden="1" outlineLevel="1">
      <c r="A20" s="129">
        <v>1997</v>
      </c>
      <c r="B20" s="46">
        <v>255267.77226008195</v>
      </c>
      <c r="C20" s="46">
        <v>255267.77226008195</v>
      </c>
      <c r="D20" s="46">
        <v>131622.87104308646</v>
      </c>
      <c r="E20" s="37">
        <v>131622.87104308646</v>
      </c>
      <c r="F20" s="37">
        <v>86974.314633486239</v>
      </c>
      <c r="G20" s="37">
        <v>86974.314633486239</v>
      </c>
    </row>
    <row r="21" spans="1:7" hidden="1" outlineLevel="1">
      <c r="A21" s="129">
        <v>1998</v>
      </c>
      <c r="B21" s="46">
        <v>219038.39408450801</v>
      </c>
      <c r="C21" s="46">
        <v>219038.39408450801</v>
      </c>
      <c r="D21" s="46">
        <v>118461.50946285276</v>
      </c>
      <c r="E21" s="37">
        <v>118461.50946285276</v>
      </c>
      <c r="F21" s="37">
        <v>84051.186621772213</v>
      </c>
      <c r="G21" s="37">
        <v>84051.186621772213</v>
      </c>
    </row>
    <row r="22" spans="1:7" hidden="1" outlineLevel="1">
      <c r="A22" s="129">
        <v>1999</v>
      </c>
      <c r="B22" s="46">
        <v>224087.45780971562</v>
      </c>
      <c r="C22" s="46">
        <v>224087.45780971562</v>
      </c>
      <c r="D22" s="46">
        <v>106171.27402252714</v>
      </c>
      <c r="E22" s="37">
        <v>106171.27402252714</v>
      </c>
      <c r="F22" s="37">
        <v>76108.415206839811</v>
      </c>
      <c r="G22" s="37">
        <v>76108.415206839811</v>
      </c>
    </row>
    <row r="23" spans="1:7" collapsed="1">
      <c r="A23" s="129">
        <v>2000</v>
      </c>
      <c r="B23" s="46">
        <v>222438.65014101149</v>
      </c>
      <c r="C23" s="46">
        <v>222438.65014101149</v>
      </c>
      <c r="D23" s="46">
        <v>105896.07585302283</v>
      </c>
      <c r="E23" s="37">
        <v>105896.07585302283</v>
      </c>
      <c r="F23" s="37">
        <v>73298.295024147359</v>
      </c>
      <c r="G23" s="37">
        <v>73298.295024147359</v>
      </c>
    </row>
    <row r="24" spans="1:7" hidden="1" outlineLevel="1">
      <c r="A24" s="129">
        <v>2001</v>
      </c>
      <c r="B24" s="46">
        <v>211600.13096553594</v>
      </c>
      <c r="C24" s="46">
        <v>211600.13096553594</v>
      </c>
      <c r="D24" s="46">
        <v>98030.729515460524</v>
      </c>
      <c r="E24" s="37">
        <v>98030.729515460524</v>
      </c>
      <c r="F24" s="37">
        <v>71034.623706564613</v>
      </c>
      <c r="G24" s="37">
        <v>71034.623706564613</v>
      </c>
    </row>
    <row r="25" spans="1:7" hidden="1" outlineLevel="1">
      <c r="A25" s="129">
        <v>2002</v>
      </c>
      <c r="B25" s="46">
        <v>202702.63081743242</v>
      </c>
      <c r="C25" s="46">
        <v>202702.63081743242</v>
      </c>
      <c r="D25" s="46">
        <v>90025.963727167808</v>
      </c>
      <c r="E25" s="37">
        <v>90025.963727167808</v>
      </c>
      <c r="F25" s="37">
        <v>62842.394694031776</v>
      </c>
      <c r="G25" s="37">
        <v>62842.394694031776</v>
      </c>
    </row>
    <row r="26" spans="1:7" hidden="1" outlineLevel="1">
      <c r="A26" s="129">
        <v>2003</v>
      </c>
      <c r="B26" s="46">
        <v>201541.57704602586</v>
      </c>
      <c r="C26" s="46">
        <v>201541.57704602586</v>
      </c>
      <c r="D26" s="46">
        <v>86942.955019569912</v>
      </c>
      <c r="E26" s="37">
        <v>86942.955019569912</v>
      </c>
      <c r="F26" s="37">
        <v>57583.46796415031</v>
      </c>
      <c r="G26" s="37">
        <v>57583.46796415031</v>
      </c>
    </row>
    <row r="27" spans="1:7" hidden="1" outlineLevel="1">
      <c r="A27" s="129">
        <v>2004</v>
      </c>
      <c r="B27" s="46">
        <v>202900.01836176991</v>
      </c>
      <c r="C27" s="46">
        <v>202900.01836176991</v>
      </c>
      <c r="D27" s="46">
        <v>97161.654479727003</v>
      </c>
      <c r="E27" s="37">
        <v>97161.654479727003</v>
      </c>
      <c r="F27" s="37">
        <v>53719.721920954609</v>
      </c>
      <c r="G27" s="37">
        <v>53719.721920954609</v>
      </c>
    </row>
    <row r="28" spans="1:7" collapsed="1">
      <c r="A28" s="129">
        <v>2005</v>
      </c>
      <c r="B28" s="46">
        <v>201316.05242418451</v>
      </c>
      <c r="C28" s="46">
        <v>201316.05242418451</v>
      </c>
      <c r="D28" s="46">
        <v>103304.50755456537</v>
      </c>
      <c r="E28" s="37">
        <v>103304.50755456537</v>
      </c>
      <c r="F28" s="37">
        <v>54181.746940259531</v>
      </c>
      <c r="G28" s="37">
        <v>54181.746940259531</v>
      </c>
    </row>
    <row r="29" spans="1:7" hidden="1" outlineLevel="1">
      <c r="A29" s="129">
        <v>2006</v>
      </c>
      <c r="B29" s="46">
        <v>203157.5818433786</v>
      </c>
      <c r="C29" s="46">
        <v>203157.5818433786</v>
      </c>
      <c r="D29" s="46">
        <v>106796.92237607279</v>
      </c>
      <c r="E29" s="37">
        <v>106796.92237607279</v>
      </c>
      <c r="F29" s="37">
        <v>54666.049505975912</v>
      </c>
      <c r="G29" s="37">
        <v>54666.049505975912</v>
      </c>
    </row>
    <row r="30" spans="1:7" hidden="1" outlineLevel="1">
      <c r="A30" s="129">
        <v>2007</v>
      </c>
      <c r="B30" s="46">
        <v>182368.08658647974</v>
      </c>
      <c r="C30" s="46">
        <v>182368.08658647974</v>
      </c>
      <c r="D30" s="46">
        <v>100901.01828428419</v>
      </c>
      <c r="E30" s="37">
        <v>100901.01828428419</v>
      </c>
      <c r="F30" s="37">
        <v>53797.225260160587</v>
      </c>
      <c r="G30" s="37">
        <v>53797.225260160587</v>
      </c>
    </row>
    <row r="31" spans="1:7" hidden="1" outlineLevel="1">
      <c r="A31" s="129">
        <v>2008</v>
      </c>
      <c r="B31" s="46">
        <v>170607.51258486437</v>
      </c>
      <c r="C31" s="46">
        <v>170607.51258486437</v>
      </c>
      <c r="D31" s="46">
        <v>100729.71987110993</v>
      </c>
      <c r="E31" s="37">
        <v>100729.71987110993</v>
      </c>
      <c r="F31" s="37">
        <v>52495.54100616405</v>
      </c>
      <c r="G31" s="37">
        <v>52495.54100616405</v>
      </c>
    </row>
    <row r="32" spans="1:7" hidden="1" outlineLevel="1">
      <c r="A32" s="129">
        <v>2009</v>
      </c>
      <c r="B32" s="46">
        <v>141081.20068738353</v>
      </c>
      <c r="C32" s="46">
        <v>141081.20068738353</v>
      </c>
      <c r="D32" s="46">
        <v>87946.994892914488</v>
      </c>
      <c r="E32" s="37">
        <v>87946.994892914488</v>
      </c>
      <c r="F32" s="37">
        <v>49375.167110910472</v>
      </c>
      <c r="G32" s="37">
        <v>49375.167110910472</v>
      </c>
    </row>
    <row r="33" spans="1:7" collapsed="1">
      <c r="A33" s="129">
        <v>2010</v>
      </c>
      <c r="B33" s="46">
        <v>136204.04053941541</v>
      </c>
      <c r="C33" s="46">
        <v>136204.04053941541</v>
      </c>
      <c r="D33" s="46">
        <v>73649.344303493388</v>
      </c>
      <c r="E33" s="37">
        <v>73649.344303493388</v>
      </c>
      <c r="F33" s="37">
        <v>42897.044274349406</v>
      </c>
      <c r="G33" s="37">
        <v>42897.044274349406</v>
      </c>
    </row>
    <row r="34" spans="1:7" hidden="1" outlineLevel="1">
      <c r="A34" s="129">
        <v>2011</v>
      </c>
      <c r="B34" s="46">
        <v>145492.26736758795</v>
      </c>
      <c r="C34" s="46">
        <v>145492.26736758795</v>
      </c>
      <c r="D34" s="46">
        <v>77777.500353590454</v>
      </c>
      <c r="E34" s="37">
        <v>77777.500353590454</v>
      </c>
      <c r="F34" s="37">
        <v>45876.393961105088</v>
      </c>
      <c r="G34" s="37">
        <v>45876.393961105088</v>
      </c>
    </row>
    <row r="35" spans="1:7" hidden="1" outlineLevel="1">
      <c r="A35" s="129">
        <v>2012</v>
      </c>
      <c r="B35" s="46">
        <v>153098.23786510248</v>
      </c>
      <c r="C35" s="46">
        <v>153098.23786510248</v>
      </c>
      <c r="D35" s="46">
        <v>78691.499109982498</v>
      </c>
      <c r="E35" s="37">
        <v>78691.499109982498</v>
      </c>
      <c r="F35" s="37">
        <v>44841.031680183332</v>
      </c>
      <c r="G35" s="37">
        <v>44841.031680183332</v>
      </c>
    </row>
    <row r="36" spans="1:7" hidden="1" outlineLevel="1">
      <c r="A36" s="129">
        <v>2013</v>
      </c>
      <c r="B36" s="46">
        <v>166942.5286374909</v>
      </c>
      <c r="C36" s="46">
        <v>166942.5286374909</v>
      </c>
      <c r="D36" s="46">
        <v>88786.384070218832</v>
      </c>
      <c r="E36" s="37">
        <v>88786.384070218832</v>
      </c>
      <c r="F36" s="37">
        <v>46865.217622593802</v>
      </c>
      <c r="G36" s="37">
        <v>46865.217622593802</v>
      </c>
    </row>
    <row r="37" spans="1:7" hidden="1" outlineLevel="1">
      <c r="A37" s="129">
        <v>2014</v>
      </c>
      <c r="B37" s="46">
        <v>155428.16920263518</v>
      </c>
      <c r="C37" s="46">
        <v>155428.16920263518</v>
      </c>
      <c r="D37" s="46">
        <v>92341.114644232031</v>
      </c>
      <c r="E37" s="37">
        <v>92341.114644232031</v>
      </c>
      <c r="F37" s="37">
        <v>47380.301256210405</v>
      </c>
      <c r="G37" s="37">
        <v>47380.301256210405</v>
      </c>
    </row>
    <row r="38" spans="1:7" collapsed="1">
      <c r="A38" s="129">
        <v>2015</v>
      </c>
      <c r="B38" s="46">
        <v>172758.35708535835</v>
      </c>
      <c r="C38" s="46">
        <v>172758.35708535835</v>
      </c>
      <c r="D38" s="46">
        <v>123036.59479117366</v>
      </c>
      <c r="E38" s="37">
        <v>123036.59479117366</v>
      </c>
      <c r="F38" s="37">
        <v>49537.703405259403</v>
      </c>
      <c r="G38" s="37">
        <v>49537.703405259403</v>
      </c>
    </row>
    <row r="39" spans="1:7" hidden="1" outlineLevel="1">
      <c r="A39" s="129">
        <v>2016</v>
      </c>
      <c r="B39" s="46">
        <v>184859.32104184831</v>
      </c>
      <c r="C39" s="46">
        <v>184859.32104184831</v>
      </c>
      <c r="D39" s="46">
        <v>138150.67098517879</v>
      </c>
      <c r="E39" s="37">
        <v>138150.67098517879</v>
      </c>
      <c r="F39" s="37">
        <v>50138.464741578318</v>
      </c>
      <c r="G39" s="37">
        <v>50138.464741578318</v>
      </c>
    </row>
    <row r="40" spans="1:7" hidden="1" outlineLevel="1">
      <c r="A40" s="129">
        <v>2017</v>
      </c>
      <c r="B40" s="46">
        <v>187208.12066984747</v>
      </c>
      <c r="C40" s="46">
        <v>187208.12066984747</v>
      </c>
      <c r="D40" s="46">
        <v>150587.12336080143</v>
      </c>
      <c r="E40" s="37">
        <v>150587.12336080143</v>
      </c>
      <c r="F40" s="37">
        <v>48275.565276246984</v>
      </c>
      <c r="G40" s="37">
        <v>48275.565276246984</v>
      </c>
    </row>
    <row r="41" spans="1:7" hidden="1" outlineLevel="1">
      <c r="A41" s="129">
        <v>2018</v>
      </c>
      <c r="B41" s="46">
        <v>182967.56891843522</v>
      </c>
      <c r="C41" s="46">
        <v>182967.56891843522</v>
      </c>
      <c r="D41" s="46">
        <v>149683.82619579177</v>
      </c>
      <c r="E41" s="37">
        <v>149683.82619579177</v>
      </c>
      <c r="F41" s="37">
        <v>50306.421033825078</v>
      </c>
      <c r="G41" s="37">
        <v>50306.421033825078</v>
      </c>
    </row>
    <row r="42" spans="1:7" hidden="1" outlineLevel="1">
      <c r="A42" s="129">
        <v>2019</v>
      </c>
      <c r="B42" s="46">
        <v>174440.6345081343</v>
      </c>
      <c r="C42" s="46">
        <v>174440.6345081343</v>
      </c>
      <c r="D42" s="46">
        <v>150126.10182525002</v>
      </c>
      <c r="E42" s="37">
        <v>150126.10182525002</v>
      </c>
      <c r="F42" s="37">
        <v>50764.635452699134</v>
      </c>
      <c r="G42" s="37">
        <v>50764.635452699134</v>
      </c>
    </row>
    <row r="43" spans="1:7" collapsed="1">
      <c r="A43" s="129">
        <v>2020</v>
      </c>
      <c r="B43" s="46">
        <v>159976.95678144213</v>
      </c>
      <c r="C43" s="46">
        <v>159976.95678144213</v>
      </c>
      <c r="D43" s="46">
        <v>136901.25910171188</v>
      </c>
      <c r="E43" s="37">
        <v>136901.25910171188</v>
      </c>
      <c r="F43" s="37">
        <v>50646.256352396464</v>
      </c>
      <c r="G43" s="37">
        <v>50646.256352396464</v>
      </c>
    </row>
    <row r="44" spans="1:7" hidden="1" outlineLevel="1">
      <c r="A44" s="129">
        <v>2021</v>
      </c>
      <c r="B44" s="348">
        <v>166058.90379042469</v>
      </c>
      <c r="C44" s="46">
        <v>166058.90379042469</v>
      </c>
      <c r="D44" s="46">
        <v>130267.8463451985</v>
      </c>
      <c r="E44" s="37">
        <v>130267.8463451985</v>
      </c>
      <c r="F44" s="37">
        <v>51177.906617333203</v>
      </c>
      <c r="G44" s="37">
        <v>51177.906617333203</v>
      </c>
    </row>
    <row r="45" spans="1:7" hidden="1" outlineLevel="1">
      <c r="A45" s="129">
        <v>2022</v>
      </c>
      <c r="B45" s="348">
        <v>165848.90342004242</v>
      </c>
      <c r="C45" s="46">
        <v>165848.90342004242</v>
      </c>
      <c r="D45" s="46">
        <v>136840.61994965651</v>
      </c>
      <c r="E45" s="37">
        <v>136840.61994965651</v>
      </c>
      <c r="F45" s="37">
        <v>51048.5756557247</v>
      </c>
      <c r="G45" s="37">
        <v>51048.5756557247</v>
      </c>
    </row>
    <row r="46" spans="1:7" hidden="1" outlineLevel="1">
      <c r="A46" s="129">
        <v>2023</v>
      </c>
      <c r="B46" s="46">
        <v>215431.06950538579</v>
      </c>
      <c r="C46" s="46">
        <v>200094.70535248856</v>
      </c>
      <c r="D46" s="37">
        <v>137726.35111619081</v>
      </c>
      <c r="E46" s="37">
        <v>130998.55079638275</v>
      </c>
      <c r="F46" s="37">
        <v>51966.225778701839</v>
      </c>
      <c r="G46" s="37">
        <v>56216.440290363178</v>
      </c>
    </row>
    <row r="47" spans="1:7" hidden="1" outlineLevel="1">
      <c r="A47" s="129">
        <v>2024</v>
      </c>
      <c r="B47" s="46">
        <v>258165.70986596783</v>
      </c>
      <c r="C47" s="46">
        <v>220255.44239651665</v>
      </c>
      <c r="D47" s="37">
        <v>158459.71479443478</v>
      </c>
      <c r="E47" s="37">
        <v>141616.53074879284</v>
      </c>
      <c r="F47" s="37">
        <v>53172.641423264322</v>
      </c>
      <c r="G47" s="37">
        <v>55749.289163232694</v>
      </c>
    </row>
    <row r="48" spans="1:7" collapsed="1">
      <c r="A48" s="129">
        <v>2025</v>
      </c>
      <c r="B48" s="46">
        <v>293812.44415170647</v>
      </c>
      <c r="C48" s="46">
        <v>222623.8063160704</v>
      </c>
      <c r="D48" s="37">
        <v>172731.56039921398</v>
      </c>
      <c r="E48" s="37">
        <v>140017.8518627492</v>
      </c>
      <c r="F48" s="37">
        <v>55375.242657398405</v>
      </c>
      <c r="G48" s="37">
        <v>54352.122984806498</v>
      </c>
    </row>
    <row r="49" spans="1:7" hidden="1" outlineLevel="1">
      <c r="A49" s="129">
        <v>2026</v>
      </c>
      <c r="B49" s="46">
        <v>325181.54135956004</v>
      </c>
      <c r="C49" s="46">
        <v>237048.63726092881</v>
      </c>
      <c r="D49" s="37">
        <v>191125.4835096545</v>
      </c>
      <c r="E49" s="37">
        <v>147567.46888273803</v>
      </c>
      <c r="F49" s="37">
        <v>57471.817000055024</v>
      </c>
      <c r="G49" s="37">
        <v>53995.373667065047</v>
      </c>
    </row>
    <row r="50" spans="1:7" hidden="1" outlineLevel="1">
      <c r="A50" s="129">
        <v>2027</v>
      </c>
      <c r="B50" s="46">
        <v>360155.56987388246</v>
      </c>
      <c r="C50" s="46">
        <v>258680.19257197977</v>
      </c>
      <c r="D50" s="37">
        <v>219427.93195282377</v>
      </c>
      <c r="E50" s="37">
        <v>165441.60243564931</v>
      </c>
      <c r="F50" s="37">
        <v>60017.997764293519</v>
      </c>
      <c r="G50" s="37">
        <v>53032.372819898206</v>
      </c>
    </row>
    <row r="51" spans="1:7" hidden="1" outlineLevel="1">
      <c r="A51" s="129">
        <v>2028</v>
      </c>
      <c r="B51" s="46">
        <v>378278.18735235941</v>
      </c>
      <c r="C51" s="46">
        <v>263324.03353969939</v>
      </c>
      <c r="D51" s="37">
        <v>240070.62074366433</v>
      </c>
      <c r="E51" s="37">
        <v>173217.39874812329</v>
      </c>
      <c r="F51" s="37">
        <v>61595.869938832147</v>
      </c>
      <c r="G51" s="37">
        <v>52380.764180636252</v>
      </c>
    </row>
    <row r="52" spans="1:7" hidden="1" outlineLevel="1">
      <c r="A52" s="129">
        <v>2029</v>
      </c>
      <c r="B52" s="46">
        <v>387588.77805910853</v>
      </c>
      <c r="C52" s="46">
        <v>267988.99337357486</v>
      </c>
      <c r="D52" s="37">
        <v>259909.60144421179</v>
      </c>
      <c r="E52" s="37">
        <v>183240.21995169949</v>
      </c>
      <c r="F52" s="37">
        <v>63725.73205602268</v>
      </c>
      <c r="G52" s="37">
        <v>51828.848294885858</v>
      </c>
    </row>
    <row r="53" spans="1:7" collapsed="1">
      <c r="A53" s="129">
        <v>2030</v>
      </c>
      <c r="B53" s="46">
        <v>392277.2476791534</v>
      </c>
      <c r="C53" s="46">
        <v>261380.66223438951</v>
      </c>
      <c r="D53" s="37">
        <v>262363.88345130224</v>
      </c>
      <c r="E53" s="37">
        <v>176464.21529715729</v>
      </c>
      <c r="F53" s="37">
        <v>64654.917844827047</v>
      </c>
      <c r="G53" s="37">
        <v>50980.786346496978</v>
      </c>
    </row>
    <row r="54" spans="1:7" hidden="1" outlineLevel="1">
      <c r="A54" s="129">
        <v>2031</v>
      </c>
      <c r="B54" s="46">
        <v>378378.23593906488</v>
      </c>
      <c r="C54" s="46">
        <v>237133.65402317097</v>
      </c>
      <c r="D54" s="37">
        <v>257378.08968290308</v>
      </c>
      <c r="E54" s="37">
        <v>160701.48982219645</v>
      </c>
      <c r="F54" s="37">
        <v>66318.624848740001</v>
      </c>
      <c r="G54" s="37">
        <v>50531.157828364485</v>
      </c>
    </row>
    <row r="55" spans="1:7" hidden="1" outlineLevel="1">
      <c r="A55" s="129">
        <v>2032</v>
      </c>
      <c r="B55" s="46">
        <v>372395.63620986842</v>
      </c>
      <c r="C55" s="46">
        <v>239659.05012553907</v>
      </c>
      <c r="D55" s="37">
        <v>264959.47146071959</v>
      </c>
      <c r="E55" s="37">
        <v>166433.90277407825</v>
      </c>
      <c r="F55" s="37">
        <v>68228.54403288821</v>
      </c>
      <c r="G55" s="37">
        <v>50795.48850825541</v>
      </c>
    </row>
    <row r="56" spans="1:7" hidden="1" outlineLevel="1">
      <c r="A56" s="129">
        <v>2033</v>
      </c>
      <c r="B56" s="46">
        <v>392252.70875908004</v>
      </c>
      <c r="C56" s="46">
        <v>253439.77146080768</v>
      </c>
      <c r="D56" s="37">
        <v>261074.79837616257</v>
      </c>
      <c r="E56" s="37">
        <v>165988.48952593419</v>
      </c>
      <c r="F56" s="37">
        <v>69599.934546438919</v>
      </c>
      <c r="G56" s="37">
        <v>50369.125611382537</v>
      </c>
    </row>
    <row r="57" spans="1:7" hidden="1" outlineLevel="1">
      <c r="A57" s="129">
        <v>2034</v>
      </c>
      <c r="B57" s="46">
        <v>411967.51434738602</v>
      </c>
      <c r="C57" s="46">
        <v>261493.0462017305</v>
      </c>
      <c r="D57" s="37">
        <v>262284.57724530797</v>
      </c>
      <c r="E57" s="37">
        <v>166688.20753172893</v>
      </c>
      <c r="F57" s="37">
        <v>71143.957162430859</v>
      </c>
      <c r="G57" s="37">
        <v>50316.004480300937</v>
      </c>
    </row>
    <row r="58" spans="1:7" collapsed="1">
      <c r="A58" s="129">
        <v>2035</v>
      </c>
      <c r="B58" s="46">
        <v>426784.12263210403</v>
      </c>
      <c r="C58" s="46">
        <v>265658.52133534855</v>
      </c>
      <c r="D58" s="37">
        <v>266297.48280888767</v>
      </c>
      <c r="E58" s="37">
        <v>167260.70982897223</v>
      </c>
      <c r="F58" s="37">
        <v>72387.196274479211</v>
      </c>
      <c r="G58" s="37">
        <v>49902.703844240692</v>
      </c>
    </row>
    <row r="59" spans="1:7" hidden="1" outlineLevel="1">
      <c r="A59" s="129">
        <v>2036</v>
      </c>
      <c r="B59" s="46">
        <v>438960.26549437369</v>
      </c>
      <c r="C59" s="46">
        <v>267701.96508240886</v>
      </c>
      <c r="D59" s="37">
        <v>272054.14421510586</v>
      </c>
      <c r="E59" s="37">
        <v>168167.3091307696</v>
      </c>
      <c r="F59" s="37">
        <v>73788.990420525064</v>
      </c>
      <c r="G59" s="37">
        <v>49737.820923166546</v>
      </c>
    </row>
    <row r="60" spans="1:7" hidden="1" outlineLevel="1">
      <c r="A60" s="129">
        <v>2037</v>
      </c>
      <c r="B60" s="46">
        <v>450166.34845869837</v>
      </c>
      <c r="C60" s="46">
        <v>268922.60416430171</v>
      </c>
      <c r="D60" s="37">
        <v>278569.64717475371</v>
      </c>
      <c r="E60" s="37">
        <v>169154.98728336577</v>
      </c>
      <c r="F60" s="37">
        <v>75080.221576488882</v>
      </c>
      <c r="G60" s="37">
        <v>49425.072695302537</v>
      </c>
    </row>
    <row r="61" spans="1:7" hidden="1" outlineLevel="1">
      <c r="A61" s="129">
        <v>2038</v>
      </c>
      <c r="B61" s="46">
        <v>460713.66117702599</v>
      </c>
      <c r="C61" s="46">
        <v>269541.81020651624</v>
      </c>
      <c r="D61" s="37">
        <v>285344.60838175006</v>
      </c>
      <c r="E61" s="37">
        <v>170058.39852213967</v>
      </c>
      <c r="F61" s="37">
        <v>76514.383589723104</v>
      </c>
      <c r="G61" s="37">
        <v>49282.098628465516</v>
      </c>
    </row>
    <row r="62" spans="1:7" hidden="1" outlineLevel="1">
      <c r="A62" s="129">
        <v>2039</v>
      </c>
      <c r="B62" s="46">
        <v>470722.72209554136</v>
      </c>
      <c r="C62" s="46">
        <v>269654.43133413035</v>
      </c>
      <c r="D62" s="37">
        <v>292287.33196542406</v>
      </c>
      <c r="E62" s="37">
        <v>170904.95479184636</v>
      </c>
      <c r="F62" s="37">
        <v>77965.194604963777</v>
      </c>
      <c r="G62" s="37">
        <v>49113.765305304114</v>
      </c>
    </row>
    <row r="63" spans="1:7" hidden="1" outlineLevel="1">
      <c r="A63" s="129">
        <v>2040</v>
      </c>
      <c r="B63" s="46">
        <v>480459.01090146485</v>
      </c>
      <c r="C63" s="46">
        <v>269470.62030405941</v>
      </c>
      <c r="D63" s="37">
        <v>299412.51100271562</v>
      </c>
      <c r="E63" s="37">
        <v>171745.15718566603</v>
      </c>
      <c r="F63" s="37">
        <v>79582.281602287781</v>
      </c>
      <c r="G63" s="37">
        <v>49091.068709401792</v>
      </c>
    </row>
    <row r="64" spans="1:7" collapsed="1"/>
  </sheetData>
  <phoneticPr fontId="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3C4FF-B06A-413A-B654-C8D00C57C624}">
  <dimension ref="A1:I10"/>
  <sheetViews>
    <sheetView showGridLines="0" workbookViewId="0">
      <selection activeCell="V37" sqref="V37"/>
    </sheetView>
  </sheetViews>
  <sheetFormatPr defaultColWidth="8.84375" defaultRowHeight="18.45"/>
  <cols>
    <col min="1" max="1" width="12.23046875" style="24" bestFit="1" customWidth="1"/>
    <col min="2" max="2" width="21.3046875" style="24" bestFit="1" customWidth="1"/>
    <col min="3" max="16384" width="8.84375" style="24"/>
  </cols>
  <sheetData>
    <row r="1" spans="1:9" ht="25.2" customHeight="1">
      <c r="I1" s="41" t="s">
        <v>608</v>
      </c>
    </row>
    <row r="2" spans="1:9" ht="25.2" customHeight="1">
      <c r="C2" s="432" t="s">
        <v>609</v>
      </c>
      <c r="D2" s="432"/>
      <c r="E2" s="432"/>
      <c r="F2" s="458"/>
      <c r="G2" s="457" t="s">
        <v>610</v>
      </c>
      <c r="H2" s="432"/>
      <c r="I2" s="432"/>
    </row>
    <row r="3" spans="1:9" ht="25.2" customHeight="1">
      <c r="A3" s="459"/>
      <c r="B3" s="459"/>
      <c r="C3" s="359">
        <v>1990</v>
      </c>
      <c r="D3" s="359">
        <v>2000</v>
      </c>
      <c r="E3" s="359">
        <v>2010</v>
      </c>
      <c r="F3" s="359">
        <v>2020</v>
      </c>
      <c r="G3" s="360">
        <v>2025</v>
      </c>
      <c r="H3" s="359">
        <v>2030</v>
      </c>
      <c r="I3" s="359">
        <v>2035</v>
      </c>
    </row>
    <row r="4" spans="1:9" ht="25.2" customHeight="1">
      <c r="A4" s="416" t="s">
        <v>604</v>
      </c>
      <c r="B4" s="137" t="s">
        <v>127</v>
      </c>
      <c r="C4" s="361">
        <v>291705.86100284825</v>
      </c>
      <c r="D4" s="361">
        <v>222438.65014101149</v>
      </c>
      <c r="E4" s="361">
        <v>136204.04053941541</v>
      </c>
      <c r="F4" s="361">
        <v>159976.95678144213</v>
      </c>
      <c r="G4" s="362">
        <v>293812.44415170647</v>
      </c>
      <c r="H4" s="361">
        <v>392277.2476791534</v>
      </c>
      <c r="I4" s="361">
        <v>426784.12263210403</v>
      </c>
    </row>
    <row r="5" spans="1:9" ht="25.2" customHeight="1">
      <c r="A5" s="416"/>
      <c r="B5" s="138" t="s">
        <v>150</v>
      </c>
      <c r="C5" s="363">
        <v>291705.86100284825</v>
      </c>
      <c r="D5" s="363">
        <v>222438.65014101149</v>
      </c>
      <c r="E5" s="363">
        <v>136204.04053941541</v>
      </c>
      <c r="F5" s="363">
        <v>159976.95678144213</v>
      </c>
      <c r="G5" s="364">
        <v>222623.8063160704</v>
      </c>
      <c r="H5" s="363">
        <v>261380.66223438951</v>
      </c>
      <c r="I5" s="363">
        <v>265658.52133534855</v>
      </c>
    </row>
    <row r="6" spans="1:9" ht="25.2" customHeight="1">
      <c r="A6" s="416" t="s">
        <v>605</v>
      </c>
      <c r="B6" s="137" t="s">
        <v>127</v>
      </c>
      <c r="C6" s="361">
        <v>245539.27533971323</v>
      </c>
      <c r="D6" s="361">
        <v>105896.07585302283</v>
      </c>
      <c r="E6" s="361">
        <v>73649.344303493388</v>
      </c>
      <c r="F6" s="361">
        <v>136901.25910171188</v>
      </c>
      <c r="G6" s="362">
        <v>172731.56039921398</v>
      </c>
      <c r="H6" s="361">
        <v>262363.88345130224</v>
      </c>
      <c r="I6" s="361">
        <v>266297.48280888767</v>
      </c>
    </row>
    <row r="7" spans="1:9" ht="25.2" customHeight="1">
      <c r="A7" s="416"/>
      <c r="B7" s="138" t="s">
        <v>607</v>
      </c>
      <c r="C7" s="363">
        <v>245539.27533971323</v>
      </c>
      <c r="D7" s="363">
        <v>105896.07585302283</v>
      </c>
      <c r="E7" s="363">
        <v>73649.344303493388</v>
      </c>
      <c r="F7" s="363">
        <v>136901.25910171188</v>
      </c>
      <c r="G7" s="364">
        <v>140017.8518627492</v>
      </c>
      <c r="H7" s="363">
        <v>176464.21529715729</v>
      </c>
      <c r="I7" s="363">
        <v>167260.70982897223</v>
      </c>
    </row>
    <row r="8" spans="1:9" ht="25.2" customHeight="1">
      <c r="A8" s="416" t="s">
        <v>606</v>
      </c>
      <c r="B8" s="137" t="s">
        <v>127</v>
      </c>
      <c r="C8" s="361">
        <v>91079.487514409862</v>
      </c>
      <c r="D8" s="361">
        <v>73298.295024147359</v>
      </c>
      <c r="E8" s="361">
        <v>42897.044274349406</v>
      </c>
      <c r="F8" s="361">
        <v>50646.256352396464</v>
      </c>
      <c r="G8" s="362">
        <v>55375.242657398405</v>
      </c>
      <c r="H8" s="361">
        <v>64654.917844827047</v>
      </c>
      <c r="I8" s="361">
        <v>72387.196274479211</v>
      </c>
    </row>
    <row r="9" spans="1:9" ht="25.2" customHeight="1">
      <c r="A9" s="416"/>
      <c r="B9" s="138" t="s">
        <v>607</v>
      </c>
      <c r="C9" s="363">
        <v>91079.487514409862</v>
      </c>
      <c r="D9" s="363">
        <v>73298.295024147359</v>
      </c>
      <c r="E9" s="363">
        <v>42897.044274349406</v>
      </c>
      <c r="F9" s="363">
        <v>50646.256352396464</v>
      </c>
      <c r="G9" s="364">
        <v>54352.122984806498</v>
      </c>
      <c r="H9" s="363">
        <v>50980.786346496978</v>
      </c>
      <c r="I9" s="363">
        <v>49902.703844240692</v>
      </c>
    </row>
    <row r="10" spans="1:9">
      <c r="I10" s="365" t="s">
        <v>611</v>
      </c>
    </row>
  </sheetData>
  <mergeCells count="6">
    <mergeCell ref="A4:A5"/>
    <mergeCell ref="A6:A7"/>
    <mergeCell ref="A8:A9"/>
    <mergeCell ref="G2:I2"/>
    <mergeCell ref="C2:F2"/>
    <mergeCell ref="A3:B3"/>
  </mergeCells>
  <phoneticPr fontId="1"/>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78CC1-ECBE-4B6D-B452-7F19739D5438}">
  <dimension ref="A1:I76"/>
  <sheetViews>
    <sheetView topLeftCell="A37" workbookViewId="0">
      <selection activeCell="V37" sqref="V37"/>
    </sheetView>
  </sheetViews>
  <sheetFormatPr defaultColWidth="8.84375" defaultRowHeight="18.45"/>
  <cols>
    <col min="1" max="1" width="8.84375" style="87"/>
    <col min="2" max="3" width="19" style="37" bestFit="1" customWidth="1"/>
    <col min="4" max="4" width="8.84375" style="37"/>
    <col min="5" max="16384" width="8.84375" style="24"/>
  </cols>
  <sheetData>
    <row r="1" spans="1:4">
      <c r="A1" s="87" t="s">
        <v>7</v>
      </c>
      <c r="B1" s="37" t="s">
        <v>127</v>
      </c>
      <c r="C1" s="37" t="s">
        <v>150</v>
      </c>
      <c r="D1" s="37" t="s">
        <v>413</v>
      </c>
    </row>
    <row r="2" spans="1:4">
      <c r="A2" s="129">
        <v>1980</v>
      </c>
      <c r="B2" s="46">
        <f>'需要側予測（成長実現ケース）'!FP6</f>
        <v>209115.89550873864</v>
      </c>
      <c r="C2" s="46">
        <f>B2</f>
        <v>209115.89550873864</v>
      </c>
      <c r="D2" s="46">
        <f>C2</f>
        <v>209115.89550873864</v>
      </c>
    </row>
    <row r="3" spans="1:4">
      <c r="A3" s="129">
        <v>1981</v>
      </c>
      <c r="B3" s="46">
        <f>'需要側予測（成長実現ケース）'!FP7</f>
        <v>192233.3971502608</v>
      </c>
      <c r="C3" s="46">
        <f t="shared" ref="C3:D3" si="0">B3</f>
        <v>192233.3971502608</v>
      </c>
      <c r="D3" s="46">
        <f t="shared" si="0"/>
        <v>192233.3971502608</v>
      </c>
    </row>
    <row r="4" spans="1:4">
      <c r="A4" s="129">
        <v>1982</v>
      </c>
      <c r="B4" s="46">
        <f>'需要側予測（成長実現ケース）'!FP8</f>
        <v>198773.39734513013</v>
      </c>
      <c r="C4" s="46">
        <f t="shared" ref="C4:D4" si="1">B4</f>
        <v>198773.39734513013</v>
      </c>
      <c r="D4" s="46">
        <f t="shared" si="1"/>
        <v>198773.39734513013</v>
      </c>
    </row>
    <row r="5" spans="1:4">
      <c r="A5" s="129">
        <v>1983</v>
      </c>
      <c r="B5" s="46">
        <f>'需要側予測（成長実現ケース）'!FP9</f>
        <v>186580.87495231561</v>
      </c>
      <c r="C5" s="46">
        <f t="shared" ref="C5:D5" si="2">B5</f>
        <v>186580.87495231561</v>
      </c>
      <c r="D5" s="46">
        <f t="shared" si="2"/>
        <v>186580.87495231561</v>
      </c>
    </row>
    <row r="6" spans="1:4">
      <c r="A6" s="129">
        <v>1984</v>
      </c>
      <c r="B6" s="46">
        <f>'需要側予測（成長実現ケース）'!FP10</f>
        <v>183316.46164974963</v>
      </c>
      <c r="C6" s="46">
        <f t="shared" ref="C6:D6" si="3">B6</f>
        <v>183316.46164974963</v>
      </c>
      <c r="D6" s="46">
        <f t="shared" si="3"/>
        <v>183316.46164974963</v>
      </c>
    </row>
    <row r="7" spans="1:4">
      <c r="A7" s="129">
        <v>1985</v>
      </c>
      <c r="B7" s="46">
        <f>'需要側予測（成長実現ケース）'!FP11</f>
        <v>188008.8058138889</v>
      </c>
      <c r="C7" s="46">
        <f t="shared" ref="C7:D7" si="4">B7</f>
        <v>188008.8058138889</v>
      </c>
      <c r="D7" s="46">
        <f t="shared" si="4"/>
        <v>188008.8058138889</v>
      </c>
    </row>
    <row r="8" spans="1:4">
      <c r="A8" s="129">
        <v>1986</v>
      </c>
      <c r="B8" s="46">
        <f>'需要側予測（成長実現ケース）'!FP12</f>
        <v>203669.28314025773</v>
      </c>
      <c r="C8" s="46">
        <f t="shared" ref="C8:D8" si="5">B8</f>
        <v>203669.28314025773</v>
      </c>
      <c r="D8" s="46">
        <f t="shared" si="5"/>
        <v>203669.28314025773</v>
      </c>
    </row>
    <row r="9" spans="1:4">
      <c r="A9" s="129">
        <v>1987</v>
      </c>
      <c r="B9" s="46">
        <f>'需要側予測（成長実現ケース）'!FP13</f>
        <v>247527.87236867321</v>
      </c>
      <c r="C9" s="46">
        <f t="shared" ref="C9:D9" si="6">B9</f>
        <v>247527.87236867321</v>
      </c>
      <c r="D9" s="46">
        <f t="shared" si="6"/>
        <v>247527.87236867321</v>
      </c>
    </row>
    <row r="10" spans="1:4">
      <c r="A10" s="129">
        <v>1988</v>
      </c>
      <c r="B10" s="46">
        <f>'需要側予測（成長実現ケース）'!FP14</f>
        <v>276009.70308196789</v>
      </c>
      <c r="C10" s="46">
        <f t="shared" ref="C10:D10" si="7">B10</f>
        <v>276009.70308196789</v>
      </c>
      <c r="D10" s="46">
        <f t="shared" si="7"/>
        <v>276009.70308196789</v>
      </c>
    </row>
    <row r="11" spans="1:4">
      <c r="A11" s="129">
        <v>1989</v>
      </c>
      <c r="B11" s="46">
        <f>'需要側予測（成長実現ケース）'!FP15</f>
        <v>276475.52717596584</v>
      </c>
      <c r="C11" s="46">
        <f t="shared" ref="C11:D11" si="8">B11</f>
        <v>276475.52717596584</v>
      </c>
      <c r="D11" s="46">
        <f t="shared" si="8"/>
        <v>276475.52717596584</v>
      </c>
    </row>
    <row r="12" spans="1:4">
      <c r="A12" s="129">
        <v>1990</v>
      </c>
      <c r="B12" s="46">
        <f>'需要側予測（成長実現ケース）'!FP16</f>
        <v>291705.86100284825</v>
      </c>
      <c r="C12" s="46">
        <f t="shared" ref="C12:D12" si="9">B12</f>
        <v>291705.86100284825</v>
      </c>
      <c r="D12" s="46">
        <f t="shared" si="9"/>
        <v>291705.86100284825</v>
      </c>
    </row>
    <row r="13" spans="1:4">
      <c r="A13" s="129">
        <v>1991</v>
      </c>
      <c r="B13" s="46">
        <f>'需要側予測（成長実現ケース）'!FP17</f>
        <v>266617.62469571969</v>
      </c>
      <c r="C13" s="46">
        <f t="shared" ref="C13:D13" si="10">B13</f>
        <v>266617.62469571969</v>
      </c>
      <c r="D13" s="46">
        <f t="shared" si="10"/>
        <v>266617.62469571969</v>
      </c>
    </row>
    <row r="14" spans="1:4">
      <c r="A14" s="129">
        <v>1992</v>
      </c>
      <c r="B14" s="46">
        <f>'需要側予測（成長実現ケース）'!FP18</f>
        <v>249693.19601185148</v>
      </c>
      <c r="C14" s="46">
        <f t="shared" ref="C14:D14" si="11">B14</f>
        <v>249693.19601185148</v>
      </c>
      <c r="D14" s="46">
        <f t="shared" si="11"/>
        <v>249693.19601185148</v>
      </c>
    </row>
    <row r="15" spans="1:4">
      <c r="A15" s="129">
        <v>1993</v>
      </c>
      <c r="B15" s="46">
        <f>'需要側予測（成長実現ケース）'!FP19</f>
        <v>256914.81187267735</v>
      </c>
      <c r="C15" s="46">
        <f t="shared" ref="C15:D15" si="12">B15</f>
        <v>256914.81187267735</v>
      </c>
      <c r="D15" s="46">
        <f t="shared" si="12"/>
        <v>256914.81187267735</v>
      </c>
    </row>
    <row r="16" spans="1:4">
      <c r="A16" s="129">
        <v>1994</v>
      </c>
      <c r="B16" s="46">
        <f>'需要側予測（成長実現ケース）'!FP20</f>
        <v>273139.35492519301</v>
      </c>
      <c r="C16" s="46">
        <f t="shared" ref="C16:D16" si="13">B16</f>
        <v>273139.35492519301</v>
      </c>
      <c r="D16" s="46">
        <f t="shared" si="13"/>
        <v>273139.35492519301</v>
      </c>
    </row>
    <row r="17" spans="1:4">
      <c r="A17" s="129">
        <v>1995</v>
      </c>
      <c r="B17" s="46">
        <f>'需要側予測（成長実現ケース）'!FP21</f>
        <v>261032.82362725239</v>
      </c>
      <c r="C17" s="46">
        <f t="shared" ref="C17:D17" si="14">B17</f>
        <v>261032.82362725239</v>
      </c>
      <c r="D17" s="46">
        <f t="shared" si="14"/>
        <v>261032.82362725239</v>
      </c>
    </row>
    <row r="18" spans="1:4">
      <c r="A18" s="129">
        <v>1996</v>
      </c>
      <c r="B18" s="46">
        <f>'需要側予測（成長実現ケース）'!FP22</f>
        <v>294042.70406954671</v>
      </c>
      <c r="C18" s="46">
        <f t="shared" ref="C18:D18" si="15">B18</f>
        <v>294042.70406954671</v>
      </c>
      <c r="D18" s="46">
        <f t="shared" si="15"/>
        <v>294042.70406954671</v>
      </c>
    </row>
    <row r="19" spans="1:4">
      <c r="A19" s="129">
        <v>1997</v>
      </c>
      <c r="B19" s="46">
        <f>'需要側予測（成長実現ケース）'!FP23</f>
        <v>255267.77226008195</v>
      </c>
      <c r="C19" s="46">
        <f t="shared" ref="C19:D19" si="16">B19</f>
        <v>255267.77226008195</v>
      </c>
      <c r="D19" s="46">
        <f t="shared" si="16"/>
        <v>255267.77226008195</v>
      </c>
    </row>
    <row r="20" spans="1:4">
      <c r="A20" s="129">
        <v>1998</v>
      </c>
      <c r="B20" s="46">
        <f>'需要側予測（成長実現ケース）'!FP24</f>
        <v>219038.39408450801</v>
      </c>
      <c r="C20" s="46">
        <f t="shared" ref="C20:D20" si="17">B20</f>
        <v>219038.39408450801</v>
      </c>
      <c r="D20" s="46">
        <f t="shared" si="17"/>
        <v>219038.39408450801</v>
      </c>
    </row>
    <row r="21" spans="1:4">
      <c r="A21" s="129">
        <v>1999</v>
      </c>
      <c r="B21" s="46">
        <f>'需要側予測（成長実現ケース）'!FP25</f>
        <v>224087.45780971562</v>
      </c>
      <c r="C21" s="46">
        <f t="shared" ref="C21:D21" si="18">B21</f>
        <v>224087.45780971562</v>
      </c>
      <c r="D21" s="46">
        <f t="shared" si="18"/>
        <v>224087.45780971562</v>
      </c>
    </row>
    <row r="22" spans="1:4">
      <c r="A22" s="129">
        <v>2000</v>
      </c>
      <c r="B22" s="46">
        <f>'需要側予測（成長実現ケース）'!FP26</f>
        <v>222438.65014101149</v>
      </c>
      <c r="C22" s="46">
        <f t="shared" ref="C22:D22" si="19">B22</f>
        <v>222438.65014101149</v>
      </c>
      <c r="D22" s="46">
        <f t="shared" si="19"/>
        <v>222438.65014101149</v>
      </c>
    </row>
    <row r="23" spans="1:4">
      <c r="A23" s="129">
        <v>2001</v>
      </c>
      <c r="B23" s="46">
        <f>'需要側予測（成長実現ケース）'!FP27</f>
        <v>211600.13096553594</v>
      </c>
      <c r="C23" s="46">
        <f t="shared" ref="C23:D23" si="20">B23</f>
        <v>211600.13096553594</v>
      </c>
      <c r="D23" s="46">
        <f t="shared" si="20"/>
        <v>211600.13096553594</v>
      </c>
    </row>
    <row r="24" spans="1:4">
      <c r="A24" s="129">
        <v>2002</v>
      </c>
      <c r="B24" s="46">
        <f>'需要側予測（成長実現ケース）'!FP28</f>
        <v>202702.63081743242</v>
      </c>
      <c r="C24" s="46">
        <f t="shared" ref="C24:D24" si="21">B24</f>
        <v>202702.63081743242</v>
      </c>
      <c r="D24" s="46">
        <f t="shared" si="21"/>
        <v>202702.63081743242</v>
      </c>
    </row>
    <row r="25" spans="1:4">
      <c r="A25" s="129">
        <v>2003</v>
      </c>
      <c r="B25" s="46">
        <f>'需要側予測（成長実現ケース）'!FP29</f>
        <v>201541.57704602586</v>
      </c>
      <c r="C25" s="46">
        <f t="shared" ref="C25:D25" si="22">B25</f>
        <v>201541.57704602586</v>
      </c>
      <c r="D25" s="46">
        <f t="shared" si="22"/>
        <v>201541.57704602586</v>
      </c>
    </row>
    <row r="26" spans="1:4">
      <c r="A26" s="129">
        <v>2004</v>
      </c>
      <c r="B26" s="46">
        <f>'需要側予測（成長実現ケース）'!FP30</f>
        <v>202900.01836176991</v>
      </c>
      <c r="C26" s="46">
        <f t="shared" ref="C26:D26" si="23">B26</f>
        <v>202900.01836176991</v>
      </c>
      <c r="D26" s="46">
        <f t="shared" si="23"/>
        <v>202900.01836176991</v>
      </c>
    </row>
    <row r="27" spans="1:4">
      <c r="A27" s="129">
        <v>2005</v>
      </c>
      <c r="B27" s="46">
        <f>'需要側予測（成長実現ケース）'!FP31</f>
        <v>201316.05242418451</v>
      </c>
      <c r="C27" s="46">
        <f t="shared" ref="C27:D27" si="24">B27</f>
        <v>201316.05242418451</v>
      </c>
      <c r="D27" s="46">
        <f t="shared" si="24"/>
        <v>201316.05242418451</v>
      </c>
    </row>
    <row r="28" spans="1:4">
      <c r="A28" s="129">
        <v>2006</v>
      </c>
      <c r="B28" s="46">
        <f>'需要側予測（成長実現ケース）'!FP32</f>
        <v>203157.5818433786</v>
      </c>
      <c r="C28" s="46">
        <f t="shared" ref="C28:D28" si="25">B28</f>
        <v>203157.5818433786</v>
      </c>
      <c r="D28" s="46">
        <f t="shared" si="25"/>
        <v>203157.5818433786</v>
      </c>
    </row>
    <row r="29" spans="1:4">
      <c r="A29" s="129">
        <v>2007</v>
      </c>
      <c r="B29" s="46">
        <f>'需要側予測（成長実現ケース）'!FP33</f>
        <v>182368.08658647974</v>
      </c>
      <c r="C29" s="46">
        <f t="shared" ref="C29:D29" si="26">B29</f>
        <v>182368.08658647974</v>
      </c>
      <c r="D29" s="46">
        <f t="shared" si="26"/>
        <v>182368.08658647974</v>
      </c>
    </row>
    <row r="30" spans="1:4">
      <c r="A30" s="129">
        <v>2008</v>
      </c>
      <c r="B30" s="46">
        <f>'需要側予測（成長実現ケース）'!FP34</f>
        <v>170607.51258486437</v>
      </c>
      <c r="C30" s="46">
        <f t="shared" ref="C30:D30" si="27">B30</f>
        <v>170607.51258486437</v>
      </c>
      <c r="D30" s="46">
        <f t="shared" si="27"/>
        <v>170607.51258486437</v>
      </c>
    </row>
    <row r="31" spans="1:4">
      <c r="A31" s="129">
        <v>2009</v>
      </c>
      <c r="B31" s="46">
        <f>'需要側予測（成長実現ケース）'!FP35</f>
        <v>141081.20068738353</v>
      </c>
      <c r="C31" s="46">
        <f t="shared" ref="C31:D31" si="28">B31</f>
        <v>141081.20068738353</v>
      </c>
      <c r="D31" s="46">
        <f t="shared" si="28"/>
        <v>141081.20068738353</v>
      </c>
    </row>
    <row r="32" spans="1:4">
      <c r="A32" s="129">
        <v>2010</v>
      </c>
      <c r="B32" s="46">
        <f>'需要側予測（成長実現ケース）'!FP36</f>
        <v>136204.04053941541</v>
      </c>
      <c r="C32" s="46">
        <f t="shared" ref="C32:D32" si="29">B32</f>
        <v>136204.04053941541</v>
      </c>
      <c r="D32" s="46">
        <f t="shared" si="29"/>
        <v>136204.04053941541</v>
      </c>
    </row>
    <row r="33" spans="1:4">
      <c r="A33" s="129">
        <v>2011</v>
      </c>
      <c r="B33" s="46">
        <f>'需要側予測（成長実現ケース）'!FP37</f>
        <v>145492.26736758795</v>
      </c>
      <c r="C33" s="46">
        <f t="shared" ref="C33:D33" si="30">B33</f>
        <v>145492.26736758795</v>
      </c>
      <c r="D33" s="46">
        <f t="shared" si="30"/>
        <v>145492.26736758795</v>
      </c>
    </row>
    <row r="34" spans="1:4">
      <c r="A34" s="129">
        <v>2012</v>
      </c>
      <c r="B34" s="46">
        <f>'需要側予測（成長実現ケース）'!FP38</f>
        <v>153098.23786510248</v>
      </c>
      <c r="C34" s="46">
        <f t="shared" ref="C34:D34" si="31">B34</f>
        <v>153098.23786510248</v>
      </c>
      <c r="D34" s="46">
        <f t="shared" si="31"/>
        <v>153098.23786510248</v>
      </c>
    </row>
    <row r="35" spans="1:4">
      <c r="A35" s="129">
        <v>2013</v>
      </c>
      <c r="B35" s="46">
        <f>'需要側予測（成長実現ケース）'!FP39</f>
        <v>166942.5286374909</v>
      </c>
      <c r="C35" s="46">
        <f t="shared" ref="C35:D35" si="32">B35</f>
        <v>166942.5286374909</v>
      </c>
      <c r="D35" s="46">
        <f t="shared" si="32"/>
        <v>166942.5286374909</v>
      </c>
    </row>
    <row r="36" spans="1:4">
      <c r="A36" s="129">
        <v>2014</v>
      </c>
      <c r="B36" s="46">
        <f>'需要側予測（成長実現ケース）'!FP40</f>
        <v>155428.16920263518</v>
      </c>
      <c r="C36" s="46">
        <f t="shared" ref="C36:D36" si="33">B36</f>
        <v>155428.16920263518</v>
      </c>
      <c r="D36" s="46">
        <f t="shared" si="33"/>
        <v>155428.16920263518</v>
      </c>
    </row>
    <row r="37" spans="1:4">
      <c r="A37" s="129">
        <v>2015</v>
      </c>
      <c r="B37" s="46">
        <f>'需要側予測（成長実現ケース）'!FP41</f>
        <v>172758.35708535835</v>
      </c>
      <c r="C37" s="46">
        <f t="shared" ref="C37:D37" si="34">B37</f>
        <v>172758.35708535835</v>
      </c>
      <c r="D37" s="46">
        <f t="shared" si="34"/>
        <v>172758.35708535835</v>
      </c>
    </row>
    <row r="38" spans="1:4">
      <c r="A38" s="129">
        <v>2016</v>
      </c>
      <c r="B38" s="46">
        <f>'需要側予測（成長実現ケース）'!FP42</f>
        <v>184859.32104184831</v>
      </c>
      <c r="C38" s="46">
        <f t="shared" ref="C38:D38" si="35">B38</f>
        <v>184859.32104184831</v>
      </c>
      <c r="D38" s="46">
        <f t="shared" si="35"/>
        <v>184859.32104184831</v>
      </c>
    </row>
    <row r="39" spans="1:4">
      <c r="A39" s="129">
        <v>2017</v>
      </c>
      <c r="B39" s="46">
        <f>'需要側予測（成長実現ケース）'!FP43</f>
        <v>187208.12066984747</v>
      </c>
      <c r="C39" s="46">
        <f t="shared" ref="C39:D39" si="36">B39</f>
        <v>187208.12066984747</v>
      </c>
      <c r="D39" s="46">
        <f t="shared" si="36"/>
        <v>187208.12066984747</v>
      </c>
    </row>
    <row r="40" spans="1:4">
      <c r="A40" s="129">
        <v>2018</v>
      </c>
      <c r="B40" s="46">
        <f>'需要側予測（成長実現ケース）'!FP44</f>
        <v>182967.56891843522</v>
      </c>
      <c r="C40" s="46">
        <f t="shared" ref="C40:D40" si="37">B40</f>
        <v>182967.56891843522</v>
      </c>
      <c r="D40" s="46">
        <f t="shared" si="37"/>
        <v>182967.56891843522</v>
      </c>
    </row>
    <row r="41" spans="1:4">
      <c r="A41" s="129">
        <v>2019</v>
      </c>
      <c r="B41" s="46">
        <f>'需要側予測（成長実現ケース）'!FP45</f>
        <v>174440.6345081343</v>
      </c>
      <c r="C41" s="46">
        <f t="shared" ref="C41:D41" si="38">B41</f>
        <v>174440.6345081343</v>
      </c>
      <c r="D41" s="46">
        <f t="shared" si="38"/>
        <v>174440.6345081343</v>
      </c>
    </row>
    <row r="42" spans="1:4">
      <c r="A42" s="129">
        <v>2020</v>
      </c>
      <c r="B42" s="46">
        <f>'需要側予測（成長実現ケース）'!FP46</f>
        <v>159976.95678144213</v>
      </c>
      <c r="C42" s="46">
        <f t="shared" ref="C42:D42" si="39">B42</f>
        <v>159976.95678144213</v>
      </c>
      <c r="D42" s="46">
        <f t="shared" si="39"/>
        <v>159976.95678144213</v>
      </c>
    </row>
    <row r="43" spans="1:4">
      <c r="A43" s="129">
        <v>2021</v>
      </c>
      <c r="B43" s="348">
        <v>166058.90379042469</v>
      </c>
      <c r="C43" s="46">
        <f t="shared" ref="C43:D43" si="40">B43</f>
        <v>166058.90379042469</v>
      </c>
      <c r="D43" s="46">
        <f t="shared" si="40"/>
        <v>166058.90379042469</v>
      </c>
    </row>
    <row r="44" spans="1:4">
      <c r="A44" s="129">
        <v>2022</v>
      </c>
      <c r="B44" s="348">
        <v>165848.90342004242</v>
      </c>
      <c r="C44" s="46">
        <f t="shared" ref="C44:D44" si="41">B44</f>
        <v>165848.90342004242</v>
      </c>
      <c r="D44" s="46">
        <f t="shared" si="41"/>
        <v>165848.90342004242</v>
      </c>
    </row>
    <row r="45" spans="1:4">
      <c r="A45" s="129">
        <v>2023</v>
      </c>
      <c r="B45" s="46">
        <f>'需要側予測（成長実現ケース）'!FP49</f>
        <v>215431.06950538579</v>
      </c>
      <c r="C45" s="46">
        <f>'需要側予測（ベースラインケース)'!FP49</f>
        <v>200094.70535248856</v>
      </c>
    </row>
    <row r="46" spans="1:4">
      <c r="A46" s="129">
        <v>2024</v>
      </c>
      <c r="B46" s="46">
        <f>'需要側予測（成長実現ケース）'!FP50</f>
        <v>258165.70986596783</v>
      </c>
      <c r="C46" s="46">
        <f>'需要側予測（ベースラインケース)'!FP50</f>
        <v>220255.44239651665</v>
      </c>
    </row>
    <row r="47" spans="1:4">
      <c r="A47" s="129">
        <v>2025</v>
      </c>
      <c r="B47" s="46">
        <f>'需要側予測（成長実現ケース）'!FP51</f>
        <v>293812.44415170647</v>
      </c>
      <c r="C47" s="46">
        <f>'需要側予測（ベースラインケース)'!FP51</f>
        <v>222623.8063160704</v>
      </c>
    </row>
    <row r="48" spans="1:4">
      <c r="A48" s="129">
        <v>2026</v>
      </c>
      <c r="B48" s="46">
        <f>'需要側予測（成長実現ケース）'!FP52</f>
        <v>325181.54135956004</v>
      </c>
      <c r="C48" s="46">
        <f>'需要側予測（ベースラインケース)'!FP52</f>
        <v>237048.63726092881</v>
      </c>
    </row>
    <row r="49" spans="1:7">
      <c r="A49" s="129">
        <v>2027</v>
      </c>
      <c r="B49" s="46">
        <f>'需要側予測（成長実現ケース）'!FP53</f>
        <v>360155.56987388246</v>
      </c>
      <c r="C49" s="46">
        <f>'需要側予測（ベースラインケース)'!FP53</f>
        <v>258680.19257197977</v>
      </c>
    </row>
    <row r="50" spans="1:7">
      <c r="A50" s="129">
        <v>2028</v>
      </c>
      <c r="B50" s="46">
        <f>'需要側予測（成長実現ケース）'!FP54</f>
        <v>378278.18735235941</v>
      </c>
      <c r="C50" s="46">
        <f>'需要側予測（ベースラインケース)'!FP54</f>
        <v>263324.03353969939</v>
      </c>
    </row>
    <row r="51" spans="1:7">
      <c r="A51" s="129">
        <v>2029</v>
      </c>
      <c r="B51" s="46">
        <f>'需要側予測（成長実現ケース）'!FP55</f>
        <v>387588.77805910853</v>
      </c>
      <c r="C51" s="46">
        <f>'需要側予測（ベースラインケース)'!FP55</f>
        <v>267988.99337357486</v>
      </c>
    </row>
    <row r="52" spans="1:7">
      <c r="A52" s="129">
        <v>2030</v>
      </c>
      <c r="B52" s="46">
        <f>'需要側予測（成長実現ケース）'!FP56</f>
        <v>392277.2476791534</v>
      </c>
      <c r="C52" s="46">
        <f>'需要側予測（ベースラインケース)'!FP56</f>
        <v>261380.66223438951</v>
      </c>
    </row>
    <row r="53" spans="1:7">
      <c r="A53" s="129">
        <v>2031</v>
      </c>
      <c r="B53" s="46">
        <f>'需要側予測（成長実現ケース）'!FP57</f>
        <v>378378.23593906488</v>
      </c>
      <c r="C53" s="46">
        <f>'需要側予測（ベースラインケース)'!FP57</f>
        <v>237133.65402317097</v>
      </c>
    </row>
    <row r="54" spans="1:7">
      <c r="A54" s="129">
        <v>2032</v>
      </c>
      <c r="B54" s="46">
        <f>'需要側予測（成長実現ケース）'!FP58</f>
        <v>372395.63620986842</v>
      </c>
      <c r="C54" s="46">
        <f>'需要側予測（ベースラインケース)'!FP58</f>
        <v>239659.05012553907</v>
      </c>
    </row>
    <row r="55" spans="1:7">
      <c r="A55" s="129">
        <v>2033</v>
      </c>
      <c r="B55" s="46">
        <f>'需要側予測（成長実現ケース）'!FP59</f>
        <v>392252.70875908004</v>
      </c>
      <c r="C55" s="46">
        <f>'需要側予測（ベースラインケース)'!FP59</f>
        <v>253439.77146080768</v>
      </c>
    </row>
    <row r="56" spans="1:7">
      <c r="A56" s="129">
        <v>2034</v>
      </c>
      <c r="B56" s="46">
        <f>'需要側予測（成長実現ケース）'!FP60</f>
        <v>411967.51434738602</v>
      </c>
      <c r="C56" s="46">
        <f>'需要側予測（ベースラインケース)'!FP60</f>
        <v>261493.0462017305</v>
      </c>
    </row>
    <row r="57" spans="1:7">
      <c r="A57" s="129">
        <v>2035</v>
      </c>
      <c r="B57" s="46">
        <f>'需要側予測（成長実現ケース）'!FP61</f>
        <v>426784.12263210403</v>
      </c>
      <c r="C57" s="46">
        <f>'需要側予測（ベースラインケース)'!FP61</f>
        <v>265658.52133534855</v>
      </c>
    </row>
    <row r="58" spans="1:7">
      <c r="A58" s="129">
        <v>2036</v>
      </c>
      <c r="B58" s="46">
        <f>'需要側予測（成長実現ケース）'!FP62</f>
        <v>438960.26549437369</v>
      </c>
      <c r="C58" s="46">
        <f>'需要側予測（ベースラインケース)'!FP62</f>
        <v>267701.96508240886</v>
      </c>
    </row>
    <row r="59" spans="1:7">
      <c r="A59" s="129">
        <v>2037</v>
      </c>
      <c r="B59" s="46">
        <f>'需要側予測（成長実現ケース）'!FP63</f>
        <v>450166.34845869837</v>
      </c>
      <c r="C59" s="46">
        <f>'需要側予測（ベースラインケース)'!FP63</f>
        <v>268922.60416430171</v>
      </c>
    </row>
    <row r="60" spans="1:7">
      <c r="A60" s="129">
        <v>2038</v>
      </c>
      <c r="B60" s="46">
        <f>'需要側予測（成長実現ケース）'!FP64</f>
        <v>460713.66117702599</v>
      </c>
      <c r="C60" s="46">
        <f>'需要側予測（ベースラインケース)'!FP64</f>
        <v>269541.81020651624</v>
      </c>
    </row>
    <row r="61" spans="1:7">
      <c r="A61" s="129">
        <v>2039</v>
      </c>
      <c r="B61" s="46">
        <f>'需要側予測（成長実現ケース）'!FP65</f>
        <v>470722.72209554136</v>
      </c>
      <c r="C61" s="46">
        <f>'需要側予測（ベースラインケース)'!FP65</f>
        <v>269654.43133413035</v>
      </c>
    </row>
    <row r="62" spans="1:7">
      <c r="A62" s="129">
        <v>2040</v>
      </c>
      <c r="B62" s="46">
        <f>'需要側予測（成長実現ケース）'!FP66</f>
        <v>480459.01090146485</v>
      </c>
      <c r="C62" s="46">
        <f>'需要側予測（ベースラインケース)'!FP66</f>
        <v>269470.62030405941</v>
      </c>
    </row>
    <row r="64" spans="1:7">
      <c r="G64" s="24" t="s">
        <v>612</v>
      </c>
    </row>
    <row r="65" spans="7:9">
      <c r="G65" s="24" t="s">
        <v>206</v>
      </c>
      <c r="H65" s="24">
        <v>4293.0276702620004</v>
      </c>
    </row>
    <row r="66" spans="7:9">
      <c r="G66" s="24" t="s">
        <v>207</v>
      </c>
      <c r="H66" s="24">
        <v>4103.0081586861197</v>
      </c>
    </row>
    <row r="67" spans="7:9">
      <c r="G67" s="24" t="s">
        <v>208</v>
      </c>
      <c r="H67" s="24">
        <v>4174.3819495858497</v>
      </c>
    </row>
    <row r="68" spans="7:9">
      <c r="G68" s="24" t="s">
        <v>209</v>
      </c>
      <c r="H68" s="24">
        <v>4224.5445513235099</v>
      </c>
    </row>
    <row r="69" spans="7:9">
      <c r="G69" s="24" t="s">
        <v>210</v>
      </c>
      <c r="H69" s="24">
        <v>4083.2854740266498</v>
      </c>
    </row>
    <row r="70" spans="7:9">
      <c r="G70" s="24" t="s">
        <v>416</v>
      </c>
      <c r="H70" s="24">
        <v>3994.07985667194</v>
      </c>
    </row>
    <row r="71" spans="7:9">
      <c r="G71" s="24" t="s">
        <v>417</v>
      </c>
      <c r="H71" s="24">
        <v>4206.7418636719403</v>
      </c>
    </row>
    <row r="72" spans="7:9">
      <c r="G72" s="24" t="s">
        <v>418</v>
      </c>
      <c r="H72" s="24">
        <v>4321.78318467194</v>
      </c>
      <c r="I72" s="24">
        <f>SUM(H69:H72)*10</f>
        <v>166058.90379042469</v>
      </c>
    </row>
    <row r="73" spans="7:9">
      <c r="G73" s="24" t="s">
        <v>419</v>
      </c>
      <c r="H73" s="24">
        <v>4120.1518156719403</v>
      </c>
    </row>
    <row r="74" spans="7:9">
      <c r="G74" s="24" t="s">
        <v>420</v>
      </c>
      <c r="H74" s="24">
        <v>4041.2966164441</v>
      </c>
    </row>
    <row r="75" spans="7:9">
      <c r="G75" s="24" t="s">
        <v>421</v>
      </c>
      <c r="H75" s="24">
        <v>4173.5783294440998</v>
      </c>
    </row>
    <row r="76" spans="7:9">
      <c r="G76" s="24" t="s">
        <v>422</v>
      </c>
      <c r="H76" s="24">
        <v>4249.8635804441001</v>
      </c>
      <c r="I76" s="24">
        <f>SUM(H73:H76)*10</f>
        <v>165848.90342004242</v>
      </c>
    </row>
  </sheetData>
  <phoneticPr fontId="1"/>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E6CF9-8E95-4F32-93BE-4A186B701F2A}">
  <dimension ref="A1:I79"/>
  <sheetViews>
    <sheetView topLeftCell="A34" workbookViewId="0">
      <selection activeCell="V37" sqref="V37"/>
    </sheetView>
  </sheetViews>
  <sheetFormatPr defaultColWidth="8.84375" defaultRowHeight="18.45"/>
  <cols>
    <col min="1" max="1" width="8.84375" style="87"/>
    <col min="2" max="3" width="19" style="37" bestFit="1" customWidth="1"/>
    <col min="4" max="4" width="8.84375" style="37"/>
    <col min="5" max="16384" width="8.84375" style="24"/>
  </cols>
  <sheetData>
    <row r="1" spans="1:4">
      <c r="A1" s="87" t="s">
        <v>7</v>
      </c>
      <c r="B1" s="37" t="s">
        <v>127</v>
      </c>
      <c r="C1" s="37" t="s">
        <v>150</v>
      </c>
      <c r="D1" s="37" t="s">
        <v>413</v>
      </c>
    </row>
    <row r="2" spans="1:4">
      <c r="A2" s="129">
        <v>1980</v>
      </c>
      <c r="B2" s="46">
        <f>'需要側予測（成長実現ケース）'!FR6</f>
        <v>129499.31966766097</v>
      </c>
      <c r="C2" s="46">
        <f>B2</f>
        <v>129499.31966766097</v>
      </c>
      <c r="D2" s="46">
        <f>C2</f>
        <v>129499.31966766097</v>
      </c>
    </row>
    <row r="3" spans="1:4">
      <c r="A3" s="129">
        <v>1981</v>
      </c>
      <c r="B3" s="46">
        <f>'需要側予測（成長実現ケース）'!FR7</f>
        <v>122949.88497664926</v>
      </c>
      <c r="C3" s="46">
        <f t="shared" ref="C3:D18" si="0">B3</f>
        <v>122949.88497664926</v>
      </c>
      <c r="D3" s="46">
        <f t="shared" si="0"/>
        <v>122949.88497664926</v>
      </c>
    </row>
    <row r="4" spans="1:4">
      <c r="A4" s="129">
        <v>1982</v>
      </c>
      <c r="B4" s="46">
        <f>'需要側予測（成長実現ケース）'!FR8</f>
        <v>117807.82633205278</v>
      </c>
      <c r="C4" s="46">
        <f t="shared" si="0"/>
        <v>117807.82633205278</v>
      </c>
      <c r="D4" s="46">
        <f t="shared" si="0"/>
        <v>117807.82633205278</v>
      </c>
    </row>
    <row r="5" spans="1:4">
      <c r="A5" s="129">
        <v>1983</v>
      </c>
      <c r="B5" s="46">
        <f>'需要側予測（成長実現ケース）'!FR9</f>
        <v>119700.25530258204</v>
      </c>
      <c r="C5" s="46">
        <f t="shared" si="0"/>
        <v>119700.25530258204</v>
      </c>
      <c r="D5" s="46">
        <f t="shared" si="0"/>
        <v>119700.25530258204</v>
      </c>
    </row>
    <row r="6" spans="1:4">
      <c r="A6" s="129">
        <v>1984</v>
      </c>
      <c r="B6" s="46">
        <f>'需要側予測（成長実現ケース）'!FR10</f>
        <v>132872.6220074202</v>
      </c>
      <c r="C6" s="46">
        <f t="shared" si="0"/>
        <v>132872.6220074202</v>
      </c>
      <c r="D6" s="46">
        <f t="shared" si="0"/>
        <v>132872.6220074202</v>
      </c>
    </row>
    <row r="7" spans="1:4">
      <c r="A7" s="129">
        <v>1985</v>
      </c>
      <c r="B7" s="46">
        <f>'需要側予測（成長実現ケース）'!FR11</f>
        <v>140469.11870846161</v>
      </c>
      <c r="C7" s="46">
        <f t="shared" si="0"/>
        <v>140469.11870846161</v>
      </c>
      <c r="D7" s="46">
        <f t="shared" si="0"/>
        <v>140469.11870846161</v>
      </c>
    </row>
    <row r="8" spans="1:4">
      <c r="A8" s="129">
        <v>1986</v>
      </c>
      <c r="B8" s="46">
        <f>'需要側予測（成長実現ケース）'!FR12</f>
        <v>148434.06157465052</v>
      </c>
      <c r="C8" s="46">
        <f t="shared" si="0"/>
        <v>148434.06157465052</v>
      </c>
      <c r="D8" s="46">
        <f t="shared" si="0"/>
        <v>148434.06157465052</v>
      </c>
    </row>
    <row r="9" spans="1:4">
      <c r="A9" s="129">
        <v>1987</v>
      </c>
      <c r="B9" s="46">
        <f>'需要側予測（成長実現ケース）'!FR13</f>
        <v>158980.90996544124</v>
      </c>
      <c r="C9" s="46">
        <f t="shared" si="0"/>
        <v>158980.90996544124</v>
      </c>
      <c r="D9" s="46">
        <f t="shared" si="0"/>
        <v>158980.90996544124</v>
      </c>
    </row>
    <row r="10" spans="1:4">
      <c r="A10" s="129">
        <v>1988</v>
      </c>
      <c r="B10" s="46">
        <f>'需要側予測（成長実現ケース）'!FR14</f>
        <v>187138.826864426</v>
      </c>
      <c r="C10" s="46">
        <f t="shared" si="0"/>
        <v>187138.826864426</v>
      </c>
      <c r="D10" s="46">
        <f t="shared" si="0"/>
        <v>187138.826864426</v>
      </c>
    </row>
    <row r="11" spans="1:4">
      <c r="A11" s="129">
        <v>1989</v>
      </c>
      <c r="B11" s="46">
        <f>'需要側予測（成長実現ケース）'!FR15</f>
        <v>216600.90022876172</v>
      </c>
      <c r="C11" s="46">
        <f t="shared" si="0"/>
        <v>216600.90022876172</v>
      </c>
      <c r="D11" s="46">
        <f t="shared" si="0"/>
        <v>216600.90022876172</v>
      </c>
    </row>
    <row r="12" spans="1:4">
      <c r="A12" s="129">
        <v>1990</v>
      </c>
      <c r="B12" s="46">
        <f>'需要側予測（成長実現ケース）'!FR16</f>
        <v>245539.27533971323</v>
      </c>
      <c r="C12" s="46">
        <f t="shared" si="0"/>
        <v>245539.27533971323</v>
      </c>
      <c r="D12" s="46">
        <f t="shared" si="0"/>
        <v>245539.27533971323</v>
      </c>
    </row>
    <row r="13" spans="1:4">
      <c r="A13" s="129">
        <v>1991</v>
      </c>
      <c r="B13" s="46">
        <f>'需要側予測（成長実現ケース）'!FR17</f>
        <v>250607.73863147068</v>
      </c>
      <c r="C13" s="46">
        <f t="shared" si="0"/>
        <v>250607.73863147068</v>
      </c>
      <c r="D13" s="46">
        <f t="shared" si="0"/>
        <v>250607.73863147068</v>
      </c>
    </row>
    <row r="14" spans="1:4">
      <c r="A14" s="129">
        <v>1992</v>
      </c>
      <c r="B14" s="46">
        <f>'需要側予測（成長実現ケース）'!FR18</f>
        <v>231691.50632899883</v>
      </c>
      <c r="C14" s="46">
        <f t="shared" si="0"/>
        <v>231691.50632899883</v>
      </c>
      <c r="D14" s="46">
        <f t="shared" si="0"/>
        <v>231691.50632899883</v>
      </c>
    </row>
    <row r="15" spans="1:4">
      <c r="A15" s="129">
        <v>1993</v>
      </c>
      <c r="B15" s="46">
        <f>'需要側予測（成長実現ケース）'!FR19</f>
        <v>173169.5629921793</v>
      </c>
      <c r="C15" s="46">
        <f t="shared" si="0"/>
        <v>173169.5629921793</v>
      </c>
      <c r="D15" s="46">
        <f t="shared" si="0"/>
        <v>173169.5629921793</v>
      </c>
    </row>
    <row r="16" spans="1:4">
      <c r="A16" s="129">
        <v>1994</v>
      </c>
      <c r="B16" s="46">
        <f>'需要側予測（成長実現ケース）'!FR20</f>
        <v>134648.41893150099</v>
      </c>
      <c r="C16" s="46">
        <f t="shared" si="0"/>
        <v>134648.41893150099</v>
      </c>
      <c r="D16" s="46">
        <f t="shared" si="0"/>
        <v>134648.41893150099</v>
      </c>
    </row>
    <row r="17" spans="1:4">
      <c r="A17" s="129">
        <v>1995</v>
      </c>
      <c r="B17" s="46">
        <f>'需要側予測（成長実現ケース）'!FR21</f>
        <v>122844.29150569983</v>
      </c>
      <c r="C17" s="46">
        <f t="shared" si="0"/>
        <v>122844.29150569983</v>
      </c>
      <c r="D17" s="46">
        <f t="shared" si="0"/>
        <v>122844.29150569983</v>
      </c>
    </row>
    <row r="18" spans="1:4">
      <c r="A18" s="129">
        <v>1996</v>
      </c>
      <c r="B18" s="46">
        <f>'需要側予測（成長実現ケース）'!FR22</f>
        <v>130122.78759462836</v>
      </c>
      <c r="C18" s="46">
        <f t="shared" si="0"/>
        <v>130122.78759462836</v>
      </c>
      <c r="D18" s="46">
        <f t="shared" si="0"/>
        <v>130122.78759462836</v>
      </c>
    </row>
    <row r="19" spans="1:4">
      <c r="A19" s="129">
        <v>1997</v>
      </c>
      <c r="B19" s="46">
        <f>'需要側予測（成長実現ケース）'!FR23</f>
        <v>131622.87104308646</v>
      </c>
      <c r="C19" s="46">
        <f t="shared" ref="C19:D34" si="1">B19</f>
        <v>131622.87104308646</v>
      </c>
      <c r="D19" s="46">
        <f t="shared" si="1"/>
        <v>131622.87104308646</v>
      </c>
    </row>
    <row r="20" spans="1:4">
      <c r="A20" s="129">
        <v>1998</v>
      </c>
      <c r="B20" s="46">
        <f>'需要側予測（成長実現ケース）'!FR24</f>
        <v>118461.50946285276</v>
      </c>
      <c r="C20" s="46">
        <f t="shared" si="1"/>
        <v>118461.50946285276</v>
      </c>
      <c r="D20" s="46">
        <f t="shared" si="1"/>
        <v>118461.50946285276</v>
      </c>
    </row>
    <row r="21" spans="1:4">
      <c r="A21" s="129">
        <v>1999</v>
      </c>
      <c r="B21" s="46">
        <f>'需要側予測（成長実現ケース）'!FR25</f>
        <v>106171.27402252714</v>
      </c>
      <c r="C21" s="46">
        <f t="shared" si="1"/>
        <v>106171.27402252714</v>
      </c>
      <c r="D21" s="46">
        <f t="shared" si="1"/>
        <v>106171.27402252714</v>
      </c>
    </row>
    <row r="22" spans="1:4">
      <c r="A22" s="129">
        <v>2000</v>
      </c>
      <c r="B22" s="46">
        <f>'需要側予測（成長実現ケース）'!FR26</f>
        <v>105896.07585302283</v>
      </c>
      <c r="C22" s="46">
        <f t="shared" si="1"/>
        <v>105896.07585302283</v>
      </c>
      <c r="D22" s="46">
        <f t="shared" si="1"/>
        <v>105896.07585302283</v>
      </c>
    </row>
    <row r="23" spans="1:4">
      <c r="A23" s="129">
        <v>2001</v>
      </c>
      <c r="B23" s="46">
        <f>'需要側予測（成長実現ケース）'!FR27</f>
        <v>98030.729515460524</v>
      </c>
      <c r="C23" s="46">
        <f t="shared" si="1"/>
        <v>98030.729515460524</v>
      </c>
      <c r="D23" s="46">
        <f t="shared" si="1"/>
        <v>98030.729515460524</v>
      </c>
    </row>
    <row r="24" spans="1:4">
      <c r="A24" s="129">
        <v>2002</v>
      </c>
      <c r="B24" s="46">
        <f>'需要側予測（成長実現ケース）'!FR28</f>
        <v>90025.963727167808</v>
      </c>
      <c r="C24" s="46">
        <f t="shared" si="1"/>
        <v>90025.963727167808</v>
      </c>
      <c r="D24" s="46">
        <f t="shared" si="1"/>
        <v>90025.963727167808</v>
      </c>
    </row>
    <row r="25" spans="1:4">
      <c r="A25" s="129">
        <v>2003</v>
      </c>
      <c r="B25" s="46">
        <f>'需要側予測（成長実現ケース）'!FR29</f>
        <v>86942.955019569912</v>
      </c>
      <c r="C25" s="46">
        <f t="shared" si="1"/>
        <v>86942.955019569912</v>
      </c>
      <c r="D25" s="46">
        <f t="shared" si="1"/>
        <v>86942.955019569912</v>
      </c>
    </row>
    <row r="26" spans="1:4">
      <c r="A26" s="129">
        <v>2004</v>
      </c>
      <c r="B26" s="46">
        <f>'需要側予測（成長実現ケース）'!FR30</f>
        <v>97161.654479727003</v>
      </c>
      <c r="C26" s="46">
        <f t="shared" si="1"/>
        <v>97161.654479727003</v>
      </c>
      <c r="D26" s="46">
        <f t="shared" si="1"/>
        <v>97161.654479727003</v>
      </c>
    </row>
    <row r="27" spans="1:4">
      <c r="A27" s="129">
        <v>2005</v>
      </c>
      <c r="B27" s="46">
        <f>'需要側予測（成長実現ケース）'!FR31</f>
        <v>103304.50755456537</v>
      </c>
      <c r="C27" s="46">
        <f t="shared" si="1"/>
        <v>103304.50755456537</v>
      </c>
      <c r="D27" s="46">
        <f t="shared" si="1"/>
        <v>103304.50755456537</v>
      </c>
    </row>
    <row r="28" spans="1:4">
      <c r="A28" s="129">
        <v>2006</v>
      </c>
      <c r="B28" s="46">
        <f>'需要側予測（成長実現ケース）'!FR32</f>
        <v>106796.92237607279</v>
      </c>
      <c r="C28" s="46">
        <f t="shared" si="1"/>
        <v>106796.92237607279</v>
      </c>
      <c r="D28" s="46">
        <f t="shared" si="1"/>
        <v>106796.92237607279</v>
      </c>
    </row>
    <row r="29" spans="1:4">
      <c r="A29" s="129">
        <v>2007</v>
      </c>
      <c r="B29" s="46">
        <f>'需要側予測（成長実現ケース）'!FR33</f>
        <v>100901.01828428419</v>
      </c>
      <c r="C29" s="46">
        <f t="shared" si="1"/>
        <v>100901.01828428419</v>
      </c>
      <c r="D29" s="46">
        <f t="shared" si="1"/>
        <v>100901.01828428419</v>
      </c>
    </row>
    <row r="30" spans="1:4">
      <c r="A30" s="129">
        <v>2008</v>
      </c>
      <c r="B30" s="46">
        <f>'需要側予測（成長実現ケース）'!FR34</f>
        <v>100729.71987110993</v>
      </c>
      <c r="C30" s="46">
        <f t="shared" si="1"/>
        <v>100729.71987110993</v>
      </c>
      <c r="D30" s="46">
        <f t="shared" si="1"/>
        <v>100729.71987110993</v>
      </c>
    </row>
    <row r="31" spans="1:4">
      <c r="A31" s="129">
        <v>2009</v>
      </c>
      <c r="B31" s="46">
        <f>'需要側予測（成長実現ケース）'!FR35</f>
        <v>87946.994892914488</v>
      </c>
      <c r="C31" s="46">
        <f t="shared" si="1"/>
        <v>87946.994892914488</v>
      </c>
      <c r="D31" s="46">
        <f t="shared" si="1"/>
        <v>87946.994892914488</v>
      </c>
    </row>
    <row r="32" spans="1:4">
      <c r="A32" s="129">
        <v>2010</v>
      </c>
      <c r="B32" s="46">
        <f>'需要側予測（成長実現ケース）'!FR36</f>
        <v>73649.344303493388</v>
      </c>
      <c r="C32" s="46">
        <f t="shared" si="1"/>
        <v>73649.344303493388</v>
      </c>
      <c r="D32" s="46">
        <f t="shared" si="1"/>
        <v>73649.344303493388</v>
      </c>
    </row>
    <row r="33" spans="1:4">
      <c r="A33" s="129">
        <v>2011</v>
      </c>
      <c r="B33" s="46">
        <f>'需要側予測（成長実現ケース）'!FR37</f>
        <v>77777.500353590454</v>
      </c>
      <c r="C33" s="46">
        <f t="shared" si="1"/>
        <v>77777.500353590454</v>
      </c>
      <c r="D33" s="46">
        <f t="shared" si="1"/>
        <v>77777.500353590454</v>
      </c>
    </row>
    <row r="34" spans="1:4">
      <c r="A34" s="129">
        <v>2012</v>
      </c>
      <c r="B34" s="46">
        <f>'需要側予測（成長実現ケース）'!FR38</f>
        <v>78691.499109982498</v>
      </c>
      <c r="C34" s="46">
        <f t="shared" si="1"/>
        <v>78691.499109982498</v>
      </c>
      <c r="D34" s="46">
        <f t="shared" si="1"/>
        <v>78691.499109982498</v>
      </c>
    </row>
    <row r="35" spans="1:4">
      <c r="A35" s="129">
        <v>2013</v>
      </c>
      <c r="B35" s="46">
        <f>'需要側予測（成長実現ケース）'!FR39</f>
        <v>88786.384070218832</v>
      </c>
      <c r="C35" s="46">
        <f t="shared" ref="C35:D44" si="2">B35</f>
        <v>88786.384070218832</v>
      </c>
      <c r="D35" s="46">
        <f t="shared" si="2"/>
        <v>88786.384070218832</v>
      </c>
    </row>
    <row r="36" spans="1:4">
      <c r="A36" s="129">
        <v>2014</v>
      </c>
      <c r="B36" s="46">
        <f>'需要側予測（成長実現ケース）'!FR40</f>
        <v>92341.114644232031</v>
      </c>
      <c r="C36" s="46">
        <f t="shared" si="2"/>
        <v>92341.114644232031</v>
      </c>
      <c r="D36" s="46">
        <f t="shared" si="2"/>
        <v>92341.114644232031</v>
      </c>
    </row>
    <row r="37" spans="1:4">
      <c r="A37" s="129">
        <v>2015</v>
      </c>
      <c r="B37" s="46">
        <f>'需要側予測（成長実現ケース）'!FR41</f>
        <v>123036.59479117366</v>
      </c>
      <c r="C37" s="46">
        <f t="shared" si="2"/>
        <v>123036.59479117366</v>
      </c>
      <c r="D37" s="46">
        <f t="shared" si="2"/>
        <v>123036.59479117366</v>
      </c>
    </row>
    <row r="38" spans="1:4">
      <c r="A38" s="129">
        <v>2016</v>
      </c>
      <c r="B38" s="46">
        <f>'需要側予測（成長実現ケース）'!FR42</f>
        <v>138150.67098517879</v>
      </c>
      <c r="C38" s="46">
        <f t="shared" si="2"/>
        <v>138150.67098517879</v>
      </c>
      <c r="D38" s="46">
        <f t="shared" si="2"/>
        <v>138150.67098517879</v>
      </c>
    </row>
    <row r="39" spans="1:4">
      <c r="A39" s="129">
        <v>2017</v>
      </c>
      <c r="B39" s="46">
        <f>'需要側予測（成長実現ケース）'!FR43</f>
        <v>150587.12336080143</v>
      </c>
      <c r="C39" s="46">
        <f t="shared" si="2"/>
        <v>150587.12336080143</v>
      </c>
      <c r="D39" s="46">
        <f t="shared" si="2"/>
        <v>150587.12336080143</v>
      </c>
    </row>
    <row r="40" spans="1:4">
      <c r="A40" s="129">
        <v>2018</v>
      </c>
      <c r="B40" s="46">
        <f>'需要側予測（成長実現ケース）'!FR44</f>
        <v>149683.82619579177</v>
      </c>
      <c r="C40" s="46">
        <f t="shared" si="2"/>
        <v>149683.82619579177</v>
      </c>
      <c r="D40" s="46">
        <f t="shared" si="2"/>
        <v>149683.82619579177</v>
      </c>
    </row>
    <row r="41" spans="1:4">
      <c r="A41" s="129">
        <v>2019</v>
      </c>
      <c r="B41" s="46">
        <f>'需要側予測（成長実現ケース）'!FR45</f>
        <v>150126.10182525002</v>
      </c>
      <c r="C41" s="46">
        <f t="shared" si="2"/>
        <v>150126.10182525002</v>
      </c>
      <c r="D41" s="46">
        <f t="shared" si="2"/>
        <v>150126.10182525002</v>
      </c>
    </row>
    <row r="42" spans="1:4">
      <c r="A42" s="129">
        <v>2020</v>
      </c>
      <c r="B42" s="46">
        <f>'需要側予測（成長実現ケース）'!FR46</f>
        <v>136901.25910171188</v>
      </c>
      <c r="C42" s="46">
        <f t="shared" si="2"/>
        <v>136901.25910171188</v>
      </c>
      <c r="D42" s="46">
        <f t="shared" si="2"/>
        <v>136901.25910171188</v>
      </c>
    </row>
    <row r="43" spans="1:4">
      <c r="A43" s="129">
        <v>2021</v>
      </c>
      <c r="B43" s="348">
        <v>130267.8463451985</v>
      </c>
      <c r="C43" s="46">
        <f t="shared" si="2"/>
        <v>130267.8463451985</v>
      </c>
      <c r="D43" s="46">
        <f t="shared" si="2"/>
        <v>130267.8463451985</v>
      </c>
    </row>
    <row r="44" spans="1:4">
      <c r="A44" s="129">
        <v>2022</v>
      </c>
      <c r="B44" s="348">
        <v>136840.61994965651</v>
      </c>
      <c r="C44" s="46">
        <f t="shared" si="2"/>
        <v>136840.61994965651</v>
      </c>
      <c r="D44" s="46">
        <f t="shared" si="2"/>
        <v>136840.61994965651</v>
      </c>
    </row>
    <row r="45" spans="1:4">
      <c r="A45" s="129">
        <v>2023</v>
      </c>
      <c r="B45" s="46">
        <f>'需要側予測（成長実現ケース）'!FR49</f>
        <v>137726.35111619081</v>
      </c>
      <c r="C45" s="46">
        <f>'需要側予測（ベースラインケース)'!FR49</f>
        <v>130998.55079638275</v>
      </c>
    </row>
    <row r="46" spans="1:4">
      <c r="A46" s="129">
        <v>2024</v>
      </c>
      <c r="B46" s="46">
        <f>'需要側予測（成長実現ケース）'!FR50</f>
        <v>158459.71479443478</v>
      </c>
      <c r="C46" s="46">
        <f>'需要側予測（ベースラインケース)'!FR50</f>
        <v>141616.53074879284</v>
      </c>
    </row>
    <row r="47" spans="1:4">
      <c r="A47" s="129">
        <v>2025</v>
      </c>
      <c r="B47" s="46">
        <f>'需要側予測（成長実現ケース）'!FR51</f>
        <v>172731.56039921398</v>
      </c>
      <c r="C47" s="46">
        <f>'需要側予測（ベースラインケース)'!FR51</f>
        <v>140017.8518627492</v>
      </c>
    </row>
    <row r="48" spans="1:4">
      <c r="A48" s="129">
        <v>2026</v>
      </c>
      <c r="B48" s="46">
        <f>'需要側予測（成長実現ケース）'!FR52</f>
        <v>191125.4835096545</v>
      </c>
      <c r="C48" s="46">
        <f>'需要側予測（ベースラインケース)'!FR52</f>
        <v>147567.46888273803</v>
      </c>
    </row>
    <row r="49" spans="1:3">
      <c r="A49" s="129">
        <v>2027</v>
      </c>
      <c r="B49" s="46">
        <f>'需要側予測（成長実現ケース）'!FR53</f>
        <v>219427.93195282377</v>
      </c>
      <c r="C49" s="46">
        <f>'需要側予測（ベースラインケース)'!FR53</f>
        <v>165441.60243564931</v>
      </c>
    </row>
    <row r="50" spans="1:3">
      <c r="A50" s="129">
        <v>2028</v>
      </c>
      <c r="B50" s="46">
        <f>'需要側予測（成長実現ケース）'!FR54</f>
        <v>240070.62074366433</v>
      </c>
      <c r="C50" s="46">
        <f>'需要側予測（ベースラインケース)'!FR54</f>
        <v>173217.39874812329</v>
      </c>
    </row>
    <row r="51" spans="1:3">
      <c r="A51" s="129">
        <v>2029</v>
      </c>
      <c r="B51" s="46">
        <f>'需要側予測（成長実現ケース）'!FR55</f>
        <v>259909.60144421179</v>
      </c>
      <c r="C51" s="46">
        <f>'需要側予測（ベースラインケース)'!FR55</f>
        <v>183240.21995169949</v>
      </c>
    </row>
    <row r="52" spans="1:3">
      <c r="A52" s="129">
        <v>2030</v>
      </c>
      <c r="B52" s="46">
        <f>'需要側予測（成長実現ケース）'!FR56</f>
        <v>262363.88345130224</v>
      </c>
      <c r="C52" s="46">
        <f>'需要側予測（ベースラインケース)'!FR56</f>
        <v>176464.21529715729</v>
      </c>
    </row>
    <row r="53" spans="1:3">
      <c r="A53" s="129">
        <v>2031</v>
      </c>
      <c r="B53" s="46">
        <f>'需要側予測（成長実現ケース）'!FR57</f>
        <v>257378.08968290308</v>
      </c>
      <c r="C53" s="46">
        <f>'需要側予測（ベースラインケース)'!FR57</f>
        <v>160701.48982219645</v>
      </c>
    </row>
    <row r="54" spans="1:3">
      <c r="A54" s="129">
        <v>2032</v>
      </c>
      <c r="B54" s="46">
        <f>'需要側予測（成長実現ケース）'!FR58</f>
        <v>264959.47146071959</v>
      </c>
      <c r="C54" s="46">
        <f>'需要側予測（ベースラインケース)'!FR58</f>
        <v>166433.90277407825</v>
      </c>
    </row>
    <row r="55" spans="1:3">
      <c r="A55" s="129">
        <v>2033</v>
      </c>
      <c r="B55" s="46">
        <f>'需要側予測（成長実現ケース）'!FR59</f>
        <v>261074.79837616257</v>
      </c>
      <c r="C55" s="46">
        <f>'需要側予測（ベースラインケース)'!FR59</f>
        <v>165988.48952593419</v>
      </c>
    </row>
    <row r="56" spans="1:3">
      <c r="A56" s="129">
        <v>2034</v>
      </c>
      <c r="B56" s="46">
        <f>'需要側予測（成長実現ケース）'!FR60</f>
        <v>262284.57724530797</v>
      </c>
      <c r="C56" s="46">
        <f>'需要側予測（ベースラインケース)'!FR60</f>
        <v>166688.20753172893</v>
      </c>
    </row>
    <row r="57" spans="1:3">
      <c r="A57" s="129">
        <v>2035</v>
      </c>
      <c r="B57" s="46">
        <f>'需要側予測（成長実現ケース）'!FR61</f>
        <v>266297.48280888767</v>
      </c>
      <c r="C57" s="46">
        <f>'需要側予測（ベースラインケース)'!FR61</f>
        <v>167260.70982897223</v>
      </c>
    </row>
    <row r="58" spans="1:3">
      <c r="A58" s="129">
        <v>2036</v>
      </c>
      <c r="B58" s="46">
        <f>'需要側予測（成長実現ケース）'!FR62</f>
        <v>272054.14421510586</v>
      </c>
      <c r="C58" s="46">
        <f>'需要側予測（ベースラインケース)'!FR62</f>
        <v>168167.3091307696</v>
      </c>
    </row>
    <row r="59" spans="1:3">
      <c r="A59" s="129">
        <v>2037</v>
      </c>
      <c r="B59" s="46">
        <f>'需要側予測（成長実現ケース）'!FR63</f>
        <v>278569.64717475371</v>
      </c>
      <c r="C59" s="46">
        <f>'需要側予測（ベースラインケース)'!FR63</f>
        <v>169154.98728336577</v>
      </c>
    </row>
    <row r="60" spans="1:3">
      <c r="A60" s="129">
        <v>2038</v>
      </c>
      <c r="B60" s="46">
        <f>'需要側予測（成長実現ケース）'!FR64</f>
        <v>285344.60838175006</v>
      </c>
      <c r="C60" s="46">
        <f>'需要側予測（ベースラインケース)'!FR64</f>
        <v>170058.39852213967</v>
      </c>
    </row>
    <row r="61" spans="1:3">
      <c r="A61" s="129">
        <v>2039</v>
      </c>
      <c r="B61" s="46">
        <f>'需要側予測（成長実現ケース）'!FR65</f>
        <v>292287.33196542406</v>
      </c>
      <c r="C61" s="46">
        <f>'需要側予測（ベースラインケース)'!FR65</f>
        <v>170904.95479184636</v>
      </c>
    </row>
    <row r="62" spans="1:3">
      <c r="A62" s="129">
        <v>2040</v>
      </c>
      <c r="B62" s="46">
        <f>'需要側予測（成長実現ケース）'!FR66</f>
        <v>299412.51100271562</v>
      </c>
      <c r="C62" s="46">
        <f>'需要側予測（ベースラインケース)'!FR66</f>
        <v>171745.15718566603</v>
      </c>
    </row>
    <row r="66" spans="7:9">
      <c r="G66" s="24" t="s">
        <v>613</v>
      </c>
    </row>
    <row r="67" spans="7:9">
      <c r="G67" s="24" t="s">
        <v>206</v>
      </c>
      <c r="H67" s="24">
        <v>3792.5375985075302</v>
      </c>
    </row>
    <row r="68" spans="7:9">
      <c r="G68" s="24" t="s">
        <v>207</v>
      </c>
      <c r="H68" s="24">
        <v>2936.6621853525799</v>
      </c>
    </row>
    <row r="69" spans="7:9">
      <c r="G69" s="24" t="s">
        <v>208</v>
      </c>
      <c r="H69" s="24">
        <v>3088.5436393968798</v>
      </c>
    </row>
    <row r="70" spans="7:9">
      <c r="G70" s="24" t="s">
        <v>209</v>
      </c>
      <c r="H70" s="24">
        <v>3156.28716892585</v>
      </c>
    </row>
    <row r="71" spans="7:9">
      <c r="G71" s="24" t="s">
        <v>210</v>
      </c>
      <c r="H71" s="24">
        <v>3489.5784216033499</v>
      </c>
    </row>
    <row r="72" spans="7:9">
      <c r="G72" s="24" t="s">
        <v>416</v>
      </c>
      <c r="H72" s="24">
        <v>3055.4848156243402</v>
      </c>
    </row>
    <row r="73" spans="7:9">
      <c r="G73" s="24" t="s">
        <v>417</v>
      </c>
      <c r="H73" s="24">
        <v>3196.9081322360598</v>
      </c>
    </row>
    <row r="74" spans="7:9">
      <c r="G74" s="24" t="s">
        <v>418</v>
      </c>
      <c r="H74" s="24">
        <v>3284.8132650561001</v>
      </c>
      <c r="I74" s="24">
        <f>SUM(H71:H74)*10</f>
        <v>130267.8463451985</v>
      </c>
    </row>
    <row r="75" spans="7:9">
      <c r="G75" s="24" t="s">
        <v>419</v>
      </c>
      <c r="H75" s="24">
        <v>3651.40821837063</v>
      </c>
    </row>
    <row r="76" spans="7:9">
      <c r="G76" s="24" t="s">
        <v>420</v>
      </c>
      <c r="H76" s="24">
        <v>3175.14794182888</v>
      </c>
    </row>
    <row r="77" spans="7:9">
      <c r="G77" s="24" t="s">
        <v>421</v>
      </c>
      <c r="H77" s="24">
        <v>3403.4687740182599</v>
      </c>
    </row>
    <row r="78" spans="7:9">
      <c r="G78" s="24" t="s">
        <v>422</v>
      </c>
      <c r="H78" s="24">
        <v>3454.0370607478799</v>
      </c>
      <c r="I78" s="24">
        <f>SUM(H75:H78)*10</f>
        <v>136840.61994965651</v>
      </c>
    </row>
    <row r="79" spans="7:9">
      <c r="G79" s="24" t="s">
        <v>423</v>
      </c>
      <c r="H79" s="24">
        <v>3840.2717759970501</v>
      </c>
    </row>
  </sheetData>
  <phoneticPr fontId="1"/>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243A1-0658-4C01-95AD-13203B901319}">
  <dimension ref="A1:G75"/>
  <sheetViews>
    <sheetView workbookViewId="0">
      <selection activeCell="V37" sqref="V37"/>
    </sheetView>
  </sheetViews>
  <sheetFormatPr defaultColWidth="8.84375" defaultRowHeight="18.45"/>
  <cols>
    <col min="1" max="1" width="8.84375" style="87"/>
    <col min="2" max="3" width="19" style="37" bestFit="1" customWidth="1"/>
    <col min="4" max="4" width="8.84375" style="37"/>
    <col min="5" max="16384" width="8.84375" style="24"/>
  </cols>
  <sheetData>
    <row r="1" spans="1:4">
      <c r="A1" s="87" t="s">
        <v>7</v>
      </c>
      <c r="B1" s="37" t="s">
        <v>127</v>
      </c>
      <c r="C1" s="37" t="s">
        <v>150</v>
      </c>
      <c r="D1" s="37" t="s">
        <v>413</v>
      </c>
    </row>
    <row r="2" spans="1:4">
      <c r="A2" s="129">
        <v>1980</v>
      </c>
      <c r="B2" s="46">
        <f>'需要側予測（成長実現ケース）'!FT6</f>
        <v>69112.274387905345</v>
      </c>
      <c r="C2" s="46">
        <f>B2</f>
        <v>69112.274387905345</v>
      </c>
      <c r="D2" s="46">
        <f>C2</f>
        <v>69112.274387905345</v>
      </c>
    </row>
    <row r="3" spans="1:4">
      <c r="A3" s="129">
        <v>1981</v>
      </c>
      <c r="B3" s="46">
        <f>'需要側予測（成長実現ケース）'!FT7</f>
        <v>75441.126091765123</v>
      </c>
      <c r="C3" s="46">
        <f t="shared" ref="C3:D3" si="0">B3</f>
        <v>75441.126091765123</v>
      </c>
      <c r="D3" s="46">
        <f t="shared" si="0"/>
        <v>75441.126091765123</v>
      </c>
    </row>
    <row r="4" spans="1:4">
      <c r="A4" s="129">
        <v>1982</v>
      </c>
      <c r="B4" s="46">
        <f>'需要側予測（成長実現ケース）'!FT8</f>
        <v>77609.379083273889</v>
      </c>
      <c r="C4" s="46">
        <f t="shared" ref="C4:D4" si="1">B4</f>
        <v>77609.379083273889</v>
      </c>
      <c r="D4" s="46">
        <f t="shared" si="1"/>
        <v>77609.379083273889</v>
      </c>
    </row>
    <row r="5" spans="1:4">
      <c r="A5" s="129">
        <v>1983</v>
      </c>
      <c r="B5" s="46">
        <f>'需要側予測（成長実現ケース）'!FT9</f>
        <v>61030.108693556635</v>
      </c>
      <c r="C5" s="46">
        <f t="shared" ref="C5:D5" si="2">B5</f>
        <v>61030.108693556635</v>
      </c>
      <c r="D5" s="46">
        <f t="shared" si="2"/>
        <v>61030.108693556635</v>
      </c>
    </row>
    <row r="6" spans="1:4">
      <c r="A6" s="129">
        <v>1984</v>
      </c>
      <c r="B6" s="46">
        <f>'需要側予測（成長実現ケース）'!FT10</f>
        <v>56797.668049522254</v>
      </c>
      <c r="C6" s="46">
        <f t="shared" ref="C6:D6" si="3">B6</f>
        <v>56797.668049522254</v>
      </c>
      <c r="D6" s="46">
        <f t="shared" si="3"/>
        <v>56797.668049522254</v>
      </c>
    </row>
    <row r="7" spans="1:4">
      <c r="A7" s="129">
        <v>1985</v>
      </c>
      <c r="B7" s="46">
        <f>'需要側予測（成長実現ケース）'!FT11</f>
        <v>59616.226028088997</v>
      </c>
      <c r="C7" s="46">
        <f t="shared" ref="C7:D7" si="4">B7</f>
        <v>59616.226028088997</v>
      </c>
      <c r="D7" s="46">
        <f t="shared" si="4"/>
        <v>59616.226028088997</v>
      </c>
    </row>
    <row r="8" spans="1:4">
      <c r="A8" s="129">
        <v>1986</v>
      </c>
      <c r="B8" s="46">
        <f>'需要側予測（成長実現ケース）'!FT12</f>
        <v>62402.797154670094</v>
      </c>
      <c r="C8" s="46">
        <f t="shared" ref="C8:D8" si="5">B8</f>
        <v>62402.797154670094</v>
      </c>
      <c r="D8" s="46">
        <f t="shared" si="5"/>
        <v>62402.797154670094</v>
      </c>
    </row>
    <row r="9" spans="1:4">
      <c r="A9" s="129">
        <v>1987</v>
      </c>
      <c r="B9" s="46">
        <f>'需要側予測（成長実現ケース）'!FT13</f>
        <v>66344.736357248345</v>
      </c>
      <c r="C9" s="46">
        <f t="shared" ref="C9:D9" si="6">B9</f>
        <v>66344.736357248345</v>
      </c>
      <c r="D9" s="46">
        <f t="shared" si="6"/>
        <v>66344.736357248345</v>
      </c>
    </row>
    <row r="10" spans="1:4">
      <c r="A10" s="129">
        <v>1988</v>
      </c>
      <c r="B10" s="46">
        <f>'需要側予測（成長実現ケース）'!FT14</f>
        <v>68853.775936686056</v>
      </c>
      <c r="C10" s="46">
        <f t="shared" ref="C10:D10" si="7">B10</f>
        <v>68853.775936686056</v>
      </c>
      <c r="D10" s="46">
        <f t="shared" si="7"/>
        <v>68853.775936686056</v>
      </c>
    </row>
    <row r="11" spans="1:4">
      <c r="A11" s="129">
        <v>1989</v>
      </c>
      <c r="B11" s="46">
        <f>'需要側予測（成長実現ケース）'!FT15</f>
        <v>78110.645520670441</v>
      </c>
      <c r="C11" s="46">
        <f t="shared" ref="C11:D11" si="8">B11</f>
        <v>78110.645520670441</v>
      </c>
      <c r="D11" s="46">
        <f t="shared" si="8"/>
        <v>78110.645520670441</v>
      </c>
    </row>
    <row r="12" spans="1:4">
      <c r="A12" s="129">
        <v>1990</v>
      </c>
      <c r="B12" s="46">
        <f>'需要側予測（成長実現ケース）'!FT16</f>
        <v>91079.487514409862</v>
      </c>
      <c r="C12" s="46">
        <f t="shared" ref="C12:D12" si="9">B12</f>
        <v>91079.487514409862</v>
      </c>
      <c r="D12" s="46">
        <f t="shared" si="9"/>
        <v>91079.487514409862</v>
      </c>
    </row>
    <row r="13" spans="1:4">
      <c r="A13" s="129">
        <v>1991</v>
      </c>
      <c r="B13" s="46">
        <f>'需要側予測（成長実現ケース）'!FT17</f>
        <v>96262.083044016399</v>
      </c>
      <c r="C13" s="46">
        <f t="shared" ref="C13:D13" si="10">B13</f>
        <v>96262.083044016399</v>
      </c>
      <c r="D13" s="46">
        <f t="shared" si="10"/>
        <v>96262.083044016399</v>
      </c>
    </row>
    <row r="14" spans="1:4">
      <c r="A14" s="129">
        <v>1992</v>
      </c>
      <c r="B14" s="46">
        <f>'需要側予測（成長実現ケース）'!FT18</f>
        <v>100604.31713659353</v>
      </c>
      <c r="C14" s="46">
        <f t="shared" ref="C14:D14" si="11">B14</f>
        <v>100604.31713659353</v>
      </c>
      <c r="D14" s="46">
        <f t="shared" si="11"/>
        <v>100604.31713659353</v>
      </c>
    </row>
    <row r="15" spans="1:4">
      <c r="A15" s="129">
        <v>1993</v>
      </c>
      <c r="B15" s="46">
        <f>'需要側予測（成長実現ケース）'!FT19</f>
        <v>100293.00251845777</v>
      </c>
      <c r="C15" s="46">
        <f t="shared" ref="C15:D15" si="12">B15</f>
        <v>100293.00251845777</v>
      </c>
      <c r="D15" s="46">
        <f t="shared" si="12"/>
        <v>100293.00251845777</v>
      </c>
    </row>
    <row r="16" spans="1:4">
      <c r="A16" s="129">
        <v>1994</v>
      </c>
      <c r="B16" s="46">
        <f>'需要側予測（成長実現ケース）'!FT20</f>
        <v>92083.147856277501</v>
      </c>
      <c r="C16" s="46">
        <f t="shared" ref="C16:D16" si="13">B16</f>
        <v>92083.147856277501</v>
      </c>
      <c r="D16" s="46">
        <f t="shared" si="13"/>
        <v>92083.147856277501</v>
      </c>
    </row>
    <row r="17" spans="1:4">
      <c r="A17" s="129">
        <v>1995</v>
      </c>
      <c r="B17" s="46">
        <f>'需要側予測（成長実現ケース）'!FT21</f>
        <v>94882.371677233547</v>
      </c>
      <c r="C17" s="46">
        <f t="shared" ref="C17:D17" si="14">B17</f>
        <v>94882.371677233547</v>
      </c>
      <c r="D17" s="46">
        <f t="shared" si="14"/>
        <v>94882.371677233547</v>
      </c>
    </row>
    <row r="18" spans="1:4">
      <c r="A18" s="129">
        <v>1996</v>
      </c>
      <c r="B18" s="46">
        <f>'需要側予測（成長実現ケース）'!FT22</f>
        <v>91429.568433127468</v>
      </c>
      <c r="C18" s="46">
        <f t="shared" ref="C18:D18" si="15">B18</f>
        <v>91429.568433127468</v>
      </c>
      <c r="D18" s="46">
        <f t="shared" si="15"/>
        <v>91429.568433127468</v>
      </c>
    </row>
    <row r="19" spans="1:4">
      <c r="A19" s="129">
        <v>1997</v>
      </c>
      <c r="B19" s="46">
        <f>'需要側予測（成長実現ケース）'!FT23</f>
        <v>86974.314633486239</v>
      </c>
      <c r="C19" s="46">
        <f t="shared" ref="C19:D19" si="16">B19</f>
        <v>86974.314633486239</v>
      </c>
      <c r="D19" s="46">
        <f t="shared" si="16"/>
        <v>86974.314633486239</v>
      </c>
    </row>
    <row r="20" spans="1:4">
      <c r="A20" s="129">
        <v>1998</v>
      </c>
      <c r="B20" s="46">
        <f>'需要側予測（成長実現ケース）'!FT24</f>
        <v>84051.186621772213</v>
      </c>
      <c r="C20" s="46">
        <f t="shared" ref="C20:D20" si="17">B20</f>
        <v>84051.186621772213</v>
      </c>
      <c r="D20" s="46">
        <f t="shared" si="17"/>
        <v>84051.186621772213</v>
      </c>
    </row>
    <row r="21" spans="1:4">
      <c r="A21" s="129">
        <v>1999</v>
      </c>
      <c r="B21" s="46">
        <f>'需要側予測（成長実現ケース）'!FT25</f>
        <v>76108.415206839811</v>
      </c>
      <c r="C21" s="46">
        <f t="shared" ref="C21:D21" si="18">B21</f>
        <v>76108.415206839811</v>
      </c>
      <c r="D21" s="46">
        <f t="shared" si="18"/>
        <v>76108.415206839811</v>
      </c>
    </row>
    <row r="22" spans="1:4">
      <c r="A22" s="129">
        <v>2000</v>
      </c>
      <c r="B22" s="46">
        <f>'需要側予測（成長実現ケース）'!FT26</f>
        <v>73298.295024147359</v>
      </c>
      <c r="C22" s="46">
        <f t="shared" ref="C22:D22" si="19">B22</f>
        <v>73298.295024147359</v>
      </c>
      <c r="D22" s="46">
        <f t="shared" si="19"/>
        <v>73298.295024147359</v>
      </c>
    </row>
    <row r="23" spans="1:4">
      <c r="A23" s="129">
        <v>2001</v>
      </c>
      <c r="B23" s="46">
        <f>'需要側予測（成長実現ケース）'!FT27</f>
        <v>71034.623706564613</v>
      </c>
      <c r="C23" s="46">
        <f t="shared" ref="C23:D23" si="20">B23</f>
        <v>71034.623706564613</v>
      </c>
      <c r="D23" s="46">
        <f t="shared" si="20"/>
        <v>71034.623706564613</v>
      </c>
    </row>
    <row r="24" spans="1:4">
      <c r="A24" s="129">
        <v>2002</v>
      </c>
      <c r="B24" s="46">
        <f>'需要側予測（成長実現ケース）'!FT28</f>
        <v>62842.394694031776</v>
      </c>
      <c r="C24" s="46">
        <f t="shared" ref="C24:D24" si="21">B24</f>
        <v>62842.394694031776</v>
      </c>
      <c r="D24" s="46">
        <f t="shared" si="21"/>
        <v>62842.394694031776</v>
      </c>
    </row>
    <row r="25" spans="1:4">
      <c r="A25" s="129">
        <v>2003</v>
      </c>
      <c r="B25" s="46">
        <f>'需要側予測（成長実現ケース）'!FT29</f>
        <v>57583.46796415031</v>
      </c>
      <c r="C25" s="46">
        <f t="shared" ref="C25:D25" si="22">B25</f>
        <v>57583.46796415031</v>
      </c>
      <c r="D25" s="46">
        <f t="shared" si="22"/>
        <v>57583.46796415031</v>
      </c>
    </row>
    <row r="26" spans="1:4">
      <c r="A26" s="129">
        <v>2004</v>
      </c>
      <c r="B26" s="46">
        <f>'需要側予測（成長実現ケース）'!FT30</f>
        <v>53719.721920954609</v>
      </c>
      <c r="C26" s="46">
        <f t="shared" ref="C26:D26" si="23">B26</f>
        <v>53719.721920954609</v>
      </c>
      <c r="D26" s="46">
        <f t="shared" si="23"/>
        <v>53719.721920954609</v>
      </c>
    </row>
    <row r="27" spans="1:4">
      <c r="A27" s="129">
        <v>2005</v>
      </c>
      <c r="B27" s="46">
        <f>'需要側予測（成長実現ケース）'!FT31</f>
        <v>54181.746940259531</v>
      </c>
      <c r="C27" s="46">
        <f t="shared" ref="C27:D27" si="24">B27</f>
        <v>54181.746940259531</v>
      </c>
      <c r="D27" s="46">
        <f t="shared" si="24"/>
        <v>54181.746940259531</v>
      </c>
    </row>
    <row r="28" spans="1:4">
      <c r="A28" s="129">
        <v>2006</v>
      </c>
      <c r="B28" s="46">
        <f>'需要側予測（成長実現ケース）'!FT32</f>
        <v>54666.049505975912</v>
      </c>
      <c r="C28" s="46">
        <f t="shared" ref="C28:D28" si="25">B28</f>
        <v>54666.049505975912</v>
      </c>
      <c r="D28" s="46">
        <f t="shared" si="25"/>
        <v>54666.049505975912</v>
      </c>
    </row>
    <row r="29" spans="1:4">
      <c r="A29" s="129">
        <v>2007</v>
      </c>
      <c r="B29" s="46">
        <f>'需要側予測（成長実現ケース）'!FT33</f>
        <v>53797.225260160587</v>
      </c>
      <c r="C29" s="46">
        <f t="shared" ref="C29:D29" si="26">B29</f>
        <v>53797.225260160587</v>
      </c>
      <c r="D29" s="46">
        <f t="shared" si="26"/>
        <v>53797.225260160587</v>
      </c>
    </row>
    <row r="30" spans="1:4">
      <c r="A30" s="129">
        <v>2008</v>
      </c>
      <c r="B30" s="46">
        <f>'需要側予測（成長実現ケース）'!FT34</f>
        <v>52495.54100616405</v>
      </c>
      <c r="C30" s="46">
        <f t="shared" ref="C30:D30" si="27">B30</f>
        <v>52495.54100616405</v>
      </c>
      <c r="D30" s="46">
        <f t="shared" si="27"/>
        <v>52495.54100616405</v>
      </c>
    </row>
    <row r="31" spans="1:4">
      <c r="A31" s="129">
        <v>2009</v>
      </c>
      <c r="B31" s="46">
        <f>'需要側予測（成長実現ケース）'!FT35</f>
        <v>49375.167110910472</v>
      </c>
      <c r="C31" s="46">
        <f t="shared" ref="C31:D31" si="28">B31</f>
        <v>49375.167110910472</v>
      </c>
      <c r="D31" s="46">
        <f t="shared" si="28"/>
        <v>49375.167110910472</v>
      </c>
    </row>
    <row r="32" spans="1:4">
      <c r="A32" s="129">
        <v>2010</v>
      </c>
      <c r="B32" s="46">
        <f>'需要側予測（成長実現ケース）'!FT36</f>
        <v>42897.044274349406</v>
      </c>
      <c r="C32" s="46">
        <f t="shared" ref="C32:D32" si="29">B32</f>
        <v>42897.044274349406</v>
      </c>
      <c r="D32" s="46">
        <f t="shared" si="29"/>
        <v>42897.044274349406</v>
      </c>
    </row>
    <row r="33" spans="1:4">
      <c r="A33" s="129">
        <v>2011</v>
      </c>
      <c r="B33" s="46">
        <f>'需要側予測（成長実現ケース）'!FT37</f>
        <v>45876.393961105088</v>
      </c>
      <c r="C33" s="46">
        <f t="shared" ref="C33:D33" si="30">B33</f>
        <v>45876.393961105088</v>
      </c>
      <c r="D33" s="46">
        <f t="shared" si="30"/>
        <v>45876.393961105088</v>
      </c>
    </row>
    <row r="34" spans="1:4">
      <c r="A34" s="129">
        <v>2012</v>
      </c>
      <c r="B34" s="46">
        <f>'需要側予測（成長実現ケース）'!FT38</f>
        <v>44841.031680183332</v>
      </c>
      <c r="C34" s="46">
        <f t="shared" ref="C34:D34" si="31">B34</f>
        <v>44841.031680183332</v>
      </c>
      <c r="D34" s="46">
        <f t="shared" si="31"/>
        <v>44841.031680183332</v>
      </c>
    </row>
    <row r="35" spans="1:4">
      <c r="A35" s="129">
        <v>2013</v>
      </c>
      <c r="B35" s="46">
        <f>'需要側予測（成長実現ケース）'!FT39</f>
        <v>46865.217622593802</v>
      </c>
      <c r="C35" s="46">
        <f t="shared" ref="C35:D35" si="32">B35</f>
        <v>46865.217622593802</v>
      </c>
      <c r="D35" s="46">
        <f t="shared" si="32"/>
        <v>46865.217622593802</v>
      </c>
    </row>
    <row r="36" spans="1:4">
      <c r="A36" s="129">
        <v>2014</v>
      </c>
      <c r="B36" s="46">
        <f>'需要側予測（成長実現ケース）'!FT40</f>
        <v>47380.301256210405</v>
      </c>
      <c r="C36" s="46">
        <f t="shared" ref="C36:D36" si="33">B36</f>
        <v>47380.301256210405</v>
      </c>
      <c r="D36" s="46">
        <f t="shared" si="33"/>
        <v>47380.301256210405</v>
      </c>
    </row>
    <row r="37" spans="1:4">
      <c r="A37" s="129">
        <v>2015</v>
      </c>
      <c r="B37" s="46">
        <f>'需要側予測（成長実現ケース）'!FT41</f>
        <v>49537.703405259403</v>
      </c>
      <c r="C37" s="46">
        <f t="shared" ref="C37:D37" si="34">B37</f>
        <v>49537.703405259403</v>
      </c>
      <c r="D37" s="46">
        <f t="shared" si="34"/>
        <v>49537.703405259403</v>
      </c>
    </row>
    <row r="38" spans="1:4">
      <c r="A38" s="129">
        <v>2016</v>
      </c>
      <c r="B38" s="46">
        <f>'需要側予測（成長実現ケース）'!FT42</f>
        <v>50138.464741578318</v>
      </c>
      <c r="C38" s="46">
        <f t="shared" ref="C38:D38" si="35">B38</f>
        <v>50138.464741578318</v>
      </c>
      <c r="D38" s="46">
        <f t="shared" si="35"/>
        <v>50138.464741578318</v>
      </c>
    </row>
    <row r="39" spans="1:4">
      <c r="A39" s="129">
        <v>2017</v>
      </c>
      <c r="B39" s="46">
        <f>'需要側予測（成長実現ケース）'!FT43</f>
        <v>48275.565276246984</v>
      </c>
      <c r="C39" s="46">
        <f t="shared" ref="C39:D39" si="36">B39</f>
        <v>48275.565276246984</v>
      </c>
      <c r="D39" s="46">
        <f t="shared" si="36"/>
        <v>48275.565276246984</v>
      </c>
    </row>
    <row r="40" spans="1:4">
      <c r="A40" s="129">
        <v>2018</v>
      </c>
      <c r="B40" s="46">
        <f>'需要側予測（成長実現ケース）'!FT44</f>
        <v>50306.421033825078</v>
      </c>
      <c r="C40" s="46">
        <f t="shared" ref="C40:D40" si="37">B40</f>
        <v>50306.421033825078</v>
      </c>
      <c r="D40" s="46">
        <f t="shared" si="37"/>
        <v>50306.421033825078</v>
      </c>
    </row>
    <row r="41" spans="1:4">
      <c r="A41" s="129">
        <v>2019</v>
      </c>
      <c r="B41" s="46">
        <f>'需要側予測（成長実現ケース）'!FT45</f>
        <v>50764.635452699134</v>
      </c>
      <c r="C41" s="46">
        <f t="shared" ref="C41:D41" si="38">B41</f>
        <v>50764.635452699134</v>
      </c>
      <c r="D41" s="46">
        <f t="shared" si="38"/>
        <v>50764.635452699134</v>
      </c>
    </row>
    <row r="42" spans="1:4">
      <c r="A42" s="129">
        <v>2020</v>
      </c>
      <c r="B42" s="46">
        <f>'需要側予測（成長実現ケース）'!FT46</f>
        <v>50646.256352396464</v>
      </c>
      <c r="C42" s="46">
        <f t="shared" ref="C42:D42" si="39">B42</f>
        <v>50646.256352396464</v>
      </c>
      <c r="D42" s="46">
        <f t="shared" si="39"/>
        <v>50646.256352396464</v>
      </c>
    </row>
    <row r="43" spans="1:4">
      <c r="A43" s="129">
        <v>2021</v>
      </c>
      <c r="B43" s="348">
        <v>51177.906617333203</v>
      </c>
      <c r="C43" s="46">
        <f t="shared" ref="C43:D43" si="40">B43</f>
        <v>51177.906617333203</v>
      </c>
      <c r="D43" s="46">
        <f t="shared" si="40"/>
        <v>51177.906617333203</v>
      </c>
    </row>
    <row r="44" spans="1:4">
      <c r="A44" s="129">
        <v>2022</v>
      </c>
      <c r="B44" s="348">
        <v>51048.5756557247</v>
      </c>
      <c r="C44" s="46">
        <f t="shared" ref="C44:D44" si="41">B44</f>
        <v>51048.5756557247</v>
      </c>
      <c r="D44" s="46">
        <f t="shared" si="41"/>
        <v>51048.5756557247</v>
      </c>
    </row>
    <row r="45" spans="1:4">
      <c r="A45" s="129">
        <v>2023</v>
      </c>
      <c r="B45" s="46">
        <f>'需要側予測（成長実現ケース）'!FT49</f>
        <v>47186.941535446625</v>
      </c>
      <c r="C45" s="46">
        <f>'需要側予測（ベースラインケース)'!FT49</f>
        <v>42081.326043111854</v>
      </c>
    </row>
    <row r="46" spans="1:4">
      <c r="A46" s="129">
        <v>2024</v>
      </c>
      <c r="B46" s="46">
        <f>'需要側予測（成長実現ケース）'!FT50</f>
        <v>47006.510010823142</v>
      </c>
      <c r="C46" s="46">
        <f>'需要側予測（ベースラインケース)'!FT50</f>
        <v>42290.487983909545</v>
      </c>
    </row>
    <row r="47" spans="1:4">
      <c r="A47" s="129">
        <v>2025</v>
      </c>
      <c r="B47" s="46">
        <f>'需要側予測（成長実現ケース）'!FT51</f>
        <v>46353.196188101254</v>
      </c>
      <c r="C47" s="46">
        <f>'需要側予測（ベースラインケース)'!FT51</f>
        <v>44000.618387155409</v>
      </c>
    </row>
    <row r="48" spans="1:4">
      <c r="A48" s="129">
        <v>2026</v>
      </c>
      <c r="B48" s="46">
        <f>'需要側予測（成長実現ケース）'!FT52</f>
        <v>45840.899558989397</v>
      </c>
      <c r="C48" s="46">
        <f>'需要側予測（ベースラインケース)'!FT52</f>
        <v>44075.903270655996</v>
      </c>
    </row>
    <row r="49" spans="1:6">
      <c r="A49" s="129">
        <v>2027</v>
      </c>
      <c r="B49" s="46">
        <f>'需要側予測（成長実現ケース）'!FT53</f>
        <v>45993.876323815311</v>
      </c>
      <c r="C49" s="46">
        <f>'需要側予測（ベースラインケース)'!FT53</f>
        <v>45491.47098482991</v>
      </c>
    </row>
    <row r="50" spans="1:6">
      <c r="A50" s="129">
        <v>2028</v>
      </c>
      <c r="B50" s="46">
        <f>'需要側予測（成長実現ケース）'!FT54</f>
        <v>46880.717174046462</v>
      </c>
      <c r="C50" s="46">
        <f>'需要側予測（ベースラインケース)'!FT54</f>
        <v>46089.849454198382</v>
      </c>
    </row>
    <row r="51" spans="1:6">
      <c r="A51" s="129">
        <v>2029</v>
      </c>
      <c r="B51" s="46">
        <f>'需要側予測（成長実現ケース）'!FT55</f>
        <v>48905.089684483028</v>
      </c>
      <c r="C51" s="46">
        <f>'需要側予測（ベースラインケース)'!FT55</f>
        <v>47831.375949729438</v>
      </c>
    </row>
    <row r="52" spans="1:6">
      <c r="A52" s="129">
        <v>2030</v>
      </c>
      <c r="B52" s="46">
        <f>'需要側予測（成長実現ケース）'!FT56</f>
        <v>50847.407458461981</v>
      </c>
      <c r="C52" s="46">
        <f>'需要側予測（ベースラインケース)'!FT56</f>
        <v>48571.544154807067</v>
      </c>
    </row>
    <row r="53" spans="1:6">
      <c r="A53" s="129">
        <v>2031</v>
      </c>
      <c r="B53" s="46">
        <f>'需要側予測（成長実現ケース）'!FT57</f>
        <v>53547.701512421445</v>
      </c>
      <c r="C53" s="46">
        <f>'需要側予測（ベースラインケース)'!FT57</f>
        <v>49918.556713835103</v>
      </c>
    </row>
    <row r="54" spans="1:6">
      <c r="A54" s="129">
        <v>2032</v>
      </c>
      <c r="B54" s="46">
        <f>'需要側予測（成長実現ケース）'!FT58</f>
        <v>57399.424380369346</v>
      </c>
      <c r="C54" s="46">
        <f>'需要側予測（ベースラインケース)'!FT58</f>
        <v>51337.536921626765</v>
      </c>
    </row>
    <row r="55" spans="1:6">
      <c r="A55" s="129">
        <v>2033</v>
      </c>
      <c r="B55" s="46">
        <f>'需要側予測（成長実現ケース）'!FT59</f>
        <v>59901.720080367239</v>
      </c>
      <c r="C55" s="46">
        <f>'需要側予測（ベースラインケース)'!FT59</f>
        <v>52080.343714317918</v>
      </c>
    </row>
    <row r="56" spans="1:6">
      <c r="A56" s="129">
        <v>2034</v>
      </c>
      <c r="B56" s="46">
        <f>'需要側予測（成長実現ケース）'!FT60</f>
        <v>62699.561028551681</v>
      </c>
      <c r="C56" s="46">
        <f>'需要側予測（ベースラインケース)'!FT60</f>
        <v>52822.400311849073</v>
      </c>
    </row>
    <row r="57" spans="1:6">
      <c r="A57" s="129">
        <v>2035</v>
      </c>
      <c r="B57" s="46">
        <f>'需要側予測（成長実現ケース）'!FT61</f>
        <v>64715.840976463529</v>
      </c>
      <c r="C57" s="46">
        <f>'需要側予測（ベースラインケース)'!FT61</f>
        <v>53179.630348364939</v>
      </c>
    </row>
    <row r="58" spans="1:6">
      <c r="A58" s="129">
        <v>2036</v>
      </c>
      <c r="B58" s="46">
        <f>'需要側予測（成長実現ケース）'!FT62</f>
        <v>66920.973930436186</v>
      </c>
      <c r="C58" s="46">
        <f>'需要側予測（ベースラインケース)'!FT62</f>
        <v>53564.565558376722</v>
      </c>
    </row>
    <row r="59" spans="1:6">
      <c r="A59" s="129">
        <v>2037</v>
      </c>
      <c r="B59" s="46">
        <f>'需要側予測（成長実現ケース）'!FT63</f>
        <v>68725.841070528564</v>
      </c>
      <c r="C59" s="46">
        <f>'需要側予測（ベースラインケース)'!FT63</f>
        <v>53767.726723465312</v>
      </c>
    </row>
    <row r="60" spans="1:6">
      <c r="A60" s="129">
        <v>2038</v>
      </c>
      <c r="B60" s="46">
        <f>'需要側予測（成長実現ケース）'!FT64</f>
        <v>70665.01630044679</v>
      </c>
      <c r="C60" s="46">
        <f>'需要側予測（ベースラインケース)'!FT64</f>
        <v>54008.741002446586</v>
      </c>
    </row>
    <row r="61" spans="1:6">
      <c r="A61" s="129">
        <v>2039</v>
      </c>
      <c r="B61" s="46">
        <f>'需要側予測（成長実現ケース）'!FT65</f>
        <v>72443.505152777929</v>
      </c>
      <c r="C61" s="46">
        <f>'需要側予測（ベースラインケース)'!FT65</f>
        <v>54192.971693948086</v>
      </c>
    </row>
    <row r="62" spans="1:6">
      <c r="A62" s="129">
        <v>2040</v>
      </c>
      <c r="B62" s="46">
        <f>'需要側予測（成長実現ケース）'!FT66</f>
        <v>74366.172010272814</v>
      </c>
      <c r="C62" s="46">
        <f>'需要側予測（ベースラインケース)'!FT66</f>
        <v>54443.05212025893</v>
      </c>
      <c r="E62" s="24" t="s">
        <v>614</v>
      </c>
    </row>
    <row r="63" spans="1:6">
      <c r="E63" s="24" t="s">
        <v>206</v>
      </c>
      <c r="F63" s="24">
        <v>1393.22793933562</v>
      </c>
    </row>
    <row r="64" spans="1:6">
      <c r="E64" s="24" t="s">
        <v>207</v>
      </c>
      <c r="F64" s="24">
        <v>1141.51605964859</v>
      </c>
    </row>
    <row r="65" spans="5:7">
      <c r="E65" s="24" t="s">
        <v>208</v>
      </c>
      <c r="F65" s="24">
        <v>1220.4181763839399</v>
      </c>
    </row>
    <row r="66" spans="5:7">
      <c r="E66" s="24" t="s">
        <v>209</v>
      </c>
      <c r="F66" s="24">
        <v>1255.6108067718401</v>
      </c>
    </row>
    <row r="67" spans="5:7">
      <c r="E67" s="24" t="s">
        <v>210</v>
      </c>
      <c r="F67" s="24">
        <v>1428.7549571956199</v>
      </c>
    </row>
    <row r="68" spans="5:7">
      <c r="E68" s="24" t="s">
        <v>416</v>
      </c>
      <c r="F68" s="24">
        <v>1160.8226763431601</v>
      </c>
    </row>
    <row r="69" spans="5:7">
      <c r="E69" s="24" t="s">
        <v>417</v>
      </c>
      <c r="F69" s="24">
        <v>1249.0968386017601</v>
      </c>
    </row>
    <row r="70" spans="5:7">
      <c r="E70" s="24" t="s">
        <v>418</v>
      </c>
      <c r="F70" s="24">
        <v>1279.1161895927801</v>
      </c>
      <c r="G70" s="24">
        <f>SUM(F67:F70)*10</f>
        <v>51177.906617333203</v>
      </c>
    </row>
    <row r="71" spans="5:7">
      <c r="E71" s="24" t="s">
        <v>419</v>
      </c>
      <c r="F71" s="24">
        <v>1459.6690813810401</v>
      </c>
    </row>
    <row r="72" spans="5:7">
      <c r="E72" s="24" t="s">
        <v>420</v>
      </c>
      <c r="F72" s="24">
        <v>1147.05280324264</v>
      </c>
    </row>
    <row r="73" spans="5:7">
      <c r="E73" s="24" t="s">
        <v>421</v>
      </c>
      <c r="F73" s="24">
        <v>1234.74244356094</v>
      </c>
    </row>
    <row r="74" spans="5:7">
      <c r="E74" s="24" t="s">
        <v>422</v>
      </c>
      <c r="F74" s="24">
        <v>1263.3932373878499</v>
      </c>
      <c r="G74" s="24">
        <f>SUM(F71:F74)*10</f>
        <v>51048.5756557247</v>
      </c>
    </row>
    <row r="75" spans="5:7">
      <c r="E75" s="24" t="s">
        <v>423</v>
      </c>
      <c r="F75" s="24">
        <v>1449.5176258620099</v>
      </c>
    </row>
  </sheetData>
  <phoneticPr fontId="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BAD01-9D67-4BDB-85DD-A5A0873EB8BD}">
  <sheetPr>
    <pageSetUpPr fitToPage="1"/>
  </sheetPr>
  <dimension ref="A1:D31"/>
  <sheetViews>
    <sheetView view="pageBreakPreview" zoomScale="55" zoomScaleNormal="75" zoomScaleSheetLayoutView="55" workbookViewId="0">
      <selection activeCell="W5" sqref="W5"/>
    </sheetView>
  </sheetViews>
  <sheetFormatPr defaultColWidth="9" defaultRowHeight="18.45"/>
  <cols>
    <col min="1" max="1" width="7.23046875" style="126" bestFit="1" customWidth="1"/>
    <col min="2" max="2" width="32.69140625" style="34" bestFit="1" customWidth="1"/>
    <col min="3" max="3" width="37.4609375" style="34" bestFit="1" customWidth="1"/>
    <col min="4" max="4" width="16.3046875" style="126" bestFit="1" customWidth="1"/>
    <col min="5" max="11" width="9.3046875" style="126" customWidth="1"/>
    <col min="12" max="15" width="9" style="126"/>
    <col min="16" max="16" width="9" style="126" customWidth="1"/>
    <col min="17" max="16384" width="9" style="126"/>
  </cols>
  <sheetData>
    <row r="1" spans="1:4">
      <c r="A1" s="125" t="s">
        <v>151</v>
      </c>
      <c r="B1" s="34" t="s">
        <v>158</v>
      </c>
      <c r="C1" s="34" t="s">
        <v>159</v>
      </c>
      <c r="D1" s="126" t="s">
        <v>160</v>
      </c>
    </row>
    <row r="2" spans="1:4" ht="19.3">
      <c r="A2" s="127">
        <v>2002</v>
      </c>
      <c r="B2" s="126">
        <v>-0.6</v>
      </c>
      <c r="C2" s="126">
        <v>-0.6</v>
      </c>
      <c r="D2" s="253">
        <f>C2</f>
        <v>-0.6</v>
      </c>
    </row>
    <row r="3" spans="1:4" ht="19.3">
      <c r="A3" s="127">
        <v>2003</v>
      </c>
      <c r="B3" s="126">
        <v>-0.2</v>
      </c>
      <c r="C3" s="126">
        <v>-0.2</v>
      </c>
      <c r="D3" s="253">
        <f t="shared" ref="D3:D22" si="0">C3</f>
        <v>-0.2</v>
      </c>
    </row>
    <row r="4" spans="1:4" ht="19.3">
      <c r="A4" s="127">
        <v>2004</v>
      </c>
      <c r="B4" s="126">
        <v>-0.1</v>
      </c>
      <c r="C4" s="126">
        <v>-0.1</v>
      </c>
      <c r="D4" s="253">
        <f t="shared" si="0"/>
        <v>-0.1</v>
      </c>
    </row>
    <row r="5" spans="1:4" ht="19.3">
      <c r="A5" s="127">
        <v>2005</v>
      </c>
      <c r="B5" s="126">
        <v>-0.1</v>
      </c>
      <c r="C5" s="126">
        <v>-0.1</v>
      </c>
      <c r="D5" s="253">
        <f t="shared" si="0"/>
        <v>-0.1</v>
      </c>
    </row>
    <row r="6" spans="1:4" ht="19.3">
      <c r="A6" s="127">
        <v>2006</v>
      </c>
      <c r="B6" s="126">
        <v>0.2</v>
      </c>
      <c r="C6" s="126">
        <v>0.2</v>
      </c>
      <c r="D6" s="253">
        <f t="shared" si="0"/>
        <v>0.2</v>
      </c>
    </row>
    <row r="7" spans="1:4" ht="19.3">
      <c r="A7" s="127">
        <v>2007</v>
      </c>
      <c r="B7" s="126">
        <v>0.4</v>
      </c>
      <c r="C7" s="126">
        <v>0.4</v>
      </c>
      <c r="D7" s="253">
        <f t="shared" si="0"/>
        <v>0.4</v>
      </c>
    </row>
    <row r="8" spans="1:4" ht="19.3">
      <c r="A8" s="127">
        <v>2008</v>
      </c>
      <c r="B8" s="126">
        <v>1.1000000000000001</v>
      </c>
      <c r="C8" s="126">
        <v>1.1000000000000001</v>
      </c>
      <c r="D8" s="253">
        <f t="shared" si="0"/>
        <v>1.1000000000000001</v>
      </c>
    </row>
    <row r="9" spans="1:4" ht="19.3">
      <c r="A9" s="127">
        <v>2009</v>
      </c>
      <c r="B9" s="126">
        <v>-1.7</v>
      </c>
      <c r="C9" s="126">
        <v>-1.7</v>
      </c>
      <c r="D9" s="253">
        <f t="shared" si="0"/>
        <v>-1.7</v>
      </c>
    </row>
    <row r="10" spans="1:4" ht="19.3">
      <c r="A10" s="127">
        <v>2010</v>
      </c>
      <c r="B10" s="126">
        <v>-0.4</v>
      </c>
      <c r="C10" s="126">
        <v>-0.4</v>
      </c>
      <c r="D10" s="253">
        <f t="shared" si="0"/>
        <v>-0.4</v>
      </c>
    </row>
    <row r="11" spans="1:4" ht="19.3">
      <c r="A11" s="127">
        <v>2011</v>
      </c>
      <c r="B11" s="126">
        <v>-0.1</v>
      </c>
      <c r="C11" s="126">
        <v>-0.1</v>
      </c>
      <c r="D11" s="253">
        <f t="shared" si="0"/>
        <v>-0.1</v>
      </c>
    </row>
    <row r="12" spans="1:4" ht="19.3">
      <c r="A12" s="127">
        <v>2012</v>
      </c>
      <c r="B12" s="126">
        <v>-0.3</v>
      </c>
      <c r="C12" s="126">
        <v>-0.3</v>
      </c>
      <c r="D12" s="253">
        <f t="shared" si="0"/>
        <v>-0.3</v>
      </c>
    </row>
    <row r="13" spans="1:4" ht="19.3">
      <c r="A13" s="127">
        <v>2013</v>
      </c>
      <c r="B13" s="126">
        <v>0.9</v>
      </c>
      <c r="C13" s="126">
        <v>0.9</v>
      </c>
      <c r="D13" s="253">
        <f t="shared" si="0"/>
        <v>0.9</v>
      </c>
    </row>
    <row r="14" spans="1:4" ht="19.3">
      <c r="A14" s="127">
        <v>2014</v>
      </c>
      <c r="B14" s="126">
        <v>2.9</v>
      </c>
      <c r="C14" s="126">
        <v>2.9</v>
      </c>
      <c r="D14" s="253">
        <f t="shared" si="0"/>
        <v>2.9</v>
      </c>
    </row>
    <row r="15" spans="1:4" ht="19.3">
      <c r="A15" s="127">
        <v>2015</v>
      </c>
      <c r="B15" s="126">
        <v>0.2</v>
      </c>
      <c r="C15" s="126">
        <v>0.2</v>
      </c>
      <c r="D15" s="253">
        <f t="shared" si="0"/>
        <v>0.2</v>
      </c>
    </row>
    <row r="16" spans="1:4" ht="19.3">
      <c r="A16" s="127">
        <v>2016</v>
      </c>
      <c r="B16" s="126">
        <v>-0.1</v>
      </c>
      <c r="C16" s="126">
        <v>-0.1</v>
      </c>
      <c r="D16" s="253">
        <f t="shared" si="0"/>
        <v>-0.1</v>
      </c>
    </row>
    <row r="17" spans="1:4" ht="19.3">
      <c r="A17" s="127">
        <v>2017</v>
      </c>
      <c r="B17" s="126">
        <v>0.7</v>
      </c>
      <c r="C17" s="126">
        <v>0.7</v>
      </c>
      <c r="D17" s="253">
        <f t="shared" si="0"/>
        <v>0.7</v>
      </c>
    </row>
    <row r="18" spans="1:4" ht="19.3">
      <c r="A18" s="127">
        <v>2018</v>
      </c>
      <c r="B18" s="126">
        <v>0.7</v>
      </c>
      <c r="C18" s="126">
        <v>0.7</v>
      </c>
      <c r="D18" s="253">
        <f t="shared" si="0"/>
        <v>0.7</v>
      </c>
    </row>
    <row r="19" spans="1:4" ht="19.3">
      <c r="A19" s="127">
        <v>2019</v>
      </c>
      <c r="B19" s="126">
        <v>0.5</v>
      </c>
      <c r="C19" s="126">
        <v>0.5</v>
      </c>
      <c r="D19" s="253">
        <f t="shared" si="0"/>
        <v>0.5</v>
      </c>
    </row>
    <row r="20" spans="1:4" ht="19.3">
      <c r="A20" s="127">
        <v>2020</v>
      </c>
      <c r="B20" s="126">
        <v>-0.2</v>
      </c>
      <c r="C20" s="126">
        <v>-0.2</v>
      </c>
      <c r="D20" s="253">
        <f t="shared" si="0"/>
        <v>-0.2</v>
      </c>
    </row>
    <row r="21" spans="1:4" ht="19.3">
      <c r="A21" s="127">
        <v>2021</v>
      </c>
      <c r="B21" s="126">
        <v>-0.1</v>
      </c>
      <c r="C21" s="126">
        <v>-0.1</v>
      </c>
      <c r="D21" s="253">
        <f t="shared" si="0"/>
        <v>-0.1</v>
      </c>
    </row>
    <row r="22" spans="1:4" ht="19.3">
      <c r="A22" s="127">
        <v>2022</v>
      </c>
      <c r="B22" s="126">
        <v>0.9</v>
      </c>
      <c r="C22" s="126">
        <v>0.9</v>
      </c>
      <c r="D22" s="253">
        <f t="shared" si="0"/>
        <v>0.9</v>
      </c>
    </row>
    <row r="23" spans="1:4" ht="19.3">
      <c r="A23" s="127">
        <v>2023</v>
      </c>
      <c r="B23" s="126">
        <v>1.1000000000000001</v>
      </c>
      <c r="C23" s="126">
        <v>0.6</v>
      </c>
    </row>
    <row r="24" spans="1:4" ht="19.3">
      <c r="A24" s="127">
        <v>2024</v>
      </c>
      <c r="B24" s="126">
        <v>1.6</v>
      </c>
      <c r="C24" s="126">
        <v>0.6</v>
      </c>
    </row>
    <row r="25" spans="1:4" ht="19.3">
      <c r="A25" s="127">
        <v>2025</v>
      </c>
      <c r="B25" s="126">
        <v>1.9</v>
      </c>
      <c r="C25" s="126">
        <v>0.7</v>
      </c>
    </row>
    <row r="26" spans="1:4" ht="19.3">
      <c r="A26" s="127">
        <v>2026</v>
      </c>
      <c r="B26" s="126">
        <v>2</v>
      </c>
      <c r="C26" s="126">
        <v>0.7</v>
      </c>
    </row>
    <row r="27" spans="1:4" ht="19.3">
      <c r="A27" s="127">
        <v>2027</v>
      </c>
      <c r="B27" s="126">
        <v>2</v>
      </c>
      <c r="C27" s="126">
        <v>0.7</v>
      </c>
    </row>
    <row r="28" spans="1:4" ht="19.3">
      <c r="A28" s="127">
        <v>2028</v>
      </c>
      <c r="B28" s="126">
        <v>2</v>
      </c>
      <c r="C28" s="126">
        <v>0.7</v>
      </c>
    </row>
    <row r="29" spans="1:4" ht="19.3">
      <c r="A29" s="127">
        <v>2029</v>
      </c>
      <c r="B29" s="126">
        <v>2</v>
      </c>
      <c r="C29" s="126">
        <v>0.7</v>
      </c>
    </row>
    <row r="30" spans="1:4" ht="19.3">
      <c r="A30" s="127">
        <v>2030</v>
      </c>
      <c r="B30" s="126">
        <v>2</v>
      </c>
      <c r="C30" s="126">
        <v>0.7</v>
      </c>
    </row>
    <row r="31" spans="1:4" ht="19.3">
      <c r="A31" s="127">
        <v>2031</v>
      </c>
      <c r="B31" s="126">
        <v>2</v>
      </c>
      <c r="C31" s="126">
        <v>0.7</v>
      </c>
    </row>
  </sheetData>
  <phoneticPr fontId="1"/>
  <pageMargins left="0.7" right="0.7" top="0.75" bottom="0.75" header="0.3" footer="0.3"/>
  <pageSetup paperSize="9" scale="44"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9E350-C265-49FC-A2C2-5A3F21EED34D}">
  <dimension ref="A1:H71"/>
  <sheetViews>
    <sheetView topLeftCell="A40" workbookViewId="0">
      <selection activeCell="V37" sqref="V37"/>
    </sheetView>
  </sheetViews>
  <sheetFormatPr defaultColWidth="8.84375" defaultRowHeight="18.45"/>
  <cols>
    <col min="1" max="1" width="8.84375" style="87"/>
    <col min="2" max="3" width="19" style="37" bestFit="1" customWidth="1"/>
    <col min="4" max="4" width="8.84375" style="37"/>
    <col min="5" max="16384" width="8.84375" style="24"/>
  </cols>
  <sheetData>
    <row r="1" spans="1:4">
      <c r="A1" s="87" t="s">
        <v>7</v>
      </c>
      <c r="B1" s="37" t="s">
        <v>127</v>
      </c>
      <c r="C1" s="37" t="s">
        <v>150</v>
      </c>
      <c r="D1" s="37" t="s">
        <v>413</v>
      </c>
    </row>
    <row r="2" spans="1:4">
      <c r="A2" s="129">
        <v>1980</v>
      </c>
      <c r="B2" s="46">
        <f>'需要側予測（成長実現ケース）'!FQ6</f>
        <v>12344.283979982103</v>
      </c>
      <c r="C2" s="46">
        <f>B2</f>
        <v>12344.283979982103</v>
      </c>
      <c r="D2" s="46">
        <f>C2</f>
        <v>12344.283979982103</v>
      </c>
    </row>
    <row r="3" spans="1:4">
      <c r="A3" s="129">
        <v>1981</v>
      </c>
      <c r="B3" s="46">
        <f>'需要側予測（成長実現ケース）'!FQ7</f>
        <v>11594.987730497327</v>
      </c>
      <c r="C3" s="46">
        <f t="shared" ref="C3:D3" si="0">B3</f>
        <v>11594.987730497327</v>
      </c>
      <c r="D3" s="46">
        <f t="shared" si="0"/>
        <v>11594.987730497327</v>
      </c>
    </row>
    <row r="4" spans="1:4">
      <c r="A4" s="129">
        <v>1982</v>
      </c>
      <c r="B4" s="46">
        <f>'需要側予測（成長実現ケース）'!FQ8</f>
        <v>11834.491191114705</v>
      </c>
      <c r="C4" s="46">
        <f t="shared" ref="C4:D4" si="1">B4</f>
        <v>11834.491191114705</v>
      </c>
      <c r="D4" s="46">
        <f t="shared" si="1"/>
        <v>11834.491191114705</v>
      </c>
    </row>
    <row r="5" spans="1:4">
      <c r="A5" s="129">
        <v>1983</v>
      </c>
      <c r="B5" s="46">
        <f>'需要側予測（成長実現ケース）'!FQ9</f>
        <v>11846.53137729371</v>
      </c>
      <c r="C5" s="46">
        <f t="shared" ref="C5:D5" si="2">B5</f>
        <v>11846.53137729371</v>
      </c>
      <c r="D5" s="46">
        <f t="shared" si="2"/>
        <v>11846.53137729371</v>
      </c>
    </row>
    <row r="6" spans="1:4">
      <c r="A6" s="129">
        <v>1984</v>
      </c>
      <c r="B6" s="46">
        <f>'需要側予測（成長実現ケース）'!FQ10</f>
        <v>10878.346928778528</v>
      </c>
      <c r="C6" s="46">
        <f t="shared" ref="C6:D6" si="3">B6</f>
        <v>10878.346928778528</v>
      </c>
      <c r="D6" s="46">
        <f t="shared" si="3"/>
        <v>10878.346928778528</v>
      </c>
    </row>
    <row r="7" spans="1:4">
      <c r="A7" s="129">
        <v>1985</v>
      </c>
      <c r="B7" s="46">
        <f>'需要側予測（成長実現ケース）'!FQ11</f>
        <v>10689.203736029876</v>
      </c>
      <c r="C7" s="46">
        <f t="shared" ref="C7:D7" si="4">B7</f>
        <v>10689.203736029876</v>
      </c>
      <c r="D7" s="46">
        <f t="shared" si="4"/>
        <v>10689.203736029876</v>
      </c>
    </row>
    <row r="8" spans="1:4">
      <c r="A8" s="129">
        <v>1986</v>
      </c>
      <c r="B8" s="46">
        <f>'需要側予測（成長実現ケース）'!FQ12</f>
        <v>10804.187502570989</v>
      </c>
      <c r="C8" s="46">
        <f t="shared" ref="C8:D8" si="5">B8</f>
        <v>10804.187502570989</v>
      </c>
      <c r="D8" s="46">
        <f t="shared" si="5"/>
        <v>10804.187502570989</v>
      </c>
    </row>
    <row r="9" spans="1:4">
      <c r="A9" s="129">
        <v>1987</v>
      </c>
      <c r="B9" s="46">
        <f>'需要側予測（成長実現ケース）'!FQ13</f>
        <v>10735.465389144465</v>
      </c>
      <c r="C9" s="46">
        <f t="shared" ref="C9:D9" si="6">B9</f>
        <v>10735.465389144465</v>
      </c>
      <c r="D9" s="46">
        <f t="shared" si="6"/>
        <v>10735.465389144465</v>
      </c>
    </row>
    <row r="10" spans="1:4">
      <c r="A10" s="129">
        <v>1988</v>
      </c>
      <c r="B10" s="46">
        <f>'需要側予測（成長実現ケース）'!FQ14</f>
        <v>10574.240056545475</v>
      </c>
      <c r="C10" s="46">
        <f t="shared" ref="C10:D10" si="7">B10</f>
        <v>10574.240056545475</v>
      </c>
      <c r="D10" s="46">
        <f t="shared" si="7"/>
        <v>10574.240056545475</v>
      </c>
    </row>
    <row r="11" spans="1:4">
      <c r="A11" s="129">
        <v>1989</v>
      </c>
      <c r="B11" s="46">
        <f>'需要側予測（成長実現ケース）'!FQ15</f>
        <v>10528.880638940507</v>
      </c>
      <c r="C11" s="46">
        <f t="shared" ref="C11:D11" si="8">B11</f>
        <v>10528.880638940507</v>
      </c>
      <c r="D11" s="46">
        <f t="shared" si="8"/>
        <v>10528.880638940507</v>
      </c>
    </row>
    <row r="12" spans="1:4">
      <c r="A12" s="129">
        <v>1990</v>
      </c>
      <c r="B12" s="46">
        <f>'需要側予測（成長実現ケース）'!FQ16</f>
        <v>11211.751863833022</v>
      </c>
      <c r="C12" s="46">
        <f t="shared" ref="C12:D12" si="9">B12</f>
        <v>11211.751863833022</v>
      </c>
      <c r="D12" s="46">
        <f t="shared" si="9"/>
        <v>11211.751863833022</v>
      </c>
    </row>
    <row r="13" spans="1:4">
      <c r="A13" s="129">
        <v>1991</v>
      </c>
      <c r="B13" s="46">
        <f>'需要側予測（成長実現ケース）'!FQ17</f>
        <v>12650.259388392455</v>
      </c>
      <c r="C13" s="46">
        <f t="shared" ref="C13:D13" si="10">B13</f>
        <v>12650.259388392455</v>
      </c>
      <c r="D13" s="46">
        <f t="shared" si="10"/>
        <v>12650.259388392455</v>
      </c>
    </row>
    <row r="14" spans="1:4">
      <c r="A14" s="129">
        <v>1992</v>
      </c>
      <c r="B14" s="46">
        <f>'需要側予測（成長実現ケース）'!FQ18</f>
        <v>14400.42202977142</v>
      </c>
      <c r="C14" s="46">
        <f t="shared" ref="C14:D14" si="11">B14</f>
        <v>14400.42202977142</v>
      </c>
      <c r="D14" s="46">
        <f t="shared" si="11"/>
        <v>14400.42202977142</v>
      </c>
    </row>
    <row r="15" spans="1:4">
      <c r="A15" s="129">
        <v>1993</v>
      </c>
      <c r="B15" s="46">
        <f>'需要側予測（成長実現ケース）'!FQ19</f>
        <v>16210.053168005768</v>
      </c>
      <c r="C15" s="46">
        <f t="shared" ref="C15:D15" si="12">B15</f>
        <v>16210.053168005768</v>
      </c>
      <c r="D15" s="46">
        <f t="shared" si="12"/>
        <v>16210.053168005768</v>
      </c>
    </row>
    <row r="16" spans="1:4">
      <c r="A16" s="129">
        <v>1994</v>
      </c>
      <c r="B16" s="46">
        <f>'需要側予測（成長実現ケース）'!FQ20</f>
        <v>18854.491624605209</v>
      </c>
      <c r="C16" s="46">
        <f t="shared" ref="C16:D16" si="13">B16</f>
        <v>18854.491624605209</v>
      </c>
      <c r="D16" s="46">
        <f t="shared" si="13"/>
        <v>18854.491624605209</v>
      </c>
    </row>
    <row r="17" spans="1:4">
      <c r="A17" s="129">
        <v>1995</v>
      </c>
      <c r="B17" s="46">
        <f>'需要側予測（成長実現ケース）'!FQ21</f>
        <v>16770.87984979598</v>
      </c>
      <c r="C17" s="46">
        <f t="shared" ref="C17:D17" si="14">B17</f>
        <v>16770.87984979598</v>
      </c>
      <c r="D17" s="46">
        <f t="shared" si="14"/>
        <v>16770.87984979598</v>
      </c>
    </row>
    <row r="18" spans="1:4">
      <c r="A18" s="129">
        <v>1996</v>
      </c>
      <c r="B18" s="46">
        <f>'需要側予測（成長実現ケース）'!FQ22</f>
        <v>16066.356323495169</v>
      </c>
      <c r="C18" s="46">
        <f t="shared" ref="C18:D18" si="15">B18</f>
        <v>16066.356323495169</v>
      </c>
      <c r="D18" s="46">
        <f t="shared" si="15"/>
        <v>16066.356323495169</v>
      </c>
    </row>
    <row r="19" spans="1:4">
      <c r="A19" s="129">
        <v>1997</v>
      </c>
      <c r="B19" s="46">
        <f>'需要側予測（成長実現ケース）'!FQ23</f>
        <v>15564.097344000067</v>
      </c>
      <c r="C19" s="46">
        <f t="shared" ref="C19:D19" si="16">B19</f>
        <v>15564.097344000067</v>
      </c>
      <c r="D19" s="46">
        <f t="shared" si="16"/>
        <v>15564.097344000067</v>
      </c>
    </row>
    <row r="20" spans="1:4">
      <c r="A20" s="129">
        <v>1998</v>
      </c>
      <c r="B20" s="46">
        <f>'需要側予測（成長実現ケース）'!FQ24</f>
        <v>13458.214968442178</v>
      </c>
      <c r="C20" s="46">
        <f t="shared" ref="C20:D20" si="17">B20</f>
        <v>13458.214968442178</v>
      </c>
      <c r="D20" s="46">
        <f t="shared" si="17"/>
        <v>13458.214968442178</v>
      </c>
    </row>
    <row r="21" spans="1:4">
      <c r="A21" s="129">
        <v>1999</v>
      </c>
      <c r="B21" s="46">
        <f>'需要側予測（成長実現ケース）'!FQ25</f>
        <v>12346.873871953054</v>
      </c>
      <c r="C21" s="46">
        <f t="shared" ref="C21:D21" si="18">B21</f>
        <v>12346.873871953054</v>
      </c>
      <c r="D21" s="46">
        <f t="shared" si="18"/>
        <v>12346.873871953054</v>
      </c>
    </row>
    <row r="22" spans="1:4">
      <c r="A22" s="129">
        <v>2000</v>
      </c>
      <c r="B22" s="46">
        <f>'需要側予測（成長実現ケース）'!FQ26</f>
        <v>10892.9707798491</v>
      </c>
      <c r="C22" s="46">
        <f t="shared" ref="C22:D22" si="19">B22</f>
        <v>10892.9707798491</v>
      </c>
      <c r="D22" s="46">
        <f t="shared" si="19"/>
        <v>10892.9707798491</v>
      </c>
    </row>
    <row r="23" spans="1:4">
      <c r="A23" s="129">
        <v>2001</v>
      </c>
      <c r="B23" s="46">
        <f>'需要側予測（成長実現ケース）'!FQ27</f>
        <v>10655.395056802863</v>
      </c>
      <c r="C23" s="46">
        <f t="shared" ref="C23:D23" si="20">B23</f>
        <v>10655.395056802863</v>
      </c>
      <c r="D23" s="46">
        <f t="shared" si="20"/>
        <v>10655.395056802863</v>
      </c>
    </row>
    <row r="24" spans="1:4">
      <c r="A24" s="129">
        <v>2002</v>
      </c>
      <c r="B24" s="46">
        <f>'需要側予測（成長実現ケース）'!FQ28</f>
        <v>10173.553061078926</v>
      </c>
      <c r="C24" s="46">
        <f t="shared" ref="C24:D24" si="21">B24</f>
        <v>10173.553061078926</v>
      </c>
      <c r="D24" s="46">
        <f t="shared" si="21"/>
        <v>10173.553061078926</v>
      </c>
    </row>
    <row r="25" spans="1:4">
      <c r="A25" s="129">
        <v>2003</v>
      </c>
      <c r="B25" s="46">
        <f>'需要側予測（成長実現ケース）'!FQ29</f>
        <v>9360.8434453524096</v>
      </c>
      <c r="C25" s="46">
        <f t="shared" ref="C25:D25" si="22">B25</f>
        <v>9360.8434453524096</v>
      </c>
      <c r="D25" s="46">
        <f t="shared" si="22"/>
        <v>9360.8434453524096</v>
      </c>
    </row>
    <row r="26" spans="1:4">
      <c r="A26" s="129">
        <v>2004</v>
      </c>
      <c r="B26" s="46">
        <f>'需要側予測（成長実現ケース）'!FQ30</f>
        <v>7832.0515599617529</v>
      </c>
      <c r="C26" s="46">
        <f t="shared" ref="C26:D26" si="23">B26</f>
        <v>7832.0515599617529</v>
      </c>
      <c r="D26" s="46">
        <f t="shared" si="23"/>
        <v>7832.0515599617529</v>
      </c>
    </row>
    <row r="27" spans="1:4">
      <c r="A27" s="129">
        <v>2005</v>
      </c>
      <c r="B27" s="46">
        <f>'需要側予測（成長実現ケース）'!FQ31</f>
        <v>6258.6123983698853</v>
      </c>
      <c r="C27" s="46">
        <f t="shared" ref="C27:D27" si="24">B27</f>
        <v>6258.6123983698853</v>
      </c>
      <c r="D27" s="46">
        <f t="shared" si="24"/>
        <v>6258.6123983698853</v>
      </c>
    </row>
    <row r="28" spans="1:4">
      <c r="A28" s="129">
        <v>2006</v>
      </c>
      <c r="B28" s="46">
        <f>'需要側予測（成長実現ケース）'!FQ32</f>
        <v>6371.8726568111861</v>
      </c>
      <c r="C28" s="46">
        <f t="shared" ref="C28:D28" si="25">B28</f>
        <v>6371.8726568111861</v>
      </c>
      <c r="D28" s="46">
        <f t="shared" si="25"/>
        <v>6371.8726568111861</v>
      </c>
    </row>
    <row r="29" spans="1:4">
      <c r="A29" s="129">
        <v>2007</v>
      </c>
      <c r="B29" s="46">
        <f>'需要側予測（成長実現ケース）'!FQ33</f>
        <v>5931.8477660247218</v>
      </c>
      <c r="C29" s="46">
        <f t="shared" ref="C29:D29" si="26">B29</f>
        <v>5931.8477660247218</v>
      </c>
      <c r="D29" s="46">
        <f t="shared" si="26"/>
        <v>5931.8477660247218</v>
      </c>
    </row>
    <row r="30" spans="1:4">
      <c r="A30" s="129">
        <v>2008</v>
      </c>
      <c r="B30" s="46">
        <f>'需要側予測（成長実現ケース）'!FQ34</f>
        <v>5355.6623268122285</v>
      </c>
      <c r="C30" s="46">
        <f t="shared" ref="C30:D30" si="27">B30</f>
        <v>5355.6623268122285</v>
      </c>
      <c r="D30" s="46">
        <f t="shared" si="27"/>
        <v>5355.6623268122285</v>
      </c>
    </row>
    <row r="31" spans="1:4">
      <c r="A31" s="129">
        <v>2009</v>
      </c>
      <c r="B31" s="46">
        <f>'需要側予測（成長実現ケース）'!FQ35</f>
        <v>5921.2084719150071</v>
      </c>
      <c r="C31" s="46">
        <f t="shared" ref="C31:D31" si="28">B31</f>
        <v>5921.2084719150071</v>
      </c>
      <c r="D31" s="46">
        <f t="shared" si="28"/>
        <v>5921.2084719150071</v>
      </c>
    </row>
    <row r="32" spans="1:4">
      <c r="A32" s="129">
        <v>2010</v>
      </c>
      <c r="B32" s="46">
        <f>'需要側予測（成長実現ケース）'!FQ36</f>
        <v>5480.6566541579678</v>
      </c>
      <c r="C32" s="46">
        <f t="shared" ref="C32:D32" si="29">B32</f>
        <v>5480.6566541579678</v>
      </c>
      <c r="D32" s="46">
        <f t="shared" si="29"/>
        <v>5480.6566541579678</v>
      </c>
    </row>
    <row r="33" spans="1:4">
      <c r="A33" s="129">
        <v>2011</v>
      </c>
      <c r="B33" s="46">
        <f>'需要側予測（成長実現ケース）'!FQ37</f>
        <v>4839.9591412334576</v>
      </c>
      <c r="C33" s="46">
        <f t="shared" ref="C33:D33" si="30">B33</f>
        <v>4839.9591412334576</v>
      </c>
      <c r="D33" s="46">
        <f t="shared" si="30"/>
        <v>4839.9591412334576</v>
      </c>
    </row>
    <row r="34" spans="1:4">
      <c r="A34" s="129">
        <v>2012</v>
      </c>
      <c r="B34" s="46">
        <f>'需要側予測（成長実現ケース）'!FQ38</f>
        <v>4617.7711114312888</v>
      </c>
      <c r="C34" s="46">
        <f t="shared" ref="C34:D34" si="31">B34</f>
        <v>4617.7711114312888</v>
      </c>
      <c r="D34" s="46">
        <f t="shared" si="31"/>
        <v>4617.7711114312888</v>
      </c>
    </row>
    <row r="35" spans="1:4">
      <c r="A35" s="129">
        <v>2013</v>
      </c>
      <c r="B35" s="46">
        <f>'需要側予測（成長実現ケース）'!FQ39</f>
        <v>6117.756593055351</v>
      </c>
      <c r="C35" s="46">
        <f t="shared" ref="C35:D35" si="32">B35</f>
        <v>6117.756593055351</v>
      </c>
      <c r="D35" s="46">
        <f t="shared" si="32"/>
        <v>6117.756593055351</v>
      </c>
    </row>
    <row r="36" spans="1:4">
      <c r="A36" s="129">
        <v>2014</v>
      </c>
      <c r="B36" s="46">
        <f>'需要側予測（成長実現ケース）'!FQ40</f>
        <v>7380.2958422805068</v>
      </c>
      <c r="C36" s="46">
        <f t="shared" ref="C36:D36" si="33">B36</f>
        <v>7380.2958422805068</v>
      </c>
      <c r="D36" s="46">
        <f t="shared" si="33"/>
        <v>7380.2958422805068</v>
      </c>
    </row>
    <row r="37" spans="1:4">
      <c r="A37" s="129">
        <v>2015</v>
      </c>
      <c r="B37" s="46">
        <f>'需要側予測（成長実現ケース）'!FQ41</f>
        <v>9479.4237761110289</v>
      </c>
      <c r="C37" s="46">
        <f t="shared" ref="C37:D37" si="34">B37</f>
        <v>9479.4237761110289</v>
      </c>
      <c r="D37" s="46">
        <f t="shared" si="34"/>
        <v>9479.4237761110289</v>
      </c>
    </row>
    <row r="38" spans="1:4">
      <c r="A38" s="129">
        <v>2016</v>
      </c>
      <c r="B38" s="46">
        <f>'需要側予測（成長実現ケース）'!FQ42</f>
        <v>10376.665837614433</v>
      </c>
      <c r="C38" s="46">
        <f t="shared" ref="C38:D38" si="35">B38</f>
        <v>10376.665837614433</v>
      </c>
      <c r="D38" s="46">
        <f t="shared" si="35"/>
        <v>10376.665837614433</v>
      </c>
    </row>
    <row r="39" spans="1:4">
      <c r="A39" s="129">
        <v>2017</v>
      </c>
      <c r="B39" s="46">
        <f>'需要側予測（成長実現ケース）'!FQ43</f>
        <v>9383.8519358478716</v>
      </c>
      <c r="C39" s="46">
        <f t="shared" ref="C39:D39" si="36">B39</f>
        <v>9383.8519358478716</v>
      </c>
      <c r="D39" s="46">
        <f t="shared" si="36"/>
        <v>9383.8519358478716</v>
      </c>
    </row>
    <row r="40" spans="1:4">
      <c r="A40" s="129">
        <v>2018</v>
      </c>
      <c r="B40" s="46">
        <f>'需要側予測（成長実現ケース）'!FQ44</f>
        <v>7673.9030530869059</v>
      </c>
      <c r="C40" s="46">
        <f t="shared" ref="C40:D40" si="37">B40</f>
        <v>7673.9030530869059</v>
      </c>
      <c r="D40" s="46">
        <f t="shared" si="37"/>
        <v>7673.9030530869059</v>
      </c>
    </row>
    <row r="41" spans="1:4">
      <c r="A41" s="129">
        <v>2019</v>
      </c>
      <c r="B41" s="46">
        <f>'需要側予測（成長実現ケース）'!FQ45</f>
        <v>6510.6686873951267</v>
      </c>
      <c r="C41" s="46">
        <f t="shared" ref="C41:D41" si="38">B41</f>
        <v>6510.6686873951267</v>
      </c>
      <c r="D41" s="46">
        <f t="shared" si="38"/>
        <v>6510.6686873951267</v>
      </c>
    </row>
    <row r="42" spans="1:4">
      <c r="A42" s="129">
        <v>2020</v>
      </c>
      <c r="B42" s="46">
        <f>'需要側予測（成長実現ケース）'!FQ46</f>
        <v>6440.6826029201129</v>
      </c>
      <c r="C42" s="46">
        <f t="shared" ref="C42:D42" si="39">B42</f>
        <v>6440.6826029201129</v>
      </c>
      <c r="D42" s="46">
        <f t="shared" si="39"/>
        <v>6440.6826029201129</v>
      </c>
    </row>
    <row r="43" spans="1:4">
      <c r="A43" s="129">
        <v>2021</v>
      </c>
      <c r="B43" s="348">
        <v>7205.2251759988203</v>
      </c>
      <c r="C43" s="46">
        <f t="shared" ref="C43:D43" si="40">B43</f>
        <v>7205.2251759988203</v>
      </c>
      <c r="D43" s="46">
        <f t="shared" si="40"/>
        <v>7205.2251759988203</v>
      </c>
    </row>
    <row r="44" spans="1:4">
      <c r="A44" s="129">
        <v>2022</v>
      </c>
      <c r="B44" s="348">
        <v>7371.20624336526</v>
      </c>
      <c r="C44" s="46">
        <f t="shared" ref="C44:D44" si="41">B44</f>
        <v>7371.20624336526</v>
      </c>
      <c r="D44" s="46">
        <f t="shared" si="41"/>
        <v>7371.20624336526</v>
      </c>
    </row>
    <row r="45" spans="1:4">
      <c r="A45" s="129">
        <v>2023</v>
      </c>
      <c r="B45" s="46">
        <f>'需要側予測（成長実現ケース）'!FQ49</f>
        <v>7579.8161374258807</v>
      </c>
      <c r="C45" s="46">
        <f>'需要側予測（ベースラインケース)'!FQ49</f>
        <v>7579.8161374258807</v>
      </c>
    </row>
    <row r="46" spans="1:4">
      <c r="A46" s="129">
        <v>2024</v>
      </c>
      <c r="B46" s="46">
        <f>'需要側予測（成長実現ケース）'!FQ50</f>
        <v>7470.8414976129061</v>
      </c>
      <c r="C46" s="46">
        <f>'需要側予測（ベースラインケース)'!FQ50</f>
        <v>7470.8414976129061</v>
      </c>
    </row>
    <row r="47" spans="1:4">
      <c r="A47" s="129">
        <v>2025</v>
      </c>
      <c r="B47" s="46">
        <f>'需要側予測（成長実現ケース）'!FQ51</f>
        <v>7436.997905033908</v>
      </c>
      <c r="C47" s="46">
        <f>'需要側予測（ベースラインケース)'!FQ51</f>
        <v>7436.997905033908</v>
      </c>
    </row>
    <row r="48" spans="1:4">
      <c r="A48" s="129">
        <v>2026</v>
      </c>
      <c r="B48" s="46">
        <f>'需要側予測（成長実現ケース）'!FQ52</f>
        <v>7534.5770528200865</v>
      </c>
      <c r="C48" s="46">
        <f>'需要側予測（ベースラインケース)'!FQ52</f>
        <v>7534.5770528200865</v>
      </c>
    </row>
    <row r="49" spans="1:7">
      <c r="A49" s="129">
        <v>2027</v>
      </c>
      <c r="B49" s="46">
        <f>'需要側予測（成長実現ケース）'!FQ53</f>
        <v>7691.1617825167032</v>
      </c>
      <c r="C49" s="46">
        <f>'需要側予測（ベースラインケース)'!FQ53</f>
        <v>7691.1617825167032</v>
      </c>
    </row>
    <row r="50" spans="1:7">
      <c r="A50" s="129">
        <v>2028</v>
      </c>
      <c r="B50" s="46">
        <f>'需要側予測（成長実現ケース）'!FQ54</f>
        <v>7606.3272900184456</v>
      </c>
      <c r="C50" s="46">
        <f>'需要側予測（ベースラインケース)'!FQ54</f>
        <v>7606.3272900184456</v>
      </c>
    </row>
    <row r="51" spans="1:7">
      <c r="A51" s="129">
        <v>2029</v>
      </c>
      <c r="B51" s="46">
        <f>'需要側予測（成長実現ケース）'!FQ55</f>
        <v>7553.2869442379888</v>
      </c>
      <c r="C51" s="46">
        <f>'需要側予測（ベースラインケース)'!FQ55</f>
        <v>7553.2869442379888</v>
      </c>
    </row>
    <row r="52" spans="1:7">
      <c r="A52" s="129">
        <v>2030</v>
      </c>
      <c r="B52" s="46">
        <f>'需要側予測（成長実現ケース）'!FQ56</f>
        <v>7548.865412040007</v>
      </c>
      <c r="C52" s="46">
        <f>'需要側予測（ベースラインケース)'!FQ56</f>
        <v>7548.865412040007</v>
      </c>
    </row>
    <row r="53" spans="1:7">
      <c r="A53" s="129">
        <v>2031</v>
      </c>
      <c r="B53" s="46">
        <f>'需要側予測（成長実現ケース）'!FQ57</f>
        <v>7561.8693977778566</v>
      </c>
      <c r="C53" s="46">
        <f>'需要側予測（ベースラインケース)'!FQ57</f>
        <v>7561.8693977778566</v>
      </c>
    </row>
    <row r="54" spans="1:7">
      <c r="A54" s="129">
        <v>2032</v>
      </c>
      <c r="B54" s="46">
        <f>'需要側予測（成長実現ケース）'!FQ58</f>
        <v>7582.6813132351808</v>
      </c>
      <c r="C54" s="46">
        <f>'需要側予測（ベースラインケース)'!FQ58</f>
        <v>7582.6813132351808</v>
      </c>
    </row>
    <row r="55" spans="1:7">
      <c r="A55" s="129">
        <v>2033</v>
      </c>
      <c r="B55" s="46">
        <f>'需要側予測（成長実現ケース）'!FQ59</f>
        <v>7590.6986899710291</v>
      </c>
      <c r="C55" s="46">
        <f>'需要側予測（ベースラインケース)'!FQ59</f>
        <v>7590.6986899710291</v>
      </c>
    </row>
    <row r="56" spans="1:7">
      <c r="A56" s="129">
        <v>2034</v>
      </c>
      <c r="B56" s="46">
        <f>'需要側予測（成長実現ケース）'!FQ60</f>
        <v>7573.9548412134191</v>
      </c>
      <c r="C56" s="46">
        <f>'需要側予測（ベースラインケース)'!FQ60</f>
        <v>7573.9548412134191</v>
      </c>
    </row>
    <row r="57" spans="1:7">
      <c r="A57" s="129">
        <v>2035</v>
      </c>
      <c r="B57" s="46">
        <f>'需要側予測（成長実現ケース）'!FQ61</f>
        <v>7568.5594330792464</v>
      </c>
      <c r="C57" s="46">
        <f>'需要側予測（ベースラインケース)'!FQ61</f>
        <v>7568.5594330792464</v>
      </c>
    </row>
    <row r="58" spans="1:7">
      <c r="A58" s="129">
        <v>2036</v>
      </c>
      <c r="B58" s="46">
        <f>'需要側予測（成長実現ケース）'!FQ62</f>
        <v>7571.1048478861221</v>
      </c>
      <c r="C58" s="46">
        <f>'需要側予測（ベースラインケース)'!FQ62</f>
        <v>7571.1048478861221</v>
      </c>
    </row>
    <row r="59" spans="1:7">
      <c r="A59" s="129">
        <v>2037</v>
      </c>
      <c r="B59" s="46">
        <f>'需要側予測（成長実現ケース）'!FQ63</f>
        <v>7574.8114205271422</v>
      </c>
      <c r="C59" s="46">
        <f>'需要側予測（ベースラインケース)'!FQ63</f>
        <v>7574.8114205271422</v>
      </c>
    </row>
    <row r="60" spans="1:7">
      <c r="A60" s="129">
        <v>2038</v>
      </c>
      <c r="B60" s="46">
        <f>'需要側予測（成長実現ケース）'!FQ64</f>
        <v>7576.9684243186912</v>
      </c>
      <c r="C60" s="46">
        <f>'需要側予測（ベースラインケース)'!FQ64</f>
        <v>7576.9684243186912</v>
      </c>
    </row>
    <row r="61" spans="1:7">
      <c r="A61" s="129">
        <v>2039</v>
      </c>
      <c r="B61" s="46">
        <f>'需要側予測（成長実現ケース）'!FQ65</f>
        <v>7576.0162761659421</v>
      </c>
      <c r="C61" s="46">
        <f>'需要側予測（ベースラインケース)'!FQ65</f>
        <v>7576.0162761659421</v>
      </c>
    </row>
    <row r="62" spans="1:7">
      <c r="A62" s="129">
        <v>2040</v>
      </c>
      <c r="B62" s="46">
        <f>'需要側予測（成長実現ケース）'!FQ66</f>
        <v>7573.5692071984276</v>
      </c>
      <c r="C62" s="46">
        <f>'需要側予測（ベースラインケース)'!FQ66</f>
        <v>7573.5692071984276</v>
      </c>
      <c r="F62" s="24" t="s">
        <v>615</v>
      </c>
    </row>
    <row r="63" spans="1:7">
      <c r="F63" s="24" t="s">
        <v>210</v>
      </c>
      <c r="G63" s="24">
        <v>194.884641600268</v>
      </c>
    </row>
    <row r="64" spans="1:7">
      <c r="F64" s="24" t="s">
        <v>416</v>
      </c>
      <c r="G64" s="24">
        <v>160.32526367154301</v>
      </c>
    </row>
    <row r="65" spans="6:8">
      <c r="F65" s="24" t="s">
        <v>417</v>
      </c>
      <c r="G65" s="24">
        <v>168.52774267885201</v>
      </c>
    </row>
    <row r="66" spans="6:8">
      <c r="F66" s="24" t="s">
        <v>418</v>
      </c>
      <c r="G66" s="24">
        <v>196.78486964921899</v>
      </c>
      <c r="H66" s="24">
        <f>SUM(G63:G66)*10</f>
        <v>7205.2251759988203</v>
      </c>
    </row>
    <row r="67" spans="6:8">
      <c r="F67" s="24" t="s">
        <v>419</v>
      </c>
      <c r="G67" s="24">
        <v>194.500310673971</v>
      </c>
    </row>
    <row r="68" spans="6:8">
      <c r="F68" s="24" t="s">
        <v>420</v>
      </c>
      <c r="G68" s="24">
        <v>170.93737545370701</v>
      </c>
    </row>
    <row r="69" spans="6:8">
      <c r="F69" s="24" t="s">
        <v>421</v>
      </c>
      <c r="G69" s="24">
        <v>178.981120532961</v>
      </c>
    </row>
    <row r="70" spans="6:8">
      <c r="F70" s="24" t="s">
        <v>422</v>
      </c>
      <c r="G70" s="24">
        <v>192.70181767588701</v>
      </c>
      <c r="H70" s="24">
        <f>SUM(G67:G70)*10</f>
        <v>7371.20624336526</v>
      </c>
    </row>
    <row r="71" spans="6:8">
      <c r="F71" s="24" t="s">
        <v>423</v>
      </c>
      <c r="G71" s="24">
        <v>191.85973058286501</v>
      </c>
    </row>
  </sheetData>
  <phoneticPr fontId="1"/>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6ECA1-7963-48F7-91E2-AB3D51E93CF6}">
  <dimension ref="A1:H71"/>
  <sheetViews>
    <sheetView topLeftCell="A43" workbookViewId="0">
      <selection activeCell="V37" sqref="V37"/>
    </sheetView>
  </sheetViews>
  <sheetFormatPr defaultColWidth="8.84375" defaultRowHeight="18.45"/>
  <cols>
    <col min="1" max="1" width="8.84375" style="87"/>
    <col min="2" max="3" width="19" style="37" bestFit="1" customWidth="1"/>
    <col min="4" max="4" width="8.84375" style="37"/>
    <col min="5" max="16384" width="8.84375" style="24"/>
  </cols>
  <sheetData>
    <row r="1" spans="1:4">
      <c r="A1" s="87" t="s">
        <v>7</v>
      </c>
      <c r="B1" s="37" t="s">
        <v>127</v>
      </c>
      <c r="C1" s="37" t="s">
        <v>150</v>
      </c>
      <c r="D1" s="37" t="s">
        <v>413</v>
      </c>
    </row>
    <row r="2" spans="1:4">
      <c r="A2" s="129">
        <v>1980</v>
      </c>
      <c r="B2" s="46">
        <f>'需要側予測（成長実現ケース）'!FS6</f>
        <v>52625.431821695216</v>
      </c>
      <c r="C2" s="46">
        <f>B2</f>
        <v>52625.431821695216</v>
      </c>
      <c r="D2" s="46">
        <f>C2</f>
        <v>52625.431821695216</v>
      </c>
    </row>
    <row r="3" spans="1:4">
      <c r="A3" s="129">
        <v>1981</v>
      </c>
      <c r="B3" s="46">
        <f>'需要側予測（成長実現ケース）'!FS7</f>
        <v>52968.802714956102</v>
      </c>
      <c r="C3" s="46">
        <f t="shared" ref="C3:D3" si="0">B3</f>
        <v>52968.802714956102</v>
      </c>
      <c r="D3" s="46">
        <f t="shared" si="0"/>
        <v>52968.802714956102</v>
      </c>
    </row>
    <row r="4" spans="1:4">
      <c r="A4" s="129">
        <v>1982</v>
      </c>
      <c r="B4" s="46">
        <f>'需要側予測（成長実現ケース）'!FS8</f>
        <v>50421.513314383847</v>
      </c>
      <c r="C4" s="46">
        <f t="shared" ref="C4:D4" si="1">B4</f>
        <v>50421.513314383847</v>
      </c>
      <c r="D4" s="46">
        <f t="shared" si="1"/>
        <v>50421.513314383847</v>
      </c>
    </row>
    <row r="5" spans="1:4">
      <c r="A5" s="129">
        <v>1983</v>
      </c>
      <c r="B5" s="46">
        <f>'需要側予測（成長実現ケース）'!FS9</f>
        <v>44205.767500736722</v>
      </c>
      <c r="C5" s="46">
        <f t="shared" ref="C5:D5" si="2">B5</f>
        <v>44205.767500736722</v>
      </c>
      <c r="D5" s="46">
        <f t="shared" si="2"/>
        <v>44205.767500736722</v>
      </c>
    </row>
    <row r="6" spans="1:4">
      <c r="A6" s="129">
        <v>1984</v>
      </c>
      <c r="B6" s="46">
        <f>'需要側予測（成長実現ケース）'!FS10</f>
        <v>41202.14601206415</v>
      </c>
      <c r="C6" s="46">
        <f t="shared" ref="C6:D6" si="3">B6</f>
        <v>41202.14601206415</v>
      </c>
      <c r="D6" s="46">
        <f t="shared" si="3"/>
        <v>41202.14601206415</v>
      </c>
    </row>
    <row r="7" spans="1:4">
      <c r="A7" s="129">
        <v>1985</v>
      </c>
      <c r="B7" s="46">
        <f>'需要側予測（成長実現ケース）'!FS11</f>
        <v>37619.325192198623</v>
      </c>
      <c r="C7" s="46">
        <f t="shared" ref="C7:D7" si="4">B7</f>
        <v>37619.325192198623</v>
      </c>
      <c r="D7" s="46">
        <f t="shared" si="4"/>
        <v>37619.325192198623</v>
      </c>
    </row>
    <row r="8" spans="1:4">
      <c r="A8" s="129">
        <v>1986</v>
      </c>
      <c r="B8" s="46">
        <f>'需要側予測（成長実現ケース）'!FS12</f>
        <v>37726.933350944273</v>
      </c>
      <c r="C8" s="46">
        <f t="shared" ref="C8:D8" si="5">B8</f>
        <v>37726.933350944273</v>
      </c>
      <c r="D8" s="46">
        <f t="shared" si="5"/>
        <v>37726.933350944273</v>
      </c>
    </row>
    <row r="9" spans="1:4">
      <c r="A9" s="129">
        <v>1987</v>
      </c>
      <c r="B9" s="46">
        <f>'需要側予測（成長実現ケース）'!FS13</f>
        <v>38865.962509917081</v>
      </c>
      <c r="C9" s="46">
        <f t="shared" ref="C9:D9" si="6">B9</f>
        <v>38865.962509917081</v>
      </c>
      <c r="D9" s="46">
        <f t="shared" si="6"/>
        <v>38865.962509917081</v>
      </c>
    </row>
    <row r="10" spans="1:4">
      <c r="A10" s="129">
        <v>1988</v>
      </c>
      <c r="B10" s="46">
        <f>'需要側予測（成長実現ケース）'!FS14</f>
        <v>40886.250045990455</v>
      </c>
      <c r="C10" s="46">
        <f t="shared" ref="C10:D10" si="7">B10</f>
        <v>40886.250045990455</v>
      </c>
      <c r="D10" s="46">
        <f t="shared" si="7"/>
        <v>40886.250045990455</v>
      </c>
    </row>
    <row r="11" spans="1:4">
      <c r="A11" s="129">
        <v>1989</v>
      </c>
      <c r="B11" s="46">
        <f>'需要側予測（成長実現ケース）'!FS15</f>
        <v>38756.208790382501</v>
      </c>
      <c r="C11" s="46">
        <f t="shared" ref="C11:D11" si="8">B11</f>
        <v>38756.208790382501</v>
      </c>
      <c r="D11" s="46">
        <f t="shared" si="8"/>
        <v>38756.208790382501</v>
      </c>
    </row>
    <row r="12" spans="1:4">
      <c r="A12" s="129">
        <v>1990</v>
      </c>
      <c r="B12" s="46">
        <f>'需要側予測（成長実現ケース）'!FS16</f>
        <v>41245.022416101732</v>
      </c>
      <c r="C12" s="46">
        <f t="shared" ref="C12:D12" si="9">B12</f>
        <v>41245.022416101732</v>
      </c>
      <c r="D12" s="46">
        <f t="shared" si="9"/>
        <v>41245.022416101732</v>
      </c>
    </row>
    <row r="13" spans="1:4">
      <c r="A13" s="129">
        <v>1991</v>
      </c>
      <c r="B13" s="46">
        <f>'需要側予測（成長実現ケース）'!FS17</f>
        <v>46835.513427197802</v>
      </c>
      <c r="C13" s="46">
        <f t="shared" ref="C13:D13" si="10">B13</f>
        <v>46835.513427197802</v>
      </c>
      <c r="D13" s="46">
        <f t="shared" si="10"/>
        <v>46835.513427197802</v>
      </c>
    </row>
    <row r="14" spans="1:4">
      <c r="A14" s="129">
        <v>1992</v>
      </c>
      <c r="B14" s="46">
        <f>'需要側予測（成長実現ケース）'!FS18</f>
        <v>55326.119467974335</v>
      </c>
      <c r="C14" s="46">
        <f t="shared" ref="C14:D14" si="11">B14</f>
        <v>55326.119467974335</v>
      </c>
      <c r="D14" s="46">
        <f t="shared" si="11"/>
        <v>55326.119467974335</v>
      </c>
    </row>
    <row r="15" spans="1:4">
      <c r="A15" s="129">
        <v>1993</v>
      </c>
      <c r="B15" s="46">
        <f>'需要側予測（成長実現ケース）'!FS19</f>
        <v>57791.663358336991</v>
      </c>
      <c r="C15" s="46">
        <f t="shared" ref="C15:D15" si="12">B15</f>
        <v>57791.663358336991</v>
      </c>
      <c r="D15" s="46">
        <f t="shared" si="12"/>
        <v>57791.663358336991</v>
      </c>
    </row>
    <row r="16" spans="1:4">
      <c r="A16" s="129">
        <v>1994</v>
      </c>
      <c r="B16" s="46">
        <f>'需要側予測（成長実現ケース）'!FS20</f>
        <v>52698.94915362668</v>
      </c>
      <c r="C16" s="46">
        <f t="shared" ref="C16:D16" si="13">B16</f>
        <v>52698.94915362668</v>
      </c>
      <c r="D16" s="46">
        <f t="shared" si="13"/>
        <v>52698.94915362668</v>
      </c>
    </row>
    <row r="17" spans="1:4">
      <c r="A17" s="129">
        <v>1995</v>
      </c>
      <c r="B17" s="46">
        <f>'需要側予測（成長実現ケース）'!FS21</f>
        <v>48053.394024849236</v>
      </c>
      <c r="C17" s="46">
        <f t="shared" ref="C17:D17" si="14">B17</f>
        <v>48053.394024849236</v>
      </c>
      <c r="D17" s="46">
        <f t="shared" si="14"/>
        <v>48053.394024849236</v>
      </c>
    </row>
    <row r="18" spans="1:4">
      <c r="A18" s="129">
        <v>1996</v>
      </c>
      <c r="B18" s="46">
        <f>'需要側予測（成長実現ケース）'!FS22</f>
        <v>46134.702004971121</v>
      </c>
      <c r="C18" s="46">
        <f t="shared" ref="C18:D18" si="15">B18</f>
        <v>46134.702004971121</v>
      </c>
      <c r="D18" s="46">
        <f t="shared" si="15"/>
        <v>46134.702004971121</v>
      </c>
    </row>
    <row r="19" spans="1:4">
      <c r="A19" s="129">
        <v>1997</v>
      </c>
      <c r="B19" s="46">
        <f>'需要側予測（成長実現ケース）'!FS23</f>
        <v>45080.024366319471</v>
      </c>
      <c r="C19" s="46">
        <f t="shared" ref="C19:D19" si="16">B19</f>
        <v>45080.024366319471</v>
      </c>
      <c r="D19" s="46">
        <f t="shared" si="16"/>
        <v>45080.024366319471</v>
      </c>
    </row>
    <row r="20" spans="1:4">
      <c r="A20" s="129">
        <v>1998</v>
      </c>
      <c r="B20" s="46">
        <f>'需要側予測（成長実現ケース）'!FS24</f>
        <v>41086.205086666465</v>
      </c>
      <c r="C20" s="46">
        <f t="shared" ref="C20:D20" si="17">B20</f>
        <v>41086.205086666465</v>
      </c>
      <c r="D20" s="46">
        <f t="shared" si="17"/>
        <v>41086.205086666465</v>
      </c>
    </row>
    <row r="21" spans="1:4">
      <c r="A21" s="129">
        <v>1999</v>
      </c>
      <c r="B21" s="46">
        <f>'需要側予測（成長実現ケース）'!FS25</f>
        <v>39279.185919731259</v>
      </c>
      <c r="C21" s="46">
        <f t="shared" ref="C21:D21" si="18">B21</f>
        <v>39279.185919731259</v>
      </c>
      <c r="D21" s="46">
        <f t="shared" si="18"/>
        <v>39279.185919731259</v>
      </c>
    </row>
    <row r="22" spans="1:4">
      <c r="A22" s="129">
        <v>2000</v>
      </c>
      <c r="B22" s="46">
        <f>'需要側予測（成長実現ケース）'!FS26</f>
        <v>34486.799161285642</v>
      </c>
      <c r="C22" s="46">
        <f t="shared" ref="C22:D22" si="19">B22</f>
        <v>34486.799161285642</v>
      </c>
      <c r="D22" s="46">
        <f t="shared" si="19"/>
        <v>34486.799161285642</v>
      </c>
    </row>
    <row r="23" spans="1:4">
      <c r="A23" s="129">
        <v>2001</v>
      </c>
      <c r="B23" s="46">
        <f>'需要側予測（成長実現ケース）'!FS27</f>
        <v>31315.076687863988</v>
      </c>
      <c r="C23" s="46">
        <f t="shared" ref="C23:D23" si="20">B23</f>
        <v>31315.076687863988</v>
      </c>
      <c r="D23" s="46">
        <f t="shared" si="20"/>
        <v>31315.076687863988</v>
      </c>
    </row>
    <row r="24" spans="1:4">
      <c r="A24" s="129">
        <v>2002</v>
      </c>
      <c r="B24" s="46">
        <f>'需要側予測（成長実現ケース）'!FS28</f>
        <v>29690.450854777802</v>
      </c>
      <c r="C24" s="46">
        <f t="shared" ref="C24:D24" si="21">B24</f>
        <v>29690.450854777802</v>
      </c>
      <c r="D24" s="46">
        <f t="shared" si="21"/>
        <v>29690.450854777802</v>
      </c>
    </row>
    <row r="25" spans="1:4">
      <c r="A25" s="129">
        <v>2003</v>
      </c>
      <c r="B25" s="46">
        <f>'需要側予測（成長実現ケース）'!FS29</f>
        <v>28165.556551721071</v>
      </c>
      <c r="C25" s="46">
        <f t="shared" ref="C25:D25" si="22">B25</f>
        <v>28165.556551721071</v>
      </c>
      <c r="D25" s="46">
        <f t="shared" si="22"/>
        <v>28165.556551721071</v>
      </c>
    </row>
    <row r="26" spans="1:4">
      <c r="A26" s="129">
        <v>2004</v>
      </c>
      <c r="B26" s="46">
        <f>'需要側予測（成長実現ケース）'!FS30</f>
        <v>20962.026390163614</v>
      </c>
      <c r="C26" s="46">
        <f t="shared" ref="C26:D26" si="23">B26</f>
        <v>20962.026390163614</v>
      </c>
      <c r="D26" s="46">
        <f t="shared" si="23"/>
        <v>20962.026390163614</v>
      </c>
    </row>
    <row r="27" spans="1:4">
      <c r="A27" s="129">
        <v>2005</v>
      </c>
      <c r="B27" s="46">
        <f>'需要側予測（成長実現ケース）'!FS31</f>
        <v>17301.983807989003</v>
      </c>
      <c r="C27" s="46">
        <f t="shared" ref="C27:D27" si="24">B27</f>
        <v>17301.983807989003</v>
      </c>
      <c r="D27" s="46">
        <f t="shared" si="24"/>
        <v>17301.983807989003</v>
      </c>
    </row>
    <row r="28" spans="1:4">
      <c r="A28" s="129">
        <v>2006</v>
      </c>
      <c r="B28" s="46">
        <f>'需要側予測（成長実現ケース）'!FS32</f>
        <v>16224.427528678531</v>
      </c>
      <c r="C28" s="46">
        <f t="shared" ref="C28:D28" si="25">B28</f>
        <v>16224.427528678531</v>
      </c>
      <c r="D28" s="46">
        <f t="shared" si="25"/>
        <v>16224.427528678531</v>
      </c>
    </row>
    <row r="29" spans="1:4">
      <c r="A29" s="129">
        <v>2007</v>
      </c>
      <c r="B29" s="46">
        <f>'需要側予測（成長実現ケース）'!FS33</f>
        <v>14760.282435585716</v>
      </c>
      <c r="C29" s="46">
        <f t="shared" ref="C29:D29" si="26">B29</f>
        <v>14760.282435585716</v>
      </c>
      <c r="D29" s="46">
        <f t="shared" si="26"/>
        <v>14760.282435585716</v>
      </c>
    </row>
    <row r="30" spans="1:4">
      <c r="A30" s="129">
        <v>2008</v>
      </c>
      <c r="B30" s="46">
        <f>'需要側予測（成長実現ケース）'!FS34</f>
        <v>15590.329151572929</v>
      </c>
      <c r="C30" s="46">
        <f t="shared" ref="C30:D30" si="27">B30</f>
        <v>15590.329151572929</v>
      </c>
      <c r="D30" s="46">
        <f t="shared" si="27"/>
        <v>15590.329151572929</v>
      </c>
    </row>
    <row r="31" spans="1:4">
      <c r="A31" s="129">
        <v>2009</v>
      </c>
      <c r="B31" s="46">
        <f>'需要側予測（成長実現ケース）'!FS35</f>
        <v>17290.817538634466</v>
      </c>
      <c r="C31" s="46">
        <f t="shared" ref="C31:D31" si="28">B31</f>
        <v>17290.817538634466</v>
      </c>
      <c r="D31" s="46">
        <f t="shared" si="28"/>
        <v>17290.817538634466</v>
      </c>
    </row>
    <row r="32" spans="1:4">
      <c r="A32" s="129">
        <v>2010</v>
      </c>
      <c r="B32" s="46">
        <f>'需要側予測（成長実現ケース）'!FS36</f>
        <v>18339.251129248478</v>
      </c>
      <c r="C32" s="46">
        <f t="shared" ref="C32:D32" si="29">B32</f>
        <v>18339.251129248478</v>
      </c>
      <c r="D32" s="46">
        <f t="shared" si="29"/>
        <v>18339.251129248478</v>
      </c>
    </row>
    <row r="33" spans="1:4">
      <c r="A33" s="129">
        <v>2011</v>
      </c>
      <c r="B33" s="46">
        <f>'需要側予測（成長実現ケース）'!FS37</f>
        <v>19275.757944687764</v>
      </c>
      <c r="C33" s="46">
        <f t="shared" ref="C33:D33" si="30">B33</f>
        <v>19275.757944687764</v>
      </c>
      <c r="D33" s="46">
        <f t="shared" si="30"/>
        <v>19275.757944687764</v>
      </c>
    </row>
    <row r="34" spans="1:4">
      <c r="A34" s="129">
        <v>2012</v>
      </c>
      <c r="B34" s="46">
        <f>'需要側予測（成長実現ケース）'!FS38</f>
        <v>23079.182682844104</v>
      </c>
      <c r="C34" s="46">
        <f t="shared" ref="C34:D34" si="31">B34</f>
        <v>23079.182682844104</v>
      </c>
      <c r="D34" s="46">
        <f t="shared" si="31"/>
        <v>23079.182682844104</v>
      </c>
    </row>
    <row r="35" spans="1:4">
      <c r="A35" s="129">
        <v>2013</v>
      </c>
      <c r="B35" s="46">
        <f>'需要側予測（成長実現ケース）'!FS39</f>
        <v>26871.151702076073</v>
      </c>
      <c r="C35" s="46">
        <f t="shared" ref="C35:D35" si="32">B35</f>
        <v>26871.151702076073</v>
      </c>
      <c r="D35" s="46">
        <f t="shared" si="32"/>
        <v>26871.151702076073</v>
      </c>
    </row>
    <row r="36" spans="1:4">
      <c r="A36" s="129">
        <v>2014</v>
      </c>
      <c r="B36" s="46">
        <f>'需要側予測（成長実現ケース）'!FS40</f>
        <v>32867.215961007081</v>
      </c>
      <c r="C36" s="46">
        <f t="shared" ref="C36:D36" si="33">B36</f>
        <v>32867.215961007081</v>
      </c>
      <c r="D36" s="46">
        <f t="shared" si="33"/>
        <v>32867.215961007081</v>
      </c>
    </row>
    <row r="37" spans="1:4">
      <c r="A37" s="129">
        <v>2015</v>
      </c>
      <c r="B37" s="46">
        <f>'需要側予測（成長実現ケース）'!FS41</f>
        <v>42911.002668863453</v>
      </c>
      <c r="C37" s="46">
        <f t="shared" ref="C37:D37" si="34">B37</f>
        <v>42911.002668863453</v>
      </c>
      <c r="D37" s="46">
        <f t="shared" si="34"/>
        <v>42911.002668863453</v>
      </c>
    </row>
    <row r="38" spans="1:4">
      <c r="A38" s="129">
        <v>2016</v>
      </c>
      <c r="B38" s="46">
        <f>'需要側予測（成長実現ケース）'!FS42</f>
        <v>46329.036287384544</v>
      </c>
      <c r="C38" s="46">
        <f t="shared" ref="C38:D38" si="35">B38</f>
        <v>46329.036287384544</v>
      </c>
      <c r="D38" s="46">
        <f t="shared" si="35"/>
        <v>46329.036287384544</v>
      </c>
    </row>
    <row r="39" spans="1:4">
      <c r="A39" s="129">
        <v>2017</v>
      </c>
      <c r="B39" s="46">
        <f>'需要側予測（成長実現ケース）'!FS43</f>
        <v>49594.870071955353</v>
      </c>
      <c r="C39" s="46">
        <f t="shared" ref="C39:D39" si="36">B39</f>
        <v>49594.870071955353</v>
      </c>
      <c r="D39" s="46">
        <f t="shared" si="36"/>
        <v>49594.870071955353</v>
      </c>
    </row>
    <row r="40" spans="1:4">
      <c r="A40" s="129">
        <v>2018</v>
      </c>
      <c r="B40" s="46">
        <f>'需要側予測（成長実現ケース）'!FS44</f>
        <v>47997.470870965437</v>
      </c>
      <c r="C40" s="46">
        <f t="shared" ref="C40:D40" si="37">B40</f>
        <v>47997.470870965437</v>
      </c>
      <c r="D40" s="46">
        <f t="shared" si="37"/>
        <v>47997.470870965437</v>
      </c>
    </row>
    <row r="41" spans="1:4">
      <c r="A41" s="129">
        <v>2019</v>
      </c>
      <c r="B41" s="46">
        <f>'需要側予測（成長実現ケース）'!FS45</f>
        <v>47761.132496565646</v>
      </c>
      <c r="C41" s="46">
        <f t="shared" ref="C41:D41" si="38">B41</f>
        <v>47761.132496565646</v>
      </c>
      <c r="D41" s="46">
        <f t="shared" si="38"/>
        <v>47761.132496565646</v>
      </c>
    </row>
    <row r="42" spans="1:4">
      <c r="A42" s="129">
        <v>2020</v>
      </c>
      <c r="B42" s="46">
        <f>'需要側予測（成長実現ケース）'!FS46</f>
        <v>49539.440422019507</v>
      </c>
      <c r="C42" s="46">
        <f t="shared" ref="C42:D42" si="39">B42</f>
        <v>49539.440422019507</v>
      </c>
      <c r="D42" s="46">
        <f t="shared" si="39"/>
        <v>49539.440422019507</v>
      </c>
    </row>
    <row r="43" spans="1:4">
      <c r="A43" s="129">
        <v>2021</v>
      </c>
      <c r="B43" s="348">
        <v>48402.872247675696</v>
      </c>
      <c r="C43" s="46">
        <f t="shared" ref="C43:D43" si="40">B43</f>
        <v>48402.872247675696</v>
      </c>
      <c r="D43" s="46">
        <f t="shared" si="40"/>
        <v>48402.872247675696</v>
      </c>
    </row>
    <row r="44" spans="1:4">
      <c r="A44" s="129">
        <v>2022</v>
      </c>
      <c r="B44" s="348">
        <v>47321.489369718001</v>
      </c>
      <c r="C44" s="46">
        <f t="shared" ref="C44:D44" si="41">B44</f>
        <v>47321.489369718001</v>
      </c>
      <c r="D44" s="46">
        <f t="shared" si="41"/>
        <v>47321.489369718001</v>
      </c>
    </row>
    <row r="45" spans="1:4">
      <c r="A45" s="129">
        <v>2023</v>
      </c>
      <c r="B45" s="46">
        <f>'需要側予測（成長実現ケース）'!FS49</f>
        <v>48201.090914491411</v>
      </c>
      <c r="C45" s="46">
        <f>'需要側予測（ベースラインケース)'!FS49</f>
        <v>48201.090914491411</v>
      </c>
    </row>
    <row r="46" spans="1:4">
      <c r="A46" s="129">
        <v>2024</v>
      </c>
      <c r="B46" s="46">
        <f>'需要側予測（成長実現ケース）'!FS50</f>
        <v>48269.937936216375</v>
      </c>
      <c r="C46" s="46">
        <f>'需要側予測（ベースラインケース)'!FS50</f>
        <v>48269.937936216375</v>
      </c>
    </row>
    <row r="47" spans="1:4">
      <c r="A47" s="129">
        <v>2025</v>
      </c>
      <c r="B47" s="46">
        <f>'需要側予測（成長実現ケース）'!FS51</f>
        <v>48315.34911375821</v>
      </c>
      <c r="C47" s="46">
        <f>'需要側予測（ベースラインケース)'!FS51</f>
        <v>48315.34911375821</v>
      </c>
    </row>
    <row r="48" spans="1:4">
      <c r="A48" s="129">
        <v>2026</v>
      </c>
      <c r="B48" s="46">
        <f>'需要側予測（成長実現ケース）'!FS52</f>
        <v>48522.658102340785</v>
      </c>
      <c r="C48" s="46">
        <f>'需要側予測（ベースラインケース)'!FS52</f>
        <v>48522.658102340785</v>
      </c>
    </row>
    <row r="49" spans="1:7">
      <c r="A49" s="129">
        <v>2027</v>
      </c>
      <c r="B49" s="46">
        <f>'需要側予測（成長実現ケース）'!FS53</f>
        <v>48471.399388251804</v>
      </c>
      <c r="C49" s="46">
        <f>'需要側予測（ベースラインケース)'!FS53</f>
        <v>48471.399388251804</v>
      </c>
    </row>
    <row r="50" spans="1:7">
      <c r="A50" s="129">
        <v>2028</v>
      </c>
      <c r="B50" s="46">
        <f>'需要側予測（成長実現ケース）'!FS54</f>
        <v>48418.764110286611</v>
      </c>
      <c r="C50" s="46">
        <f>'需要側予測（ベースラインケース)'!FS54</f>
        <v>48418.764110286611</v>
      </c>
    </row>
    <row r="51" spans="1:7">
      <c r="A51" s="129">
        <v>2029</v>
      </c>
      <c r="B51" s="46">
        <f>'需要側予測（成長実現ケース）'!FS55</f>
        <v>48366.533260890865</v>
      </c>
      <c r="C51" s="46">
        <f>'需要側予測（ベースラインケース)'!FS55</f>
        <v>48366.533260890865</v>
      </c>
    </row>
    <row r="52" spans="1:7">
      <c r="A52" s="129">
        <v>2030</v>
      </c>
      <c r="B52" s="46">
        <f>'需要側予測（成長実現ケース）'!FS56</f>
        <v>48394.106985290782</v>
      </c>
      <c r="C52" s="46">
        <f>'需要側予測（ベースラインケース)'!FS56</f>
        <v>48394.106985290782</v>
      </c>
    </row>
    <row r="53" spans="1:7">
      <c r="A53" s="129">
        <v>2031</v>
      </c>
      <c r="B53" s="46">
        <f>'需要側予測（成長実現ケース）'!FS57</f>
        <v>48414.801826803166</v>
      </c>
      <c r="C53" s="46">
        <f>'需要側予測（ベースラインケース)'!FS57</f>
        <v>48414.801826803166</v>
      </c>
    </row>
    <row r="54" spans="1:7">
      <c r="A54" s="129">
        <v>2032</v>
      </c>
      <c r="B54" s="46">
        <f>'需要側予測（成長実現ケース）'!FS58</f>
        <v>48431.377278977336</v>
      </c>
      <c r="C54" s="46">
        <f>'需要側予測（ベースラインケース)'!FS58</f>
        <v>48431.377278977336</v>
      </c>
    </row>
    <row r="55" spans="1:7">
      <c r="A55" s="129">
        <v>2033</v>
      </c>
      <c r="B55" s="46">
        <f>'需要側予測（成長実現ケース）'!FS59</f>
        <v>48416.163808416757</v>
      </c>
      <c r="C55" s="46">
        <f>'需要側予測（ベースラインケース)'!FS59</f>
        <v>48416.163808416757</v>
      </c>
    </row>
    <row r="56" spans="1:7">
      <c r="A56" s="129">
        <v>2034</v>
      </c>
      <c r="B56" s="46">
        <f>'需要側予測（成長実現ケース）'!FS60</f>
        <v>48406.957878444249</v>
      </c>
      <c r="C56" s="46">
        <f>'需要側予測（ベースラインケース)'!FS60</f>
        <v>48406.957878444249</v>
      </c>
    </row>
    <row r="57" spans="1:7">
      <c r="A57" s="129">
        <v>2035</v>
      </c>
      <c r="B57" s="46">
        <f>'需要側予測（成長実現ケース）'!FS61</f>
        <v>48404.990173137187</v>
      </c>
      <c r="C57" s="46">
        <f>'需要側予測（ベースラインケース)'!FS61</f>
        <v>48404.990173137187</v>
      </c>
    </row>
    <row r="58" spans="1:7">
      <c r="A58" s="129">
        <v>2036</v>
      </c>
      <c r="B58" s="46">
        <f>'需要側予測（成長実現ケース）'!FS62</f>
        <v>48411.399658511589</v>
      </c>
      <c r="C58" s="46">
        <f>'需要側予測（ベースラインケース)'!FS62</f>
        <v>48411.399658511589</v>
      </c>
    </row>
    <row r="59" spans="1:7">
      <c r="A59" s="129">
        <v>2037</v>
      </c>
      <c r="B59" s="46">
        <f>'需要側予測（成長実現ケース）'!FS63</f>
        <v>48414.281770715046</v>
      </c>
      <c r="C59" s="46">
        <f>'需要側予測（ベースラインケース)'!FS63</f>
        <v>48414.281770715046</v>
      </c>
    </row>
    <row r="60" spans="1:7">
      <c r="A60" s="129">
        <v>2038</v>
      </c>
      <c r="B60" s="46">
        <f>'需要側予測（成長実現ケース）'!FS64</f>
        <v>48414.195094700364</v>
      </c>
      <c r="C60" s="46">
        <f>'需要側予測（ベースラインケース)'!FS64</f>
        <v>48414.195094700364</v>
      </c>
    </row>
    <row r="61" spans="1:7">
      <c r="A61" s="129">
        <v>2039</v>
      </c>
      <c r="B61" s="46">
        <f>'需要側予測（成長実現ケース）'!FS65</f>
        <v>48411.331397320864</v>
      </c>
      <c r="C61" s="46">
        <f>'需要側予測（ベースラインケース)'!FS65</f>
        <v>48411.331397320864</v>
      </c>
    </row>
    <row r="62" spans="1:7">
      <c r="A62" s="129">
        <v>2040</v>
      </c>
      <c r="B62" s="46">
        <f>'需要側予測（成長実現ケース）'!FS66</f>
        <v>48410.525995471544</v>
      </c>
      <c r="C62" s="46">
        <f>'需要側予測（ベースラインケース)'!FS66</f>
        <v>48410.525995471544</v>
      </c>
      <c r="F62" s="24" t="s">
        <v>616</v>
      </c>
    </row>
    <row r="63" spans="1:7">
      <c r="F63" s="24" t="s">
        <v>210</v>
      </c>
      <c r="G63" s="24">
        <v>1342.23609342446</v>
      </c>
    </row>
    <row r="64" spans="1:7">
      <c r="F64" s="24" t="s">
        <v>416</v>
      </c>
      <c r="G64" s="24">
        <v>1025.7592844389801</v>
      </c>
    </row>
    <row r="65" spans="6:8">
      <c r="F65" s="24" t="s">
        <v>417</v>
      </c>
      <c r="G65" s="24">
        <v>1101.4769071897599</v>
      </c>
    </row>
    <row r="66" spans="6:8">
      <c r="F66" s="24" t="s">
        <v>418</v>
      </c>
      <c r="G66" s="24">
        <v>1370.81493971437</v>
      </c>
      <c r="H66" s="24">
        <f>SUM(G63:G66)*10</f>
        <v>48402.872247675696</v>
      </c>
    </row>
    <row r="67" spans="6:8">
      <c r="F67" s="24" t="s">
        <v>419</v>
      </c>
      <c r="G67" s="24">
        <v>1346.4588519235101</v>
      </c>
    </row>
    <row r="68" spans="6:8">
      <c r="F68" s="24" t="s">
        <v>420</v>
      </c>
      <c r="G68" s="24">
        <v>1043.5230077050201</v>
      </c>
    </row>
    <row r="69" spans="6:8">
      <c r="F69" s="24" t="s">
        <v>421</v>
      </c>
      <c r="G69" s="24">
        <v>1111.9638197271699</v>
      </c>
    </row>
    <row r="70" spans="6:8">
      <c r="F70" s="24" t="s">
        <v>422</v>
      </c>
      <c r="G70" s="24">
        <v>1230.2032576161</v>
      </c>
      <c r="H70" s="24">
        <f>SUM(G67:G70)*10</f>
        <v>47321.489369718001</v>
      </c>
    </row>
    <row r="71" spans="6:8">
      <c r="F71" s="24" t="s">
        <v>423</v>
      </c>
      <c r="G71" s="24">
        <v>1220.20834327636</v>
      </c>
    </row>
  </sheetData>
  <phoneticPr fontId="1"/>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2C24D-C441-4F86-8B15-16186DBF95B0}">
  <dimension ref="A1:G71"/>
  <sheetViews>
    <sheetView topLeftCell="A43" workbookViewId="0">
      <selection activeCell="V37" sqref="V37"/>
    </sheetView>
  </sheetViews>
  <sheetFormatPr defaultColWidth="8.84375" defaultRowHeight="18.45"/>
  <cols>
    <col min="1" max="1" width="8.84375" style="87"/>
    <col min="2" max="3" width="19" style="37" bestFit="1" customWidth="1"/>
    <col min="4" max="4" width="8.84375" style="37"/>
    <col min="5" max="16384" width="8.84375" style="24"/>
  </cols>
  <sheetData>
    <row r="1" spans="1:4">
      <c r="A1" s="87" t="s">
        <v>7</v>
      </c>
      <c r="B1" s="37" t="s">
        <v>127</v>
      </c>
      <c r="C1" s="37" t="s">
        <v>150</v>
      </c>
      <c r="D1" s="37" t="s">
        <v>413</v>
      </c>
    </row>
    <row r="2" spans="1:4">
      <c r="A2" s="129">
        <v>1980</v>
      </c>
      <c r="B2" s="46">
        <f>'需要側予測（成長実現ケース）'!FU6</f>
        <v>202914.43510561698</v>
      </c>
      <c r="C2" s="46">
        <f>B2</f>
        <v>202914.43510561698</v>
      </c>
      <c r="D2" s="46">
        <f>C2</f>
        <v>202914.43510561698</v>
      </c>
    </row>
    <row r="3" spans="1:4">
      <c r="A3" s="129">
        <v>1981</v>
      </c>
      <c r="B3" s="46">
        <f>'需要側予測（成長実現ケース）'!FU7</f>
        <v>201061.51597687128</v>
      </c>
      <c r="C3" s="46">
        <f t="shared" ref="C3:D3" si="0">B3</f>
        <v>201061.51597687128</v>
      </c>
      <c r="D3" s="46">
        <f t="shared" si="0"/>
        <v>201061.51597687128</v>
      </c>
    </row>
    <row r="4" spans="1:4">
      <c r="A4" s="129">
        <v>1982</v>
      </c>
      <c r="B4" s="46">
        <f>'需要側予測（成長実現ケース）'!FU8</f>
        <v>205116.61976260578</v>
      </c>
      <c r="C4" s="46">
        <f t="shared" ref="C4:D4" si="1">B4</f>
        <v>205116.61976260578</v>
      </c>
      <c r="D4" s="46">
        <f t="shared" si="1"/>
        <v>205116.61976260578</v>
      </c>
    </row>
    <row r="5" spans="1:4">
      <c r="A5" s="129">
        <v>1983</v>
      </c>
      <c r="B5" s="46">
        <f>'需要側予測（成長実現ケース）'!FU9</f>
        <v>208059.28149195394</v>
      </c>
      <c r="C5" s="46">
        <f t="shared" ref="C5:D5" si="2">B5</f>
        <v>208059.28149195394</v>
      </c>
      <c r="D5" s="46">
        <f t="shared" si="2"/>
        <v>208059.28149195394</v>
      </c>
    </row>
    <row r="6" spans="1:4">
      <c r="A6" s="129">
        <v>1984</v>
      </c>
      <c r="B6" s="46">
        <f>'需要側予測（成長実現ケース）'!FU10</f>
        <v>205529.40862902641</v>
      </c>
      <c r="C6" s="46">
        <f t="shared" ref="C6:D6" si="3">B6</f>
        <v>205529.40862902641</v>
      </c>
      <c r="D6" s="46">
        <f t="shared" si="3"/>
        <v>205529.40862902641</v>
      </c>
    </row>
    <row r="7" spans="1:4">
      <c r="A7" s="129">
        <v>1985</v>
      </c>
      <c r="B7" s="46">
        <f>'需要側予測（成長実現ケース）'!FU11</f>
        <v>200436.81777592422</v>
      </c>
      <c r="C7" s="46">
        <f t="shared" ref="C7:D7" si="4">B7</f>
        <v>200436.81777592422</v>
      </c>
      <c r="D7" s="46">
        <f t="shared" si="4"/>
        <v>200436.81777592422</v>
      </c>
    </row>
    <row r="8" spans="1:4">
      <c r="A8" s="129">
        <v>1986</v>
      </c>
      <c r="B8" s="46">
        <f>'需要側予測（成長実現ケース）'!FU12</f>
        <v>219883.88842543331</v>
      </c>
      <c r="C8" s="46">
        <f t="shared" ref="C8:D8" si="5">B8</f>
        <v>219883.88842543331</v>
      </c>
      <c r="D8" s="46">
        <f t="shared" si="5"/>
        <v>219883.88842543331</v>
      </c>
    </row>
    <row r="9" spans="1:4">
      <c r="A9" s="129">
        <v>1987</v>
      </c>
      <c r="B9" s="46">
        <f>'需要側予測（成長実現ケース）'!FU13</f>
        <v>233292.84543566033</v>
      </c>
      <c r="C9" s="46">
        <f t="shared" ref="C9:D9" si="6">B9</f>
        <v>233292.84543566033</v>
      </c>
      <c r="D9" s="46">
        <f t="shared" si="6"/>
        <v>233292.84543566033</v>
      </c>
    </row>
    <row r="10" spans="1:4">
      <c r="A10" s="129">
        <v>1988</v>
      </c>
      <c r="B10" s="46">
        <f>'需要側予測（成長実現ケース）'!FU14</f>
        <v>247349.75768353729</v>
      </c>
      <c r="C10" s="46">
        <f t="shared" ref="C10:D10" si="7">B10</f>
        <v>247349.75768353729</v>
      </c>
      <c r="D10" s="46">
        <f t="shared" si="7"/>
        <v>247349.75768353729</v>
      </c>
    </row>
    <row r="11" spans="1:4">
      <c r="A11" s="129">
        <v>1989</v>
      </c>
      <c r="B11" s="46">
        <f>'需要側予測（成長実現ケース）'!FU15</f>
        <v>242065.11969696454</v>
      </c>
      <c r="C11" s="46">
        <f t="shared" ref="C11:D11" si="8">B11</f>
        <v>242065.11969696454</v>
      </c>
      <c r="D11" s="46">
        <f t="shared" si="8"/>
        <v>242065.11969696454</v>
      </c>
    </row>
    <row r="12" spans="1:4">
      <c r="A12" s="129">
        <v>1990</v>
      </c>
      <c r="B12" s="46">
        <f>'需要側予測（成長実現ケース）'!FU16</f>
        <v>249237.29668246288</v>
      </c>
      <c r="C12" s="46">
        <f t="shared" ref="C12:D12" si="9">B12</f>
        <v>249237.29668246288</v>
      </c>
      <c r="D12" s="46">
        <f t="shared" si="9"/>
        <v>249237.29668246288</v>
      </c>
    </row>
    <row r="13" spans="1:4">
      <c r="A13" s="129">
        <v>1991</v>
      </c>
      <c r="B13" s="46">
        <f>'需要側予測（成長実現ケース）'!FU17</f>
        <v>257100.85993504935</v>
      </c>
      <c r="C13" s="46">
        <f t="shared" ref="C13:D13" si="10">B13</f>
        <v>257100.85993504935</v>
      </c>
      <c r="D13" s="46">
        <f t="shared" si="10"/>
        <v>257100.85993504935</v>
      </c>
    </row>
    <row r="14" spans="1:4">
      <c r="A14" s="129">
        <v>1992</v>
      </c>
      <c r="B14" s="46">
        <f>'需要側予測（成長実現ケース）'!FU18</f>
        <v>284527.81732235401</v>
      </c>
      <c r="C14" s="46">
        <f t="shared" ref="C14:D14" si="11">B14</f>
        <v>284527.81732235401</v>
      </c>
      <c r="D14" s="46">
        <f t="shared" si="11"/>
        <v>284527.81732235401</v>
      </c>
    </row>
    <row r="15" spans="1:4">
      <c r="A15" s="129">
        <v>1993</v>
      </c>
      <c r="B15" s="46">
        <f>'需要側予測（成長実現ケース）'!FU19</f>
        <v>307141.71781202551</v>
      </c>
      <c r="C15" s="46">
        <f t="shared" ref="C15:D15" si="12">B15</f>
        <v>307141.71781202551</v>
      </c>
      <c r="D15" s="46">
        <f t="shared" si="12"/>
        <v>307141.71781202551</v>
      </c>
    </row>
    <row r="16" spans="1:4">
      <c r="A16" s="129">
        <v>1994</v>
      </c>
      <c r="B16" s="46">
        <f>'需要側予測（成長実現ケース）'!FU20</f>
        <v>307844.33882815018</v>
      </c>
      <c r="C16" s="46">
        <f t="shared" ref="C16:D16" si="13">B16</f>
        <v>307844.33882815018</v>
      </c>
      <c r="D16" s="46">
        <f t="shared" si="13"/>
        <v>307844.33882815018</v>
      </c>
    </row>
    <row r="17" spans="1:4">
      <c r="A17" s="129">
        <v>1995</v>
      </c>
      <c r="B17" s="46">
        <f>'需要側予測（成長実現ケース）'!FU21</f>
        <v>309328.09627163329</v>
      </c>
      <c r="C17" s="46">
        <f t="shared" ref="C17:D17" si="14">B17</f>
        <v>309328.09627163329</v>
      </c>
      <c r="D17" s="46">
        <f t="shared" si="14"/>
        <v>309328.09627163329</v>
      </c>
    </row>
    <row r="18" spans="1:4">
      <c r="A18" s="129">
        <v>1996</v>
      </c>
      <c r="B18" s="46">
        <f>'需要側予測（成長実現ケース）'!FU22</f>
        <v>335999.3103311382</v>
      </c>
      <c r="C18" s="46">
        <f t="shared" ref="C18:D18" si="15">B18</f>
        <v>335999.3103311382</v>
      </c>
      <c r="D18" s="46">
        <f t="shared" si="15"/>
        <v>335999.3103311382</v>
      </c>
    </row>
    <row r="19" spans="1:4">
      <c r="A19" s="129">
        <v>1997</v>
      </c>
      <c r="B19" s="46">
        <f>'需要側予測（成長実現ケース）'!FU23</f>
        <v>307638.1702635102</v>
      </c>
      <c r="C19" s="46">
        <f t="shared" ref="C19:D19" si="16">B19</f>
        <v>307638.1702635102</v>
      </c>
      <c r="D19" s="46">
        <f t="shared" si="16"/>
        <v>307638.1702635102</v>
      </c>
    </row>
    <row r="20" spans="1:4">
      <c r="A20" s="129">
        <v>1998</v>
      </c>
      <c r="B20" s="46">
        <f>'需要側予測（成長実現ケース）'!FU24</f>
        <v>316032.85761857359</v>
      </c>
      <c r="C20" s="46">
        <f t="shared" ref="C20:D20" si="17">B20</f>
        <v>316032.85761857359</v>
      </c>
      <c r="D20" s="46">
        <f t="shared" si="17"/>
        <v>316032.85761857359</v>
      </c>
    </row>
    <row r="21" spans="1:4">
      <c r="A21" s="129">
        <v>1999</v>
      </c>
      <c r="B21" s="46">
        <f>'需要側予測（成長実現ケース）'!FU25</f>
        <v>321962.11012480356</v>
      </c>
      <c r="C21" s="46">
        <f t="shared" ref="C21:D21" si="18">B21</f>
        <v>321962.11012480356</v>
      </c>
      <c r="D21" s="46">
        <f t="shared" si="18"/>
        <v>321962.11012480356</v>
      </c>
    </row>
    <row r="22" spans="1:4">
      <c r="A22" s="129">
        <v>2000</v>
      </c>
      <c r="B22" s="46">
        <f>'需要側予測（成長実現ケース）'!FU26</f>
        <v>288365.18616223783</v>
      </c>
      <c r="C22" s="46">
        <f t="shared" ref="C22:D22" si="19">B22</f>
        <v>288365.18616223783</v>
      </c>
      <c r="D22" s="46">
        <f t="shared" si="19"/>
        <v>288365.18616223783</v>
      </c>
    </row>
    <row r="23" spans="1:4">
      <c r="A23" s="129">
        <v>2001</v>
      </c>
      <c r="B23" s="46">
        <f>'需要側予測（成長実現ケース）'!FU27</f>
        <v>289550.86796045094</v>
      </c>
      <c r="C23" s="46">
        <f t="shared" ref="C23:D23" si="20">B23</f>
        <v>289550.86796045094</v>
      </c>
      <c r="D23" s="46">
        <f t="shared" si="20"/>
        <v>289550.86796045094</v>
      </c>
    </row>
    <row r="24" spans="1:4">
      <c r="A24" s="129">
        <v>2002</v>
      </c>
      <c r="B24" s="46">
        <f>'需要側予測（成長実現ケース）'!FU28</f>
        <v>270958.53636404313</v>
      </c>
      <c r="C24" s="46">
        <f t="shared" ref="C24:D24" si="21">B24</f>
        <v>270958.53636404313</v>
      </c>
      <c r="D24" s="46">
        <f t="shared" si="21"/>
        <v>270958.53636404313</v>
      </c>
    </row>
    <row r="25" spans="1:4">
      <c r="A25" s="129">
        <v>2003</v>
      </c>
      <c r="B25" s="46">
        <f>'需要側予測（成長実現ケース）'!FU29</f>
        <v>241013.9918968468</v>
      </c>
      <c r="C25" s="46">
        <f t="shared" ref="C25:D25" si="22">B25</f>
        <v>241013.9918968468</v>
      </c>
      <c r="D25" s="46">
        <f t="shared" si="22"/>
        <v>241013.9918968468</v>
      </c>
    </row>
    <row r="26" spans="1:4">
      <c r="A26" s="129">
        <v>2004</v>
      </c>
      <c r="B26" s="46">
        <f>'需要側予測（成長実現ケース）'!FU30</f>
        <v>215353.05639483486</v>
      </c>
      <c r="C26" s="46">
        <f t="shared" ref="C26:D26" si="23">B26</f>
        <v>215353.05639483486</v>
      </c>
      <c r="D26" s="46">
        <f t="shared" si="23"/>
        <v>215353.05639483486</v>
      </c>
    </row>
    <row r="27" spans="1:4">
      <c r="A27" s="129">
        <v>2005</v>
      </c>
      <c r="B27" s="46">
        <f>'需要側予測（成長実現ケース）'!FU31</f>
        <v>196635.03038323642</v>
      </c>
      <c r="C27" s="46">
        <f t="shared" ref="C27:D27" si="24">B27</f>
        <v>196635.03038323642</v>
      </c>
      <c r="D27" s="46">
        <f t="shared" si="24"/>
        <v>196635.03038323642</v>
      </c>
    </row>
    <row r="28" spans="1:4">
      <c r="A28" s="129">
        <v>2006</v>
      </c>
      <c r="B28" s="46">
        <f>'需要側予測（成長実現ケース）'!FU32</f>
        <v>177831.62141183708</v>
      </c>
      <c r="C28" s="46">
        <f t="shared" ref="C28:D28" si="25">B28</f>
        <v>177831.62141183708</v>
      </c>
      <c r="D28" s="46">
        <f t="shared" si="25"/>
        <v>177831.62141183708</v>
      </c>
    </row>
    <row r="29" spans="1:4">
      <c r="A29" s="129">
        <v>2007</v>
      </c>
      <c r="B29" s="46">
        <f>'需要側予測（成長実現ケース）'!FU33</f>
        <v>165996.1534714429</v>
      </c>
      <c r="C29" s="46">
        <f t="shared" ref="C29:D29" si="26">B29</f>
        <v>165996.1534714429</v>
      </c>
      <c r="D29" s="46">
        <f t="shared" si="26"/>
        <v>165996.1534714429</v>
      </c>
    </row>
    <row r="30" spans="1:4">
      <c r="A30" s="129">
        <v>2008</v>
      </c>
      <c r="B30" s="46">
        <f>'需要側予測（成長実現ケース）'!FU34</f>
        <v>154155.20868274386</v>
      </c>
      <c r="C30" s="46">
        <f t="shared" ref="C30:D30" si="27">B30</f>
        <v>154155.20868274386</v>
      </c>
      <c r="D30" s="46">
        <f t="shared" si="27"/>
        <v>154155.20868274386</v>
      </c>
    </row>
    <row r="31" spans="1:4">
      <c r="A31" s="129">
        <v>2009</v>
      </c>
      <c r="B31" s="46">
        <f>'需要側予測（成長実現ケース）'!FU35</f>
        <v>161129.789063484</v>
      </c>
      <c r="C31" s="46">
        <f t="shared" ref="C31:D31" si="28">B31</f>
        <v>161129.789063484</v>
      </c>
      <c r="D31" s="46">
        <f t="shared" si="28"/>
        <v>161129.789063484</v>
      </c>
    </row>
    <row r="32" spans="1:4">
      <c r="A32" s="129">
        <v>2010</v>
      </c>
      <c r="B32" s="46">
        <f>'需要側予測（成長実現ケース）'!FU36</f>
        <v>170407.43092706206</v>
      </c>
      <c r="C32" s="46">
        <f t="shared" ref="C32:D32" si="29">B32</f>
        <v>170407.43092706206</v>
      </c>
      <c r="D32" s="46">
        <f t="shared" si="29"/>
        <v>170407.43092706206</v>
      </c>
    </row>
    <row r="33" spans="1:4">
      <c r="A33" s="129">
        <v>2011</v>
      </c>
      <c r="B33" s="46">
        <f>'需要側予測（成長実現ケース）'!FU37</f>
        <v>152808.06984018526</v>
      </c>
      <c r="C33" s="46">
        <f t="shared" ref="C33:D33" si="30">B33</f>
        <v>152808.06984018526</v>
      </c>
      <c r="D33" s="46">
        <f t="shared" si="30"/>
        <v>152808.06984018526</v>
      </c>
    </row>
    <row r="34" spans="1:4">
      <c r="A34" s="129">
        <v>2012</v>
      </c>
      <c r="B34" s="46">
        <f>'需要側予測（成長実現ケース）'!FU38</f>
        <v>145353.89553726726</v>
      </c>
      <c r="C34" s="46">
        <f t="shared" ref="C34:D34" si="31">B34</f>
        <v>145353.89553726726</v>
      </c>
      <c r="D34" s="46">
        <f t="shared" si="31"/>
        <v>145353.89553726726</v>
      </c>
    </row>
    <row r="35" spans="1:4">
      <c r="A35" s="129">
        <v>2013</v>
      </c>
      <c r="B35" s="46">
        <f>'需要側予測（成長実現ケース）'!FU39</f>
        <v>152615.44266419049</v>
      </c>
      <c r="C35" s="46">
        <f t="shared" ref="C35:D35" si="32">B35</f>
        <v>152615.44266419049</v>
      </c>
      <c r="D35" s="46">
        <f t="shared" si="32"/>
        <v>152615.44266419049</v>
      </c>
    </row>
    <row r="36" spans="1:4">
      <c r="A36" s="129">
        <v>2014</v>
      </c>
      <c r="B36" s="46">
        <f>'需要側予測（成長実現ケース）'!FU40</f>
        <v>150196.69366653039</v>
      </c>
      <c r="C36" s="46">
        <f t="shared" ref="C36:D36" si="33">B36</f>
        <v>150196.69366653039</v>
      </c>
      <c r="D36" s="46">
        <f t="shared" si="33"/>
        <v>150196.69366653039</v>
      </c>
    </row>
    <row r="37" spans="1:4">
      <c r="A37" s="129">
        <v>2015</v>
      </c>
      <c r="B37" s="46">
        <f>'需要側予測（成長実現ケース）'!FU41</f>
        <v>141850.29847867921</v>
      </c>
      <c r="C37" s="46">
        <f t="shared" ref="C37:D37" si="34">B37</f>
        <v>141850.29847867921</v>
      </c>
      <c r="D37" s="46">
        <f t="shared" si="34"/>
        <v>141850.29847867921</v>
      </c>
    </row>
    <row r="38" spans="1:4">
      <c r="A38" s="129">
        <v>2016</v>
      </c>
      <c r="B38" s="46">
        <f>'需要側予測（成長実現ケース）'!FU42</f>
        <v>151234.07808652165</v>
      </c>
      <c r="C38" s="46">
        <f t="shared" ref="C38:D38" si="35">B38</f>
        <v>151234.07808652165</v>
      </c>
      <c r="D38" s="46">
        <f t="shared" si="35"/>
        <v>151234.07808652165</v>
      </c>
    </row>
    <row r="39" spans="1:4">
      <c r="A39" s="129">
        <v>2017</v>
      </c>
      <c r="B39" s="46">
        <f>'需要側予測（成長実現ケース）'!FU43</f>
        <v>154123.39811104312</v>
      </c>
      <c r="C39" s="46">
        <f t="shared" ref="C39:D39" si="36">B39</f>
        <v>154123.39811104312</v>
      </c>
      <c r="D39" s="46">
        <f t="shared" si="36"/>
        <v>154123.39811104312</v>
      </c>
    </row>
    <row r="40" spans="1:4">
      <c r="A40" s="129">
        <v>2018</v>
      </c>
      <c r="B40" s="46">
        <f>'需要側予測（成長実現ケース）'!FU44</f>
        <v>149699.28775416251</v>
      </c>
      <c r="C40" s="46">
        <f t="shared" ref="C40:D40" si="37">B40</f>
        <v>149699.28775416251</v>
      </c>
      <c r="D40" s="46">
        <f t="shared" si="37"/>
        <v>149699.28775416251</v>
      </c>
    </row>
    <row r="41" spans="1:4">
      <c r="A41" s="129">
        <v>2019</v>
      </c>
      <c r="B41" s="46">
        <f>'需要側予測（成長実現ケース）'!FU45</f>
        <v>153667.14719482133</v>
      </c>
      <c r="C41" s="46">
        <f t="shared" ref="C41:D41" si="38">B41</f>
        <v>153667.14719482133</v>
      </c>
      <c r="D41" s="46">
        <f t="shared" si="38"/>
        <v>153667.14719482133</v>
      </c>
    </row>
    <row r="42" spans="1:4">
      <c r="A42" s="129">
        <v>2020</v>
      </c>
      <c r="B42" s="46">
        <f>'需要側予測（成長実現ケース）'!FU46</f>
        <v>162156.55899855541</v>
      </c>
      <c r="C42" s="46">
        <f t="shared" ref="C42:D42" si="39">B42</f>
        <v>162156.55899855541</v>
      </c>
      <c r="D42" s="46">
        <f t="shared" si="39"/>
        <v>162156.55899855541</v>
      </c>
    </row>
    <row r="43" spans="1:4">
      <c r="A43" s="129">
        <v>2021</v>
      </c>
      <c r="B43" s="348">
        <v>164523.90745529771</v>
      </c>
      <c r="C43" s="46">
        <f t="shared" ref="C43:D43" si="40">B43</f>
        <v>164523.90745529771</v>
      </c>
      <c r="D43" s="46">
        <f t="shared" si="40"/>
        <v>164523.90745529771</v>
      </c>
    </row>
    <row r="44" spans="1:4">
      <c r="A44" s="129">
        <v>2022</v>
      </c>
      <c r="B44" s="348">
        <v>166157.89453033096</v>
      </c>
      <c r="C44" s="46">
        <f t="shared" ref="C44:D44" si="41">B44</f>
        <v>166157.89453033096</v>
      </c>
      <c r="D44" s="46">
        <f t="shared" si="41"/>
        <v>166157.89453033096</v>
      </c>
    </row>
    <row r="45" spans="1:4">
      <c r="A45" s="129">
        <v>2023</v>
      </c>
      <c r="B45" s="46">
        <f>'需要側予測（成長実現ケース）'!FU49</f>
        <v>154230.57949000053</v>
      </c>
      <c r="C45" s="46">
        <f>'需要側予測（ベースラインケース)'!FU49</f>
        <v>154230.57949000053</v>
      </c>
    </row>
    <row r="46" spans="1:4">
      <c r="A46" s="129">
        <v>2024</v>
      </c>
      <c r="B46" s="46">
        <f>'需要側予測（成長実現ケース）'!FU50</f>
        <v>154816.71652206933</v>
      </c>
      <c r="C46" s="46">
        <f>'需要側予測（ベースラインケース)'!FU50</f>
        <v>154816.71652206933</v>
      </c>
    </row>
    <row r="47" spans="1:4">
      <c r="A47" s="129">
        <v>2025</v>
      </c>
      <c r="B47" s="46">
        <f>'需要側予測（成長実現ケース）'!FU51</f>
        <v>155669.62131672044</v>
      </c>
      <c r="C47" s="46">
        <f>'需要側予測（ベースラインケース)'!FU51</f>
        <v>155669.62131672044</v>
      </c>
    </row>
    <row r="48" spans="1:4">
      <c r="A48" s="129">
        <v>2026</v>
      </c>
      <c r="B48" s="46">
        <f>'需要側予測（成長実現ケース）'!FU52</f>
        <v>155712.40282065407</v>
      </c>
      <c r="C48" s="46">
        <f>'需要側予測（ベースラインケース)'!FU52</f>
        <v>155712.40282065407</v>
      </c>
    </row>
    <row r="49" spans="1:6">
      <c r="A49" s="129">
        <v>2027</v>
      </c>
      <c r="B49" s="46">
        <f>'需要側予測（成長実現ケース）'!FU53</f>
        <v>154157.5718260775</v>
      </c>
      <c r="C49" s="46">
        <f>'需要側予測（ベースラインケース)'!FU53</f>
        <v>154157.5718260775</v>
      </c>
    </row>
    <row r="50" spans="1:6">
      <c r="A50" s="129">
        <v>2028</v>
      </c>
      <c r="B50" s="46">
        <f>'需要側予測（成長実現ケース）'!FU54</f>
        <v>154625.82531742484</v>
      </c>
      <c r="C50" s="46">
        <f>'需要側予測（ベースラインケース)'!FU54</f>
        <v>154625.82531742484</v>
      </c>
    </row>
    <row r="51" spans="1:6">
      <c r="A51" s="129">
        <v>2029</v>
      </c>
      <c r="B51" s="46">
        <f>'需要側予測（成長実現ケース）'!FU55</f>
        <v>154868.7862154911</v>
      </c>
      <c r="C51" s="46">
        <f>'需要側予測（ベースラインケース)'!FU55</f>
        <v>154868.7862154911</v>
      </c>
    </row>
    <row r="52" spans="1:6">
      <c r="A52" s="129">
        <v>2030</v>
      </c>
      <c r="B52" s="46">
        <f>'需要側予測（成長実現ケース）'!FU56</f>
        <v>154975.15400307285</v>
      </c>
      <c r="C52" s="46">
        <f>'需要側予測（ベースラインケース)'!FU56</f>
        <v>154975.15400307285</v>
      </c>
    </row>
    <row r="53" spans="1:6">
      <c r="A53" s="129">
        <v>2031</v>
      </c>
      <c r="B53" s="46">
        <f>'需要側予測（成長実現ケース）'!FU57</f>
        <v>155001.56024990685</v>
      </c>
      <c r="C53" s="46">
        <f>'需要側予測（ベースラインケース)'!FU57</f>
        <v>155001.56024990685</v>
      </c>
    </row>
    <row r="54" spans="1:6">
      <c r="A54" s="129">
        <v>2032</v>
      </c>
      <c r="B54" s="46">
        <f>'需要側予測（成長実現ケース）'!FU58</f>
        <v>154890.21673877118</v>
      </c>
      <c r="C54" s="46">
        <f>'需要側予測（ベースラインケース)'!FU58</f>
        <v>154890.21673877118</v>
      </c>
    </row>
    <row r="55" spans="1:6">
      <c r="A55" s="129">
        <v>2033</v>
      </c>
      <c r="B55" s="46">
        <f>'需要側予測（成長実現ケース）'!FU59</f>
        <v>154753.18572512403</v>
      </c>
      <c r="C55" s="46">
        <f>'需要側予測（ベースラインケース)'!FU59</f>
        <v>154753.18572512403</v>
      </c>
    </row>
    <row r="56" spans="1:6">
      <c r="A56" s="129">
        <v>2034</v>
      </c>
      <c r="B56" s="46">
        <f>'需要側予測（成長実現ケース）'!FU60</f>
        <v>154852.45470829846</v>
      </c>
      <c r="C56" s="46">
        <f>'需要側予測（ベースラインケース)'!FU60</f>
        <v>154852.45470829846</v>
      </c>
    </row>
    <row r="57" spans="1:6">
      <c r="A57" s="129">
        <v>2035</v>
      </c>
      <c r="B57" s="46">
        <f>'需要側予測（成長実現ケース）'!FU61</f>
        <v>154890.22627344407</v>
      </c>
      <c r="C57" s="46">
        <f>'需要側予測（ベースラインケース)'!FU61</f>
        <v>154890.22627344407</v>
      </c>
    </row>
    <row r="58" spans="1:6">
      <c r="A58" s="129">
        <v>2036</v>
      </c>
      <c r="B58" s="46">
        <f>'需要側予測（成長実現ケース）'!FU62</f>
        <v>154893.79961643627</v>
      </c>
      <c r="C58" s="46">
        <f>'需要側予測（ベースラインケース)'!FU62</f>
        <v>154893.79961643627</v>
      </c>
    </row>
    <row r="59" spans="1:6">
      <c r="A59" s="129">
        <v>2037</v>
      </c>
      <c r="B59" s="46">
        <f>'需要側予測（成長実現ケース）'!FU63</f>
        <v>154880.24055199683</v>
      </c>
      <c r="C59" s="46">
        <f>'需要側予測（ベースラインケース)'!FU63</f>
        <v>154880.24055199683</v>
      </c>
    </row>
    <row r="60" spans="1:6">
      <c r="A60" s="129">
        <v>2038</v>
      </c>
      <c r="B60" s="46">
        <f>'需要側予測（成長実現ケース）'!FU64</f>
        <v>154860.02060234515</v>
      </c>
      <c r="C60" s="46">
        <f>'需要側予測（ベースラインケース)'!FU64</f>
        <v>154860.02060234515</v>
      </c>
    </row>
    <row r="61" spans="1:6">
      <c r="A61" s="129">
        <v>2039</v>
      </c>
      <c r="B61" s="46">
        <f>'需要側予測（成長実現ケース）'!FU65</f>
        <v>154854.98791294079</v>
      </c>
      <c r="C61" s="46">
        <f>'需要側予測（ベースラインケース)'!FU65</f>
        <v>154854.98791294079</v>
      </c>
    </row>
    <row r="62" spans="1:6">
      <c r="A62" s="129">
        <v>2040</v>
      </c>
      <c r="B62" s="46">
        <f>'需要側予測（成長実現ケース）'!FU66</f>
        <v>154871.9549442436</v>
      </c>
      <c r="C62" s="46">
        <f>'需要側予測（ベースラインケース)'!FU66</f>
        <v>154871.9549442436</v>
      </c>
      <c r="E62" s="24" t="s">
        <v>617</v>
      </c>
    </row>
    <row r="63" spans="1:6">
      <c r="E63" s="24" t="s">
        <v>210</v>
      </c>
      <c r="F63" s="24">
        <v>4669.2029475117297</v>
      </c>
    </row>
    <row r="64" spans="1:6">
      <c r="E64" s="24" t="s">
        <v>416</v>
      </c>
      <c r="F64" s="24">
        <v>3311.2010395642601</v>
      </c>
    </row>
    <row r="65" spans="5:7">
      <c r="E65" s="24" t="s">
        <v>417</v>
      </c>
      <c r="F65" s="24">
        <v>3643.4077081381201</v>
      </c>
    </row>
    <row r="66" spans="5:7">
      <c r="E66" s="24" t="s">
        <v>418</v>
      </c>
      <c r="F66" s="24">
        <v>4828.5790503156604</v>
      </c>
      <c r="G66" s="24">
        <f>SUM(F63:F66)*10</f>
        <v>164523.90745529771</v>
      </c>
    </row>
    <row r="67" spans="5:7">
      <c r="E67" s="24" t="s">
        <v>419</v>
      </c>
      <c r="F67" s="24">
        <v>4718.7228514464996</v>
      </c>
    </row>
    <row r="68" spans="5:7">
      <c r="E68" s="24" t="s">
        <v>420</v>
      </c>
      <c r="F68" s="24">
        <v>3571.6711459532999</v>
      </c>
    </row>
    <row r="69" spans="5:7">
      <c r="E69" s="24" t="s">
        <v>421</v>
      </c>
      <c r="F69" s="24">
        <v>3883.9840799244998</v>
      </c>
    </row>
    <row r="70" spans="5:7">
      <c r="E70" s="24" t="s">
        <v>422</v>
      </c>
      <c r="F70" s="24">
        <v>4441.4113757087998</v>
      </c>
      <c r="G70" s="24">
        <f>SUM(F67:F70)*10</f>
        <v>166157.89453033096</v>
      </c>
    </row>
    <row r="71" spans="5:7">
      <c r="E71" s="24" t="s">
        <v>423</v>
      </c>
      <c r="F71" s="24">
        <v>4392.0599267430198</v>
      </c>
    </row>
  </sheetData>
  <phoneticPr fontId="1"/>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614CC-4A39-4370-A880-DE269F283298}">
  <dimension ref="A1:M63"/>
  <sheetViews>
    <sheetView topLeftCell="A17" zoomScaleNormal="100" workbookViewId="0">
      <selection activeCell="E30" sqref="E30"/>
    </sheetView>
  </sheetViews>
  <sheetFormatPr defaultColWidth="8.84375" defaultRowHeight="18.45" outlineLevelRow="1"/>
  <cols>
    <col min="1" max="1" width="8.84375" style="368"/>
    <col min="2" max="2" width="20.765625" style="367" customWidth="1"/>
    <col min="3" max="3" width="25.4609375" style="367" bestFit="1" customWidth="1"/>
    <col min="4" max="4" width="23.23046875" style="367" bestFit="1" customWidth="1"/>
    <col min="5" max="5" width="20.765625" style="367" bestFit="1" customWidth="1"/>
    <col min="6" max="6" width="25.4609375" style="367" bestFit="1" customWidth="1"/>
    <col min="7" max="7" width="5.765625" style="367" bestFit="1" customWidth="1"/>
    <col min="8" max="16384" width="8.84375" style="24"/>
  </cols>
  <sheetData>
    <row r="1" spans="1:13" ht="55.3">
      <c r="A1" s="368" t="s">
        <v>7</v>
      </c>
      <c r="B1" s="400" t="s">
        <v>677</v>
      </c>
      <c r="C1" s="400" t="s">
        <v>678</v>
      </c>
      <c r="D1" s="400" t="s">
        <v>710</v>
      </c>
      <c r="E1" s="400" t="s">
        <v>679</v>
      </c>
      <c r="F1" s="400" t="s">
        <v>680</v>
      </c>
      <c r="G1" s="367" t="s">
        <v>413</v>
      </c>
      <c r="I1" s="37"/>
      <c r="J1" s="37"/>
      <c r="K1" s="37"/>
      <c r="L1" s="37"/>
      <c r="M1" s="37"/>
    </row>
    <row r="2" spans="1:13" s="367" customFormat="1" outlineLevel="1">
      <c r="A2" s="368">
        <v>1980</v>
      </c>
      <c r="B2" s="89">
        <v>67.561164047159934</v>
      </c>
      <c r="C2" s="89">
        <f>B2</f>
        <v>67.561164047159934</v>
      </c>
      <c r="D2" s="89">
        <f t="shared" ref="D2:G2" si="0">C2</f>
        <v>67.561164047159934</v>
      </c>
      <c r="E2" s="89">
        <f t="shared" si="0"/>
        <v>67.561164047159934</v>
      </c>
      <c r="F2" s="89">
        <f t="shared" si="0"/>
        <v>67.561164047159934</v>
      </c>
      <c r="G2" s="89">
        <f t="shared" si="0"/>
        <v>67.561164047159934</v>
      </c>
    </row>
    <row r="3" spans="1:13" outlineLevel="1">
      <c r="A3" s="368">
        <v>1981</v>
      </c>
      <c r="B3" s="89">
        <v>65.624971464099985</v>
      </c>
      <c r="C3" s="89">
        <f t="shared" ref="C3:G3" si="1">B3</f>
        <v>65.624971464099985</v>
      </c>
      <c r="D3" s="89">
        <f t="shared" si="1"/>
        <v>65.624971464099985</v>
      </c>
      <c r="E3" s="89">
        <f t="shared" si="1"/>
        <v>65.624971464099985</v>
      </c>
      <c r="F3" s="89">
        <f t="shared" si="1"/>
        <v>65.624971464099985</v>
      </c>
      <c r="G3" s="89">
        <f t="shared" si="1"/>
        <v>65.624971464099985</v>
      </c>
    </row>
    <row r="4" spans="1:13" outlineLevel="1">
      <c r="A4" s="368">
        <v>1982</v>
      </c>
      <c r="B4" s="89">
        <v>66.156322702856116</v>
      </c>
      <c r="C4" s="89">
        <f t="shared" ref="C4:G4" si="2">B4</f>
        <v>66.156322702856116</v>
      </c>
      <c r="D4" s="89">
        <f t="shared" si="2"/>
        <v>66.156322702856116</v>
      </c>
      <c r="E4" s="89">
        <f t="shared" si="2"/>
        <v>66.156322702856116</v>
      </c>
      <c r="F4" s="89">
        <f t="shared" si="2"/>
        <v>66.156322702856116</v>
      </c>
      <c r="G4" s="89">
        <f t="shared" si="2"/>
        <v>66.156322702856116</v>
      </c>
    </row>
    <row r="5" spans="1:13" outlineLevel="1">
      <c r="A5" s="368">
        <v>1983</v>
      </c>
      <c r="B5" s="89">
        <v>63.142281931843861</v>
      </c>
      <c r="C5" s="89">
        <f t="shared" ref="C5:G5" si="3">B5</f>
        <v>63.142281931843861</v>
      </c>
      <c r="D5" s="89">
        <f t="shared" si="3"/>
        <v>63.142281931843861</v>
      </c>
      <c r="E5" s="89">
        <f t="shared" si="3"/>
        <v>63.142281931843861</v>
      </c>
      <c r="F5" s="89">
        <f t="shared" si="3"/>
        <v>63.142281931843861</v>
      </c>
      <c r="G5" s="89">
        <f t="shared" si="3"/>
        <v>63.142281931843861</v>
      </c>
    </row>
    <row r="6" spans="1:13" outlineLevel="1">
      <c r="A6" s="368">
        <v>1984</v>
      </c>
      <c r="B6" s="89">
        <v>63.05966532765612</v>
      </c>
      <c r="C6" s="89">
        <f t="shared" ref="C6:G6" si="4">B6</f>
        <v>63.05966532765612</v>
      </c>
      <c r="D6" s="89">
        <f t="shared" si="4"/>
        <v>63.05966532765612</v>
      </c>
      <c r="E6" s="89">
        <f t="shared" si="4"/>
        <v>63.05966532765612</v>
      </c>
      <c r="F6" s="89">
        <f t="shared" si="4"/>
        <v>63.05966532765612</v>
      </c>
      <c r="G6" s="89">
        <f t="shared" si="4"/>
        <v>63.05966532765612</v>
      </c>
    </row>
    <row r="7" spans="1:13" outlineLevel="1">
      <c r="A7" s="368">
        <v>1985</v>
      </c>
      <c r="B7" s="89">
        <v>63.683949725459222</v>
      </c>
      <c r="C7" s="89">
        <f t="shared" ref="C7:G7" si="5">B7</f>
        <v>63.683949725459222</v>
      </c>
      <c r="D7" s="89">
        <f t="shared" si="5"/>
        <v>63.683949725459222</v>
      </c>
      <c r="E7" s="89">
        <f t="shared" si="5"/>
        <v>63.683949725459222</v>
      </c>
      <c r="F7" s="89">
        <f t="shared" si="5"/>
        <v>63.683949725459222</v>
      </c>
      <c r="G7" s="89">
        <f t="shared" si="5"/>
        <v>63.683949725459222</v>
      </c>
    </row>
    <row r="8" spans="1:13" outlineLevel="1">
      <c r="A8" s="368">
        <v>1986</v>
      </c>
      <c r="B8" s="89">
        <v>68.292115114852692</v>
      </c>
      <c r="C8" s="89">
        <f t="shared" ref="C8:G8" si="6">B8</f>
        <v>68.292115114852692</v>
      </c>
      <c r="D8" s="89">
        <f t="shared" si="6"/>
        <v>68.292115114852692</v>
      </c>
      <c r="E8" s="89">
        <f t="shared" si="6"/>
        <v>68.292115114852692</v>
      </c>
      <c r="F8" s="89">
        <f t="shared" si="6"/>
        <v>68.292115114852692</v>
      </c>
      <c r="G8" s="89">
        <f t="shared" si="6"/>
        <v>68.292115114852692</v>
      </c>
    </row>
    <row r="9" spans="1:13" outlineLevel="1">
      <c r="A9" s="368">
        <v>1987</v>
      </c>
      <c r="B9" s="89">
        <v>75.574779202608468</v>
      </c>
      <c r="C9" s="89">
        <f t="shared" ref="C9:G9" si="7">B9</f>
        <v>75.574779202608468</v>
      </c>
      <c r="D9" s="89">
        <f t="shared" si="7"/>
        <v>75.574779202608468</v>
      </c>
      <c r="E9" s="89">
        <f t="shared" si="7"/>
        <v>75.574779202608468</v>
      </c>
      <c r="F9" s="89">
        <f t="shared" si="7"/>
        <v>75.574779202608468</v>
      </c>
      <c r="G9" s="89">
        <f t="shared" si="7"/>
        <v>75.574779202608468</v>
      </c>
    </row>
    <row r="10" spans="1:13" outlineLevel="1">
      <c r="A10" s="368">
        <v>1988</v>
      </c>
      <c r="B10" s="89">
        <v>83.081255366915329</v>
      </c>
      <c r="C10" s="89">
        <f t="shared" ref="C10:G10" si="8">B10</f>
        <v>83.081255366915329</v>
      </c>
      <c r="D10" s="89">
        <f t="shared" si="8"/>
        <v>83.081255366915329</v>
      </c>
      <c r="E10" s="89">
        <f t="shared" si="8"/>
        <v>83.081255366915329</v>
      </c>
      <c r="F10" s="89">
        <f t="shared" si="8"/>
        <v>83.081255366915329</v>
      </c>
      <c r="G10" s="89">
        <f t="shared" si="8"/>
        <v>83.081255366915329</v>
      </c>
    </row>
    <row r="11" spans="1:13" outlineLevel="1">
      <c r="A11" s="368">
        <v>1989</v>
      </c>
      <c r="B11" s="89">
        <v>86.253728205168557</v>
      </c>
      <c r="C11" s="89">
        <f t="shared" ref="C11:G11" si="9">B11</f>
        <v>86.253728205168557</v>
      </c>
      <c r="D11" s="89">
        <f t="shared" si="9"/>
        <v>86.253728205168557</v>
      </c>
      <c r="E11" s="89">
        <f t="shared" si="9"/>
        <v>86.253728205168557</v>
      </c>
      <c r="F11" s="89">
        <f t="shared" si="9"/>
        <v>86.253728205168557</v>
      </c>
      <c r="G11" s="89">
        <f t="shared" si="9"/>
        <v>86.253728205168557</v>
      </c>
    </row>
    <row r="12" spans="1:13" outlineLevel="1">
      <c r="A12" s="368">
        <v>1990</v>
      </c>
      <c r="B12" s="89">
        <v>93.001869481936907</v>
      </c>
      <c r="C12" s="89">
        <f t="shared" ref="C12:G12" si="10">B12</f>
        <v>93.001869481936907</v>
      </c>
      <c r="D12" s="89">
        <f t="shared" si="10"/>
        <v>93.001869481936907</v>
      </c>
      <c r="E12" s="89">
        <f t="shared" si="10"/>
        <v>93.001869481936907</v>
      </c>
      <c r="F12" s="89">
        <f t="shared" si="10"/>
        <v>93.001869481936907</v>
      </c>
      <c r="G12" s="89">
        <f t="shared" si="10"/>
        <v>93.001869481936907</v>
      </c>
    </row>
    <row r="13" spans="1:13" outlineLevel="1">
      <c r="A13" s="368">
        <v>1991</v>
      </c>
      <c r="B13" s="89">
        <v>93.007407912184632</v>
      </c>
      <c r="C13" s="89">
        <f t="shared" ref="C13:G13" si="11">B13</f>
        <v>93.007407912184632</v>
      </c>
      <c r="D13" s="89">
        <f t="shared" si="11"/>
        <v>93.007407912184632</v>
      </c>
      <c r="E13" s="89">
        <f t="shared" si="11"/>
        <v>93.007407912184632</v>
      </c>
      <c r="F13" s="89">
        <f t="shared" si="11"/>
        <v>93.007407912184632</v>
      </c>
      <c r="G13" s="89">
        <f t="shared" si="11"/>
        <v>93.007407912184632</v>
      </c>
    </row>
    <row r="14" spans="1:13" outlineLevel="1">
      <c r="A14" s="368">
        <v>1992</v>
      </c>
      <c r="B14" s="89">
        <v>93.624337829754367</v>
      </c>
      <c r="C14" s="89">
        <f t="shared" ref="C14:G14" si="12">B14</f>
        <v>93.624337829754367</v>
      </c>
      <c r="D14" s="89">
        <f t="shared" si="12"/>
        <v>93.624337829754367</v>
      </c>
      <c r="E14" s="89">
        <f t="shared" si="12"/>
        <v>93.624337829754367</v>
      </c>
      <c r="F14" s="89">
        <f t="shared" si="12"/>
        <v>93.624337829754367</v>
      </c>
      <c r="G14" s="89">
        <f t="shared" si="12"/>
        <v>93.624337829754367</v>
      </c>
    </row>
    <row r="15" spans="1:13" outlineLevel="1">
      <c r="A15" s="368">
        <v>1993</v>
      </c>
      <c r="B15" s="89">
        <v>91.15208117216828</v>
      </c>
      <c r="C15" s="89">
        <f t="shared" ref="C15:G15" si="13">B15</f>
        <v>91.15208117216828</v>
      </c>
      <c r="D15" s="89">
        <f t="shared" si="13"/>
        <v>91.15208117216828</v>
      </c>
      <c r="E15" s="89">
        <f t="shared" si="13"/>
        <v>91.15208117216828</v>
      </c>
      <c r="F15" s="89">
        <f t="shared" si="13"/>
        <v>91.15208117216828</v>
      </c>
      <c r="G15" s="89">
        <f t="shared" si="13"/>
        <v>91.15208117216828</v>
      </c>
    </row>
    <row r="16" spans="1:13" outlineLevel="1">
      <c r="A16" s="368">
        <v>1994</v>
      </c>
      <c r="B16" s="89">
        <v>87.92687013193536</v>
      </c>
      <c r="C16" s="89">
        <f t="shared" ref="C16:G16" si="14">B16</f>
        <v>87.92687013193536</v>
      </c>
      <c r="D16" s="89">
        <f t="shared" si="14"/>
        <v>87.92687013193536</v>
      </c>
      <c r="E16" s="89">
        <f t="shared" si="14"/>
        <v>87.92687013193536</v>
      </c>
      <c r="F16" s="89">
        <f t="shared" si="14"/>
        <v>87.92687013193536</v>
      </c>
      <c r="G16" s="89">
        <f t="shared" si="14"/>
        <v>87.92687013193536</v>
      </c>
    </row>
    <row r="17" spans="1:7" outlineLevel="1">
      <c r="A17" s="368">
        <v>1995</v>
      </c>
      <c r="B17" s="89">
        <v>85.291185695646433</v>
      </c>
      <c r="C17" s="89">
        <f t="shared" ref="C17:G17" si="15">B17</f>
        <v>85.291185695646433</v>
      </c>
      <c r="D17" s="89">
        <f t="shared" si="15"/>
        <v>85.291185695646433</v>
      </c>
      <c r="E17" s="89">
        <f t="shared" si="15"/>
        <v>85.291185695646433</v>
      </c>
      <c r="F17" s="89">
        <f t="shared" si="15"/>
        <v>85.291185695646433</v>
      </c>
      <c r="G17" s="89">
        <f t="shared" si="15"/>
        <v>85.291185695646433</v>
      </c>
    </row>
    <row r="18" spans="1:7" outlineLevel="1">
      <c r="A18" s="368">
        <v>1996</v>
      </c>
      <c r="B18" s="89">
        <v>91.379542875690703</v>
      </c>
      <c r="C18" s="89">
        <f t="shared" ref="C18:G18" si="16">B18</f>
        <v>91.379542875690703</v>
      </c>
      <c r="D18" s="89">
        <f t="shared" si="16"/>
        <v>91.379542875690703</v>
      </c>
      <c r="E18" s="89">
        <f t="shared" si="16"/>
        <v>91.379542875690703</v>
      </c>
      <c r="F18" s="89">
        <f t="shared" si="16"/>
        <v>91.379542875690703</v>
      </c>
      <c r="G18" s="89">
        <f t="shared" si="16"/>
        <v>91.379542875690703</v>
      </c>
    </row>
    <row r="19" spans="1:7" outlineLevel="1">
      <c r="A19" s="368">
        <v>1997</v>
      </c>
      <c r="B19" s="89">
        <v>84.214724991048442</v>
      </c>
      <c r="C19" s="89">
        <f t="shared" ref="C19:G19" si="17">B19</f>
        <v>84.214724991048442</v>
      </c>
      <c r="D19" s="89">
        <f t="shared" si="17"/>
        <v>84.214724991048442</v>
      </c>
      <c r="E19" s="89">
        <f t="shared" si="17"/>
        <v>84.214724991048442</v>
      </c>
      <c r="F19" s="89">
        <f t="shared" si="17"/>
        <v>84.214724991048442</v>
      </c>
      <c r="G19" s="89">
        <f t="shared" si="17"/>
        <v>84.214724991048442</v>
      </c>
    </row>
    <row r="20" spans="1:7" outlineLevel="1">
      <c r="A20" s="368">
        <v>1998</v>
      </c>
      <c r="B20" s="89">
        <v>79.212836784281521</v>
      </c>
      <c r="C20" s="89">
        <f t="shared" ref="C20:G20" si="18">B20</f>
        <v>79.212836784281521</v>
      </c>
      <c r="D20" s="89">
        <f t="shared" si="18"/>
        <v>79.212836784281521</v>
      </c>
      <c r="E20" s="89">
        <f t="shared" si="18"/>
        <v>79.212836784281521</v>
      </c>
      <c r="F20" s="89">
        <f t="shared" si="18"/>
        <v>79.212836784281521</v>
      </c>
      <c r="G20" s="89">
        <f t="shared" si="18"/>
        <v>79.212836784281521</v>
      </c>
    </row>
    <row r="21" spans="1:7" outlineLevel="1">
      <c r="A21" s="368">
        <v>1999</v>
      </c>
      <c r="B21" s="89">
        <v>77.995531695557034</v>
      </c>
      <c r="C21" s="89">
        <f t="shared" ref="C21:G21" si="19">B21</f>
        <v>77.995531695557034</v>
      </c>
      <c r="D21" s="89">
        <f t="shared" si="19"/>
        <v>77.995531695557034</v>
      </c>
      <c r="E21" s="89">
        <f t="shared" si="19"/>
        <v>77.995531695557034</v>
      </c>
      <c r="F21" s="89">
        <f t="shared" si="19"/>
        <v>77.995531695557034</v>
      </c>
      <c r="G21" s="89">
        <f t="shared" si="19"/>
        <v>77.995531695557034</v>
      </c>
    </row>
    <row r="22" spans="1:7" outlineLevel="1">
      <c r="A22" s="368">
        <v>2000</v>
      </c>
      <c r="B22" s="89">
        <v>73.537797712155438</v>
      </c>
      <c r="C22" s="89">
        <f t="shared" ref="C22:G22" si="20">B22</f>
        <v>73.537797712155438</v>
      </c>
      <c r="D22" s="89">
        <f t="shared" si="20"/>
        <v>73.537797712155438</v>
      </c>
      <c r="E22" s="89">
        <f t="shared" si="20"/>
        <v>73.537797712155438</v>
      </c>
      <c r="F22" s="89">
        <f t="shared" si="20"/>
        <v>73.537797712155438</v>
      </c>
      <c r="G22" s="89">
        <f t="shared" si="20"/>
        <v>73.537797712155438</v>
      </c>
    </row>
    <row r="23" spans="1:7" outlineLevel="1">
      <c r="A23" s="368">
        <v>2001</v>
      </c>
      <c r="B23" s="89">
        <v>71.218682389267883</v>
      </c>
      <c r="C23" s="89">
        <f t="shared" ref="C23:G23" si="21">B23</f>
        <v>71.218682389267883</v>
      </c>
      <c r="D23" s="89">
        <f t="shared" si="21"/>
        <v>71.218682389267883</v>
      </c>
      <c r="E23" s="89">
        <f t="shared" si="21"/>
        <v>71.218682389267883</v>
      </c>
      <c r="F23" s="89">
        <f t="shared" si="21"/>
        <v>71.218682389267883</v>
      </c>
      <c r="G23" s="89">
        <f t="shared" si="21"/>
        <v>71.218682389267883</v>
      </c>
    </row>
    <row r="24" spans="1:7" outlineLevel="1">
      <c r="A24" s="368">
        <v>2002</v>
      </c>
      <c r="B24" s="89">
        <v>66.639352951853184</v>
      </c>
      <c r="C24" s="89">
        <f t="shared" ref="C24:G24" si="22">B24</f>
        <v>66.639352951853184</v>
      </c>
      <c r="D24" s="89">
        <f t="shared" si="22"/>
        <v>66.639352951853184</v>
      </c>
      <c r="E24" s="89">
        <f t="shared" si="22"/>
        <v>66.639352951853184</v>
      </c>
      <c r="F24" s="89">
        <f t="shared" si="22"/>
        <v>66.639352951853184</v>
      </c>
      <c r="G24" s="89">
        <f t="shared" si="22"/>
        <v>66.639352951853184</v>
      </c>
    </row>
    <row r="25" spans="1:7" outlineLevel="1">
      <c r="A25" s="368">
        <v>2003</v>
      </c>
      <c r="B25" s="89">
        <v>62.460839192366635</v>
      </c>
      <c r="C25" s="89">
        <f t="shared" ref="C25:G25" si="23">B25</f>
        <v>62.460839192366635</v>
      </c>
      <c r="D25" s="89">
        <f t="shared" si="23"/>
        <v>62.460839192366635</v>
      </c>
      <c r="E25" s="89">
        <f t="shared" si="23"/>
        <v>62.460839192366635</v>
      </c>
      <c r="F25" s="89">
        <f t="shared" si="23"/>
        <v>62.460839192366635</v>
      </c>
      <c r="G25" s="89">
        <f t="shared" si="23"/>
        <v>62.460839192366635</v>
      </c>
    </row>
    <row r="26" spans="1:7" outlineLevel="1">
      <c r="A26" s="368">
        <v>2004</v>
      </c>
      <c r="B26" s="89">
        <v>59.792852910741175</v>
      </c>
      <c r="C26" s="89">
        <f t="shared" ref="C26:G26" si="24">B26</f>
        <v>59.792852910741175</v>
      </c>
      <c r="D26" s="89">
        <f t="shared" si="24"/>
        <v>59.792852910741175</v>
      </c>
      <c r="E26" s="89">
        <f t="shared" si="24"/>
        <v>59.792852910741175</v>
      </c>
      <c r="F26" s="89">
        <f t="shared" si="24"/>
        <v>59.792852910741175</v>
      </c>
      <c r="G26" s="89">
        <f t="shared" si="24"/>
        <v>59.792852910741175</v>
      </c>
    </row>
    <row r="27" spans="1:7" outlineLevel="1">
      <c r="A27" s="368">
        <v>2005</v>
      </c>
      <c r="B27" s="89">
        <v>57.899793350860477</v>
      </c>
      <c r="C27" s="89">
        <f t="shared" ref="C27:G27" si="25">B27</f>
        <v>57.899793350860477</v>
      </c>
      <c r="D27" s="89">
        <f t="shared" si="25"/>
        <v>57.899793350860477</v>
      </c>
      <c r="E27" s="89">
        <f t="shared" si="25"/>
        <v>57.899793350860477</v>
      </c>
      <c r="F27" s="89">
        <f t="shared" si="25"/>
        <v>57.899793350860477</v>
      </c>
      <c r="G27" s="89">
        <f t="shared" si="25"/>
        <v>57.899793350860477</v>
      </c>
    </row>
    <row r="28" spans="1:7" outlineLevel="1">
      <c r="A28" s="368">
        <v>2006</v>
      </c>
      <c r="B28" s="89">
        <v>56.504847532275413</v>
      </c>
      <c r="C28" s="89">
        <f t="shared" ref="C28:G28" si="26">B28</f>
        <v>56.504847532275413</v>
      </c>
      <c r="D28" s="89">
        <f t="shared" si="26"/>
        <v>56.504847532275413</v>
      </c>
      <c r="E28" s="89">
        <f t="shared" si="26"/>
        <v>56.504847532275413</v>
      </c>
      <c r="F28" s="89">
        <f t="shared" si="26"/>
        <v>56.504847532275413</v>
      </c>
      <c r="G28" s="89">
        <f t="shared" si="26"/>
        <v>56.504847532275413</v>
      </c>
    </row>
    <row r="29" spans="1:7" outlineLevel="1">
      <c r="A29" s="368">
        <v>2007</v>
      </c>
      <c r="B29" s="89">
        <v>52.375461380397788</v>
      </c>
      <c r="C29" s="89">
        <f t="shared" ref="C29:G29" si="27">B29</f>
        <v>52.375461380397788</v>
      </c>
      <c r="D29" s="89">
        <f t="shared" si="27"/>
        <v>52.375461380397788</v>
      </c>
      <c r="E29" s="89">
        <f t="shared" si="27"/>
        <v>52.375461380397788</v>
      </c>
      <c r="F29" s="89">
        <f t="shared" si="27"/>
        <v>52.375461380397788</v>
      </c>
      <c r="G29" s="89">
        <f t="shared" si="27"/>
        <v>52.375461380397788</v>
      </c>
    </row>
    <row r="30" spans="1:7" outlineLevel="1">
      <c r="A30" s="368">
        <v>2008</v>
      </c>
      <c r="B30" s="89">
        <v>49.893397362326738</v>
      </c>
      <c r="C30" s="89">
        <f t="shared" ref="C30:G30" si="28">B30</f>
        <v>49.893397362326738</v>
      </c>
      <c r="D30" s="89">
        <f t="shared" si="28"/>
        <v>49.893397362326738</v>
      </c>
      <c r="E30" s="89">
        <f t="shared" si="28"/>
        <v>49.893397362326738</v>
      </c>
      <c r="F30" s="89">
        <f t="shared" si="28"/>
        <v>49.893397362326738</v>
      </c>
      <c r="G30" s="89">
        <f t="shared" si="28"/>
        <v>49.893397362326738</v>
      </c>
    </row>
    <row r="31" spans="1:7" outlineLevel="1">
      <c r="A31" s="368">
        <v>2009</v>
      </c>
      <c r="B31" s="89">
        <v>46.274517776524192</v>
      </c>
      <c r="C31" s="89">
        <f t="shared" ref="C31:G31" si="29">B31</f>
        <v>46.274517776524192</v>
      </c>
      <c r="D31" s="89">
        <f t="shared" si="29"/>
        <v>46.274517776524192</v>
      </c>
      <c r="E31" s="89">
        <f t="shared" si="29"/>
        <v>46.274517776524192</v>
      </c>
      <c r="F31" s="89">
        <f t="shared" si="29"/>
        <v>46.274517776524192</v>
      </c>
      <c r="G31" s="89">
        <f t="shared" si="29"/>
        <v>46.274517776524192</v>
      </c>
    </row>
    <row r="32" spans="1:7" outlineLevel="1">
      <c r="A32" s="368">
        <v>2010</v>
      </c>
      <c r="B32" s="89">
        <v>44.697776782772671</v>
      </c>
      <c r="C32" s="89">
        <f t="shared" ref="C32:G32" si="30">B32</f>
        <v>44.697776782772671</v>
      </c>
      <c r="D32" s="89">
        <f t="shared" si="30"/>
        <v>44.697776782772671</v>
      </c>
      <c r="E32" s="89">
        <f t="shared" si="30"/>
        <v>44.697776782772671</v>
      </c>
      <c r="F32" s="89">
        <f t="shared" si="30"/>
        <v>44.697776782772671</v>
      </c>
      <c r="G32" s="89">
        <f t="shared" si="30"/>
        <v>44.697776782772671</v>
      </c>
    </row>
    <row r="33" spans="1:7" outlineLevel="1">
      <c r="A33" s="368">
        <v>2011</v>
      </c>
      <c r="B33" s="89">
        <v>44.606994860838995</v>
      </c>
      <c r="C33" s="89">
        <f t="shared" ref="C33:G33" si="31">B33</f>
        <v>44.606994860838995</v>
      </c>
      <c r="D33" s="89">
        <f t="shared" si="31"/>
        <v>44.606994860838995</v>
      </c>
      <c r="E33" s="89">
        <f t="shared" si="31"/>
        <v>44.606994860838995</v>
      </c>
      <c r="F33" s="89">
        <f t="shared" si="31"/>
        <v>44.606994860838995</v>
      </c>
      <c r="G33" s="89">
        <f t="shared" si="31"/>
        <v>44.606994860838995</v>
      </c>
    </row>
    <row r="34" spans="1:7" outlineLevel="1">
      <c r="A34" s="368">
        <v>2012</v>
      </c>
      <c r="B34" s="89">
        <v>44.968161798681095</v>
      </c>
      <c r="C34" s="89">
        <f t="shared" ref="C34:G34" si="32">B34</f>
        <v>44.968161798681095</v>
      </c>
      <c r="D34" s="89">
        <f t="shared" si="32"/>
        <v>44.968161798681095</v>
      </c>
      <c r="E34" s="89">
        <f t="shared" si="32"/>
        <v>44.968161798681095</v>
      </c>
      <c r="F34" s="89">
        <f t="shared" si="32"/>
        <v>44.968161798681095</v>
      </c>
      <c r="G34" s="89">
        <f t="shared" si="32"/>
        <v>44.968161798681095</v>
      </c>
    </row>
    <row r="35" spans="1:7" outlineLevel="1">
      <c r="A35" s="368">
        <v>2013</v>
      </c>
      <c r="B35" s="89">
        <v>48.819848128962548</v>
      </c>
      <c r="C35" s="89">
        <f t="shared" ref="C35:G35" si="33">B35</f>
        <v>48.819848128962548</v>
      </c>
      <c r="D35" s="89">
        <f t="shared" si="33"/>
        <v>48.819848128962548</v>
      </c>
      <c r="E35" s="89">
        <f t="shared" si="33"/>
        <v>48.819848128962548</v>
      </c>
      <c r="F35" s="89">
        <f t="shared" si="33"/>
        <v>48.819848128962548</v>
      </c>
      <c r="G35" s="89">
        <f t="shared" si="33"/>
        <v>48.819848128962548</v>
      </c>
    </row>
    <row r="36" spans="1:7" outlineLevel="1">
      <c r="A36" s="368">
        <v>2014</v>
      </c>
      <c r="B36" s="89">
        <v>48.559379057289568</v>
      </c>
      <c r="C36" s="89">
        <f t="shared" ref="C36:G36" si="34">B36</f>
        <v>48.559379057289568</v>
      </c>
      <c r="D36" s="89">
        <f t="shared" si="34"/>
        <v>48.559379057289568</v>
      </c>
      <c r="E36" s="89">
        <f t="shared" si="34"/>
        <v>48.559379057289568</v>
      </c>
      <c r="F36" s="89">
        <f t="shared" si="34"/>
        <v>48.559379057289568</v>
      </c>
      <c r="G36" s="89">
        <f t="shared" si="34"/>
        <v>48.559379057289568</v>
      </c>
    </row>
    <row r="37" spans="1:7" outlineLevel="1">
      <c r="A37" s="368">
        <v>2015</v>
      </c>
      <c r="B37" s="89">
        <v>53.957338020544512</v>
      </c>
      <c r="C37" s="89">
        <f t="shared" ref="C37:G37" si="35">B37</f>
        <v>53.957338020544512</v>
      </c>
      <c r="D37" s="89">
        <f t="shared" si="35"/>
        <v>53.957338020544512</v>
      </c>
      <c r="E37" s="89">
        <f t="shared" si="35"/>
        <v>53.957338020544512</v>
      </c>
      <c r="F37" s="89">
        <f t="shared" si="35"/>
        <v>53.957338020544512</v>
      </c>
      <c r="G37" s="89">
        <f t="shared" si="35"/>
        <v>53.957338020544512</v>
      </c>
    </row>
    <row r="38" spans="1:7" outlineLevel="1">
      <c r="A38" s="368">
        <v>2016</v>
      </c>
      <c r="B38" s="89">
        <v>58.1088236980126</v>
      </c>
      <c r="C38" s="89">
        <f t="shared" ref="C38:G38" si="36">B38</f>
        <v>58.1088236980126</v>
      </c>
      <c r="D38" s="89">
        <f t="shared" si="36"/>
        <v>58.1088236980126</v>
      </c>
      <c r="E38" s="89">
        <f t="shared" si="36"/>
        <v>58.1088236980126</v>
      </c>
      <c r="F38" s="89">
        <f t="shared" si="36"/>
        <v>58.1088236980126</v>
      </c>
      <c r="G38" s="89">
        <f t="shared" si="36"/>
        <v>58.1088236980126</v>
      </c>
    </row>
    <row r="39" spans="1:7" outlineLevel="1">
      <c r="A39" s="368">
        <v>2017</v>
      </c>
      <c r="B39" s="89">
        <v>59.917292942574221</v>
      </c>
      <c r="C39" s="89">
        <f t="shared" ref="C39:G39" si="37">B39</f>
        <v>59.917292942574221</v>
      </c>
      <c r="D39" s="89">
        <f t="shared" si="37"/>
        <v>59.917292942574221</v>
      </c>
      <c r="E39" s="89">
        <f t="shared" si="37"/>
        <v>59.917292942574221</v>
      </c>
      <c r="F39" s="89">
        <f t="shared" si="37"/>
        <v>59.917292942574221</v>
      </c>
      <c r="G39" s="89">
        <f t="shared" si="37"/>
        <v>59.917292942574221</v>
      </c>
    </row>
    <row r="40" spans="1:7" outlineLevel="1">
      <c r="A40" s="368">
        <v>2018</v>
      </c>
      <c r="B40" s="89">
        <v>58.832847782626693</v>
      </c>
      <c r="C40" s="89">
        <f t="shared" ref="C40:G40" si="38">B40</f>
        <v>58.832847782626693</v>
      </c>
      <c r="D40" s="89">
        <f t="shared" si="38"/>
        <v>58.832847782626693</v>
      </c>
      <c r="E40" s="89">
        <f t="shared" si="38"/>
        <v>58.832847782626693</v>
      </c>
      <c r="F40" s="89">
        <f t="shared" si="38"/>
        <v>58.832847782626693</v>
      </c>
      <c r="G40" s="89">
        <f t="shared" si="38"/>
        <v>58.832847782626693</v>
      </c>
    </row>
    <row r="41" spans="1:7" outlineLevel="1">
      <c r="A41" s="368">
        <v>2019</v>
      </c>
      <c r="B41" s="89">
        <v>58.327032016486555</v>
      </c>
      <c r="C41" s="89">
        <f t="shared" ref="C41:G41" si="39">B41</f>
        <v>58.327032016486555</v>
      </c>
      <c r="D41" s="89">
        <f t="shared" si="39"/>
        <v>58.327032016486555</v>
      </c>
      <c r="E41" s="89">
        <f t="shared" si="39"/>
        <v>58.327032016486555</v>
      </c>
      <c r="F41" s="89">
        <f t="shared" si="39"/>
        <v>58.327032016486555</v>
      </c>
      <c r="G41" s="89">
        <f t="shared" si="39"/>
        <v>58.327032016486555</v>
      </c>
    </row>
    <row r="42" spans="1:7">
      <c r="A42" s="368">
        <v>2020</v>
      </c>
      <c r="B42" s="89">
        <v>56.566115425904549</v>
      </c>
      <c r="C42" s="89">
        <f t="shared" ref="C42:G42" si="40">B42</f>
        <v>56.566115425904549</v>
      </c>
      <c r="D42" s="89">
        <f t="shared" si="40"/>
        <v>56.566115425904549</v>
      </c>
      <c r="E42" s="89">
        <f t="shared" si="40"/>
        <v>56.566115425904549</v>
      </c>
      <c r="F42" s="89">
        <f t="shared" si="40"/>
        <v>56.566115425904549</v>
      </c>
      <c r="G42" s="89">
        <f t="shared" si="40"/>
        <v>56.566115425904549</v>
      </c>
    </row>
    <row r="43" spans="1:7">
      <c r="A43" s="368">
        <v>2021</v>
      </c>
      <c r="B43" s="401">
        <v>56.763666163192902</v>
      </c>
      <c r="C43" s="401">
        <f t="shared" ref="C43:G43" si="41">B43</f>
        <v>56.763666163192902</v>
      </c>
      <c r="D43" s="401">
        <f t="shared" si="41"/>
        <v>56.763666163192902</v>
      </c>
      <c r="E43" s="401">
        <f t="shared" si="41"/>
        <v>56.763666163192902</v>
      </c>
      <c r="F43" s="401">
        <f t="shared" si="41"/>
        <v>56.763666163192902</v>
      </c>
      <c r="G43" s="401">
        <f t="shared" si="41"/>
        <v>56.763666163192902</v>
      </c>
    </row>
    <row r="44" spans="1:7">
      <c r="A44" s="368">
        <v>2022</v>
      </c>
      <c r="B44" s="401">
        <v>57.458868916883702</v>
      </c>
      <c r="C44" s="401">
        <f t="shared" ref="C44:G44" si="42">B44</f>
        <v>57.458868916883702</v>
      </c>
      <c r="D44" s="401">
        <f t="shared" si="42"/>
        <v>57.458868916883702</v>
      </c>
      <c r="E44" s="401">
        <f t="shared" si="42"/>
        <v>57.458868916883702</v>
      </c>
      <c r="F44" s="401">
        <f t="shared" si="42"/>
        <v>57.458868916883702</v>
      </c>
      <c r="G44" s="401">
        <f t="shared" si="42"/>
        <v>57.458868916883702</v>
      </c>
    </row>
    <row r="45" spans="1:7">
      <c r="A45" s="368">
        <v>2023</v>
      </c>
      <c r="B45" s="401">
        <f>'供給側予測（成長実現ケース）'!S46/10000</f>
        <v>58.042768393034059</v>
      </c>
      <c r="C45" s="401">
        <f>'供給側予測（ベースラインケース)'!S46/10000</f>
        <v>56.014261845727745</v>
      </c>
      <c r="D45" s="401">
        <f>'供給側予測（ベースラインケース　就業率維持）'!S46/10000</f>
        <v>56.970646246295878</v>
      </c>
      <c r="E45" s="401">
        <f>'需要側予測（成長実現ケース）'!FV49/10000</f>
        <v>61.035584869894109</v>
      </c>
      <c r="F45" s="401">
        <f>'需要側予測（ベースラインケース)'!FV49/10000</f>
        <v>58.318606873390102</v>
      </c>
    </row>
    <row r="46" spans="1:7">
      <c r="A46" s="368">
        <v>2024</v>
      </c>
      <c r="B46" s="401">
        <f>'供給側予測（成長実現ケース）'!S47/10000</f>
        <v>60.205181867849952</v>
      </c>
      <c r="C46" s="401">
        <f>'供給側予測（ベースラインケース)'!S47/10000</f>
        <v>56.485257580918571</v>
      </c>
      <c r="D46" s="401">
        <f>'供給側予測（ベースラインケース　就業率維持）'!S47/10000</f>
        <v>57.741150054689136</v>
      </c>
      <c r="E46" s="401">
        <f>'需要側予測（成長実現ケース）'!FV50/10000</f>
        <v>67.418943062712444</v>
      </c>
      <c r="F46" s="401">
        <f>'需要側予測（ベースラインケース)'!FV50/10000</f>
        <v>61.471995708511756</v>
      </c>
    </row>
    <row r="47" spans="1:7">
      <c r="A47" s="368">
        <v>2025</v>
      </c>
      <c r="B47" s="401">
        <f>'供給側予測（成長実現ケース）'!S48/10000</f>
        <v>62.465431417205473</v>
      </c>
      <c r="C47" s="401">
        <f>'供給側予測（ベースラインケース)'!S48/10000</f>
        <v>56.954844718869786</v>
      </c>
      <c r="D47" s="401">
        <f>'供給側予測（ベースラインケース　就業率維持）'!S48/10000</f>
        <v>58.524558345073416</v>
      </c>
      <c r="E47" s="401">
        <f>'需要側予測（成長実現ケース）'!FV51/10000</f>
        <v>72.431916907453427</v>
      </c>
      <c r="F47" s="401">
        <f>'需要側予測（ベースラインケース)'!FV51/10000</f>
        <v>61.806424490148757</v>
      </c>
    </row>
    <row r="48" spans="1:7">
      <c r="A48" s="368">
        <v>2026</v>
      </c>
      <c r="B48" s="401">
        <f>'供給側予測（成長実現ケース）'!S49/10000</f>
        <v>64.799516402449726</v>
      </c>
      <c r="C48" s="401">
        <f>'供給側予測（ベースラインケース)'!S49/10000</f>
        <v>56.848294817577695</v>
      </c>
      <c r="D48" s="401">
        <f>'供給側予測（ベースラインケース　就業率維持）'!S49/10000</f>
        <v>59.37579851607159</v>
      </c>
      <c r="E48" s="401">
        <f>'需要側予測（成長実現ケース）'!FV52/10000</f>
        <v>77.391756240401889</v>
      </c>
      <c r="F48" s="401">
        <f>'需要側予測（ベースラインケース)'!FV52/10000</f>
        <v>64.046164739013776</v>
      </c>
    </row>
    <row r="49" spans="1:6">
      <c r="A49" s="368">
        <v>2027</v>
      </c>
      <c r="B49" s="401">
        <f>'供給側予測（成長実現ケース）'!S50/10000</f>
        <v>67.237168962413904</v>
      </c>
      <c r="C49" s="401">
        <f>'供給側予測（ベースラインケース)'!S50/10000</f>
        <v>56.708082765638721</v>
      </c>
      <c r="D49" s="401">
        <f>'供給側予測（ベースラインケース　就業率維持）'!S50/10000</f>
        <v>60.242502919215056</v>
      </c>
      <c r="E49" s="401">
        <f>'需要側予測（成長実現ケース）'!FV53/10000</f>
        <v>83.589751114736771</v>
      </c>
      <c r="F49" s="401">
        <f>'需要側予測（ベースラインケース)'!FV53/10000</f>
        <v>67.9933398989305</v>
      </c>
    </row>
    <row r="50" spans="1:6">
      <c r="A50" s="368">
        <v>2028</v>
      </c>
      <c r="B50" s="401">
        <f>'供給側予測（成長実現ケース）'!S51/10000</f>
        <v>69.782613955719071</v>
      </c>
      <c r="C50" s="401">
        <f>'供給側予測（ベースラインケース)'!S51/10000</f>
        <v>56.532425858752035</v>
      </c>
      <c r="D50" s="401">
        <f>'供給側予測（ベースラインケース　就業率維持）'!S51/10000</f>
        <v>61.124666109846011</v>
      </c>
      <c r="E50" s="401">
        <f>'需要側予測（成長実現ケース）'!FV54/10000</f>
        <v>87.588044198780011</v>
      </c>
      <c r="F50" s="401">
        <f>'需要側予測（ベースラインケース)'!FV54/10000</f>
        <v>69.328219845975099</v>
      </c>
    </row>
    <row r="51" spans="1:6">
      <c r="A51" s="368">
        <v>2029</v>
      </c>
      <c r="B51" s="401">
        <f>'供給側予測（成長実現ケース）'!S52/10000</f>
        <v>72.440260673150462</v>
      </c>
      <c r="C51" s="401">
        <f>'供給側予測（ベースラインケース)'!S52/10000</f>
        <v>56.319472271824921</v>
      </c>
      <c r="D51" s="401">
        <f>'供給側予測（ベースラインケース　就業率維持）'!S52/10000</f>
        <v>62.022284439877815</v>
      </c>
      <c r="E51" s="401">
        <f>'需要側予測（成長実現ケース）'!FV55/10000</f>
        <v>90.719207560842335</v>
      </c>
      <c r="F51" s="401">
        <f>'需要側予測（ベースラインケース)'!FV55/10000</f>
        <v>70.984919569562379</v>
      </c>
    </row>
    <row r="52" spans="1:6">
      <c r="A52" s="368">
        <v>2030</v>
      </c>
      <c r="B52" s="401">
        <f>'供給側予測（成長実現ケース）'!S53/10000</f>
        <v>75.214709908079413</v>
      </c>
      <c r="C52" s="401">
        <f>'供給側予測（ベースラインケース)'!S53/10000</f>
        <v>56.067297439117709</v>
      </c>
      <c r="D52" s="401">
        <f>'供給側予測（ベースラインケース　就業率維持）'!S53/10000</f>
        <v>62.935355610930827</v>
      </c>
      <c r="E52" s="401">
        <f>'需要側予測（成長実現ケース）'!FV56/10000</f>
        <v>91.64066649893212</v>
      </c>
      <c r="F52" s="401">
        <f>'需要側予測（ベースラインケース)'!FV56/10000</f>
        <v>69.733454808675759</v>
      </c>
    </row>
    <row r="53" spans="1:6">
      <c r="A53" s="368">
        <v>2031</v>
      </c>
      <c r="B53" s="401">
        <f>'供給側予測（成長実現ケース）'!S54/10000</f>
        <v>78.043256131113978</v>
      </c>
      <c r="C53" s="401">
        <f>'供給側予測（ベースラインケース)'!S54/10000</f>
        <v>55.943151221501935</v>
      </c>
      <c r="D53" s="401">
        <f>'供給側予測（ベースラインケース　就業率維持）'!S54/10000</f>
        <v>63.842955364158691</v>
      </c>
      <c r="E53" s="401">
        <f>'需要側予測（成長実現ケース）'!FV57/10000</f>
        <v>90.028225860887716</v>
      </c>
      <c r="F53" s="401">
        <f>'需要側予測（ベースラインケース)'!FV57/10000</f>
        <v>65.873193203369041</v>
      </c>
    </row>
    <row r="54" spans="1:6">
      <c r="A54" s="368">
        <v>2032</v>
      </c>
      <c r="B54" s="401">
        <f>'供給側予測（成長実現ケース）'!S55/10000</f>
        <v>80.992163332322505</v>
      </c>
      <c r="C54" s="401">
        <f>'供給側予測（ベースラインケース)'!S55/10000</f>
        <v>55.785275516979212</v>
      </c>
      <c r="D54" s="401">
        <f>'供給側予測（ベースラインケース　就業率維持）'!S55/10000</f>
        <v>64.764939419511407</v>
      </c>
      <c r="E54" s="401">
        <f>'需要側予測（成長実現ケース）'!FV58/10000</f>
        <v>90.56588073819411</v>
      </c>
      <c r="F54" s="401">
        <f>'需要側予測（ベースラインケース)'!FV58/10000</f>
        <v>66.83347651522277</v>
      </c>
    </row>
    <row r="55" spans="1:6">
      <c r="A55" s="368">
        <v>2033</v>
      </c>
      <c r="B55" s="401">
        <f>'供給側予測（成長実現ケース）'!S56/10000</f>
        <v>84.066205136473499</v>
      </c>
      <c r="C55" s="401">
        <f>'供給側予測（ベースラインケース)'!S56/10000</f>
        <v>55.591878819111571</v>
      </c>
      <c r="D55" s="401">
        <f>'供給側予測（ベースラインケース　就業率維持）'!S56/10000</f>
        <v>65.701270126918814</v>
      </c>
      <c r="E55" s="401">
        <f>'需要側予測（成長実現ケース）'!FV59/10000</f>
        <v>92.39892754391218</v>
      </c>
      <c r="F55" s="401">
        <f>'需要側予測（ベースラインケース)'!FV59/10000</f>
        <v>68.226865292457163</v>
      </c>
    </row>
    <row r="56" spans="1:6">
      <c r="A56" s="368">
        <v>2034</v>
      </c>
      <c r="B56" s="401">
        <f>'供給側予測（成長実現ケース）'!S57/10000</f>
        <v>87.27035002023166</v>
      </c>
      <c r="C56" s="401">
        <f>'供給側予測（ベースラインケース)'!S57/10000</f>
        <v>55.361100173429932</v>
      </c>
      <c r="D56" s="401">
        <f>'供給側予測（ベースラインケース　就業率維持）'!S57/10000</f>
        <v>66.651908257156151</v>
      </c>
      <c r="E56" s="401">
        <f>'需要側予測（成長実現ケース）'!FV60/10000</f>
        <v>94.778502004920185</v>
      </c>
      <c r="F56" s="401">
        <f>'需要側予測（ベースラインケース)'!FV60/10000</f>
        <v>69.183702147326457</v>
      </c>
    </row>
    <row r="57" spans="1:6">
      <c r="A57" s="368">
        <v>2035</v>
      </c>
      <c r="B57" s="401">
        <f>'供給側予測（成長実現ケース）'!S58/10000</f>
        <v>90.609768438297777</v>
      </c>
      <c r="C57" s="401">
        <f>'供給側予測（ベースラインケース)'!S58/10000</f>
        <v>55.091005515889577</v>
      </c>
      <c r="D57" s="401">
        <f>'供給側予測（ベースラインケース　就業率維持）'!S58/10000</f>
        <v>67.61681256429506</v>
      </c>
      <c r="E57" s="401">
        <f>'需要側予測（成長実現ケース）'!FV61/10000</f>
        <v>96.866122229711578</v>
      </c>
      <c r="F57" s="401">
        <f>'需要側予測（ベースラインケース)'!FV61/10000</f>
        <v>69.696263739234624</v>
      </c>
    </row>
    <row r="58" spans="1:6" hidden="1" outlineLevel="1">
      <c r="A58" s="368">
        <v>2036</v>
      </c>
      <c r="B58" s="401">
        <f>'供給側予測（成長実現ケース）'!S59/10000</f>
        <v>94.019035485915765</v>
      </c>
      <c r="C58" s="401">
        <f>'★図1図20　需給合計'!C58/10000</f>
        <v>54.998187867012156</v>
      </c>
      <c r="D58" s="401">
        <f>'★図1図20　需給合計'!D58/10000</f>
        <v>68.560895707740968</v>
      </c>
      <c r="E58" s="401">
        <f>'★図1図20　需給合計'!E58/10000</f>
        <v>98.881168776274976</v>
      </c>
      <c r="F58" s="401">
        <f>'★図1図20　需給合計'!F58/10000</f>
        <v>70.031014389438909</v>
      </c>
    </row>
    <row r="59" spans="1:6" hidden="1" outlineLevel="1">
      <c r="A59" s="368">
        <v>2037</v>
      </c>
      <c r="B59" s="401">
        <f>'供給側予測（成長実現ケース）'!S60/10000</f>
        <v>97.567851433051359</v>
      </c>
      <c r="C59" s="401">
        <f>'★図1図20　需給合計'!C59/10000</f>
        <v>54.874277491016002</v>
      </c>
      <c r="D59" s="401">
        <f>'★図1図20　需給合計'!D59/10000</f>
        <v>69.517339188168691</v>
      </c>
      <c r="E59" s="401">
        <f>'★図1図20　需給合計'!E59/10000</f>
        <v>100.83311704472197</v>
      </c>
      <c r="F59" s="401">
        <f>'★図1図20　需給合計'!F59/10000</f>
        <v>70.271465191437173</v>
      </c>
    </row>
    <row r="60" spans="1:6" hidden="1" outlineLevel="1">
      <c r="A60" s="368">
        <v>2038</v>
      </c>
      <c r="B60" s="401">
        <f>'供給側予測（成長実現ケース）'!S61/10000</f>
        <v>101.26155892792538</v>
      </c>
      <c r="C60" s="401">
        <f>'★図1図20　需給合計'!C60/10000</f>
        <v>54.717580222606436</v>
      </c>
      <c r="D60" s="401">
        <f>'★図1図20　需給合計'!D60/10000</f>
        <v>70.486031100598709</v>
      </c>
      <c r="E60" s="401">
        <f>'★図1図20　需給合計'!E60/10000</f>
        <v>102.7574469980587</v>
      </c>
      <c r="F60" s="401">
        <f>'★図1図20　需給合計'!F60/10000</f>
        <v>70.446013385246673</v>
      </c>
    </row>
    <row r="61" spans="1:6" hidden="1" outlineLevel="1">
      <c r="A61" s="368">
        <v>2039</v>
      </c>
      <c r="B61" s="401">
        <f>'供給側予測（成長実現ケース）'!S62/10000</f>
        <v>105.10570358383329</v>
      </c>
      <c r="C61" s="401">
        <f>'★図1図20　需給合計'!C61/10000</f>
        <v>54.526337613813254</v>
      </c>
      <c r="D61" s="401">
        <f>'★図1図20　需給合計'!D61/10000</f>
        <v>71.466853655841717</v>
      </c>
      <c r="E61" s="401">
        <f>'★図1図20　需給合計'!E61/10000</f>
        <v>104.62958948001709</v>
      </c>
      <c r="F61" s="401">
        <f>'★図1図20　需給合計'!F61/10000</f>
        <v>70.559469340635232</v>
      </c>
    </row>
    <row r="62" spans="1:6" hidden="1" outlineLevel="1">
      <c r="A62" s="368">
        <v>2040</v>
      </c>
      <c r="B62" s="401">
        <f>'供給側予測（成長実現ケース）'!S63/10000</f>
        <v>109.10604079699135</v>
      </c>
      <c r="C62" s="401">
        <f>'★図1図20　需給合計'!C62/10000</f>
        <v>54.298723595020967</v>
      </c>
      <c r="D62" s="401">
        <f>'★図1図20　需給合計'!D62/10000</f>
        <v>72.459682687175359</v>
      </c>
      <c r="E62" s="401">
        <f>'★図1図20　需給合計'!E62/10000</f>
        <v>106.50937440613669</v>
      </c>
      <c r="F62" s="401">
        <f>'★図1図20　需給合計'!F62/10000</f>
        <v>70.65148797568979</v>
      </c>
    </row>
    <row r="63" spans="1:6" collapsed="1"/>
  </sheetData>
  <phoneticPr fontId="1"/>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1ED8A-A44A-4876-BC3A-A5792BC27E6F}">
  <dimension ref="A1:M62"/>
  <sheetViews>
    <sheetView zoomScale="55" zoomScaleNormal="55" workbookViewId="0">
      <selection activeCell="F57" sqref="A1:H57"/>
    </sheetView>
  </sheetViews>
  <sheetFormatPr defaultColWidth="8.84375" defaultRowHeight="18.45"/>
  <cols>
    <col min="1" max="1" width="8.84375" style="368"/>
    <col min="2" max="2" width="28.4609375" style="37" bestFit="1" customWidth="1"/>
    <col min="3" max="3" width="33.07421875" style="37" bestFit="1" customWidth="1"/>
    <col min="4" max="4" width="47.07421875" style="37" bestFit="1" customWidth="1"/>
    <col min="5" max="5" width="28.4609375" style="37" bestFit="1" customWidth="1"/>
    <col min="6" max="6" width="33.07421875" style="37" bestFit="1" customWidth="1"/>
    <col min="7" max="7" width="12.07421875" style="37" bestFit="1" customWidth="1"/>
    <col min="8" max="16384" width="8.84375" style="24"/>
  </cols>
  <sheetData>
    <row r="1" spans="1:13">
      <c r="A1" s="368" t="s">
        <v>7</v>
      </c>
      <c r="B1" s="37" t="s">
        <v>618</v>
      </c>
      <c r="C1" s="37" t="s">
        <v>619</v>
      </c>
      <c r="D1" s="37" t="s">
        <v>620</v>
      </c>
      <c r="E1" s="37" t="s">
        <v>621</v>
      </c>
      <c r="F1" s="37" t="s">
        <v>622</v>
      </c>
      <c r="G1" s="37" t="s">
        <v>413</v>
      </c>
      <c r="I1" s="37"/>
      <c r="J1" s="37"/>
      <c r="K1" s="37"/>
      <c r="L1" s="37"/>
      <c r="M1" s="37"/>
    </row>
    <row r="2" spans="1:13" s="367" customFormat="1">
      <c r="A2" s="368">
        <v>1980</v>
      </c>
      <c r="B2" s="46">
        <f>★図7!B2</f>
        <v>675611.6404715993</v>
      </c>
      <c r="C2" s="46">
        <f t="shared" ref="C2:G2" si="0">B2</f>
        <v>675611.6404715993</v>
      </c>
      <c r="D2" s="46">
        <f t="shared" si="0"/>
        <v>675611.6404715993</v>
      </c>
      <c r="E2" s="46">
        <f t="shared" si="0"/>
        <v>675611.6404715993</v>
      </c>
      <c r="F2" s="46">
        <f t="shared" si="0"/>
        <v>675611.6404715993</v>
      </c>
      <c r="G2" s="46">
        <f t="shared" si="0"/>
        <v>675611.6404715993</v>
      </c>
    </row>
    <row r="3" spans="1:13">
      <c r="A3" s="368">
        <v>1981</v>
      </c>
      <c r="B3" s="46">
        <f>★図7!B3</f>
        <v>656249.71464099991</v>
      </c>
      <c r="C3" s="46">
        <f t="shared" ref="C3:C44" si="1">B3</f>
        <v>656249.71464099991</v>
      </c>
      <c r="D3" s="46">
        <f t="shared" ref="D3:D44" si="2">C3</f>
        <v>656249.71464099991</v>
      </c>
      <c r="E3" s="46">
        <f t="shared" ref="E3:E44" si="3">D3</f>
        <v>656249.71464099991</v>
      </c>
      <c r="F3" s="46">
        <f t="shared" ref="F3:F44" si="4">E3</f>
        <v>656249.71464099991</v>
      </c>
      <c r="G3" s="46">
        <f t="shared" ref="G3:G44" si="5">F3</f>
        <v>656249.71464099991</v>
      </c>
    </row>
    <row r="4" spans="1:13">
      <c r="A4" s="368">
        <v>1982</v>
      </c>
      <c r="B4" s="46">
        <f>★図7!B4</f>
        <v>661563.22702856117</v>
      </c>
      <c r="C4" s="46">
        <f t="shared" si="1"/>
        <v>661563.22702856117</v>
      </c>
      <c r="D4" s="46">
        <f t="shared" si="2"/>
        <v>661563.22702856117</v>
      </c>
      <c r="E4" s="46">
        <f t="shared" si="3"/>
        <v>661563.22702856117</v>
      </c>
      <c r="F4" s="46">
        <f t="shared" si="4"/>
        <v>661563.22702856117</v>
      </c>
      <c r="G4" s="46">
        <f t="shared" si="5"/>
        <v>661563.22702856117</v>
      </c>
    </row>
    <row r="5" spans="1:13">
      <c r="A5" s="368">
        <v>1983</v>
      </c>
      <c r="B5" s="46">
        <f>★図7!B5</f>
        <v>631422.81931843865</v>
      </c>
      <c r="C5" s="46">
        <f t="shared" si="1"/>
        <v>631422.81931843865</v>
      </c>
      <c r="D5" s="46">
        <f t="shared" si="2"/>
        <v>631422.81931843865</v>
      </c>
      <c r="E5" s="46">
        <f t="shared" si="3"/>
        <v>631422.81931843865</v>
      </c>
      <c r="F5" s="46">
        <f t="shared" si="4"/>
        <v>631422.81931843865</v>
      </c>
      <c r="G5" s="46">
        <f t="shared" si="5"/>
        <v>631422.81931843865</v>
      </c>
    </row>
    <row r="6" spans="1:13">
      <c r="A6" s="368">
        <v>1984</v>
      </c>
      <c r="B6" s="46">
        <f>★図7!B6</f>
        <v>630596.65327656118</v>
      </c>
      <c r="C6" s="46">
        <f t="shared" si="1"/>
        <v>630596.65327656118</v>
      </c>
      <c r="D6" s="46">
        <f t="shared" si="2"/>
        <v>630596.65327656118</v>
      </c>
      <c r="E6" s="46">
        <f t="shared" si="3"/>
        <v>630596.65327656118</v>
      </c>
      <c r="F6" s="46">
        <f t="shared" si="4"/>
        <v>630596.65327656118</v>
      </c>
      <c r="G6" s="46">
        <f t="shared" si="5"/>
        <v>630596.65327656118</v>
      </c>
    </row>
    <row r="7" spans="1:13">
      <c r="A7" s="368">
        <v>1985</v>
      </c>
      <c r="B7" s="46">
        <f>★図7!B7</f>
        <v>636839.49725459225</v>
      </c>
      <c r="C7" s="46">
        <f t="shared" si="1"/>
        <v>636839.49725459225</v>
      </c>
      <c r="D7" s="46">
        <f t="shared" si="2"/>
        <v>636839.49725459225</v>
      </c>
      <c r="E7" s="46">
        <f t="shared" si="3"/>
        <v>636839.49725459225</v>
      </c>
      <c r="F7" s="46">
        <f t="shared" si="4"/>
        <v>636839.49725459225</v>
      </c>
      <c r="G7" s="46">
        <f t="shared" si="5"/>
        <v>636839.49725459225</v>
      </c>
    </row>
    <row r="8" spans="1:13">
      <c r="A8" s="368">
        <v>1986</v>
      </c>
      <c r="B8" s="46">
        <f>★図7!B8</f>
        <v>682921.15114852693</v>
      </c>
      <c r="C8" s="46">
        <f t="shared" si="1"/>
        <v>682921.15114852693</v>
      </c>
      <c r="D8" s="46">
        <f t="shared" si="2"/>
        <v>682921.15114852693</v>
      </c>
      <c r="E8" s="46">
        <f t="shared" si="3"/>
        <v>682921.15114852693</v>
      </c>
      <c r="F8" s="46">
        <f t="shared" si="4"/>
        <v>682921.15114852693</v>
      </c>
      <c r="G8" s="46">
        <f t="shared" si="5"/>
        <v>682921.15114852693</v>
      </c>
    </row>
    <row r="9" spans="1:13">
      <c r="A9" s="368">
        <v>1987</v>
      </c>
      <c r="B9" s="46">
        <f>★図7!B9</f>
        <v>755747.79202608461</v>
      </c>
      <c r="C9" s="46">
        <f t="shared" si="1"/>
        <v>755747.79202608461</v>
      </c>
      <c r="D9" s="46">
        <f t="shared" si="2"/>
        <v>755747.79202608461</v>
      </c>
      <c r="E9" s="46">
        <f t="shared" si="3"/>
        <v>755747.79202608461</v>
      </c>
      <c r="F9" s="46">
        <f t="shared" si="4"/>
        <v>755747.79202608461</v>
      </c>
      <c r="G9" s="46">
        <f t="shared" si="5"/>
        <v>755747.79202608461</v>
      </c>
    </row>
    <row r="10" spans="1:13">
      <c r="A10" s="368">
        <v>1988</v>
      </c>
      <c r="B10" s="46">
        <f>★図7!B10</f>
        <v>830812.55366915325</v>
      </c>
      <c r="C10" s="46">
        <f t="shared" si="1"/>
        <v>830812.55366915325</v>
      </c>
      <c r="D10" s="46">
        <f t="shared" si="2"/>
        <v>830812.55366915325</v>
      </c>
      <c r="E10" s="46">
        <f t="shared" si="3"/>
        <v>830812.55366915325</v>
      </c>
      <c r="F10" s="46">
        <f t="shared" si="4"/>
        <v>830812.55366915325</v>
      </c>
      <c r="G10" s="46">
        <f t="shared" si="5"/>
        <v>830812.55366915325</v>
      </c>
    </row>
    <row r="11" spans="1:13">
      <c r="A11" s="368">
        <v>1989</v>
      </c>
      <c r="B11" s="46">
        <f>★図7!B11</f>
        <v>862537.2820516855</v>
      </c>
      <c r="C11" s="46">
        <f t="shared" si="1"/>
        <v>862537.2820516855</v>
      </c>
      <c r="D11" s="46">
        <f t="shared" si="2"/>
        <v>862537.2820516855</v>
      </c>
      <c r="E11" s="46">
        <f t="shared" si="3"/>
        <v>862537.2820516855</v>
      </c>
      <c r="F11" s="46">
        <f t="shared" si="4"/>
        <v>862537.2820516855</v>
      </c>
      <c r="G11" s="46">
        <f t="shared" si="5"/>
        <v>862537.2820516855</v>
      </c>
    </row>
    <row r="12" spans="1:13">
      <c r="A12" s="368">
        <v>1990</v>
      </c>
      <c r="B12" s="46">
        <f>★図7!B12</f>
        <v>930018.694819369</v>
      </c>
      <c r="C12" s="46">
        <f t="shared" si="1"/>
        <v>930018.694819369</v>
      </c>
      <c r="D12" s="46">
        <f t="shared" si="2"/>
        <v>930018.694819369</v>
      </c>
      <c r="E12" s="46">
        <f t="shared" si="3"/>
        <v>930018.694819369</v>
      </c>
      <c r="F12" s="46">
        <f t="shared" si="4"/>
        <v>930018.694819369</v>
      </c>
      <c r="G12" s="46">
        <f t="shared" si="5"/>
        <v>930018.694819369</v>
      </c>
    </row>
    <row r="13" spans="1:13">
      <c r="A13" s="368">
        <v>1991</v>
      </c>
      <c r="B13" s="46">
        <f>★図7!B13</f>
        <v>930074.07912184636</v>
      </c>
      <c r="C13" s="46">
        <f t="shared" si="1"/>
        <v>930074.07912184636</v>
      </c>
      <c r="D13" s="46">
        <f t="shared" si="2"/>
        <v>930074.07912184636</v>
      </c>
      <c r="E13" s="46">
        <f t="shared" si="3"/>
        <v>930074.07912184636</v>
      </c>
      <c r="F13" s="46">
        <f t="shared" si="4"/>
        <v>930074.07912184636</v>
      </c>
      <c r="G13" s="46">
        <f t="shared" si="5"/>
        <v>930074.07912184636</v>
      </c>
    </row>
    <row r="14" spans="1:13">
      <c r="A14" s="368">
        <v>1992</v>
      </c>
      <c r="B14" s="46">
        <f>★図7!B14</f>
        <v>936243.37829754362</v>
      </c>
      <c r="C14" s="46">
        <f t="shared" si="1"/>
        <v>936243.37829754362</v>
      </c>
      <c r="D14" s="46">
        <f t="shared" si="2"/>
        <v>936243.37829754362</v>
      </c>
      <c r="E14" s="46">
        <f t="shared" si="3"/>
        <v>936243.37829754362</v>
      </c>
      <c r="F14" s="46">
        <f t="shared" si="4"/>
        <v>936243.37829754362</v>
      </c>
      <c r="G14" s="46">
        <f t="shared" si="5"/>
        <v>936243.37829754362</v>
      </c>
    </row>
    <row r="15" spans="1:13">
      <c r="A15" s="368">
        <v>1993</v>
      </c>
      <c r="B15" s="46">
        <f>★図7!B15</f>
        <v>911520.81172168278</v>
      </c>
      <c r="C15" s="46">
        <f t="shared" si="1"/>
        <v>911520.81172168278</v>
      </c>
      <c r="D15" s="46">
        <f t="shared" si="2"/>
        <v>911520.81172168278</v>
      </c>
      <c r="E15" s="46">
        <f t="shared" si="3"/>
        <v>911520.81172168278</v>
      </c>
      <c r="F15" s="46">
        <f t="shared" si="4"/>
        <v>911520.81172168278</v>
      </c>
      <c r="G15" s="46">
        <f t="shared" si="5"/>
        <v>911520.81172168278</v>
      </c>
    </row>
    <row r="16" spans="1:13">
      <c r="A16" s="368">
        <v>1994</v>
      </c>
      <c r="B16" s="46">
        <f>★図7!B16</f>
        <v>879268.70131935354</v>
      </c>
      <c r="C16" s="46">
        <f t="shared" si="1"/>
        <v>879268.70131935354</v>
      </c>
      <c r="D16" s="46">
        <f t="shared" si="2"/>
        <v>879268.70131935354</v>
      </c>
      <c r="E16" s="46">
        <f t="shared" si="3"/>
        <v>879268.70131935354</v>
      </c>
      <c r="F16" s="46">
        <f t="shared" si="4"/>
        <v>879268.70131935354</v>
      </c>
      <c r="G16" s="46">
        <f t="shared" si="5"/>
        <v>879268.70131935354</v>
      </c>
    </row>
    <row r="17" spans="1:7">
      <c r="A17" s="368">
        <v>1995</v>
      </c>
      <c r="B17" s="46">
        <f>★図7!B17</f>
        <v>852911.85695646435</v>
      </c>
      <c r="C17" s="46">
        <f t="shared" si="1"/>
        <v>852911.85695646435</v>
      </c>
      <c r="D17" s="46">
        <f t="shared" si="2"/>
        <v>852911.85695646435</v>
      </c>
      <c r="E17" s="46">
        <f t="shared" si="3"/>
        <v>852911.85695646435</v>
      </c>
      <c r="F17" s="46">
        <f t="shared" si="4"/>
        <v>852911.85695646435</v>
      </c>
      <c r="G17" s="46">
        <f t="shared" si="5"/>
        <v>852911.85695646435</v>
      </c>
    </row>
    <row r="18" spans="1:7">
      <c r="A18" s="368">
        <v>1996</v>
      </c>
      <c r="B18" s="46">
        <f>★図7!B18</f>
        <v>913795.428756907</v>
      </c>
      <c r="C18" s="46">
        <f t="shared" si="1"/>
        <v>913795.428756907</v>
      </c>
      <c r="D18" s="46">
        <f t="shared" si="2"/>
        <v>913795.428756907</v>
      </c>
      <c r="E18" s="46">
        <f t="shared" si="3"/>
        <v>913795.428756907</v>
      </c>
      <c r="F18" s="46">
        <f t="shared" si="4"/>
        <v>913795.428756907</v>
      </c>
      <c r="G18" s="46">
        <f t="shared" si="5"/>
        <v>913795.428756907</v>
      </c>
    </row>
    <row r="19" spans="1:7">
      <c r="A19" s="368">
        <v>1997</v>
      </c>
      <c r="B19" s="46">
        <f>★図7!B19</f>
        <v>842147.24991048442</v>
      </c>
      <c r="C19" s="46">
        <f t="shared" si="1"/>
        <v>842147.24991048442</v>
      </c>
      <c r="D19" s="46">
        <f t="shared" si="2"/>
        <v>842147.24991048442</v>
      </c>
      <c r="E19" s="46">
        <f t="shared" si="3"/>
        <v>842147.24991048442</v>
      </c>
      <c r="F19" s="46">
        <f t="shared" si="4"/>
        <v>842147.24991048442</v>
      </c>
      <c r="G19" s="46">
        <f t="shared" si="5"/>
        <v>842147.24991048442</v>
      </c>
    </row>
    <row r="20" spans="1:7">
      <c r="A20" s="368">
        <v>1998</v>
      </c>
      <c r="B20" s="46">
        <f>★図7!B20</f>
        <v>792128.36784281523</v>
      </c>
      <c r="C20" s="46">
        <f t="shared" si="1"/>
        <v>792128.36784281523</v>
      </c>
      <c r="D20" s="46">
        <f t="shared" si="2"/>
        <v>792128.36784281523</v>
      </c>
      <c r="E20" s="46">
        <f t="shared" si="3"/>
        <v>792128.36784281523</v>
      </c>
      <c r="F20" s="46">
        <f t="shared" si="4"/>
        <v>792128.36784281523</v>
      </c>
      <c r="G20" s="46">
        <f t="shared" si="5"/>
        <v>792128.36784281523</v>
      </c>
    </row>
    <row r="21" spans="1:7">
      <c r="A21" s="368">
        <v>1999</v>
      </c>
      <c r="B21" s="46">
        <f>★図7!B21</f>
        <v>779955.31695557036</v>
      </c>
      <c r="C21" s="46">
        <f t="shared" si="1"/>
        <v>779955.31695557036</v>
      </c>
      <c r="D21" s="46">
        <f t="shared" si="2"/>
        <v>779955.31695557036</v>
      </c>
      <c r="E21" s="46">
        <f t="shared" si="3"/>
        <v>779955.31695557036</v>
      </c>
      <c r="F21" s="46">
        <f t="shared" si="4"/>
        <v>779955.31695557036</v>
      </c>
      <c r="G21" s="46">
        <f t="shared" si="5"/>
        <v>779955.31695557036</v>
      </c>
    </row>
    <row r="22" spans="1:7">
      <c r="A22" s="368">
        <v>2000</v>
      </c>
      <c r="B22" s="46">
        <f>★図7!B22</f>
        <v>735377.97712155432</v>
      </c>
      <c r="C22" s="46">
        <f t="shared" si="1"/>
        <v>735377.97712155432</v>
      </c>
      <c r="D22" s="46">
        <f t="shared" si="2"/>
        <v>735377.97712155432</v>
      </c>
      <c r="E22" s="46">
        <f t="shared" si="3"/>
        <v>735377.97712155432</v>
      </c>
      <c r="F22" s="46">
        <f t="shared" si="4"/>
        <v>735377.97712155432</v>
      </c>
      <c r="G22" s="46">
        <f t="shared" si="5"/>
        <v>735377.97712155432</v>
      </c>
    </row>
    <row r="23" spans="1:7">
      <c r="A23" s="368">
        <v>2001</v>
      </c>
      <c r="B23" s="46">
        <f>★図7!B23</f>
        <v>712186.82389267883</v>
      </c>
      <c r="C23" s="46">
        <f t="shared" si="1"/>
        <v>712186.82389267883</v>
      </c>
      <c r="D23" s="46">
        <f t="shared" si="2"/>
        <v>712186.82389267883</v>
      </c>
      <c r="E23" s="46">
        <f t="shared" si="3"/>
        <v>712186.82389267883</v>
      </c>
      <c r="F23" s="46">
        <f t="shared" si="4"/>
        <v>712186.82389267883</v>
      </c>
      <c r="G23" s="46">
        <f t="shared" si="5"/>
        <v>712186.82389267883</v>
      </c>
    </row>
    <row r="24" spans="1:7">
      <c r="A24" s="368">
        <v>2002</v>
      </c>
      <c r="B24" s="46">
        <f>★図7!B24</f>
        <v>666393.52951853187</v>
      </c>
      <c r="C24" s="46">
        <f t="shared" si="1"/>
        <v>666393.52951853187</v>
      </c>
      <c r="D24" s="46">
        <f t="shared" si="2"/>
        <v>666393.52951853187</v>
      </c>
      <c r="E24" s="46">
        <f t="shared" si="3"/>
        <v>666393.52951853187</v>
      </c>
      <c r="F24" s="46">
        <f t="shared" si="4"/>
        <v>666393.52951853187</v>
      </c>
      <c r="G24" s="46">
        <f t="shared" si="5"/>
        <v>666393.52951853187</v>
      </c>
    </row>
    <row r="25" spans="1:7">
      <c r="A25" s="368">
        <v>2003</v>
      </c>
      <c r="B25" s="46">
        <f>★図7!B25</f>
        <v>624608.39192366635</v>
      </c>
      <c r="C25" s="46">
        <f t="shared" si="1"/>
        <v>624608.39192366635</v>
      </c>
      <c r="D25" s="46">
        <f t="shared" si="2"/>
        <v>624608.39192366635</v>
      </c>
      <c r="E25" s="46">
        <f t="shared" si="3"/>
        <v>624608.39192366635</v>
      </c>
      <c r="F25" s="46">
        <f t="shared" si="4"/>
        <v>624608.39192366635</v>
      </c>
      <c r="G25" s="46">
        <f t="shared" si="5"/>
        <v>624608.39192366635</v>
      </c>
    </row>
    <row r="26" spans="1:7">
      <c r="A26" s="368">
        <v>2004</v>
      </c>
      <c r="B26" s="46">
        <f>★図7!B26</f>
        <v>597928.52910741174</v>
      </c>
      <c r="C26" s="46">
        <f t="shared" si="1"/>
        <v>597928.52910741174</v>
      </c>
      <c r="D26" s="46">
        <f t="shared" si="2"/>
        <v>597928.52910741174</v>
      </c>
      <c r="E26" s="46">
        <f t="shared" si="3"/>
        <v>597928.52910741174</v>
      </c>
      <c r="F26" s="46">
        <f t="shared" si="4"/>
        <v>597928.52910741174</v>
      </c>
      <c r="G26" s="46">
        <f t="shared" si="5"/>
        <v>597928.52910741174</v>
      </c>
    </row>
    <row r="27" spans="1:7">
      <c r="A27" s="368">
        <v>2005</v>
      </c>
      <c r="B27" s="46">
        <f>★図7!B27</f>
        <v>578997.93350860476</v>
      </c>
      <c r="C27" s="46">
        <f t="shared" si="1"/>
        <v>578997.93350860476</v>
      </c>
      <c r="D27" s="46">
        <f t="shared" si="2"/>
        <v>578997.93350860476</v>
      </c>
      <c r="E27" s="46">
        <f t="shared" si="3"/>
        <v>578997.93350860476</v>
      </c>
      <c r="F27" s="46">
        <f t="shared" si="4"/>
        <v>578997.93350860476</v>
      </c>
      <c r="G27" s="46">
        <f t="shared" si="5"/>
        <v>578997.93350860476</v>
      </c>
    </row>
    <row r="28" spans="1:7">
      <c r="A28" s="368">
        <v>2006</v>
      </c>
      <c r="B28" s="46">
        <f>★図7!B28</f>
        <v>565048.47532275412</v>
      </c>
      <c r="C28" s="46">
        <f t="shared" si="1"/>
        <v>565048.47532275412</v>
      </c>
      <c r="D28" s="46">
        <f t="shared" si="2"/>
        <v>565048.47532275412</v>
      </c>
      <c r="E28" s="46">
        <f t="shared" si="3"/>
        <v>565048.47532275412</v>
      </c>
      <c r="F28" s="46">
        <f t="shared" si="4"/>
        <v>565048.47532275412</v>
      </c>
      <c r="G28" s="46">
        <f t="shared" si="5"/>
        <v>565048.47532275412</v>
      </c>
    </row>
    <row r="29" spans="1:7">
      <c r="A29" s="368">
        <v>2007</v>
      </c>
      <c r="B29" s="46">
        <f>★図7!B29</f>
        <v>523754.61380397785</v>
      </c>
      <c r="C29" s="46">
        <f t="shared" si="1"/>
        <v>523754.61380397785</v>
      </c>
      <c r="D29" s="46">
        <f t="shared" si="2"/>
        <v>523754.61380397785</v>
      </c>
      <c r="E29" s="46">
        <f t="shared" si="3"/>
        <v>523754.61380397785</v>
      </c>
      <c r="F29" s="46">
        <f t="shared" si="4"/>
        <v>523754.61380397785</v>
      </c>
      <c r="G29" s="46">
        <f t="shared" si="5"/>
        <v>523754.61380397785</v>
      </c>
    </row>
    <row r="30" spans="1:7">
      <c r="A30" s="368">
        <v>2008</v>
      </c>
      <c r="B30" s="46">
        <f>★図7!B30</f>
        <v>498933.97362326737</v>
      </c>
      <c r="C30" s="46">
        <f t="shared" si="1"/>
        <v>498933.97362326737</v>
      </c>
      <c r="D30" s="46">
        <f t="shared" si="2"/>
        <v>498933.97362326737</v>
      </c>
      <c r="E30" s="46">
        <f t="shared" si="3"/>
        <v>498933.97362326737</v>
      </c>
      <c r="F30" s="46">
        <f t="shared" si="4"/>
        <v>498933.97362326737</v>
      </c>
      <c r="G30" s="46">
        <f t="shared" si="5"/>
        <v>498933.97362326737</v>
      </c>
    </row>
    <row r="31" spans="1:7">
      <c r="A31" s="368">
        <v>2009</v>
      </c>
      <c r="B31" s="46">
        <f>★図7!B31</f>
        <v>462745.17776524194</v>
      </c>
      <c r="C31" s="46">
        <f t="shared" si="1"/>
        <v>462745.17776524194</v>
      </c>
      <c r="D31" s="46">
        <f t="shared" si="2"/>
        <v>462745.17776524194</v>
      </c>
      <c r="E31" s="46">
        <f t="shared" si="3"/>
        <v>462745.17776524194</v>
      </c>
      <c r="F31" s="46">
        <f t="shared" si="4"/>
        <v>462745.17776524194</v>
      </c>
      <c r="G31" s="46">
        <f t="shared" si="5"/>
        <v>462745.17776524194</v>
      </c>
    </row>
    <row r="32" spans="1:7">
      <c r="A32" s="368">
        <v>2010</v>
      </c>
      <c r="B32" s="46">
        <f>★図7!B32</f>
        <v>446977.76782772673</v>
      </c>
      <c r="C32" s="46">
        <f t="shared" si="1"/>
        <v>446977.76782772673</v>
      </c>
      <c r="D32" s="46">
        <f t="shared" si="2"/>
        <v>446977.76782772673</v>
      </c>
      <c r="E32" s="46">
        <f t="shared" si="3"/>
        <v>446977.76782772673</v>
      </c>
      <c r="F32" s="46">
        <f t="shared" si="4"/>
        <v>446977.76782772673</v>
      </c>
      <c r="G32" s="46">
        <f t="shared" si="5"/>
        <v>446977.76782772673</v>
      </c>
    </row>
    <row r="33" spans="1:7">
      <c r="A33" s="368">
        <v>2011</v>
      </c>
      <c r="B33" s="46">
        <f>★図7!B33</f>
        <v>446069.94860838994</v>
      </c>
      <c r="C33" s="46">
        <f t="shared" si="1"/>
        <v>446069.94860838994</v>
      </c>
      <c r="D33" s="46">
        <f t="shared" si="2"/>
        <v>446069.94860838994</v>
      </c>
      <c r="E33" s="46">
        <f t="shared" si="3"/>
        <v>446069.94860838994</v>
      </c>
      <c r="F33" s="46">
        <f t="shared" si="4"/>
        <v>446069.94860838994</v>
      </c>
      <c r="G33" s="46">
        <f t="shared" si="5"/>
        <v>446069.94860838994</v>
      </c>
    </row>
    <row r="34" spans="1:7">
      <c r="A34" s="368">
        <v>2012</v>
      </c>
      <c r="B34" s="46">
        <f>★図7!B34</f>
        <v>449681.61798681098</v>
      </c>
      <c r="C34" s="46">
        <f t="shared" si="1"/>
        <v>449681.61798681098</v>
      </c>
      <c r="D34" s="46">
        <f t="shared" si="2"/>
        <v>449681.61798681098</v>
      </c>
      <c r="E34" s="46">
        <f t="shared" si="3"/>
        <v>449681.61798681098</v>
      </c>
      <c r="F34" s="46">
        <f t="shared" si="4"/>
        <v>449681.61798681098</v>
      </c>
      <c r="G34" s="46">
        <f t="shared" si="5"/>
        <v>449681.61798681098</v>
      </c>
    </row>
    <row r="35" spans="1:7">
      <c r="A35" s="368">
        <v>2013</v>
      </c>
      <c r="B35" s="46">
        <f>★図7!B35</f>
        <v>488198.48128962546</v>
      </c>
      <c r="C35" s="46">
        <f t="shared" si="1"/>
        <v>488198.48128962546</v>
      </c>
      <c r="D35" s="46">
        <f t="shared" si="2"/>
        <v>488198.48128962546</v>
      </c>
      <c r="E35" s="46">
        <f t="shared" si="3"/>
        <v>488198.48128962546</v>
      </c>
      <c r="F35" s="46">
        <f t="shared" si="4"/>
        <v>488198.48128962546</v>
      </c>
      <c r="G35" s="46">
        <f t="shared" si="5"/>
        <v>488198.48128962546</v>
      </c>
    </row>
    <row r="36" spans="1:7">
      <c r="A36" s="368">
        <v>2014</v>
      </c>
      <c r="B36" s="46">
        <f>★図7!B36</f>
        <v>485593.79057289567</v>
      </c>
      <c r="C36" s="46">
        <f t="shared" si="1"/>
        <v>485593.79057289567</v>
      </c>
      <c r="D36" s="46">
        <f t="shared" si="2"/>
        <v>485593.79057289567</v>
      </c>
      <c r="E36" s="46">
        <f t="shared" si="3"/>
        <v>485593.79057289567</v>
      </c>
      <c r="F36" s="46">
        <f t="shared" si="4"/>
        <v>485593.79057289567</v>
      </c>
      <c r="G36" s="46">
        <f t="shared" si="5"/>
        <v>485593.79057289567</v>
      </c>
    </row>
    <row r="37" spans="1:7">
      <c r="A37" s="368">
        <v>2015</v>
      </c>
      <c r="B37" s="46">
        <f>★図7!B37</f>
        <v>539573.38020544511</v>
      </c>
      <c r="C37" s="46">
        <f t="shared" si="1"/>
        <v>539573.38020544511</v>
      </c>
      <c r="D37" s="46">
        <f t="shared" si="2"/>
        <v>539573.38020544511</v>
      </c>
      <c r="E37" s="46">
        <f t="shared" si="3"/>
        <v>539573.38020544511</v>
      </c>
      <c r="F37" s="46">
        <f t="shared" si="4"/>
        <v>539573.38020544511</v>
      </c>
      <c r="G37" s="46">
        <f t="shared" si="5"/>
        <v>539573.38020544511</v>
      </c>
    </row>
    <row r="38" spans="1:7">
      <c r="A38" s="368">
        <v>2016</v>
      </c>
      <c r="B38" s="46">
        <f>★図7!B38</f>
        <v>581088.23698012601</v>
      </c>
      <c r="C38" s="46">
        <f t="shared" si="1"/>
        <v>581088.23698012601</v>
      </c>
      <c r="D38" s="46">
        <f t="shared" si="2"/>
        <v>581088.23698012601</v>
      </c>
      <c r="E38" s="46">
        <f t="shared" si="3"/>
        <v>581088.23698012601</v>
      </c>
      <c r="F38" s="46">
        <f t="shared" si="4"/>
        <v>581088.23698012601</v>
      </c>
      <c r="G38" s="46">
        <f t="shared" si="5"/>
        <v>581088.23698012601</v>
      </c>
    </row>
    <row r="39" spans="1:7">
      <c r="A39" s="368">
        <v>2017</v>
      </c>
      <c r="B39" s="46">
        <f>★図7!B39</f>
        <v>599172.92942574224</v>
      </c>
      <c r="C39" s="46">
        <f t="shared" si="1"/>
        <v>599172.92942574224</v>
      </c>
      <c r="D39" s="46">
        <f t="shared" si="2"/>
        <v>599172.92942574224</v>
      </c>
      <c r="E39" s="46">
        <f t="shared" si="3"/>
        <v>599172.92942574224</v>
      </c>
      <c r="F39" s="46">
        <f t="shared" si="4"/>
        <v>599172.92942574224</v>
      </c>
      <c r="G39" s="46">
        <f t="shared" si="5"/>
        <v>599172.92942574224</v>
      </c>
    </row>
    <row r="40" spans="1:7">
      <c r="A40" s="368">
        <v>2018</v>
      </c>
      <c r="B40" s="46">
        <f>★図7!B40</f>
        <v>588328.4778262669</v>
      </c>
      <c r="C40" s="46">
        <f t="shared" si="1"/>
        <v>588328.4778262669</v>
      </c>
      <c r="D40" s="46">
        <f t="shared" si="2"/>
        <v>588328.4778262669</v>
      </c>
      <c r="E40" s="46">
        <f t="shared" si="3"/>
        <v>588328.4778262669</v>
      </c>
      <c r="F40" s="46">
        <f t="shared" si="4"/>
        <v>588328.4778262669</v>
      </c>
      <c r="G40" s="46">
        <f t="shared" si="5"/>
        <v>588328.4778262669</v>
      </c>
    </row>
    <row r="41" spans="1:7">
      <c r="A41" s="368">
        <v>2019</v>
      </c>
      <c r="B41" s="46">
        <f>★図7!B41</f>
        <v>583270.32016486558</v>
      </c>
      <c r="C41" s="46">
        <f t="shared" si="1"/>
        <v>583270.32016486558</v>
      </c>
      <c r="D41" s="46">
        <f t="shared" si="2"/>
        <v>583270.32016486558</v>
      </c>
      <c r="E41" s="46">
        <f t="shared" si="3"/>
        <v>583270.32016486558</v>
      </c>
      <c r="F41" s="46">
        <f t="shared" si="4"/>
        <v>583270.32016486558</v>
      </c>
      <c r="G41" s="46">
        <f t="shared" si="5"/>
        <v>583270.32016486558</v>
      </c>
    </row>
    <row r="42" spans="1:7">
      <c r="A42" s="368">
        <v>2020</v>
      </c>
      <c r="B42" s="46">
        <f>★図7!B42</f>
        <v>565661.15425904549</v>
      </c>
      <c r="C42" s="46">
        <f t="shared" si="1"/>
        <v>565661.15425904549</v>
      </c>
      <c r="D42" s="46">
        <f t="shared" si="2"/>
        <v>565661.15425904549</v>
      </c>
      <c r="E42" s="46">
        <f t="shared" si="3"/>
        <v>565661.15425904549</v>
      </c>
      <c r="F42" s="46">
        <f t="shared" si="4"/>
        <v>565661.15425904549</v>
      </c>
      <c r="G42" s="46">
        <f t="shared" si="5"/>
        <v>565661.15425904549</v>
      </c>
    </row>
    <row r="43" spans="1:7">
      <c r="A43" s="368">
        <v>2021</v>
      </c>
      <c r="B43" s="46">
        <f>★図7!B43</f>
        <v>567636.66163192899</v>
      </c>
      <c r="C43" s="46">
        <f t="shared" si="1"/>
        <v>567636.66163192899</v>
      </c>
      <c r="D43" s="46">
        <f t="shared" si="2"/>
        <v>567636.66163192899</v>
      </c>
      <c r="E43" s="46">
        <f t="shared" si="3"/>
        <v>567636.66163192899</v>
      </c>
      <c r="F43" s="46">
        <f t="shared" si="4"/>
        <v>567636.66163192899</v>
      </c>
      <c r="G43" s="46">
        <f t="shared" si="5"/>
        <v>567636.66163192899</v>
      </c>
    </row>
    <row r="44" spans="1:7">
      <c r="A44" s="368">
        <v>2022</v>
      </c>
      <c r="B44" s="46">
        <f>★図7!B44</f>
        <v>574588.68916883704</v>
      </c>
      <c r="C44" s="46">
        <f t="shared" si="1"/>
        <v>574588.68916883704</v>
      </c>
      <c r="D44" s="46">
        <f t="shared" si="2"/>
        <v>574588.68916883704</v>
      </c>
      <c r="E44" s="46">
        <f t="shared" si="3"/>
        <v>574588.68916883704</v>
      </c>
      <c r="F44" s="46">
        <f t="shared" si="4"/>
        <v>574588.68916883704</v>
      </c>
      <c r="G44" s="46">
        <f t="shared" si="5"/>
        <v>574588.68916883704</v>
      </c>
    </row>
    <row r="45" spans="1:7">
      <c r="A45" s="368">
        <v>2023</v>
      </c>
      <c r="B45" s="46">
        <f>★図7!B45</f>
        <v>580427.68393034057</v>
      </c>
      <c r="C45" s="46">
        <f>★図7!C45</f>
        <v>560142.61845727742</v>
      </c>
      <c r="D45" s="46">
        <f>★図7!D45</f>
        <v>569706.46246295876</v>
      </c>
      <c r="E45" s="46">
        <f>'★図13　需要側合計'!B45</f>
        <v>610355.84869894106</v>
      </c>
      <c r="F45" s="46">
        <f>'★図13　需要側合計'!C45</f>
        <v>583186.06873390102</v>
      </c>
    </row>
    <row r="46" spans="1:7">
      <c r="A46" s="368">
        <v>2024</v>
      </c>
      <c r="B46" s="46">
        <f>★図7!B46</f>
        <v>602051.81867849955</v>
      </c>
      <c r="C46" s="46">
        <f>★図7!C46</f>
        <v>564852.57580918574</v>
      </c>
      <c r="D46" s="46">
        <f>★図7!D46</f>
        <v>577411.50054689136</v>
      </c>
      <c r="E46" s="46">
        <f>'★図13　需要側合計'!B46</f>
        <v>674189.43062712438</v>
      </c>
      <c r="F46" s="46">
        <f>'★図13　需要側合計'!C46</f>
        <v>614719.95708511758</v>
      </c>
    </row>
    <row r="47" spans="1:7">
      <c r="A47" s="368">
        <v>2025</v>
      </c>
      <c r="B47" s="46">
        <f>★図7!B47</f>
        <v>624654.31417205476</v>
      </c>
      <c r="C47" s="46">
        <f>★図7!C47</f>
        <v>569548.44718869787</v>
      </c>
      <c r="D47" s="46">
        <f>★図7!D47</f>
        <v>585245.58345073415</v>
      </c>
      <c r="E47" s="46">
        <f>'★図13　需要側合計'!B47</f>
        <v>724319.16907453421</v>
      </c>
      <c r="F47" s="46">
        <f>'★図13　需要側合計'!C47</f>
        <v>618064.2449014876</v>
      </c>
    </row>
    <row r="48" spans="1:7">
      <c r="A48" s="368">
        <v>2026</v>
      </c>
      <c r="B48" s="46">
        <f>★図7!B48</f>
        <v>647995.16402449727</v>
      </c>
      <c r="C48" s="46">
        <f>★図7!C48</f>
        <v>568482.94817577698</v>
      </c>
      <c r="D48" s="46">
        <f>★図7!D48</f>
        <v>593757.98516071588</v>
      </c>
      <c r="E48" s="46">
        <f>'★図13　需要側合計'!B48</f>
        <v>773917.56240401894</v>
      </c>
      <c r="F48" s="46">
        <f>'★図13　需要側合計'!C48</f>
        <v>640461.64739013778</v>
      </c>
    </row>
    <row r="49" spans="1:6">
      <c r="A49" s="368">
        <v>2027</v>
      </c>
      <c r="B49" s="46">
        <f>★図7!B49</f>
        <v>672371.68962413899</v>
      </c>
      <c r="C49" s="46">
        <f>★図7!C49</f>
        <v>567080.82765638724</v>
      </c>
      <c r="D49" s="46">
        <f>★図7!D49</f>
        <v>602425.02919215057</v>
      </c>
      <c r="E49" s="46">
        <f>'★図13　需要側合計'!B49</f>
        <v>835897.51114736765</v>
      </c>
      <c r="F49" s="46">
        <f>'★図13　需要側合計'!C49</f>
        <v>679933.39898930502</v>
      </c>
    </row>
    <row r="50" spans="1:6">
      <c r="A50" s="368">
        <v>2028</v>
      </c>
      <c r="B50" s="46">
        <f>★図7!B50</f>
        <v>697826.13955719071</v>
      </c>
      <c r="C50" s="46">
        <f>★図7!C50</f>
        <v>565324.25858752034</v>
      </c>
      <c r="D50" s="46">
        <f>★図7!D50</f>
        <v>611246.66109846008</v>
      </c>
      <c r="E50" s="46">
        <f>'★図13　需要側合計'!B50</f>
        <v>875880.44198780006</v>
      </c>
      <c r="F50" s="46">
        <f>'★図13　需要側合計'!C50</f>
        <v>693282.19845975097</v>
      </c>
    </row>
    <row r="51" spans="1:6">
      <c r="A51" s="368">
        <v>2029</v>
      </c>
      <c r="B51" s="46">
        <f>★図7!B51</f>
        <v>724402.60673150455</v>
      </c>
      <c r="C51" s="46">
        <f>★図7!C51</f>
        <v>563194.72271824919</v>
      </c>
      <c r="D51" s="46">
        <f>★図7!D51</f>
        <v>620222.84439877816</v>
      </c>
      <c r="E51" s="46">
        <f>'★図13　需要側合計'!B51</f>
        <v>907192.07560842333</v>
      </c>
      <c r="F51" s="46">
        <f>'★図13　需要側合計'!C51</f>
        <v>709849.19569562376</v>
      </c>
    </row>
    <row r="52" spans="1:6">
      <c r="A52" s="368">
        <v>2030</v>
      </c>
      <c r="B52" s="46">
        <f>★図7!B52</f>
        <v>752147.09908079414</v>
      </c>
      <c r="C52" s="46">
        <f>★図7!C52</f>
        <v>560672.97439117706</v>
      </c>
      <c r="D52" s="46">
        <f>★図7!D52</f>
        <v>629353.55610930827</v>
      </c>
      <c r="E52" s="46">
        <f>'★図13　需要側合計'!B52</f>
        <v>916406.66498932126</v>
      </c>
      <c r="F52" s="46">
        <f>'★図13　需要側合計'!C52</f>
        <v>697334.54808675754</v>
      </c>
    </row>
    <row r="53" spans="1:6">
      <c r="A53" s="368">
        <v>2031</v>
      </c>
      <c r="B53" s="46">
        <f>★図7!B53</f>
        <v>780432.56131113984</v>
      </c>
      <c r="C53" s="46">
        <f>★図7!C53</f>
        <v>559431.51221501932</v>
      </c>
      <c r="D53" s="46">
        <f>★図7!D53</f>
        <v>638429.55364158691</v>
      </c>
      <c r="E53" s="46">
        <f>'★図13　需要側合計'!B53</f>
        <v>900282.25860887719</v>
      </c>
      <c r="F53" s="46">
        <f>'★図13　需要側合計'!C53</f>
        <v>658731.93203369039</v>
      </c>
    </row>
    <row r="54" spans="1:6">
      <c r="A54" s="368">
        <v>2032</v>
      </c>
      <c r="B54" s="46">
        <f>★図7!B54</f>
        <v>809921.63332322508</v>
      </c>
      <c r="C54" s="46">
        <f>★図7!C54</f>
        <v>557852.7551697921</v>
      </c>
      <c r="D54" s="46">
        <f>★図7!D54</f>
        <v>647649.39419511403</v>
      </c>
      <c r="E54" s="46">
        <f>'★図13　需要側合計'!B54</f>
        <v>905658.80738194112</v>
      </c>
      <c r="F54" s="46">
        <f>'★図13　需要側合計'!C54</f>
        <v>668334.76515222772</v>
      </c>
    </row>
    <row r="55" spans="1:6">
      <c r="A55" s="368">
        <v>2033</v>
      </c>
      <c r="B55" s="46">
        <f>★図7!B55</f>
        <v>840662.051364735</v>
      </c>
      <c r="C55" s="46">
        <f>★図7!C55</f>
        <v>555918.78819111572</v>
      </c>
      <c r="D55" s="46">
        <f>★図7!D55</f>
        <v>657012.70126918808</v>
      </c>
      <c r="E55" s="46">
        <f>'★図13　需要側合計'!B55</f>
        <v>923989.27543912176</v>
      </c>
      <c r="F55" s="46">
        <f>'★図13　需要側合計'!C55</f>
        <v>682268.65292457165</v>
      </c>
    </row>
    <row r="56" spans="1:6">
      <c r="A56" s="368">
        <v>2034</v>
      </c>
      <c r="B56" s="46">
        <f>★図7!B56</f>
        <v>872703.50020231667</v>
      </c>
      <c r="C56" s="46">
        <f>★図7!C56</f>
        <v>553611.00173429935</v>
      </c>
      <c r="D56" s="46">
        <f>★図7!D56</f>
        <v>666519.08257156145</v>
      </c>
      <c r="E56" s="46">
        <f>'★図13　需要側合計'!B56</f>
        <v>947785.02004920179</v>
      </c>
      <c r="F56" s="46">
        <f>'★図13　需要側合計'!C56</f>
        <v>691837.02147326455</v>
      </c>
    </row>
    <row r="57" spans="1:6">
      <c r="A57" s="368">
        <v>2035</v>
      </c>
      <c r="B57" s="46">
        <f>★図7!B57</f>
        <v>906097.68438297778</v>
      </c>
      <c r="C57" s="46">
        <f>★図7!C57</f>
        <v>550910.05515889579</v>
      </c>
      <c r="D57" s="46">
        <f>★図7!D57</f>
        <v>676168.12564295053</v>
      </c>
      <c r="E57" s="46">
        <f>'★図13　需要側合計'!B57</f>
        <v>968661.22229711572</v>
      </c>
      <c r="F57" s="46">
        <f>'★図13　需要側合計'!C57</f>
        <v>696962.63739234628</v>
      </c>
    </row>
    <row r="58" spans="1:6">
      <c r="A58" s="368">
        <v>2036</v>
      </c>
      <c r="B58" s="46">
        <f>★図7!B58</f>
        <v>940190.35485915758</v>
      </c>
      <c r="C58" s="46">
        <f>★図7!C58</f>
        <v>549981.87867012154</v>
      </c>
      <c r="D58" s="46">
        <f>★図7!D58</f>
        <v>685608.95707740972</v>
      </c>
      <c r="E58" s="46">
        <f>'★図13　需要側合計'!B58</f>
        <v>988811.68776274973</v>
      </c>
      <c r="F58" s="46">
        <f>'★図13　需要側合計'!C58</f>
        <v>700310.14389438904</v>
      </c>
    </row>
    <row r="59" spans="1:6">
      <c r="A59" s="368">
        <v>2037</v>
      </c>
      <c r="B59" s="46">
        <f>★図7!B59</f>
        <v>975678.51433051354</v>
      </c>
      <c r="C59" s="46">
        <f>★図7!C59</f>
        <v>548742.77491015999</v>
      </c>
      <c r="D59" s="46">
        <f>★図7!D59</f>
        <v>695173.39188168687</v>
      </c>
      <c r="E59" s="46">
        <f>'★図13　需要側合計'!B59</f>
        <v>1008331.1704472197</v>
      </c>
      <c r="F59" s="46">
        <f>'★図13　需要側合計'!C59</f>
        <v>702714.65191437176</v>
      </c>
    </row>
    <row r="60" spans="1:6">
      <c r="A60" s="368">
        <v>2038</v>
      </c>
      <c r="B60" s="46">
        <f>★図7!B60</f>
        <v>1012615.5892792539</v>
      </c>
      <c r="C60" s="46">
        <f>★図7!C60</f>
        <v>547175.80222606438</v>
      </c>
      <c r="D60" s="46">
        <f>★図7!D60</f>
        <v>704860.31100598711</v>
      </c>
      <c r="E60" s="46">
        <f>'★図13　需要側合計'!B60</f>
        <v>1027574.469980587</v>
      </c>
      <c r="F60" s="46">
        <f>'★図13　需要側合計'!C60</f>
        <v>704460.13385246671</v>
      </c>
    </row>
    <row r="61" spans="1:6">
      <c r="A61" s="368">
        <v>2039</v>
      </c>
      <c r="B61" s="46">
        <f>★図7!B61</f>
        <v>1051057.035838333</v>
      </c>
      <c r="C61" s="46">
        <f>★図7!C61</f>
        <v>545263.37613813253</v>
      </c>
      <c r="D61" s="46">
        <f>★図7!D61</f>
        <v>714668.53655841714</v>
      </c>
      <c r="E61" s="46">
        <f>'★図13　需要側合計'!B61</f>
        <v>1046295.8948001709</v>
      </c>
      <c r="F61" s="46">
        <f>'★図13　需要側合計'!C61</f>
        <v>705594.69340635231</v>
      </c>
    </row>
    <row r="62" spans="1:6">
      <c r="A62" s="368">
        <v>2040</v>
      </c>
      <c r="B62" s="46">
        <f>★図7!B62</f>
        <v>1091060.4079699134</v>
      </c>
      <c r="C62" s="46">
        <f>★図7!C62</f>
        <v>542987.23595020967</v>
      </c>
      <c r="D62" s="46">
        <f>★図7!D62</f>
        <v>724596.82687175355</v>
      </c>
      <c r="E62" s="46">
        <f>'★図13　需要側合計'!B62</f>
        <v>1065093.7440613669</v>
      </c>
      <c r="F62" s="46">
        <f>'★図13　需要側合計'!C62</f>
        <v>706514.87975689792</v>
      </c>
    </row>
  </sheetData>
  <phoneticPr fontId="1"/>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B4BE9-B730-4FC9-AFF6-6B6C0E6AEFB0}">
  <dimension ref="A1:BG9"/>
  <sheetViews>
    <sheetView showGridLines="0" zoomScale="85" zoomScaleNormal="85" workbookViewId="0">
      <selection activeCell="F57" sqref="A1:H57"/>
    </sheetView>
  </sheetViews>
  <sheetFormatPr defaultColWidth="8.84375" defaultRowHeight="18.45" outlineLevelCol="1"/>
  <cols>
    <col min="1" max="1" width="11.84375" style="58" bestFit="1" customWidth="1"/>
    <col min="2" max="2" width="7.765625" style="59" bestFit="1" customWidth="1"/>
    <col min="3" max="3" width="20.765625" style="59" customWidth="1"/>
    <col min="4" max="39" width="8.84375" style="59" hidden="1" customWidth="1" outlineLevel="1"/>
    <col min="40" max="40" width="5.765625" style="59" hidden="1" customWidth="1" outlineLevel="1" collapsed="1"/>
    <col min="41" max="41" width="5.765625" style="59" hidden="1" customWidth="1" outlineLevel="1"/>
    <col min="42" max="42" width="6.53515625" style="59" hidden="1" customWidth="1" outlineLevel="1" collapsed="1"/>
    <col min="43" max="43" width="6.53515625" style="59" bestFit="1" customWidth="1" collapsed="1"/>
    <col min="44" max="59" width="6.53515625" style="59" bestFit="1" customWidth="1"/>
    <col min="60" max="16384" width="8.84375" style="59"/>
  </cols>
  <sheetData>
    <row r="1" spans="1:59">
      <c r="A1" s="460" t="s">
        <v>660</v>
      </c>
      <c r="B1" s="460"/>
      <c r="C1" s="460"/>
      <c r="D1" s="460"/>
      <c r="E1" s="460"/>
      <c r="F1" s="460"/>
      <c r="G1" s="460"/>
      <c r="H1" s="460"/>
      <c r="I1" s="460"/>
      <c r="J1" s="460"/>
      <c r="K1" s="460"/>
      <c r="L1" s="460"/>
      <c r="M1" s="460"/>
      <c r="N1" s="460"/>
      <c r="O1" s="460"/>
      <c r="P1" s="460"/>
      <c r="Q1" s="460"/>
      <c r="R1" s="460"/>
      <c r="S1" s="460"/>
      <c r="T1" s="460"/>
      <c r="U1" s="460"/>
      <c r="V1" s="460"/>
      <c r="W1" s="460"/>
      <c r="X1" s="460"/>
      <c r="Y1" s="460"/>
      <c r="Z1" s="460"/>
      <c r="AA1" s="460"/>
      <c r="AB1" s="460"/>
      <c r="AC1" s="460"/>
      <c r="AD1" s="460"/>
      <c r="AE1" s="460"/>
      <c r="AF1" s="460"/>
      <c r="AG1" s="460"/>
      <c r="AH1" s="460"/>
      <c r="AI1" s="460"/>
      <c r="AJ1" s="460"/>
      <c r="AK1" s="460"/>
      <c r="AL1" s="460"/>
      <c r="AM1" s="460"/>
      <c r="AN1" s="460"/>
      <c r="AO1" s="460"/>
      <c r="AP1" s="460"/>
      <c r="AQ1" s="460"/>
      <c r="AR1" s="460"/>
      <c r="AS1" s="460"/>
      <c r="AT1" s="460"/>
      <c r="AU1" s="460"/>
      <c r="AV1" s="460"/>
      <c r="AW1" s="460"/>
      <c r="AX1" s="460"/>
      <c r="AY1" s="460"/>
      <c r="AZ1" s="460"/>
      <c r="BA1" s="460"/>
      <c r="BB1" s="460"/>
      <c r="BC1" s="460"/>
      <c r="BD1" s="460"/>
      <c r="BE1" s="460"/>
      <c r="BF1" s="460"/>
      <c r="BG1" s="460"/>
    </row>
    <row r="2" spans="1:59" ht="45" customHeight="1">
      <c r="A2" s="425" t="s">
        <v>7</v>
      </c>
      <c r="B2" s="425"/>
      <c r="C2" s="425"/>
      <c r="D2" s="132">
        <v>1980</v>
      </c>
      <c r="E2" s="132">
        <v>1981</v>
      </c>
      <c r="F2" s="132">
        <v>1982</v>
      </c>
      <c r="G2" s="132">
        <v>1983</v>
      </c>
      <c r="H2" s="132">
        <v>1984</v>
      </c>
      <c r="I2" s="132">
        <v>1985</v>
      </c>
      <c r="J2" s="132">
        <v>1986</v>
      </c>
      <c r="K2" s="132">
        <v>1987</v>
      </c>
      <c r="L2" s="132">
        <v>1988</v>
      </c>
      <c r="M2" s="132">
        <v>1989</v>
      </c>
      <c r="N2" s="132">
        <v>1990</v>
      </c>
      <c r="O2" s="132">
        <v>1991</v>
      </c>
      <c r="P2" s="132">
        <v>1992</v>
      </c>
      <c r="Q2" s="132">
        <v>1993</v>
      </c>
      <c r="R2" s="132">
        <v>1994</v>
      </c>
      <c r="S2" s="132">
        <v>1995</v>
      </c>
      <c r="T2" s="132">
        <v>1996</v>
      </c>
      <c r="U2" s="132">
        <v>1997</v>
      </c>
      <c r="V2" s="132">
        <v>1998</v>
      </c>
      <c r="W2" s="132">
        <v>1999</v>
      </c>
      <c r="X2" s="132">
        <v>2000</v>
      </c>
      <c r="Y2" s="132">
        <v>2001</v>
      </c>
      <c r="Z2" s="132">
        <v>2002</v>
      </c>
      <c r="AA2" s="132">
        <v>2003</v>
      </c>
      <c r="AB2" s="132">
        <v>2004</v>
      </c>
      <c r="AC2" s="132">
        <v>2005</v>
      </c>
      <c r="AD2" s="132">
        <v>2006</v>
      </c>
      <c r="AE2" s="132">
        <v>2007</v>
      </c>
      <c r="AF2" s="132">
        <v>2008</v>
      </c>
      <c r="AG2" s="132">
        <v>2009</v>
      </c>
      <c r="AH2" s="132">
        <v>2010</v>
      </c>
      <c r="AI2" s="132">
        <v>2011</v>
      </c>
      <c r="AJ2" s="132">
        <v>2012</v>
      </c>
      <c r="AK2" s="132">
        <v>2013</v>
      </c>
      <c r="AL2" s="132">
        <v>2014</v>
      </c>
      <c r="AM2" s="132">
        <v>2015</v>
      </c>
      <c r="AN2" s="132">
        <v>2016</v>
      </c>
      <c r="AO2" s="132">
        <v>2017</v>
      </c>
      <c r="AP2" s="386">
        <v>2018</v>
      </c>
      <c r="AQ2" s="132">
        <v>2019</v>
      </c>
      <c r="AR2" s="132">
        <v>2020</v>
      </c>
      <c r="AS2" s="132">
        <v>2021</v>
      </c>
      <c r="AT2" s="132">
        <v>2022</v>
      </c>
      <c r="AU2" s="132">
        <v>2023</v>
      </c>
      <c r="AV2" s="132">
        <v>2024</v>
      </c>
      <c r="AW2" s="132">
        <v>2025</v>
      </c>
      <c r="AX2" s="132">
        <v>2026</v>
      </c>
      <c r="AY2" s="132">
        <v>2027</v>
      </c>
      <c r="AZ2" s="132">
        <v>2028</v>
      </c>
      <c r="BA2" s="132">
        <v>2029</v>
      </c>
      <c r="BB2" s="132">
        <v>2030</v>
      </c>
      <c r="BC2" s="132">
        <v>2031</v>
      </c>
      <c r="BD2" s="132">
        <v>2032</v>
      </c>
      <c r="BE2" s="132">
        <v>2033</v>
      </c>
      <c r="BF2" s="132">
        <v>2034</v>
      </c>
      <c r="BG2" s="132">
        <v>2035</v>
      </c>
    </row>
    <row r="3" spans="1:59" ht="45" customHeight="1">
      <c r="A3" s="462" t="s">
        <v>397</v>
      </c>
      <c r="B3" s="462"/>
      <c r="C3" s="462"/>
      <c r="D3" s="378">
        <v>67.561164047159934</v>
      </c>
      <c r="E3" s="378">
        <v>65.624971464099985</v>
      </c>
      <c r="F3" s="378">
        <v>66.156322702856116</v>
      </c>
      <c r="G3" s="378">
        <v>63.142281931843861</v>
      </c>
      <c r="H3" s="378">
        <v>63.05966532765612</v>
      </c>
      <c r="I3" s="378">
        <v>63.683949725459222</v>
      </c>
      <c r="J3" s="378">
        <v>68.292115114852692</v>
      </c>
      <c r="K3" s="378">
        <v>75.574779202608468</v>
      </c>
      <c r="L3" s="378">
        <v>83.081255366915329</v>
      </c>
      <c r="M3" s="378">
        <v>86.253728205168557</v>
      </c>
      <c r="N3" s="378">
        <v>93.001869481936907</v>
      </c>
      <c r="O3" s="378">
        <v>93.007407912184632</v>
      </c>
      <c r="P3" s="378">
        <v>93.624337829754367</v>
      </c>
      <c r="Q3" s="378">
        <v>91.15208117216828</v>
      </c>
      <c r="R3" s="378">
        <v>87.92687013193536</v>
      </c>
      <c r="S3" s="378">
        <v>85.291185695646433</v>
      </c>
      <c r="T3" s="378">
        <v>91.379542875690703</v>
      </c>
      <c r="U3" s="378">
        <v>84.214724991048442</v>
      </c>
      <c r="V3" s="378">
        <v>79.212836784281521</v>
      </c>
      <c r="W3" s="378">
        <v>77.995531695557034</v>
      </c>
      <c r="X3" s="378">
        <v>73.537797712155438</v>
      </c>
      <c r="Y3" s="378">
        <v>71.218682389267883</v>
      </c>
      <c r="Z3" s="378">
        <v>66.639352951853184</v>
      </c>
      <c r="AA3" s="378">
        <v>62.460839192366635</v>
      </c>
      <c r="AB3" s="378">
        <v>59.792852910741175</v>
      </c>
      <c r="AC3" s="378">
        <v>57.899793350860477</v>
      </c>
      <c r="AD3" s="378">
        <v>56.504847532275413</v>
      </c>
      <c r="AE3" s="378">
        <v>52.375461380397788</v>
      </c>
      <c r="AF3" s="378">
        <v>49.893397362326738</v>
      </c>
      <c r="AG3" s="378">
        <v>46.274517776524192</v>
      </c>
      <c r="AH3" s="378">
        <v>44.697776782772671</v>
      </c>
      <c r="AI3" s="378">
        <v>44.606994860838995</v>
      </c>
      <c r="AJ3" s="378">
        <v>44.968161798681095</v>
      </c>
      <c r="AK3" s="378">
        <v>48.819848128962548</v>
      </c>
      <c r="AL3" s="378">
        <v>48.559379057289568</v>
      </c>
      <c r="AM3" s="378">
        <v>53.957338020544512</v>
      </c>
      <c r="AN3" s="379">
        <v>58.1088236980126</v>
      </c>
      <c r="AO3" s="379">
        <v>59.917292942574221</v>
      </c>
      <c r="AP3" s="387">
        <v>58.832847782626693</v>
      </c>
      <c r="AQ3" s="380">
        <v>58.327032016486555</v>
      </c>
      <c r="AR3" s="380">
        <v>56.566115425904549</v>
      </c>
      <c r="AS3" s="380"/>
      <c r="AT3" s="380"/>
      <c r="AU3" s="380"/>
      <c r="AV3" s="380"/>
      <c r="AW3" s="380"/>
      <c r="AX3" s="380"/>
      <c r="AY3" s="380"/>
      <c r="AZ3" s="380"/>
      <c r="BA3" s="380"/>
      <c r="BB3" s="380"/>
      <c r="BC3" s="380"/>
      <c r="BD3" s="380"/>
      <c r="BE3" s="380"/>
      <c r="BF3" s="380"/>
      <c r="BG3" s="380"/>
    </row>
    <row r="4" spans="1:59" ht="45" customHeight="1">
      <c r="A4" s="462" t="s">
        <v>655</v>
      </c>
      <c r="B4" s="462"/>
      <c r="C4" s="462"/>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9"/>
      <c r="AO4" s="379"/>
      <c r="AP4" s="387"/>
      <c r="AQ4" s="380"/>
      <c r="AR4" s="380"/>
      <c r="AS4" s="380">
        <v>56.763666163192902</v>
      </c>
      <c r="AT4" s="380">
        <v>57.458868916883702</v>
      </c>
      <c r="AU4" s="380"/>
      <c r="AV4" s="380"/>
      <c r="AW4" s="380"/>
      <c r="AX4" s="380"/>
      <c r="AY4" s="380"/>
      <c r="AZ4" s="380"/>
      <c r="BA4" s="380"/>
      <c r="BB4" s="380"/>
      <c r="BC4" s="380"/>
      <c r="BD4" s="380"/>
      <c r="BE4" s="380"/>
      <c r="BF4" s="380"/>
      <c r="BG4" s="380"/>
    </row>
    <row r="5" spans="1:59" ht="45" customHeight="1">
      <c r="A5" s="461" t="s">
        <v>661</v>
      </c>
      <c r="B5" s="463" t="s">
        <v>656</v>
      </c>
      <c r="C5" s="390" t="s">
        <v>658</v>
      </c>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4"/>
      <c r="AO5" s="384"/>
      <c r="AP5" s="388"/>
      <c r="AQ5" s="385"/>
      <c r="AR5" s="385"/>
      <c r="AS5" s="385"/>
      <c r="AT5" s="385"/>
      <c r="AU5" s="385">
        <v>58.042768393034059</v>
      </c>
      <c r="AV5" s="385">
        <v>60.205181867849952</v>
      </c>
      <c r="AW5" s="385">
        <v>62.465431417205473</v>
      </c>
      <c r="AX5" s="385">
        <v>64.799516402449726</v>
      </c>
      <c r="AY5" s="385">
        <v>67.237168962413904</v>
      </c>
      <c r="AZ5" s="385">
        <v>69.782613955719071</v>
      </c>
      <c r="BA5" s="385">
        <v>72.440260673150462</v>
      </c>
      <c r="BB5" s="385">
        <v>75.214709908079413</v>
      </c>
      <c r="BC5" s="385">
        <v>78.043256131113978</v>
      </c>
      <c r="BD5" s="385">
        <v>80.992163332322505</v>
      </c>
      <c r="BE5" s="385">
        <v>84.066205136473499</v>
      </c>
      <c r="BF5" s="385">
        <v>87.27035002023166</v>
      </c>
      <c r="BG5" s="385">
        <v>90.609768438297777</v>
      </c>
    </row>
    <row r="6" spans="1:59" ht="45" customHeight="1">
      <c r="A6" s="461"/>
      <c r="B6" s="464"/>
      <c r="C6" s="391" t="s">
        <v>659</v>
      </c>
      <c r="AN6" s="381"/>
      <c r="AO6" s="381"/>
      <c r="AP6" s="389"/>
      <c r="AQ6" s="382"/>
      <c r="AR6" s="382"/>
      <c r="AS6" s="382"/>
      <c r="AT6" s="382"/>
      <c r="AU6" s="382">
        <v>56.970646246295878</v>
      </c>
      <c r="AV6" s="382">
        <v>57.741150054689136</v>
      </c>
      <c r="AW6" s="382">
        <v>58.524558345073416</v>
      </c>
      <c r="AX6" s="382">
        <v>59.37579851607159</v>
      </c>
      <c r="AY6" s="382">
        <v>60.242502919215056</v>
      </c>
      <c r="AZ6" s="382">
        <v>61.124666109846011</v>
      </c>
      <c r="BA6" s="382">
        <v>62.022284439877815</v>
      </c>
      <c r="BB6" s="382">
        <v>62.935355610930827</v>
      </c>
      <c r="BC6" s="382">
        <v>63.842955364158691</v>
      </c>
      <c r="BD6" s="382">
        <v>64.764939419511407</v>
      </c>
      <c r="BE6" s="382">
        <v>65.701270126918814</v>
      </c>
      <c r="BF6" s="382">
        <v>66.651908257156151</v>
      </c>
      <c r="BG6" s="382">
        <v>67.61681256429506</v>
      </c>
    </row>
    <row r="7" spans="1:59" ht="45" customHeight="1">
      <c r="A7" s="461"/>
      <c r="B7" s="465"/>
      <c r="C7" s="392" t="s">
        <v>150</v>
      </c>
      <c r="D7" s="378"/>
      <c r="E7" s="378"/>
      <c r="F7" s="378"/>
      <c r="G7" s="378"/>
      <c r="H7" s="378"/>
      <c r="I7" s="378"/>
      <c r="J7" s="378"/>
      <c r="K7" s="378"/>
      <c r="L7" s="378"/>
      <c r="M7" s="378"/>
      <c r="N7" s="378"/>
      <c r="O7" s="378"/>
      <c r="P7" s="378"/>
      <c r="Q7" s="378"/>
      <c r="R7" s="378"/>
      <c r="S7" s="378"/>
      <c r="T7" s="378"/>
      <c r="U7" s="378"/>
      <c r="V7" s="378"/>
      <c r="W7" s="378"/>
      <c r="X7" s="378"/>
      <c r="Y7" s="378"/>
      <c r="Z7" s="378"/>
      <c r="AA7" s="378"/>
      <c r="AB7" s="378"/>
      <c r="AC7" s="378"/>
      <c r="AD7" s="378"/>
      <c r="AE7" s="378"/>
      <c r="AF7" s="378"/>
      <c r="AG7" s="378"/>
      <c r="AH7" s="378"/>
      <c r="AI7" s="378"/>
      <c r="AJ7" s="378"/>
      <c r="AK7" s="378"/>
      <c r="AL7" s="378"/>
      <c r="AM7" s="378"/>
      <c r="AN7" s="379"/>
      <c r="AO7" s="379"/>
      <c r="AP7" s="387"/>
      <c r="AQ7" s="380"/>
      <c r="AR7" s="380"/>
      <c r="AS7" s="380"/>
      <c r="AT7" s="380"/>
      <c r="AU7" s="380">
        <v>56.014261845727745</v>
      </c>
      <c r="AV7" s="380">
        <v>56.485257580918571</v>
      </c>
      <c r="AW7" s="380">
        <v>56.954844718869786</v>
      </c>
      <c r="AX7" s="380">
        <v>56.848294817577695</v>
      </c>
      <c r="AY7" s="380">
        <v>56.708082765638721</v>
      </c>
      <c r="AZ7" s="380">
        <v>56.532425858752035</v>
      </c>
      <c r="BA7" s="380">
        <v>56.319472271824921</v>
      </c>
      <c r="BB7" s="380">
        <v>56.067297439117709</v>
      </c>
      <c r="BC7" s="380">
        <v>55.943151221501935</v>
      </c>
      <c r="BD7" s="380">
        <v>55.785275516979212</v>
      </c>
      <c r="BE7" s="380">
        <v>55.591878819111571</v>
      </c>
      <c r="BF7" s="380">
        <v>55.361100173429932</v>
      </c>
      <c r="BG7" s="380">
        <v>55.091005515889577</v>
      </c>
    </row>
    <row r="8" spans="1:59" ht="45" customHeight="1">
      <c r="A8" s="461"/>
      <c r="B8" s="464" t="s">
        <v>657</v>
      </c>
      <c r="C8" s="393" t="s">
        <v>658</v>
      </c>
      <c r="AN8" s="381"/>
      <c r="AO8" s="381"/>
      <c r="AP8" s="389"/>
      <c r="AQ8" s="382"/>
      <c r="AR8" s="382"/>
      <c r="AS8" s="382"/>
      <c r="AT8" s="382"/>
      <c r="AU8" s="382">
        <v>61.513513294219621</v>
      </c>
      <c r="AV8" s="382">
        <v>68.03555620395656</v>
      </c>
      <c r="AW8" s="382">
        <v>73.334121554383145</v>
      </c>
      <c r="AX8" s="382">
        <v>78.554847984508442</v>
      </c>
      <c r="AY8" s="382">
        <v>84.992163258784586</v>
      </c>
      <c r="AZ8" s="382">
        <v>89.059559475258581</v>
      </c>
      <c r="BA8" s="382">
        <v>92.201271797996299</v>
      </c>
      <c r="BB8" s="382">
        <v>93.021417537568638</v>
      </c>
      <c r="BC8" s="382">
        <v>91.305318194519572</v>
      </c>
      <c r="BD8" s="382">
        <v>91.648792703446006</v>
      </c>
      <c r="BE8" s="382">
        <v>93.36874899051935</v>
      </c>
      <c r="BF8" s="382">
        <v>95.622941618308104</v>
      </c>
      <c r="BG8" s="382">
        <v>97.633257759513143</v>
      </c>
    </row>
    <row r="9" spans="1:59" ht="45" customHeight="1">
      <c r="A9" s="462"/>
      <c r="B9" s="465"/>
      <c r="C9" s="392" t="s">
        <v>150</v>
      </c>
      <c r="D9" s="378"/>
      <c r="E9" s="378"/>
      <c r="F9" s="378"/>
      <c r="G9" s="378"/>
      <c r="H9" s="378"/>
      <c r="I9" s="378"/>
      <c r="J9" s="378"/>
      <c r="K9" s="378"/>
      <c r="L9" s="378"/>
      <c r="M9" s="378"/>
      <c r="N9" s="378"/>
      <c r="O9" s="378"/>
      <c r="P9" s="378"/>
      <c r="Q9" s="378"/>
      <c r="R9" s="378"/>
      <c r="S9" s="378"/>
      <c r="T9" s="378"/>
      <c r="U9" s="378"/>
      <c r="V9" s="378"/>
      <c r="W9" s="378"/>
      <c r="X9" s="378"/>
      <c r="Y9" s="378"/>
      <c r="Z9" s="378"/>
      <c r="AA9" s="378"/>
      <c r="AB9" s="378"/>
      <c r="AC9" s="378"/>
      <c r="AD9" s="378"/>
      <c r="AE9" s="378"/>
      <c r="AF9" s="378"/>
      <c r="AG9" s="378"/>
      <c r="AH9" s="378"/>
      <c r="AI9" s="378"/>
      <c r="AJ9" s="378"/>
      <c r="AK9" s="378"/>
      <c r="AL9" s="378"/>
      <c r="AM9" s="378"/>
      <c r="AN9" s="379"/>
      <c r="AO9" s="379"/>
      <c r="AP9" s="387"/>
      <c r="AQ9" s="380"/>
      <c r="AR9" s="380"/>
      <c r="AS9" s="380"/>
      <c r="AT9" s="380"/>
      <c r="AU9" s="380">
        <v>59.732118298115232</v>
      </c>
      <c r="AV9" s="380">
        <v>62.817875826444066</v>
      </c>
      <c r="AW9" s="380">
        <v>62.84157494991387</v>
      </c>
      <c r="AX9" s="380">
        <v>65.038111778654681</v>
      </c>
      <c r="AY9" s="380">
        <v>68.747430082437333</v>
      </c>
      <c r="AZ9" s="380">
        <v>69.957311318618892</v>
      </c>
      <c r="BA9" s="380">
        <v>71.384666804078023</v>
      </c>
      <c r="BB9" s="380">
        <v>69.974379027844748</v>
      </c>
      <c r="BC9" s="380">
        <v>65.93445331482198</v>
      </c>
      <c r="BD9" s="380">
        <v>66.779271673885646</v>
      </c>
      <c r="BE9" s="380">
        <v>68.055743482163621</v>
      </c>
      <c r="BF9" s="380">
        <v>68.933062564171635</v>
      </c>
      <c r="BG9" s="380">
        <v>69.368571088822179</v>
      </c>
    </row>
  </sheetData>
  <mergeCells count="7">
    <mergeCell ref="A1:BG1"/>
    <mergeCell ref="A5:A9"/>
    <mergeCell ref="B5:B7"/>
    <mergeCell ref="B8:B9"/>
    <mergeCell ref="A3:C3"/>
    <mergeCell ref="A4:C4"/>
    <mergeCell ref="A2:C2"/>
  </mergeCells>
  <phoneticPr fontId="1"/>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38652-8295-43F0-BA07-DEC011DCCD7F}">
  <dimension ref="A1:V94"/>
  <sheetViews>
    <sheetView topLeftCell="A3" zoomScale="55" zoomScaleNormal="55" workbookViewId="0">
      <selection activeCell="F57" sqref="A1:H57"/>
    </sheetView>
  </sheetViews>
  <sheetFormatPr defaultColWidth="8.84375" defaultRowHeight="18.45" outlineLevelRow="1" outlineLevelCol="1"/>
  <cols>
    <col min="1" max="1" width="8.4609375" style="24" bestFit="1" customWidth="1"/>
    <col min="2" max="2" width="19" style="38" hidden="1" customWidth="1" outlineLevel="1"/>
    <col min="3" max="3" width="8.84375" style="24" hidden="1" customWidth="1" outlineLevel="1"/>
    <col min="4" max="4" width="9" style="37" hidden="1" customWidth="1" outlineLevel="1" collapsed="1"/>
    <col min="5" max="5" width="15.765625" style="37" hidden="1" customWidth="1" outlineLevel="1"/>
    <col min="6" max="6" width="25.84375" style="71" customWidth="1" collapsed="1"/>
    <col min="7" max="7" width="17.84375" style="90" hidden="1" customWidth="1" outlineLevel="1"/>
    <col min="8" max="8" width="24.07421875" style="90" customWidth="1" collapsed="1"/>
    <col min="9" max="9" width="25.4609375" style="90" hidden="1" customWidth="1" outlineLevel="1"/>
    <col min="10" max="10" width="18" style="44" customWidth="1" collapsed="1"/>
    <col min="11" max="11" width="16.84375" style="44" hidden="1" customWidth="1" outlineLevel="1"/>
    <col min="12" max="12" width="18.69140625" style="157" hidden="1" customWidth="1" outlineLevel="1"/>
    <col min="13" max="13" width="8.84375" style="44" hidden="1" customWidth="1" outlineLevel="1"/>
    <col min="14" max="14" width="19.84375" style="71" hidden="1" customWidth="1" outlineLevel="1"/>
    <col min="15" max="15" width="26.23046875" style="350" hidden="1" customWidth="1" outlineLevel="1"/>
    <col min="16" max="16" width="29.4609375" style="24" hidden="1" customWidth="1" outlineLevel="1"/>
    <col min="17" max="17" width="17.3046875" style="350" hidden="1" customWidth="1" outlineLevel="1"/>
    <col min="18" max="18" width="8.84375" style="24" hidden="1" customWidth="1" outlineLevel="1"/>
    <col min="19" max="19" width="15.07421875" style="90" bestFit="1" customWidth="1" collapsed="1"/>
    <col min="20" max="20" width="17.4609375" style="24" bestFit="1" customWidth="1"/>
    <col min="21" max="21" width="17.4609375" style="24" customWidth="1"/>
    <col min="22" max="22" width="22.07421875" style="24" bestFit="1" customWidth="1"/>
    <col min="23" max="16384" width="8.84375" style="24"/>
  </cols>
  <sheetData>
    <row r="1" spans="1:22" hidden="1" outlineLevel="1">
      <c r="B1" s="38" t="s">
        <v>623</v>
      </c>
      <c r="G1" s="90" t="s">
        <v>624</v>
      </c>
      <c r="L1" s="140" t="s">
        <v>625</v>
      </c>
      <c r="O1" s="140" t="s">
        <v>626</v>
      </c>
      <c r="Q1" s="140" t="s">
        <v>627</v>
      </c>
      <c r="S1" s="90" t="s">
        <v>628</v>
      </c>
    </row>
    <row r="2" spans="1:22" hidden="1" outlineLevel="1">
      <c r="B2" s="324" t="s">
        <v>629</v>
      </c>
      <c r="D2" s="425" t="s">
        <v>630</v>
      </c>
      <c r="E2" s="425"/>
      <c r="F2" s="425"/>
      <c r="G2" s="425"/>
      <c r="H2" s="132"/>
      <c r="I2" s="132"/>
      <c r="J2" s="314"/>
      <c r="K2" s="466" t="s">
        <v>631</v>
      </c>
      <c r="L2" s="466"/>
      <c r="M2" s="341"/>
      <c r="N2" s="425" t="s">
        <v>632</v>
      </c>
      <c r="O2" s="425"/>
      <c r="P2" s="425"/>
      <c r="Q2" s="425"/>
      <c r="S2" s="351" t="s">
        <v>486</v>
      </c>
      <c r="T2" s="145" t="s">
        <v>587</v>
      </c>
      <c r="U2" s="351" t="s">
        <v>486</v>
      </c>
      <c r="V2" s="145" t="s">
        <v>587</v>
      </c>
    </row>
    <row r="3" spans="1:22" ht="54" customHeight="1" collapsed="1">
      <c r="A3" s="57" t="s">
        <v>7</v>
      </c>
      <c r="B3" s="38" t="s">
        <v>44</v>
      </c>
      <c r="D3" s="67" t="s">
        <v>633</v>
      </c>
      <c r="E3" s="67" t="s">
        <v>634</v>
      </c>
      <c r="F3" s="81" t="s">
        <v>635</v>
      </c>
      <c r="G3" s="96" t="s">
        <v>636</v>
      </c>
      <c r="H3" s="81" t="s">
        <v>637</v>
      </c>
      <c r="I3" s="96" t="s">
        <v>638</v>
      </c>
      <c r="J3" s="81" t="s">
        <v>639</v>
      </c>
      <c r="K3" s="81" t="s">
        <v>640</v>
      </c>
      <c r="L3" s="349" t="s">
        <v>641</v>
      </c>
      <c r="M3" s="53"/>
      <c r="N3" s="81" t="s">
        <v>642</v>
      </c>
      <c r="O3" s="349" t="s">
        <v>641</v>
      </c>
      <c r="P3" s="81" t="s">
        <v>643</v>
      </c>
      <c r="Q3" s="349" t="s">
        <v>641</v>
      </c>
      <c r="S3" s="90" t="s">
        <v>44</v>
      </c>
      <c r="T3" s="32" t="s">
        <v>644</v>
      </c>
      <c r="U3" s="90" t="s">
        <v>44</v>
      </c>
      <c r="V3" s="32" t="s">
        <v>645</v>
      </c>
    </row>
    <row r="4" spans="1:22">
      <c r="A4" s="24">
        <v>1980</v>
      </c>
      <c r="D4" s="61">
        <v>498213.34110983455</v>
      </c>
      <c r="E4" s="46">
        <f>★TFP上昇率推計・図5!B3</f>
        <v>675611.6404715993</v>
      </c>
      <c r="F4" s="48">
        <f>D4/E4*100</f>
        <v>73.742563221981356</v>
      </c>
      <c r="H4" s="48">
        <f>F4</f>
        <v>73.742563221981356</v>
      </c>
      <c r="J4" s="131">
        <f>H4</f>
        <v>73.742563221981356</v>
      </c>
      <c r="N4" s="68">
        <v>109.908333333333</v>
      </c>
      <c r="S4" s="159">
        <v>-0.01</v>
      </c>
      <c r="U4" s="319">
        <f>S4</f>
        <v>-0.01</v>
      </c>
    </row>
    <row r="5" spans="1:22">
      <c r="A5" s="24">
        <v>1981</v>
      </c>
      <c r="B5" s="309">
        <f>★TFP上昇率推計・図5!AG4</f>
        <v>8.5560249464138816E-2</v>
      </c>
      <c r="D5" s="61">
        <v>496177.89033232216</v>
      </c>
      <c r="E5" s="46">
        <f>★TFP上昇率推計・図5!B4</f>
        <v>656249.71464099991</v>
      </c>
      <c r="F5" s="48">
        <f t="shared" ref="F5:F44" si="0">D5/E5*100</f>
        <v>75.60809235608663</v>
      </c>
      <c r="G5" s="308">
        <f>F5/F4-1</f>
        <v>2.5297861270289879E-2</v>
      </c>
      <c r="H5" s="48">
        <f t="shared" ref="H5:H44" si="1">F5</f>
        <v>75.60809235608663</v>
      </c>
      <c r="I5" s="308">
        <f>G5</f>
        <v>2.5297861270289879E-2</v>
      </c>
      <c r="J5" s="131">
        <f t="shared" ref="J5:J44" si="2">H5</f>
        <v>75.60809235608663</v>
      </c>
      <c r="K5" s="157"/>
      <c r="N5" s="68">
        <v>111.39166666666701</v>
      </c>
      <c r="O5" s="309">
        <f t="shared" ref="O5:O14" si="3">N5/N4-1</f>
        <v>1.3496095230880245E-2</v>
      </c>
      <c r="S5" s="159">
        <v>-5.0000000000000001E-3</v>
      </c>
      <c r="U5" s="319">
        <f t="shared" ref="U5:U44" si="4">S5</f>
        <v>-5.0000000000000001E-3</v>
      </c>
    </row>
    <row r="6" spans="1:22">
      <c r="A6" s="24">
        <v>1982</v>
      </c>
      <c r="B6" s="309">
        <f>★TFP上昇率推計・図5!AG5</f>
        <v>4.1177960332667268E-2</v>
      </c>
      <c r="D6" s="61">
        <v>502610.42626266251</v>
      </c>
      <c r="E6" s="46">
        <f>★TFP上昇率推計・図5!B5</f>
        <v>661563.22702856117</v>
      </c>
      <c r="F6" s="48">
        <f t="shared" si="0"/>
        <v>75.97315052110109</v>
      </c>
      <c r="G6" s="308">
        <f t="shared" ref="G6:G44" si="5">F6/F5-1</f>
        <v>4.82829487742098E-3</v>
      </c>
      <c r="H6" s="48">
        <f t="shared" si="1"/>
        <v>75.97315052110109</v>
      </c>
      <c r="I6" s="308">
        <f t="shared" ref="I6:I44" si="6">G6</f>
        <v>4.82829487742098E-3</v>
      </c>
      <c r="J6" s="131">
        <f t="shared" si="2"/>
        <v>75.97315052110109</v>
      </c>
      <c r="K6" s="157"/>
      <c r="N6" s="68">
        <v>111.908333333333</v>
      </c>
      <c r="O6" s="309">
        <f t="shared" si="3"/>
        <v>4.6382883219808768E-3</v>
      </c>
      <c r="S6" s="159">
        <v>-9.0000000000000011E-3</v>
      </c>
      <c r="U6" s="319">
        <f t="shared" si="4"/>
        <v>-9.0000000000000011E-3</v>
      </c>
    </row>
    <row r="7" spans="1:22">
      <c r="A7" s="24">
        <v>1983</v>
      </c>
      <c r="B7" s="309">
        <f>★TFP上昇率推計・図5!AG6</f>
        <v>-5.1919054930825839E-2</v>
      </c>
      <c r="D7" s="61">
        <v>479856.51235445373</v>
      </c>
      <c r="E7" s="46">
        <f>★TFP上昇率推計・図5!B6</f>
        <v>631422.81931843865</v>
      </c>
      <c r="F7" s="48">
        <f t="shared" si="0"/>
        <v>75.996067559359602</v>
      </c>
      <c r="G7" s="308">
        <f t="shared" si="5"/>
        <v>3.016465435661253E-4</v>
      </c>
      <c r="H7" s="48">
        <f t="shared" si="1"/>
        <v>75.996067559359602</v>
      </c>
      <c r="I7" s="308">
        <f t="shared" si="6"/>
        <v>3.016465435661253E-4</v>
      </c>
      <c r="J7" s="131">
        <f t="shared" si="2"/>
        <v>75.996067559359602</v>
      </c>
      <c r="K7" s="157"/>
      <c r="N7" s="68">
        <v>111.191666666667</v>
      </c>
      <c r="O7" s="309">
        <f t="shared" si="3"/>
        <v>-6.4040509345386631E-3</v>
      </c>
      <c r="S7" s="159">
        <v>-1.2E-2</v>
      </c>
      <c r="U7" s="319">
        <f t="shared" si="4"/>
        <v>-1.2E-2</v>
      </c>
    </row>
    <row r="8" spans="1:22">
      <c r="A8" s="24">
        <v>1984</v>
      </c>
      <c r="B8" s="309">
        <f>★TFP上昇率推計・図5!AG7</f>
        <v>-9.5332497599217386E-2</v>
      </c>
      <c r="D8" s="61">
        <v>486636.16422410414</v>
      </c>
      <c r="E8" s="46">
        <f>★TFP上昇率推計・図5!B7</f>
        <v>630596.65327656118</v>
      </c>
      <c r="F8" s="48">
        <f t="shared" si="0"/>
        <v>77.170749590178971</v>
      </c>
      <c r="G8" s="308">
        <f t="shared" si="5"/>
        <v>1.5457142304130977E-2</v>
      </c>
      <c r="H8" s="48">
        <f t="shared" si="1"/>
        <v>77.170749590178971</v>
      </c>
      <c r="I8" s="308">
        <f t="shared" si="6"/>
        <v>1.5457142304130977E-2</v>
      </c>
      <c r="J8" s="131">
        <f t="shared" si="2"/>
        <v>77.170749590178971</v>
      </c>
      <c r="K8" s="157"/>
      <c r="N8" s="68">
        <v>111.291666666667</v>
      </c>
      <c r="O8" s="309">
        <f t="shared" si="3"/>
        <v>8.9934797271973288E-4</v>
      </c>
      <c r="S8" s="159">
        <v>-6.9999999999999993E-3</v>
      </c>
      <c r="U8" s="319">
        <f t="shared" si="4"/>
        <v>-6.9999999999999993E-3</v>
      </c>
    </row>
    <row r="9" spans="1:22">
      <c r="A9" s="24">
        <v>1985</v>
      </c>
      <c r="B9" s="309">
        <f>★TFP上昇率推計・図5!AG8</f>
        <v>-0.12700824996196153</v>
      </c>
      <c r="D9" s="61">
        <v>491953.57242033118</v>
      </c>
      <c r="E9" s="46">
        <f>★TFP上昇率推計・図5!B8</f>
        <v>636839.49725459225</v>
      </c>
      <c r="F9" s="48">
        <f t="shared" si="0"/>
        <v>77.249224418576006</v>
      </c>
      <c r="G9" s="308">
        <f t="shared" si="5"/>
        <v>1.0168986152625514E-3</v>
      </c>
      <c r="H9" s="48">
        <f t="shared" si="1"/>
        <v>77.249224418576006</v>
      </c>
      <c r="I9" s="308">
        <f t="shared" si="6"/>
        <v>1.0168986152625514E-3</v>
      </c>
      <c r="J9" s="131">
        <f t="shared" si="2"/>
        <v>77.249224418576006</v>
      </c>
      <c r="K9" s="157"/>
      <c r="N9" s="68">
        <v>110.45</v>
      </c>
      <c r="O9" s="309">
        <f t="shared" si="3"/>
        <v>-7.5627105952855711E-3</v>
      </c>
      <c r="P9" s="89">
        <v>98.7</v>
      </c>
      <c r="S9" s="159">
        <v>1E-3</v>
      </c>
      <c r="U9" s="319">
        <f t="shared" si="4"/>
        <v>1E-3</v>
      </c>
    </row>
    <row r="10" spans="1:22">
      <c r="A10" s="24">
        <v>1986</v>
      </c>
      <c r="B10" s="309">
        <f>★TFP上昇率推計・図5!AG9</f>
        <v>-0.10664390052931363</v>
      </c>
      <c r="D10" s="61">
        <v>524683.16026978439</v>
      </c>
      <c r="E10" s="46">
        <f>★TFP上昇率推計・図5!B9</f>
        <v>682921.15114852693</v>
      </c>
      <c r="F10" s="48">
        <f t="shared" si="0"/>
        <v>76.829244399207695</v>
      </c>
      <c r="G10" s="308">
        <f t="shared" si="5"/>
        <v>-5.4366891386850025E-3</v>
      </c>
      <c r="H10" s="48">
        <f t="shared" si="1"/>
        <v>76.829244399207695</v>
      </c>
      <c r="I10" s="308">
        <f t="shared" si="6"/>
        <v>-5.4366891386850025E-3</v>
      </c>
      <c r="J10" s="131">
        <f t="shared" si="2"/>
        <v>76.829244399207695</v>
      </c>
      <c r="K10" s="157"/>
      <c r="N10" s="68">
        <v>105.26666666666701</v>
      </c>
      <c r="O10" s="309">
        <f t="shared" si="3"/>
        <v>-4.6929228912023557E-2</v>
      </c>
      <c r="P10" s="89">
        <v>98.924999999999997</v>
      </c>
      <c r="Q10" s="309">
        <f>P10/P9-1</f>
        <v>2.2796352583585033E-3</v>
      </c>
      <c r="S10" s="159">
        <v>-0.01</v>
      </c>
      <c r="U10" s="319">
        <f t="shared" si="4"/>
        <v>-0.01</v>
      </c>
    </row>
    <row r="11" spans="1:22">
      <c r="A11" s="24">
        <v>1987</v>
      </c>
      <c r="B11" s="309">
        <f>★TFP上昇率推計・図5!AG10</f>
        <v>-5.8524075105414415E-2</v>
      </c>
      <c r="D11" s="61">
        <v>587924.81635158951</v>
      </c>
      <c r="E11" s="46">
        <f>★TFP上昇率推計・図5!B10</f>
        <v>755747.79202608461</v>
      </c>
      <c r="F11" s="48">
        <f t="shared" si="0"/>
        <v>77.793785513474219</v>
      </c>
      <c r="G11" s="308">
        <f t="shared" si="5"/>
        <v>1.2554348566214291E-2</v>
      </c>
      <c r="H11" s="48">
        <f t="shared" si="1"/>
        <v>77.793785513474219</v>
      </c>
      <c r="I11" s="308">
        <f t="shared" si="6"/>
        <v>1.2554348566214291E-2</v>
      </c>
      <c r="J11" s="131">
        <f t="shared" si="2"/>
        <v>77.793785513474219</v>
      </c>
      <c r="K11" s="157"/>
      <c r="N11" s="68">
        <v>101.98333333333299</v>
      </c>
      <c r="O11" s="309">
        <f t="shared" si="3"/>
        <v>-3.1190626979107017E-2</v>
      </c>
      <c r="P11" s="89">
        <v>99.441666666666706</v>
      </c>
      <c r="Q11" s="309">
        <f t="shared" ref="Q11:Q45" si="7">P11/P10-1</f>
        <v>5.2228118945332191E-3</v>
      </c>
      <c r="S11" s="159">
        <v>-0.01</v>
      </c>
      <c r="U11" s="319">
        <f t="shared" si="4"/>
        <v>-0.01</v>
      </c>
    </row>
    <row r="12" spans="1:22">
      <c r="A12" s="24">
        <v>1988</v>
      </c>
      <c r="B12" s="309">
        <f>★TFP上昇率推計・図5!AG11</f>
        <v>-1.634963199719227E-2</v>
      </c>
      <c r="D12" s="61">
        <v>657757.75839460676</v>
      </c>
      <c r="E12" s="46">
        <f>★TFP上昇率推計・図5!B11</f>
        <v>830812.55366915325</v>
      </c>
      <c r="F12" s="48">
        <f t="shared" si="0"/>
        <v>79.170416418206841</v>
      </c>
      <c r="G12" s="308">
        <f t="shared" si="5"/>
        <v>1.7695898144642674E-2</v>
      </c>
      <c r="H12" s="48">
        <f t="shared" si="1"/>
        <v>79.170416418206841</v>
      </c>
      <c r="I12" s="308">
        <f t="shared" si="6"/>
        <v>1.7695898144642674E-2</v>
      </c>
      <c r="J12" s="131">
        <f t="shared" si="2"/>
        <v>79.170416418206841</v>
      </c>
      <c r="K12" s="157"/>
      <c r="N12" s="68">
        <v>101.45</v>
      </c>
      <c r="O12" s="309">
        <f t="shared" si="3"/>
        <v>-5.2296126818074384E-3</v>
      </c>
      <c r="P12" s="89">
        <v>100.675</v>
      </c>
      <c r="Q12" s="309">
        <f t="shared" si="7"/>
        <v>1.2402581077683328E-2</v>
      </c>
      <c r="S12" s="159">
        <v>1.1000000000000001E-2</v>
      </c>
      <c r="U12" s="319">
        <f t="shared" si="4"/>
        <v>1.1000000000000001E-2</v>
      </c>
    </row>
    <row r="13" spans="1:22">
      <c r="A13" s="24">
        <v>1989</v>
      </c>
      <c r="B13" s="309">
        <f>★TFP上昇率推計・図5!AG12</f>
        <v>-3.041752573199967E-2</v>
      </c>
      <c r="D13" s="61">
        <v>714174.91512336582</v>
      </c>
      <c r="E13" s="46">
        <f>★TFP上昇率推計・図5!B12</f>
        <v>862537.2820516855</v>
      </c>
      <c r="F13" s="48">
        <f t="shared" si="0"/>
        <v>82.799309662833863</v>
      </c>
      <c r="G13" s="308">
        <f t="shared" si="5"/>
        <v>4.5836480453227635E-2</v>
      </c>
      <c r="H13" s="48">
        <f t="shared" si="1"/>
        <v>82.799309662833863</v>
      </c>
      <c r="I13" s="308">
        <f t="shared" si="6"/>
        <v>4.5836480453227635E-2</v>
      </c>
      <c r="J13" s="131">
        <f t="shared" si="2"/>
        <v>82.799309662833863</v>
      </c>
      <c r="K13" s="157"/>
      <c r="N13" s="68">
        <v>103.341666666667</v>
      </c>
      <c r="O13" s="309">
        <f t="shared" si="3"/>
        <v>1.8646295383607514E-2</v>
      </c>
      <c r="P13" s="89">
        <v>105.258333333333</v>
      </c>
      <c r="Q13" s="309">
        <f t="shared" si="7"/>
        <v>4.5526032613190992E-2</v>
      </c>
      <c r="S13" s="159">
        <v>1.3999999999999999E-2</v>
      </c>
      <c r="U13" s="319">
        <f t="shared" si="4"/>
        <v>1.3999999999999999E-2</v>
      </c>
    </row>
    <row r="14" spans="1:22">
      <c r="A14" s="24">
        <v>1990</v>
      </c>
      <c r="B14" s="309">
        <f>★TFP上昇率推計・図5!AG13</f>
        <v>-6.3311078401510562E-3</v>
      </c>
      <c r="D14" s="61">
        <v>800175.2992991074</v>
      </c>
      <c r="E14" s="46">
        <f>★TFP上昇率推計・図5!B13</f>
        <v>930018.694819369</v>
      </c>
      <c r="F14" s="48">
        <f t="shared" si="0"/>
        <v>86.038625218659703</v>
      </c>
      <c r="G14" s="308">
        <f t="shared" si="5"/>
        <v>3.9122494728719648E-2</v>
      </c>
      <c r="H14" s="48">
        <f t="shared" si="1"/>
        <v>86.038625218659703</v>
      </c>
      <c r="I14" s="308">
        <f t="shared" si="6"/>
        <v>3.9122494728719648E-2</v>
      </c>
      <c r="J14" s="131">
        <f t="shared" si="2"/>
        <v>86.038625218659703</v>
      </c>
      <c r="K14" s="61">
        <v>338571</v>
      </c>
      <c r="N14" s="89">
        <v>104.883333333333</v>
      </c>
      <c r="O14" s="309">
        <f t="shared" si="3"/>
        <v>1.4918151761948106E-2</v>
      </c>
      <c r="P14" s="89">
        <v>109.566666666667</v>
      </c>
      <c r="Q14" s="309">
        <f t="shared" si="7"/>
        <v>4.093104267279557E-2</v>
      </c>
      <c r="S14" s="159">
        <v>2.3E-2</v>
      </c>
      <c r="U14" s="319">
        <f t="shared" si="4"/>
        <v>2.3E-2</v>
      </c>
    </row>
    <row r="15" spans="1:22">
      <c r="A15" s="24">
        <v>1991</v>
      </c>
      <c r="B15" s="309">
        <f>★TFP上昇率推計・図5!AG14</f>
        <v>-5.0987284993655825E-2</v>
      </c>
      <c r="D15" s="61">
        <v>821409.48457413109</v>
      </c>
      <c r="E15" s="46">
        <f>★TFP上昇率推計・図5!B14</f>
        <v>930074.07912184636</v>
      </c>
      <c r="F15" s="48">
        <f t="shared" si="0"/>
        <v>88.316565638479702</v>
      </c>
      <c r="G15" s="308">
        <f t="shared" si="5"/>
        <v>2.6475788217568574E-2</v>
      </c>
      <c r="H15" s="48">
        <f t="shared" si="1"/>
        <v>88.316565638479702</v>
      </c>
      <c r="I15" s="308">
        <f t="shared" si="6"/>
        <v>2.6475788217568574E-2</v>
      </c>
      <c r="J15" s="131">
        <f t="shared" si="2"/>
        <v>88.316565638479702</v>
      </c>
      <c r="K15" s="61">
        <v>362597</v>
      </c>
      <c r="L15" s="309">
        <f>K15/K14-1</f>
        <v>7.096295902484262E-2</v>
      </c>
      <c r="M15" s="157"/>
      <c r="N15" s="89">
        <v>105.966666666667</v>
      </c>
      <c r="O15" s="309">
        <f>N15/N14-1</f>
        <v>1.0328936914037801E-2</v>
      </c>
      <c r="P15" s="89">
        <v>112.9</v>
      </c>
      <c r="Q15" s="309">
        <f t="shared" si="7"/>
        <v>3.0422878004256138E-2</v>
      </c>
      <c r="S15" s="159">
        <v>2.4E-2</v>
      </c>
      <c r="U15" s="319">
        <f t="shared" si="4"/>
        <v>2.4E-2</v>
      </c>
    </row>
    <row r="16" spans="1:22">
      <c r="A16" s="24">
        <v>1992</v>
      </c>
      <c r="B16" s="309">
        <f>★TFP上昇率推計・図5!AG15</f>
        <v>-7.9575770422387476E-2</v>
      </c>
      <c r="D16" s="61">
        <v>839874.88014096988</v>
      </c>
      <c r="E16" s="46">
        <f>★TFP上昇率推計・図5!B15</f>
        <v>936243.37829754362</v>
      </c>
      <c r="F16" s="48">
        <f t="shared" si="0"/>
        <v>89.706896690494162</v>
      </c>
      <c r="G16" s="308">
        <f t="shared" si="5"/>
        <v>1.5742585119373098E-2</v>
      </c>
      <c r="H16" s="48">
        <f t="shared" si="1"/>
        <v>89.706896690494162</v>
      </c>
      <c r="I16" s="308">
        <f t="shared" si="6"/>
        <v>1.5742585119373098E-2</v>
      </c>
      <c r="J16" s="131">
        <f t="shared" si="2"/>
        <v>89.706896690494162</v>
      </c>
      <c r="K16" s="61">
        <v>372770</v>
      </c>
      <c r="L16" s="309">
        <f t="shared" ref="L16:L44" si="8">K16/K15-1</f>
        <v>2.8055940893057629E-2</v>
      </c>
      <c r="M16" s="157"/>
      <c r="N16" s="89">
        <v>105.041666666667</v>
      </c>
      <c r="O16" s="309">
        <f t="shared" ref="O16:O45" si="9">N16/N15-1</f>
        <v>-8.7291601132430952E-3</v>
      </c>
      <c r="P16" s="89">
        <v>114.991666666667</v>
      </c>
      <c r="Q16" s="309">
        <f t="shared" si="7"/>
        <v>1.8526719811045034E-2</v>
      </c>
      <c r="S16" s="159">
        <v>8.0000000000000002E-3</v>
      </c>
      <c r="U16" s="319">
        <f t="shared" si="4"/>
        <v>8.0000000000000002E-3</v>
      </c>
    </row>
    <row r="17" spans="1:22">
      <c r="A17" s="24">
        <v>1993</v>
      </c>
      <c r="B17" s="309">
        <f>★TFP上昇率推計・図5!AG16</f>
        <v>-0.12499071067039344</v>
      </c>
      <c r="D17" s="61">
        <v>823372.27331154561</v>
      </c>
      <c r="E17" s="46">
        <f>★TFP上昇率推計・図5!B16</f>
        <v>911520.81172168278</v>
      </c>
      <c r="F17" s="48">
        <f t="shared" si="0"/>
        <v>90.329508961661332</v>
      </c>
      <c r="G17" s="308">
        <f t="shared" si="5"/>
        <v>6.9405173307388601E-3</v>
      </c>
      <c r="H17" s="48">
        <f t="shared" si="1"/>
        <v>90.329508961661332</v>
      </c>
      <c r="I17" s="308">
        <f t="shared" si="6"/>
        <v>6.9405173307388601E-3</v>
      </c>
      <c r="J17" s="131">
        <f t="shared" si="2"/>
        <v>90.329508961661332</v>
      </c>
      <c r="K17" s="61">
        <v>371475</v>
      </c>
      <c r="L17" s="309">
        <f t="shared" si="8"/>
        <v>-3.4739920057944573E-3</v>
      </c>
      <c r="M17" s="157"/>
      <c r="N17" s="89">
        <v>103.39166666666701</v>
      </c>
      <c r="O17" s="309">
        <f t="shared" si="9"/>
        <v>-1.5708052360174363E-2</v>
      </c>
      <c r="P17" s="89">
        <v>115.341666666667</v>
      </c>
      <c r="Q17" s="309">
        <f t="shared" si="7"/>
        <v>3.0436988187549918E-3</v>
      </c>
      <c r="S17" s="159">
        <v>-1.7000000000000001E-2</v>
      </c>
      <c r="U17" s="319">
        <f t="shared" si="4"/>
        <v>-1.7000000000000001E-2</v>
      </c>
    </row>
    <row r="18" spans="1:22">
      <c r="A18" s="24">
        <v>1994</v>
      </c>
      <c r="B18" s="309">
        <f>★TFP上昇率推計・図5!AG17</f>
        <v>-0.1613734083524844</v>
      </c>
      <c r="D18" s="61">
        <v>797184.83890421572</v>
      </c>
      <c r="E18" s="46">
        <f>★TFP上昇率推計・図5!B17</f>
        <v>879268.70131935354</v>
      </c>
      <c r="F18" s="48">
        <f t="shared" si="0"/>
        <v>90.664530388495578</v>
      </c>
      <c r="G18" s="308">
        <f t="shared" si="5"/>
        <v>3.708881302304512E-3</v>
      </c>
      <c r="H18" s="48">
        <f t="shared" si="1"/>
        <v>90.664530388495578</v>
      </c>
      <c r="I18" s="308">
        <f t="shared" si="6"/>
        <v>3.708881302304512E-3</v>
      </c>
      <c r="J18" s="131">
        <f t="shared" si="2"/>
        <v>90.664530388495578</v>
      </c>
      <c r="K18" s="61">
        <v>379636</v>
      </c>
      <c r="L18" s="309">
        <f t="shared" si="8"/>
        <v>2.1969176929806933E-2</v>
      </c>
      <c r="M18" s="157"/>
      <c r="N18" s="89">
        <v>101.7</v>
      </c>
      <c r="O18" s="309">
        <f t="shared" si="9"/>
        <v>-1.6361731280731817E-2</v>
      </c>
      <c r="P18" s="89">
        <v>114.35</v>
      </c>
      <c r="Q18" s="309">
        <f t="shared" si="7"/>
        <v>-8.5976446788555982E-3</v>
      </c>
      <c r="S18" s="159">
        <v>-2.4E-2</v>
      </c>
      <c r="U18" s="319">
        <f t="shared" si="4"/>
        <v>-2.4E-2</v>
      </c>
    </row>
    <row r="19" spans="1:22">
      <c r="A19" s="24">
        <v>1995</v>
      </c>
      <c r="B19" s="309">
        <f>★TFP上昇率推計・図5!AG18</f>
        <v>-0.17538705482080405</v>
      </c>
      <c r="D19" s="61">
        <v>774307.76974804432</v>
      </c>
      <c r="E19" s="46">
        <f>★TFP上昇率推計・図5!B18</f>
        <v>852911.85695646435</v>
      </c>
      <c r="F19" s="48">
        <f t="shared" si="0"/>
        <v>90.784031601001374</v>
      </c>
      <c r="G19" s="308">
        <f t="shared" si="5"/>
        <v>1.3180591350745452E-3</v>
      </c>
      <c r="H19" s="48">
        <f t="shared" si="1"/>
        <v>90.784031601001374</v>
      </c>
      <c r="I19" s="308">
        <f t="shared" si="6"/>
        <v>1.3180591350745452E-3</v>
      </c>
      <c r="J19" s="131">
        <f t="shared" si="2"/>
        <v>90.784031601001374</v>
      </c>
      <c r="K19" s="61">
        <v>377448</v>
      </c>
      <c r="L19" s="309">
        <f t="shared" si="8"/>
        <v>-5.7634154821987194E-3</v>
      </c>
      <c r="M19" s="157"/>
      <c r="N19" s="89">
        <v>100.841666666667</v>
      </c>
      <c r="O19" s="309">
        <f t="shared" si="9"/>
        <v>-8.4398557849852951E-3</v>
      </c>
      <c r="P19" s="89">
        <v>113.033333333333</v>
      </c>
      <c r="Q19" s="309">
        <f t="shared" si="7"/>
        <v>-1.1514356507800527E-2</v>
      </c>
      <c r="S19" s="159">
        <v>-1.3999999999999999E-2</v>
      </c>
      <c r="U19" s="319">
        <f t="shared" si="4"/>
        <v>-1.3999999999999999E-2</v>
      </c>
    </row>
    <row r="20" spans="1:22">
      <c r="A20" s="24">
        <v>1996</v>
      </c>
      <c r="B20" s="309">
        <f>★TFP上昇率推計・図5!AG19</f>
        <v>-8.6207190990368832E-2</v>
      </c>
      <c r="D20" s="61">
        <v>831846.32728660409</v>
      </c>
      <c r="E20" s="46">
        <f>★TFP上昇率推計・図5!B19</f>
        <v>913795.428756907</v>
      </c>
      <c r="F20" s="48">
        <f t="shared" si="0"/>
        <v>91.032007942764238</v>
      </c>
      <c r="G20" s="308">
        <f t="shared" si="5"/>
        <v>2.7314973502468032E-3</v>
      </c>
      <c r="H20" s="48">
        <f t="shared" si="1"/>
        <v>91.032007942764238</v>
      </c>
      <c r="I20" s="308">
        <f t="shared" si="6"/>
        <v>2.7314973502468032E-3</v>
      </c>
      <c r="J20" s="131">
        <f t="shared" si="2"/>
        <v>91.032007942764238</v>
      </c>
      <c r="K20" s="61">
        <v>383906</v>
      </c>
      <c r="L20" s="309">
        <f t="shared" si="8"/>
        <v>1.7109641593014091E-2</v>
      </c>
      <c r="M20" s="157"/>
      <c r="N20" s="89">
        <v>99.15</v>
      </c>
      <c r="O20" s="309">
        <f t="shared" si="9"/>
        <v>-1.6775473101399707E-2</v>
      </c>
      <c r="P20" s="89">
        <v>111.258333333333</v>
      </c>
      <c r="Q20" s="309">
        <f t="shared" si="7"/>
        <v>-1.5703332350339272E-2</v>
      </c>
      <c r="S20" s="159">
        <v>4.0000000000000001E-3</v>
      </c>
      <c r="U20" s="319">
        <f t="shared" si="4"/>
        <v>4.0000000000000001E-3</v>
      </c>
    </row>
    <row r="21" spans="1:22">
      <c r="A21" s="24">
        <v>1997</v>
      </c>
      <c r="B21" s="309">
        <f>★TFP上昇率推計・図5!AG20</f>
        <v>-0.11291176113489598</v>
      </c>
      <c r="D21" s="61">
        <v>771077.94926250889</v>
      </c>
      <c r="E21" s="46">
        <f>★TFP上昇率推計・図5!B20</f>
        <v>842147.24991048442</v>
      </c>
      <c r="F21" s="48">
        <f t="shared" si="0"/>
        <v>91.560941313347541</v>
      </c>
      <c r="G21" s="308">
        <f t="shared" si="5"/>
        <v>5.8104108932306442E-3</v>
      </c>
      <c r="H21" s="48">
        <f t="shared" si="1"/>
        <v>91.560941313347541</v>
      </c>
      <c r="I21" s="308">
        <f t="shared" si="6"/>
        <v>5.8104108932306442E-3</v>
      </c>
      <c r="J21" s="131">
        <f t="shared" si="2"/>
        <v>91.560941313347541</v>
      </c>
      <c r="K21" s="61">
        <v>386555</v>
      </c>
      <c r="L21" s="309">
        <f t="shared" si="8"/>
        <v>6.9001265934889311E-3</v>
      </c>
      <c r="M21" s="157"/>
      <c r="N21" s="89">
        <v>99.825000000000003</v>
      </c>
      <c r="O21" s="309">
        <f t="shared" si="9"/>
        <v>6.8078668683813071E-3</v>
      </c>
      <c r="P21" s="89">
        <v>111.85833333333299</v>
      </c>
      <c r="Q21" s="309">
        <f t="shared" si="7"/>
        <v>5.3928544678301105E-3</v>
      </c>
      <c r="S21" s="159">
        <v>3.0000000000000001E-3</v>
      </c>
      <c r="U21" s="319">
        <f t="shared" si="4"/>
        <v>3.0000000000000001E-3</v>
      </c>
    </row>
    <row r="22" spans="1:22">
      <c r="A22" s="24">
        <v>1998</v>
      </c>
      <c r="B22" s="309">
        <f>★TFP上昇率推計・図5!AG21</f>
        <v>-0.10840793318678982</v>
      </c>
      <c r="D22" s="61">
        <v>715314.27100718627</v>
      </c>
      <c r="E22" s="46">
        <f>★TFP上昇率推計・図5!B21</f>
        <v>792128.36784281523</v>
      </c>
      <c r="F22" s="48">
        <f t="shared" si="0"/>
        <v>90.302822124043473</v>
      </c>
      <c r="G22" s="308">
        <f t="shared" si="5"/>
        <v>-1.3740784785058358E-2</v>
      </c>
      <c r="H22" s="48">
        <f t="shared" si="1"/>
        <v>90.302822124043473</v>
      </c>
      <c r="I22" s="308">
        <f t="shared" si="6"/>
        <v>-1.3740784785058358E-2</v>
      </c>
      <c r="J22" s="131">
        <f t="shared" si="2"/>
        <v>90.302822124043473</v>
      </c>
      <c r="K22" s="61">
        <v>374424</v>
      </c>
      <c r="L22" s="309">
        <f t="shared" si="8"/>
        <v>-3.1382338865103332E-2</v>
      </c>
      <c r="M22" s="157"/>
      <c r="N22" s="89">
        <v>98.275000000000006</v>
      </c>
      <c r="O22" s="309">
        <f t="shared" si="9"/>
        <v>-1.5527172551965895E-2</v>
      </c>
      <c r="P22" s="89">
        <v>111.316666666667</v>
      </c>
      <c r="Q22" s="309">
        <f t="shared" si="7"/>
        <v>-4.8424346271265239E-3</v>
      </c>
      <c r="S22" s="159">
        <v>-1.9E-2</v>
      </c>
      <c r="U22" s="319">
        <f t="shared" si="4"/>
        <v>-1.9E-2</v>
      </c>
    </row>
    <row r="23" spans="1:22">
      <c r="A23" s="24">
        <v>1999</v>
      </c>
      <c r="B23" s="309">
        <f>★TFP上昇率推計・図5!AG22</f>
        <v>-5.3926512523862623E-2</v>
      </c>
      <c r="D23" s="61">
        <v>696241.05857858853</v>
      </c>
      <c r="E23" s="46">
        <f>★TFP上昇率推計・図5!B22</f>
        <v>779955.31695557036</v>
      </c>
      <c r="F23" s="48">
        <f t="shared" si="0"/>
        <v>89.26678790988349</v>
      </c>
      <c r="G23" s="308">
        <f t="shared" si="5"/>
        <v>-1.147288855199724E-2</v>
      </c>
      <c r="H23" s="48">
        <f t="shared" si="1"/>
        <v>89.26678790988349</v>
      </c>
      <c r="I23" s="308">
        <f t="shared" si="6"/>
        <v>-1.147288855199724E-2</v>
      </c>
      <c r="J23" s="131">
        <f t="shared" si="2"/>
        <v>89.26678790988349</v>
      </c>
      <c r="K23" s="61">
        <v>377894</v>
      </c>
      <c r="L23" s="309">
        <f t="shared" si="8"/>
        <v>9.2675683182701363E-3</v>
      </c>
      <c r="M23" s="157"/>
      <c r="N23" s="89">
        <v>96.924999999999997</v>
      </c>
      <c r="O23" s="309">
        <f t="shared" si="9"/>
        <v>-1.3736962604935177E-2</v>
      </c>
      <c r="P23" s="89">
        <v>109.958333333333</v>
      </c>
      <c r="Q23" s="309">
        <f t="shared" si="7"/>
        <v>-1.2202425512807258E-2</v>
      </c>
      <c r="S23" s="159">
        <v>-0.03</v>
      </c>
      <c r="U23" s="319">
        <f t="shared" si="4"/>
        <v>-0.03</v>
      </c>
    </row>
    <row r="24" spans="1:22">
      <c r="A24" s="24">
        <v>2000</v>
      </c>
      <c r="B24" s="309">
        <f>★TFP上昇率推計・図5!AG23</f>
        <v>-3.6014257000201867E-2</v>
      </c>
      <c r="D24" s="61">
        <v>656440.26695854426</v>
      </c>
      <c r="E24" s="46">
        <f>★TFP上昇率推計・図5!B23</f>
        <v>735377.97712155432</v>
      </c>
      <c r="F24" s="48">
        <f t="shared" si="0"/>
        <v>89.265695653275998</v>
      </c>
      <c r="G24" s="308">
        <f t="shared" si="5"/>
        <v>-1.2235867706933412E-5</v>
      </c>
      <c r="H24" s="48">
        <f t="shared" si="1"/>
        <v>89.265695653275998</v>
      </c>
      <c r="I24" s="308">
        <f t="shared" si="6"/>
        <v>-1.2235867706933412E-5</v>
      </c>
      <c r="J24" s="131">
        <f t="shared" si="2"/>
        <v>89.265695653275998</v>
      </c>
      <c r="K24" s="61">
        <v>380680</v>
      </c>
      <c r="L24" s="309">
        <f t="shared" si="8"/>
        <v>7.3724377735555624E-3</v>
      </c>
      <c r="M24" s="157"/>
      <c r="N24" s="89">
        <v>96.933333333333294</v>
      </c>
      <c r="O24" s="309">
        <f t="shared" si="9"/>
        <v>8.5977130082959263E-5</v>
      </c>
      <c r="P24" s="89">
        <v>109.15</v>
      </c>
      <c r="Q24" s="309">
        <f t="shared" si="7"/>
        <v>-7.3512694202318984E-3</v>
      </c>
      <c r="S24" s="159">
        <v>-1.2E-2</v>
      </c>
      <c r="U24" s="319">
        <f t="shared" si="4"/>
        <v>-1.2E-2</v>
      </c>
    </row>
    <row r="25" spans="1:22">
      <c r="A25" s="24">
        <v>2001</v>
      </c>
      <c r="B25" s="309">
        <f>★TFP上昇率推計・図5!AG24</f>
        <v>7.1440486690658757E-3</v>
      </c>
      <c r="D25" s="61">
        <v>627951.62818517082</v>
      </c>
      <c r="E25" s="46">
        <f>★TFP上昇率推計・図5!B24</f>
        <v>712186.82389267883</v>
      </c>
      <c r="F25" s="48">
        <f t="shared" si="0"/>
        <v>88.172317588368969</v>
      </c>
      <c r="G25" s="308">
        <f t="shared" si="5"/>
        <v>-1.2248580565079603E-2</v>
      </c>
      <c r="H25" s="48">
        <f t="shared" si="1"/>
        <v>88.172317588368969</v>
      </c>
      <c r="I25" s="308">
        <f t="shared" si="6"/>
        <v>-1.2248580565079603E-2</v>
      </c>
      <c r="J25" s="131">
        <f t="shared" si="2"/>
        <v>88.172317588368969</v>
      </c>
      <c r="K25" s="61">
        <v>373442</v>
      </c>
      <c r="L25" s="309">
        <f t="shared" si="8"/>
        <v>-1.9013344541347066E-2</v>
      </c>
      <c r="M25" s="157"/>
      <c r="N25" s="89">
        <v>94.691666666666706</v>
      </c>
      <c r="O25" s="309">
        <f t="shared" si="9"/>
        <v>-2.3125859697385676E-2</v>
      </c>
      <c r="P25" s="89">
        <v>106.35</v>
      </c>
      <c r="Q25" s="309">
        <f t="shared" si="7"/>
        <v>-2.5652771415483389E-2</v>
      </c>
      <c r="S25" s="159">
        <v>-1.7000000000000001E-2</v>
      </c>
      <c r="U25" s="319">
        <f t="shared" si="4"/>
        <v>-1.7000000000000001E-2</v>
      </c>
    </row>
    <row r="26" spans="1:22">
      <c r="A26" s="24">
        <v>2002</v>
      </c>
      <c r="B26" s="309">
        <f>★TFP上昇率推計・図5!AG25</f>
        <v>1.2111717886201795E-2</v>
      </c>
      <c r="D26" s="61">
        <v>580688.82548954303</v>
      </c>
      <c r="E26" s="46">
        <f>★TFP上昇率推計・図5!B25</f>
        <v>666393.52951853187</v>
      </c>
      <c r="F26" s="48">
        <f t="shared" si="0"/>
        <v>87.139025180675105</v>
      </c>
      <c r="G26" s="308">
        <f t="shared" si="5"/>
        <v>-1.1719011544164881E-2</v>
      </c>
      <c r="H26" s="48">
        <f t="shared" si="1"/>
        <v>87.139025180675105</v>
      </c>
      <c r="I26" s="308">
        <f t="shared" si="6"/>
        <v>-1.1719011544164881E-2</v>
      </c>
      <c r="J26" s="131">
        <f t="shared" si="2"/>
        <v>87.139025180675105</v>
      </c>
      <c r="K26" s="61">
        <v>355879</v>
      </c>
      <c r="L26" s="309">
        <f t="shared" si="8"/>
        <v>-4.7030060892990111E-2</v>
      </c>
      <c r="M26" s="157"/>
      <c r="N26" s="89">
        <v>92.758333333333297</v>
      </c>
      <c r="O26" s="309">
        <f t="shared" si="9"/>
        <v>-2.0417143360028978E-2</v>
      </c>
      <c r="P26" s="89">
        <v>103.98333333333299</v>
      </c>
      <c r="Q26" s="309">
        <f t="shared" si="7"/>
        <v>-2.2253565271904141E-2</v>
      </c>
      <c r="S26" s="159">
        <v>-2.7000000000000003E-2</v>
      </c>
      <c r="T26" s="159">
        <v>-2.6000000000000002E-2</v>
      </c>
      <c r="U26" s="319">
        <f t="shared" si="4"/>
        <v>-2.7000000000000003E-2</v>
      </c>
      <c r="V26" s="159">
        <v>-2.6000000000000002E-2</v>
      </c>
    </row>
    <row r="27" spans="1:22">
      <c r="A27" s="24">
        <v>2003</v>
      </c>
      <c r="B27" s="309">
        <f>★TFP上昇率推計・図5!AG26</f>
        <v>1.2870721939959471E-2</v>
      </c>
      <c r="D27" s="61">
        <v>545791.71814856364</v>
      </c>
      <c r="E27" s="46">
        <f>★TFP上昇率推計・図5!B26</f>
        <v>624608.39192366635</v>
      </c>
      <c r="F27" s="48">
        <f t="shared" si="0"/>
        <v>87.381425739035706</v>
      </c>
      <c r="G27" s="308">
        <f t="shared" si="5"/>
        <v>2.7817680753026153E-3</v>
      </c>
      <c r="H27" s="48">
        <f t="shared" si="1"/>
        <v>87.381425739035706</v>
      </c>
      <c r="I27" s="308">
        <f t="shared" si="6"/>
        <v>2.7817680753026153E-3</v>
      </c>
      <c r="J27" s="131">
        <f t="shared" si="2"/>
        <v>87.381425739035706</v>
      </c>
      <c r="K27" s="61">
        <v>351947</v>
      </c>
      <c r="L27" s="309">
        <f t="shared" si="8"/>
        <v>-1.1048699136504303E-2</v>
      </c>
      <c r="M27" s="157"/>
      <c r="N27" s="89">
        <v>91.941666666666706</v>
      </c>
      <c r="O27" s="309">
        <f t="shared" si="9"/>
        <v>-8.8042404096658755E-3</v>
      </c>
      <c r="P27" s="89">
        <v>102.22499999999999</v>
      </c>
      <c r="Q27" s="309">
        <f t="shared" si="7"/>
        <v>-1.6909761179673022E-2</v>
      </c>
      <c r="S27" s="159">
        <v>-2.2000000000000002E-2</v>
      </c>
      <c r="T27" s="159">
        <v>-1.8000000000000002E-2</v>
      </c>
      <c r="U27" s="319">
        <f t="shared" si="4"/>
        <v>-2.2000000000000002E-2</v>
      </c>
      <c r="V27" s="159">
        <v>-1.8000000000000002E-2</v>
      </c>
    </row>
    <row r="28" spans="1:22">
      <c r="A28" s="24">
        <v>2004</v>
      </c>
      <c r="B28" s="309">
        <f>★TFP上昇率推計・図5!AG27</f>
        <v>2.841775201348716E-2</v>
      </c>
      <c r="D28" s="61">
        <v>528111.45522227185</v>
      </c>
      <c r="E28" s="46">
        <f>★TFP上昇率推計・図5!B27</f>
        <v>597928.52910741174</v>
      </c>
      <c r="F28" s="48">
        <f t="shared" si="0"/>
        <v>88.323508498689151</v>
      </c>
      <c r="G28" s="308">
        <f t="shared" si="5"/>
        <v>1.0781270180541203E-2</v>
      </c>
      <c r="H28" s="48">
        <f t="shared" si="1"/>
        <v>88.323508498689151</v>
      </c>
      <c r="I28" s="308">
        <f t="shared" si="6"/>
        <v>1.0781270180541203E-2</v>
      </c>
      <c r="J28" s="131">
        <f t="shared" si="2"/>
        <v>88.323508498689151</v>
      </c>
      <c r="K28" s="61">
        <v>362155</v>
      </c>
      <c r="L28" s="309">
        <f t="shared" si="8"/>
        <v>2.9004367134824349E-2</v>
      </c>
      <c r="M28" s="157"/>
      <c r="N28" s="89">
        <v>93.141666666666694</v>
      </c>
      <c r="O28" s="309">
        <f t="shared" si="9"/>
        <v>1.3051753829420809E-2</v>
      </c>
      <c r="P28" s="89">
        <v>101.22499999999999</v>
      </c>
      <c r="Q28" s="309">
        <f t="shared" si="7"/>
        <v>-9.7823428711176774E-3</v>
      </c>
      <c r="S28" s="159">
        <v>-1.2E-2</v>
      </c>
      <c r="T28" s="159">
        <v>-1.3000000000000001E-2</v>
      </c>
      <c r="U28" s="319">
        <f t="shared" si="4"/>
        <v>-1.2E-2</v>
      </c>
      <c r="V28" s="159">
        <v>-1.3000000000000001E-2</v>
      </c>
    </row>
    <row r="29" spans="1:22">
      <c r="A29" s="24">
        <v>2005</v>
      </c>
      <c r="B29" s="309">
        <f>★TFP上昇率推計・図5!AG28</f>
        <v>4.8573085251942108E-2</v>
      </c>
      <c r="D29" s="61">
        <v>517501.16054433311</v>
      </c>
      <c r="E29" s="46">
        <f>★TFP上昇率推計・図5!B28</f>
        <v>578997.93350860476</v>
      </c>
      <c r="F29" s="48">
        <f t="shared" si="0"/>
        <v>89.378757780426909</v>
      </c>
      <c r="G29" s="308">
        <f t="shared" si="5"/>
        <v>1.1947547144296466E-2</v>
      </c>
      <c r="H29" s="48">
        <f t="shared" si="1"/>
        <v>89.378757780426909</v>
      </c>
      <c r="I29" s="308">
        <f t="shared" si="6"/>
        <v>1.1947547144296466E-2</v>
      </c>
      <c r="J29" s="131">
        <f t="shared" si="2"/>
        <v>89.378757780426909</v>
      </c>
      <c r="K29" s="61">
        <v>362031</v>
      </c>
      <c r="L29" s="309">
        <f t="shared" si="8"/>
        <v>-3.4239483094256062E-4</v>
      </c>
      <c r="M29" s="157"/>
      <c r="N29" s="89">
        <v>94.641666666666694</v>
      </c>
      <c r="O29" s="309">
        <f t="shared" si="9"/>
        <v>1.6104500313143033E-2</v>
      </c>
      <c r="P29" s="89">
        <v>100.52500000000001</v>
      </c>
      <c r="Q29" s="309">
        <f t="shared" si="7"/>
        <v>-6.9152877253642053E-3</v>
      </c>
      <c r="S29" s="159">
        <v>-4.0000000000000001E-3</v>
      </c>
      <c r="T29" s="159">
        <v>0</v>
      </c>
      <c r="U29" s="319">
        <f t="shared" si="4"/>
        <v>-4.0000000000000001E-3</v>
      </c>
      <c r="V29" s="159">
        <v>0</v>
      </c>
    </row>
    <row r="30" spans="1:22">
      <c r="A30" s="24">
        <v>2006</v>
      </c>
      <c r="B30" s="309">
        <f>★TFP上昇率推計・図5!AG29</f>
        <v>6.8437202558023713E-2</v>
      </c>
      <c r="D30" s="61">
        <v>514318.80017127737</v>
      </c>
      <c r="E30" s="46">
        <f>★TFP上昇率推計・図5!B29</f>
        <v>565048.47532275412</v>
      </c>
      <c r="F30" s="48">
        <f t="shared" si="0"/>
        <v>91.022066713391254</v>
      </c>
      <c r="G30" s="308">
        <f t="shared" si="5"/>
        <v>1.8385900338885763E-2</v>
      </c>
      <c r="H30" s="48">
        <f t="shared" si="1"/>
        <v>91.022066713391254</v>
      </c>
      <c r="I30" s="308">
        <f t="shared" si="6"/>
        <v>1.8385900338885763E-2</v>
      </c>
      <c r="J30" s="131">
        <f t="shared" si="2"/>
        <v>91.022066713391254</v>
      </c>
      <c r="K30" s="61">
        <v>362554</v>
      </c>
      <c r="L30" s="309">
        <f t="shared" si="8"/>
        <v>1.4446276700061933E-3</v>
      </c>
      <c r="M30" s="157"/>
      <c r="N30" s="89">
        <v>96.733333333333306</v>
      </c>
      <c r="O30" s="309">
        <f t="shared" si="9"/>
        <v>2.210090692964628E-2</v>
      </c>
      <c r="P30" s="89">
        <v>100.191666666667</v>
      </c>
      <c r="Q30" s="309">
        <f t="shared" si="7"/>
        <v>-3.3159247285053928E-3</v>
      </c>
      <c r="S30" s="159">
        <v>3.0000000000000001E-3</v>
      </c>
      <c r="T30" s="159">
        <v>6.9999999999999993E-3</v>
      </c>
      <c r="U30" s="319">
        <f t="shared" si="4"/>
        <v>3.0000000000000001E-3</v>
      </c>
      <c r="V30" s="159">
        <v>6.9999999999999993E-3</v>
      </c>
    </row>
    <row r="31" spans="1:22">
      <c r="A31" s="24">
        <v>2007</v>
      </c>
      <c r="B31" s="309">
        <f>★TFP上昇率推計・図5!AG30</f>
        <v>2.3505393492095499E-2</v>
      </c>
      <c r="D31" s="61">
        <v>487903.5409227385</v>
      </c>
      <c r="E31" s="46">
        <f>★TFP上昇率推計・図5!B30</f>
        <v>523754.61380397785</v>
      </c>
      <c r="F31" s="48">
        <f t="shared" si="0"/>
        <v>93.154986717757666</v>
      </c>
      <c r="G31" s="308">
        <f t="shared" si="5"/>
        <v>2.3432999066946181E-2</v>
      </c>
      <c r="H31" s="48">
        <f t="shared" si="1"/>
        <v>93.154986717757666</v>
      </c>
      <c r="I31" s="308">
        <f t="shared" si="6"/>
        <v>2.3432999066946181E-2</v>
      </c>
      <c r="J31" s="131">
        <f t="shared" si="2"/>
        <v>93.154986717757666</v>
      </c>
      <c r="K31" s="61">
        <v>364683</v>
      </c>
      <c r="L31" s="309">
        <f t="shared" si="8"/>
        <v>5.8722286886918607E-3</v>
      </c>
      <c r="M31" s="157"/>
      <c r="N31" s="89">
        <v>98.408333333333303</v>
      </c>
      <c r="O31" s="309">
        <f t="shared" si="9"/>
        <v>1.7315644383183892E-2</v>
      </c>
      <c r="P31" s="89">
        <v>100.191666666667</v>
      </c>
      <c r="Q31" s="309">
        <f t="shared" si="7"/>
        <v>0</v>
      </c>
      <c r="S31" s="159">
        <v>1.6E-2</v>
      </c>
      <c r="T31" s="159">
        <v>1.6E-2</v>
      </c>
      <c r="U31" s="319">
        <f t="shared" si="4"/>
        <v>1.6E-2</v>
      </c>
      <c r="V31" s="159">
        <v>1.6E-2</v>
      </c>
    </row>
    <row r="32" spans="1:22">
      <c r="A32" s="24">
        <v>2008</v>
      </c>
      <c r="B32" s="309">
        <f>★TFP上昇率推計・図5!AG31</f>
        <v>-4.9172658490705245E-3</v>
      </c>
      <c r="D32" s="61">
        <v>479367.96750213963</v>
      </c>
      <c r="E32" s="46">
        <f>★TFP上昇率推計・図5!B31</f>
        <v>498933.97362326737</v>
      </c>
      <c r="F32" s="48">
        <f t="shared" si="0"/>
        <v>96.078437798284398</v>
      </c>
      <c r="G32" s="308">
        <f t="shared" si="5"/>
        <v>3.1382657907345735E-2</v>
      </c>
      <c r="H32" s="48">
        <f t="shared" si="1"/>
        <v>96.078437798284398</v>
      </c>
      <c r="I32" s="308">
        <f t="shared" si="6"/>
        <v>3.1382657907345735E-2</v>
      </c>
      <c r="J32" s="131">
        <f t="shared" si="2"/>
        <v>96.078437798284398</v>
      </c>
      <c r="K32" s="61">
        <v>363738</v>
      </c>
      <c r="L32" s="309">
        <f t="shared" si="8"/>
        <v>-2.5912916149093412E-3</v>
      </c>
      <c r="M32" s="157"/>
      <c r="N32" s="89">
        <v>102.908333333333</v>
      </c>
      <c r="O32" s="309">
        <f t="shared" si="9"/>
        <v>4.5727834702342651E-2</v>
      </c>
      <c r="P32" s="89">
        <v>100.35833333333299</v>
      </c>
      <c r="Q32" s="309">
        <f t="shared" si="7"/>
        <v>1.6634783331879177E-3</v>
      </c>
      <c r="S32" s="159">
        <v>4.0000000000000001E-3</v>
      </c>
      <c r="T32" s="159">
        <v>-1.8000000000000002E-2</v>
      </c>
      <c r="U32" s="319">
        <f t="shared" si="4"/>
        <v>4.0000000000000001E-3</v>
      </c>
      <c r="V32" s="159">
        <v>-1.8000000000000002E-2</v>
      </c>
    </row>
    <row r="33" spans="1:22">
      <c r="A33" s="24">
        <v>2009</v>
      </c>
      <c r="B33" s="309">
        <f>★TFP上昇率推計・図5!AG32</f>
        <v>-7.0905387816687093E-2</v>
      </c>
      <c r="D33" s="61">
        <v>435984.03886396525</v>
      </c>
      <c r="E33" s="46">
        <f>★TFP上昇率推計・図5!B32</f>
        <v>462745.17776524194</v>
      </c>
      <c r="F33" s="48">
        <f t="shared" si="0"/>
        <v>94.216873521942347</v>
      </c>
      <c r="G33" s="308">
        <f t="shared" si="5"/>
        <v>-1.9375463621196465E-2</v>
      </c>
      <c r="H33" s="48">
        <f t="shared" si="1"/>
        <v>94.216873521942347</v>
      </c>
      <c r="I33" s="308">
        <f t="shared" si="6"/>
        <v>-1.9375463621196465E-2</v>
      </c>
      <c r="J33" s="131">
        <f t="shared" si="2"/>
        <v>94.216873521942347</v>
      </c>
      <c r="K33" s="61">
        <v>375696</v>
      </c>
      <c r="L33" s="309">
        <f t="shared" si="8"/>
        <v>3.287531135047761E-2</v>
      </c>
      <c r="M33" s="157"/>
      <c r="N33" s="89">
        <v>97.508333333333297</v>
      </c>
      <c r="O33" s="309">
        <f t="shared" si="9"/>
        <v>-5.2473884525060077E-2</v>
      </c>
      <c r="P33" s="89">
        <v>98.808333333333294</v>
      </c>
      <c r="Q33" s="309">
        <f t="shared" si="7"/>
        <v>-1.544465664701189E-2</v>
      </c>
      <c r="S33" s="159">
        <v>-5.2000000000000005E-2</v>
      </c>
      <c r="T33" s="159">
        <v>-4.2000000000000003E-2</v>
      </c>
      <c r="U33" s="319">
        <f t="shared" si="4"/>
        <v>-5.2000000000000005E-2</v>
      </c>
      <c r="V33" s="159">
        <v>-4.2000000000000003E-2</v>
      </c>
    </row>
    <row r="34" spans="1:22">
      <c r="A34" s="24">
        <v>2010</v>
      </c>
      <c r="B34" s="309">
        <f>★TFP上昇率推計・図5!AG33</f>
        <v>-0.10804002085430209</v>
      </c>
      <c r="D34" s="61">
        <v>417238.67702214338</v>
      </c>
      <c r="E34" s="46">
        <f>★TFP上昇率推計・図5!B33</f>
        <v>446977.76782772673</v>
      </c>
      <c r="F34" s="48">
        <f t="shared" si="0"/>
        <v>93.34662863656223</v>
      </c>
      <c r="G34" s="308">
        <f t="shared" si="5"/>
        <v>-9.2366139190284136E-3</v>
      </c>
      <c r="H34" s="48">
        <f t="shared" si="1"/>
        <v>93.34662863656223</v>
      </c>
      <c r="I34" s="308">
        <f t="shared" si="6"/>
        <v>-9.2366139190284136E-3</v>
      </c>
      <c r="J34" s="131">
        <f t="shared" si="2"/>
        <v>93.34662863656223</v>
      </c>
      <c r="K34" s="61">
        <v>373166</v>
      </c>
      <c r="L34" s="309">
        <f t="shared" si="8"/>
        <v>-6.734168050764433E-3</v>
      </c>
      <c r="M34" s="157"/>
      <c r="N34" s="89">
        <v>97.408333333333303</v>
      </c>
      <c r="O34" s="309">
        <f t="shared" si="9"/>
        <v>-1.0255533715066711E-3</v>
      </c>
      <c r="P34" s="89">
        <v>97.308333333333294</v>
      </c>
      <c r="Q34" s="309">
        <f t="shared" si="7"/>
        <v>-1.518090579404574E-2</v>
      </c>
      <c r="S34" s="159">
        <v>-1.4999999999999999E-2</v>
      </c>
      <c r="T34" s="159">
        <v>-1.3000000000000001E-2</v>
      </c>
      <c r="U34" s="319">
        <f t="shared" si="4"/>
        <v>-1.4999999999999999E-2</v>
      </c>
      <c r="V34" s="159">
        <v>-1.3000000000000001E-2</v>
      </c>
    </row>
    <row r="35" spans="1:22">
      <c r="A35" s="24">
        <v>2011</v>
      </c>
      <c r="B35" s="309">
        <f>★TFP上昇率推計・図5!AG34</f>
        <v>-0.12380021972409096</v>
      </c>
      <c r="D35" s="61">
        <v>420757.0214637015</v>
      </c>
      <c r="E35" s="46">
        <f>★TFP上昇率推計・図5!B34</f>
        <v>446069.94860838994</v>
      </c>
      <c r="F35" s="48">
        <f t="shared" si="0"/>
        <v>94.325345784073207</v>
      </c>
      <c r="G35" s="308">
        <f t="shared" si="5"/>
        <v>1.0484761600995096E-2</v>
      </c>
      <c r="H35" s="48">
        <f t="shared" si="1"/>
        <v>94.325345784073207</v>
      </c>
      <c r="I35" s="308">
        <f t="shared" si="6"/>
        <v>1.0484761600995096E-2</v>
      </c>
      <c r="J35" s="131">
        <f t="shared" si="2"/>
        <v>94.325345784073207</v>
      </c>
      <c r="K35" s="61">
        <v>377290</v>
      </c>
      <c r="L35" s="309">
        <f t="shared" si="8"/>
        <v>1.1051381958699258E-2</v>
      </c>
      <c r="M35" s="157"/>
      <c r="N35" s="89">
        <v>98.8</v>
      </c>
      <c r="O35" s="309">
        <f t="shared" si="9"/>
        <v>1.428693643596568E-2</v>
      </c>
      <c r="P35" s="89">
        <v>96.65</v>
      </c>
      <c r="Q35" s="309">
        <f t="shared" si="7"/>
        <v>-6.7654363278234486E-3</v>
      </c>
      <c r="S35" s="159">
        <v>-1.9E-2</v>
      </c>
      <c r="T35" s="159">
        <v>-1.3999999999999999E-2</v>
      </c>
      <c r="U35" s="319">
        <f t="shared" si="4"/>
        <v>-1.9E-2</v>
      </c>
      <c r="V35" s="159">
        <v>-1.3999999999999999E-2</v>
      </c>
    </row>
    <row r="36" spans="1:22">
      <c r="A36" s="24">
        <v>2012</v>
      </c>
      <c r="B36" s="309">
        <f>★TFP上昇率推計・図5!AG35</f>
        <v>-0.13533884383145781</v>
      </c>
      <c r="D36" s="61">
        <v>423641.9082091602</v>
      </c>
      <c r="E36" s="46">
        <f>★TFP上昇率推計・図5!B35</f>
        <v>449681.61798681098</v>
      </c>
      <c r="F36" s="48">
        <f t="shared" si="0"/>
        <v>94.209300817269664</v>
      </c>
      <c r="G36" s="308">
        <f t="shared" si="5"/>
        <v>-1.2302628295600693E-3</v>
      </c>
      <c r="H36" s="48">
        <f t="shared" si="1"/>
        <v>94.209300817269664</v>
      </c>
      <c r="I36" s="308">
        <f t="shared" si="6"/>
        <v>-1.2302628295600693E-3</v>
      </c>
      <c r="J36" s="131">
        <f t="shared" si="2"/>
        <v>94.209300817269664</v>
      </c>
      <c r="K36" s="61">
        <v>365864</v>
      </c>
      <c r="L36" s="309">
        <f t="shared" si="8"/>
        <v>-3.0284396617986209E-2</v>
      </c>
      <c r="M36" s="157"/>
      <c r="N36" s="89">
        <v>97.95</v>
      </c>
      <c r="O36" s="309">
        <f t="shared" si="9"/>
        <v>-8.6032388663966897E-3</v>
      </c>
      <c r="P36" s="89">
        <v>96.35</v>
      </c>
      <c r="Q36" s="309">
        <f t="shared" si="7"/>
        <v>-3.1039834454217319E-3</v>
      </c>
      <c r="S36" s="159">
        <v>-1.2E-2</v>
      </c>
      <c r="T36" s="159">
        <v>-1.3999999999999999E-2</v>
      </c>
      <c r="U36" s="319">
        <f t="shared" si="4"/>
        <v>-1.2E-2</v>
      </c>
      <c r="V36" s="159">
        <v>-1.3999999999999999E-2</v>
      </c>
    </row>
    <row r="37" spans="1:22">
      <c r="A37" s="24">
        <v>2013</v>
      </c>
      <c r="B37" s="309">
        <f>★TFP上昇率推計・図5!AG36</f>
        <v>-8.2669776772905254E-2</v>
      </c>
      <c r="D37" s="61">
        <v>467965.68711544666</v>
      </c>
      <c r="E37" s="46">
        <f>★TFP上昇率推計・図5!B36</f>
        <v>488198.48128962546</v>
      </c>
      <c r="F37" s="48">
        <f t="shared" si="0"/>
        <v>95.85562123816284</v>
      </c>
      <c r="G37" s="308">
        <f t="shared" si="5"/>
        <v>1.7475136813576597E-2</v>
      </c>
      <c r="H37" s="48">
        <f t="shared" si="1"/>
        <v>95.85562123816284</v>
      </c>
      <c r="I37" s="308">
        <f t="shared" si="6"/>
        <v>1.7475136813576597E-2</v>
      </c>
      <c r="J37" s="131">
        <f t="shared" si="2"/>
        <v>95.85562123816284</v>
      </c>
      <c r="K37" s="61">
        <v>371809</v>
      </c>
      <c r="L37" s="309">
        <f t="shared" si="8"/>
        <v>1.624920735573876E-2</v>
      </c>
      <c r="M37" s="157"/>
      <c r="N37" s="89">
        <v>99.1666666666667</v>
      </c>
      <c r="O37" s="309">
        <f t="shared" si="9"/>
        <v>1.2421303386081606E-2</v>
      </c>
      <c r="P37" s="89">
        <v>96.383333333333297</v>
      </c>
      <c r="Q37" s="309">
        <f t="shared" si="7"/>
        <v>3.459609064173641E-4</v>
      </c>
      <c r="S37" s="159">
        <v>-1E-3</v>
      </c>
      <c r="T37" s="159">
        <v>4.0000000000000001E-3</v>
      </c>
      <c r="U37" s="319">
        <f t="shared" si="4"/>
        <v>-1E-3</v>
      </c>
      <c r="V37" s="159">
        <v>4.0000000000000001E-3</v>
      </c>
    </row>
    <row r="38" spans="1:22">
      <c r="A38" s="24">
        <v>2014</v>
      </c>
      <c r="B38" s="309">
        <f>★TFP上昇率推計・図5!AG37</f>
        <v>-0.10782678640693927</v>
      </c>
      <c r="D38" s="61">
        <v>479931.9015139945</v>
      </c>
      <c r="E38" s="46">
        <f>★TFP上昇率推計・図5!B37</f>
        <v>485593.79057289567</v>
      </c>
      <c r="F38" s="48">
        <f t="shared" si="0"/>
        <v>98.834027706115975</v>
      </c>
      <c r="G38" s="308">
        <f t="shared" si="5"/>
        <v>3.1071797662789002E-2</v>
      </c>
      <c r="H38" s="48">
        <f t="shared" si="1"/>
        <v>98.834027706115975</v>
      </c>
      <c r="I38" s="308">
        <f t="shared" si="6"/>
        <v>3.1071797662789002E-2</v>
      </c>
      <c r="J38" s="131">
        <f t="shared" si="2"/>
        <v>98.834027706115975</v>
      </c>
      <c r="K38" s="61">
        <v>377217</v>
      </c>
      <c r="L38" s="309">
        <f t="shared" si="8"/>
        <v>1.4545102458520365E-2</v>
      </c>
      <c r="M38" s="157"/>
      <c r="N38" s="89">
        <v>102.35</v>
      </c>
      <c r="O38" s="309">
        <f t="shared" si="9"/>
        <v>3.2100840336134029E-2</v>
      </c>
      <c r="P38" s="89">
        <v>98.941666666666706</v>
      </c>
      <c r="Q38" s="309">
        <f t="shared" si="7"/>
        <v>2.6543316617673174E-2</v>
      </c>
      <c r="S38" s="159">
        <v>-6.9999999999999993E-3</v>
      </c>
      <c r="T38" s="159">
        <v>-9.0000000000000011E-3</v>
      </c>
      <c r="U38" s="319">
        <f t="shared" si="4"/>
        <v>-6.9999999999999993E-3</v>
      </c>
      <c r="V38" s="159">
        <v>-9.0000000000000011E-3</v>
      </c>
    </row>
    <row r="39" spans="1:22">
      <c r="A39" s="24">
        <v>2015</v>
      </c>
      <c r="B39" s="309">
        <f>★TFP上昇率推計・図5!AG38</f>
        <v>-2.9362255203935466E-2</v>
      </c>
      <c r="D39" s="61">
        <v>539257.6575505567</v>
      </c>
      <c r="E39" s="46">
        <f>★TFP上昇率推計・図5!B38</f>
        <v>539573.38020544511</v>
      </c>
      <c r="F39" s="48">
        <f t="shared" si="0"/>
        <v>99.94148661396747</v>
      </c>
      <c r="G39" s="308">
        <f t="shared" si="5"/>
        <v>1.120523906143478E-2</v>
      </c>
      <c r="H39" s="48">
        <f t="shared" si="1"/>
        <v>99.94148661396747</v>
      </c>
      <c r="I39" s="308">
        <f t="shared" si="6"/>
        <v>1.120523906143478E-2</v>
      </c>
      <c r="J39" s="131">
        <f t="shared" si="2"/>
        <v>99.94148661396747</v>
      </c>
      <c r="K39" s="61">
        <v>382215</v>
      </c>
      <c r="L39" s="309">
        <f t="shared" si="8"/>
        <v>1.3249667963002754E-2</v>
      </c>
      <c r="M39" s="157"/>
      <c r="N39" s="89">
        <v>100.008333333333</v>
      </c>
      <c r="O39" s="309">
        <f t="shared" si="9"/>
        <v>-2.2879009933238881E-2</v>
      </c>
      <c r="P39" s="89">
        <v>100.01666666666701</v>
      </c>
      <c r="Q39" s="309">
        <f t="shared" si="7"/>
        <v>1.0864987787419844E-2</v>
      </c>
      <c r="S39" s="159">
        <v>0</v>
      </c>
      <c r="T39" s="159">
        <v>-1E-3</v>
      </c>
      <c r="U39" s="319">
        <f t="shared" si="4"/>
        <v>0</v>
      </c>
      <c r="V39" s="159">
        <v>-1E-3</v>
      </c>
    </row>
    <row r="40" spans="1:22">
      <c r="A40" s="24">
        <v>2016</v>
      </c>
      <c r="B40" s="309">
        <f>★TFP上昇率推計・図5!AG39</f>
        <v>2.5243435465584513E-2</v>
      </c>
      <c r="D40" s="61">
        <v>582264.32800881367</v>
      </c>
      <c r="E40" s="46">
        <f>★TFP上昇率推計・図5!B39</f>
        <v>581088.23698012601</v>
      </c>
      <c r="F40" s="48">
        <f t="shared" si="0"/>
        <v>100.20239456830167</v>
      </c>
      <c r="G40" s="308">
        <f t="shared" si="5"/>
        <v>2.6106070979510232E-3</v>
      </c>
      <c r="H40" s="48">
        <f t="shared" si="1"/>
        <v>100.20239456830167</v>
      </c>
      <c r="I40" s="308">
        <f t="shared" si="6"/>
        <v>2.6106070979510232E-3</v>
      </c>
      <c r="J40" s="131">
        <f t="shared" si="2"/>
        <v>100.20239456830167</v>
      </c>
      <c r="K40" s="61">
        <v>388125</v>
      </c>
      <c r="L40" s="309">
        <f t="shared" si="8"/>
        <v>1.5462501471684709E-2</v>
      </c>
      <c r="M40" s="157"/>
      <c r="N40" s="89">
        <v>96.5</v>
      </c>
      <c r="O40" s="309">
        <f t="shared" si="9"/>
        <v>-3.5080409965832948E-2</v>
      </c>
      <c r="P40" s="89">
        <v>100.25</v>
      </c>
      <c r="Q40" s="309">
        <f t="shared" si="7"/>
        <v>2.3329445092450385E-3</v>
      </c>
      <c r="S40" s="159">
        <v>-2E-3</v>
      </c>
      <c r="T40" s="159">
        <v>-2E-3</v>
      </c>
      <c r="U40" s="319">
        <f t="shared" si="4"/>
        <v>-2E-3</v>
      </c>
      <c r="V40" s="159">
        <v>-2E-3</v>
      </c>
    </row>
    <row r="41" spans="1:22">
      <c r="A41" s="24">
        <v>2017</v>
      </c>
      <c r="B41" s="309">
        <f>★TFP上昇率推計・図5!AG40</f>
        <v>3.8551347662964482E-2</v>
      </c>
      <c r="D41" s="61">
        <v>609512.4687888833</v>
      </c>
      <c r="E41" s="46">
        <f>★TFP上昇率推計・図5!B40</f>
        <v>599172.92942574224</v>
      </c>
      <c r="F41" s="48">
        <f t="shared" si="0"/>
        <v>101.72563526410492</v>
      </c>
      <c r="G41" s="308">
        <f t="shared" si="5"/>
        <v>1.5201639665057609E-2</v>
      </c>
      <c r="H41" s="48">
        <f t="shared" si="1"/>
        <v>101.72563526410492</v>
      </c>
      <c r="I41" s="308">
        <f t="shared" si="6"/>
        <v>1.5201639665057609E-2</v>
      </c>
      <c r="J41" s="131">
        <f t="shared" si="2"/>
        <v>101.72563526410492</v>
      </c>
      <c r="K41" s="61">
        <v>392007</v>
      </c>
      <c r="L41" s="309">
        <f t="shared" si="8"/>
        <v>1.0001932367149857E-2</v>
      </c>
      <c r="M41" s="157"/>
      <c r="N41" s="89">
        <v>98.724999999999994</v>
      </c>
      <c r="O41" s="309">
        <f t="shared" si="9"/>
        <v>2.3056994818652754E-2</v>
      </c>
      <c r="P41" s="89">
        <v>101.041666666667</v>
      </c>
      <c r="Q41" s="309">
        <f t="shared" si="7"/>
        <v>7.896924355780488E-3</v>
      </c>
      <c r="S41" s="159">
        <v>6.9999999999999993E-3</v>
      </c>
      <c r="T41" s="159">
        <v>8.0000000000000002E-3</v>
      </c>
      <c r="U41" s="319">
        <f t="shared" si="4"/>
        <v>6.9999999999999993E-3</v>
      </c>
      <c r="V41" s="159">
        <v>8.0000000000000002E-3</v>
      </c>
    </row>
    <row r="42" spans="1:22">
      <c r="A42" s="24">
        <v>2018</v>
      </c>
      <c r="B42" s="309">
        <f>★TFP上昇率推計・図5!AG41</f>
        <v>2.9586120795375829E-3</v>
      </c>
      <c r="D42" s="61">
        <v>615936.86549902777</v>
      </c>
      <c r="E42" s="46">
        <f>★TFP上昇率推計・図5!B41</f>
        <v>588328.4778262669</v>
      </c>
      <c r="F42" s="48">
        <f t="shared" si="0"/>
        <v>104.69268252571544</v>
      </c>
      <c r="G42" s="308">
        <f t="shared" si="5"/>
        <v>2.9167153922483147E-2</v>
      </c>
      <c r="H42" s="48">
        <f t="shared" si="1"/>
        <v>104.69268252571544</v>
      </c>
      <c r="I42" s="308">
        <f t="shared" si="6"/>
        <v>2.9167153922483147E-2</v>
      </c>
      <c r="J42" s="131">
        <f t="shared" si="2"/>
        <v>104.69268252571544</v>
      </c>
      <c r="K42" s="61">
        <v>405223</v>
      </c>
      <c r="L42" s="309">
        <f t="shared" si="8"/>
        <v>3.3713683684220008E-2</v>
      </c>
      <c r="M42" s="157"/>
      <c r="N42" s="89">
        <v>101.27500000000001</v>
      </c>
      <c r="O42" s="309">
        <f t="shared" si="9"/>
        <v>2.5829323879463351E-2</v>
      </c>
      <c r="P42" s="89">
        <v>102.158333333333</v>
      </c>
      <c r="Q42" s="309">
        <f t="shared" si="7"/>
        <v>1.1051546391745992E-2</v>
      </c>
      <c r="S42" s="159">
        <v>5.0000000000000001E-3</v>
      </c>
      <c r="T42" s="159">
        <v>3.0000000000000001E-3</v>
      </c>
      <c r="U42" s="319">
        <f t="shared" si="4"/>
        <v>5.0000000000000001E-3</v>
      </c>
      <c r="V42" s="159">
        <v>3.0000000000000001E-3</v>
      </c>
    </row>
    <row r="43" spans="1:22">
      <c r="A43" s="24">
        <v>2019</v>
      </c>
      <c r="B43" s="309">
        <f>★TFP上昇率推計・図5!AG42</f>
        <v>-2.131463101776658E-2</v>
      </c>
      <c r="D43" s="61">
        <v>626596.00207916263</v>
      </c>
      <c r="E43" s="46">
        <f>★TFP上昇率推計・図5!B42</f>
        <v>583270.32016486558</v>
      </c>
      <c r="F43" s="48">
        <f t="shared" si="0"/>
        <v>107.4280621551343</v>
      </c>
      <c r="G43" s="308">
        <f t="shared" si="5"/>
        <v>2.6127706000340201E-2</v>
      </c>
      <c r="H43" s="48">
        <f t="shared" si="1"/>
        <v>107.4280621551343</v>
      </c>
      <c r="I43" s="308">
        <f t="shared" si="6"/>
        <v>2.6127706000340201E-2</v>
      </c>
      <c r="J43" s="131">
        <f t="shared" si="2"/>
        <v>107.4280621551343</v>
      </c>
      <c r="K43" s="61">
        <v>416315</v>
      </c>
      <c r="L43" s="309">
        <f t="shared" si="8"/>
        <v>2.7372582503954579E-2</v>
      </c>
      <c r="M43" s="157"/>
      <c r="N43" s="89">
        <v>101.466666666667</v>
      </c>
      <c r="O43" s="309">
        <f t="shared" si="9"/>
        <v>1.8925368221869299E-3</v>
      </c>
      <c r="P43" s="89">
        <v>103.26666666666701</v>
      </c>
      <c r="Q43" s="309">
        <f t="shared" si="7"/>
        <v>1.0849172036877519E-2</v>
      </c>
      <c r="S43" s="159">
        <v>-2E-3</v>
      </c>
      <c r="T43" s="159">
        <v>-9.0000000000000011E-3</v>
      </c>
      <c r="U43" s="319">
        <f t="shared" si="4"/>
        <v>-2E-3</v>
      </c>
      <c r="V43" s="159">
        <v>-9.0000000000000011E-3</v>
      </c>
    </row>
    <row r="44" spans="1:22">
      <c r="A44" s="24">
        <v>2020</v>
      </c>
      <c r="B44" s="309">
        <f>★TFP上昇率推計・図5!AG43</f>
        <v>-7.3380578534074398E-2</v>
      </c>
      <c r="D44" s="61">
        <v>611005.19061964238</v>
      </c>
      <c r="E44" s="46">
        <f>★TFP上昇率推計・図5!B43</f>
        <v>565661.15425904549</v>
      </c>
      <c r="F44" s="48">
        <f t="shared" si="0"/>
        <v>108.01611282994898</v>
      </c>
      <c r="G44" s="308">
        <f t="shared" si="5"/>
        <v>5.4739019118252852E-3</v>
      </c>
      <c r="H44" s="48">
        <f t="shared" si="1"/>
        <v>108.01611282994898</v>
      </c>
      <c r="I44" s="308">
        <f t="shared" si="6"/>
        <v>5.4739019118252852E-3</v>
      </c>
      <c r="J44" s="131">
        <f t="shared" si="2"/>
        <v>108.01611282994898</v>
      </c>
      <c r="K44" s="61">
        <v>417459</v>
      </c>
      <c r="L44" s="309">
        <f t="shared" si="8"/>
        <v>2.7479192438417677E-3</v>
      </c>
      <c r="M44" s="157"/>
      <c r="N44" s="89">
        <v>100.308333333333</v>
      </c>
      <c r="O44" s="309">
        <f t="shared" si="9"/>
        <v>-1.1415900131412582E-2</v>
      </c>
      <c r="P44" s="89">
        <v>104.208333333333</v>
      </c>
      <c r="Q44" s="309">
        <f t="shared" si="7"/>
        <v>9.1187863137442982E-3</v>
      </c>
      <c r="S44" s="159">
        <v>-5.4000000000000006E-2</v>
      </c>
      <c r="T44" s="159">
        <v>-5.7999999999999996E-2</v>
      </c>
      <c r="U44" s="319">
        <f t="shared" si="4"/>
        <v>-5.4000000000000006E-2</v>
      </c>
      <c r="V44" s="159">
        <v>-5.7999999999999996E-2</v>
      </c>
    </row>
    <row r="45" spans="1:22">
      <c r="A45" s="24">
        <v>2021</v>
      </c>
      <c r="D45" s="43"/>
      <c r="E45" s="43"/>
      <c r="F45" s="48">
        <f>F44*(1+G45)</f>
        <v>105.93974111255989</v>
      </c>
      <c r="G45" s="345">
        <f>0.0153483683589 + 0.509974784426*(S45+S44*1/2) + 0.294803649945*G44</f>
        <v>-1.9222796145774556E-2</v>
      </c>
      <c r="H45" s="48">
        <f>H44*(1+I45)</f>
        <v>105.93974111255989</v>
      </c>
      <c r="I45" s="345">
        <f>0.0153483683589 + 0.509974784426*(U45+U44*1/2) + 0.294803649945*I44</f>
        <v>-1.9222796145774556E-2</v>
      </c>
      <c r="N45" s="68">
        <v>105.066666666667</v>
      </c>
      <c r="O45" s="309">
        <f t="shared" si="9"/>
        <v>4.7437069037142399E-2</v>
      </c>
      <c r="P45" s="89">
        <v>105.091666666667</v>
      </c>
      <c r="Q45" s="309">
        <f t="shared" si="7"/>
        <v>8.4766093562638201E-3</v>
      </c>
      <c r="S45" s="345">
        <f>(T44/4+T45*3/4)</f>
        <v>-4.3954274353876763E-2</v>
      </c>
      <c r="T45" s="159">
        <v>-3.9272365805169018E-2</v>
      </c>
      <c r="U45" s="345">
        <f>(V44/4+V45*3/4)</f>
        <v>-4.3954274353876763E-2</v>
      </c>
      <c r="V45" s="159">
        <v>-3.9272365805169018E-2</v>
      </c>
    </row>
    <row r="46" spans="1:22">
      <c r="A46" s="24">
        <v>2022</v>
      </c>
      <c r="F46" s="48">
        <f t="shared" ref="F46:H64" si="10">F45*(1+G46)</f>
        <v>104.50423625379536</v>
      </c>
      <c r="G46" s="345">
        <f t="shared" ref="G46:G64" si="11">0.0153483683589 + 0.509974784426*(S46+S45*1/2) + 0.294803649945*G45</f>
        <v>-1.3550201687196135E-2</v>
      </c>
      <c r="H46" s="48">
        <f t="shared" si="10"/>
        <v>104.50423625379536</v>
      </c>
      <c r="I46" s="345">
        <f t="shared" ref="I46:I64" si="12">0.0153483683589 + 0.509974784426*(U46+U45*1/2) + 0.294803649945*I45</f>
        <v>-1.3550201687196135E-2</v>
      </c>
      <c r="S46" s="345">
        <f t="shared" ref="S46:U64" si="13">(T45/4+T46*3/4)</f>
        <v>-2.3577310395055534E-2</v>
      </c>
      <c r="T46" s="159">
        <v>-1.8345625258351039E-2</v>
      </c>
      <c r="U46" s="345">
        <f t="shared" si="13"/>
        <v>-2.3577310395055534E-2</v>
      </c>
      <c r="V46" s="159">
        <v>-1.8345625258351039E-2</v>
      </c>
    </row>
    <row r="47" spans="1:22">
      <c r="A47" s="24">
        <v>2023</v>
      </c>
      <c r="F47" s="48">
        <f t="shared" si="10"/>
        <v>104.43370687370472</v>
      </c>
      <c r="G47" s="345">
        <f t="shared" si="11"/>
        <v>-6.7489493841520806E-4</v>
      </c>
      <c r="H47" s="48">
        <f t="shared" si="10"/>
        <v>104.20130319468319</v>
      </c>
      <c r="I47" s="345">
        <f t="shared" si="12"/>
        <v>-2.8987634374597676E-3</v>
      </c>
      <c r="S47" s="345">
        <f t="shared" si="13"/>
        <v>-1.1798029379392339E-2</v>
      </c>
      <c r="T47" s="159">
        <v>-9.6154974197394383E-3</v>
      </c>
      <c r="U47" s="345">
        <f t="shared" si="13"/>
        <v>-1.615877145323355E-2</v>
      </c>
      <c r="V47" s="159">
        <v>-1.5429820184861054E-2</v>
      </c>
    </row>
    <row r="48" spans="1:22">
      <c r="A48" s="24">
        <v>2024</v>
      </c>
      <c r="F48" s="48">
        <f t="shared" si="10"/>
        <v>105.61826235996418</v>
      </c>
      <c r="G48" s="345">
        <f t="shared" si="11"/>
        <v>1.1342654797190915E-2</v>
      </c>
      <c r="H48" s="48">
        <f t="shared" si="10"/>
        <v>104.81196021662439</v>
      </c>
      <c r="I48" s="345">
        <f t="shared" si="12"/>
        <v>5.8603587788175777E-3</v>
      </c>
      <c r="S48" s="345">
        <f t="shared" si="13"/>
        <v>-1.5655741229047282E-3</v>
      </c>
      <c r="T48" s="159">
        <v>1.1177336427068418E-3</v>
      </c>
      <c r="U48" s="345">
        <f t="shared" si="13"/>
        <v>-8.8497719534232355E-3</v>
      </c>
      <c r="V48" s="159">
        <v>-6.6564225429439627E-3</v>
      </c>
    </row>
    <row r="49" spans="1:22">
      <c r="A49" s="24">
        <v>2025</v>
      </c>
      <c r="F49" s="48">
        <f t="shared" si="10"/>
        <v>107.61054373068275</v>
      </c>
      <c r="G49" s="345">
        <f t="shared" si="11"/>
        <v>1.8863038703747524E-2</v>
      </c>
      <c r="H49" s="48">
        <f t="shared" si="10"/>
        <v>106.28568545986364</v>
      </c>
      <c r="I49" s="345">
        <f t="shared" si="12"/>
        <v>1.4060659109832271E-2</v>
      </c>
      <c r="S49" s="345">
        <f t="shared" si="13"/>
        <v>1.1177336427068418E-3</v>
      </c>
      <c r="T49" s="159">
        <v>1.1177336427068418E-3</v>
      </c>
      <c r="U49" s="345">
        <f t="shared" si="13"/>
        <v>-1.4878855938363356E-3</v>
      </c>
      <c r="V49" s="159">
        <v>2.3496005586620683E-4</v>
      </c>
    </row>
    <row r="50" spans="1:22">
      <c r="A50" s="24">
        <v>2026</v>
      </c>
      <c r="F50" s="48">
        <f t="shared" si="10"/>
        <v>109.95261027107983</v>
      </c>
      <c r="G50" s="345">
        <f t="shared" si="11"/>
        <v>2.1764284978046236E-2</v>
      </c>
      <c r="H50" s="48">
        <f t="shared" si="10"/>
        <v>108.37027640309888</v>
      </c>
      <c r="I50" s="345">
        <f t="shared" si="12"/>
        <v>1.9613092150799885E-2</v>
      </c>
      <c r="S50" s="345">
        <f t="shared" si="13"/>
        <v>1.1177336427068418E-3</v>
      </c>
      <c r="T50" s="159">
        <v>1.1177336427068418E-3</v>
      </c>
      <c r="U50" s="345">
        <f t="shared" si="13"/>
        <v>9.784449122012262E-4</v>
      </c>
      <c r="V50" s="159">
        <v>1.2262731976462327E-3</v>
      </c>
    </row>
    <row r="51" spans="1:22">
      <c r="A51" s="24">
        <v>2027</v>
      </c>
      <c r="F51" s="48">
        <f t="shared" si="10"/>
        <v>112.43969246177552</v>
      </c>
      <c r="G51" s="345">
        <f t="shared" si="11"/>
        <v>2.2619582969098828E-2</v>
      </c>
      <c r="H51" s="48">
        <f t="shared" si="10"/>
        <v>110.75499023994875</v>
      </c>
      <c r="I51" s="345">
        <f t="shared" si="12"/>
        <v>2.200523903786664E-2</v>
      </c>
      <c r="S51" s="345">
        <f t="shared" si="13"/>
        <v>1.1177336427068418E-3</v>
      </c>
      <c r="T51" s="159">
        <v>1.1177336427068418E-3</v>
      </c>
      <c r="U51" s="345">
        <f t="shared" si="13"/>
        <v>1.2262731976460661E-3</v>
      </c>
      <c r="V51" s="159">
        <v>1.2262731976460106E-3</v>
      </c>
    </row>
    <row r="52" spans="1:22">
      <c r="A52" s="24">
        <v>2028</v>
      </c>
      <c r="F52" s="48">
        <f t="shared" si="10"/>
        <v>115.01138251726691</v>
      </c>
      <c r="G52" s="345">
        <f t="shared" si="11"/>
        <v>2.2871727938651675E-2</v>
      </c>
      <c r="H52" s="48">
        <f t="shared" si="10"/>
        <v>113.27728515378136</v>
      </c>
      <c r="I52" s="345">
        <f t="shared" si="12"/>
        <v>2.2773645759600655E-2</v>
      </c>
      <c r="S52" s="345">
        <f t="shared" si="13"/>
        <v>1.1177336427066753E-3</v>
      </c>
      <c r="T52" s="159">
        <v>1.1177336427066198E-3</v>
      </c>
      <c r="U52" s="345">
        <f t="shared" si="13"/>
        <v>1.2262731976460106E-3</v>
      </c>
      <c r="V52" s="159">
        <v>1.2262731976460106E-3</v>
      </c>
    </row>
    <row r="53" spans="1:22">
      <c r="A53" s="24">
        <v>2029</v>
      </c>
      <c r="F53" s="48">
        <f t="shared" si="10"/>
        <v>117.65044073874365</v>
      </c>
      <c r="G53" s="345">
        <f t="shared" si="11"/>
        <v>2.2946061195991053E-2</v>
      </c>
      <c r="H53" s="48">
        <f t="shared" si="10"/>
        <v>115.88268252064255</v>
      </c>
      <c r="I53" s="345">
        <f t="shared" si="12"/>
        <v>2.3000174865810019E-2</v>
      </c>
      <c r="S53" s="345">
        <f t="shared" si="13"/>
        <v>1.1177336427066198E-3</v>
      </c>
      <c r="T53" s="159">
        <v>1.1177336427066198E-3</v>
      </c>
      <c r="U53" s="345">
        <f t="shared" si="13"/>
        <v>1.2262731976458441E-3</v>
      </c>
      <c r="V53" s="159">
        <v>1.2262731976457886E-3</v>
      </c>
    </row>
    <row r="54" spans="1:22">
      <c r="A54" s="24">
        <v>2030</v>
      </c>
      <c r="F54" s="48">
        <f t="shared" si="10"/>
        <v>120.35263310996592</v>
      </c>
      <c r="G54" s="345">
        <f t="shared" si="11"/>
        <v>2.2967974911566987E-2</v>
      </c>
      <c r="H54" s="48">
        <f t="shared" si="10"/>
        <v>118.55574331433681</v>
      </c>
      <c r="I54" s="345">
        <f t="shared" si="12"/>
        <v>2.3066956473139246E-2</v>
      </c>
      <c r="S54" s="345">
        <f t="shared" si="13"/>
        <v>1.1177336427066198E-3</v>
      </c>
      <c r="T54" s="159">
        <v>1.1177336427066198E-3</v>
      </c>
      <c r="U54" s="345">
        <f t="shared" si="13"/>
        <v>1.2262731976457886E-3</v>
      </c>
      <c r="V54" s="159">
        <v>1.2262731976457886E-3</v>
      </c>
    </row>
    <row r="55" spans="1:22">
      <c r="A55" s="24">
        <v>2031</v>
      </c>
      <c r="F55" s="48">
        <f t="shared" si="10"/>
        <v>123.11766687507262</v>
      </c>
      <c r="G55" s="345">
        <f t="shared" si="11"/>
        <v>2.297443515490263E-2</v>
      </c>
      <c r="H55" s="48">
        <f t="shared" si="10"/>
        <v>121.29279754665204</v>
      </c>
      <c r="I55" s="345">
        <f t="shared" si="12"/>
        <v>2.3086643934729083E-2</v>
      </c>
      <c r="S55" s="345">
        <f t="shared" si="13"/>
        <v>1.1177336427066198E-3</v>
      </c>
      <c r="T55" s="159">
        <v>1.1177336427066198E-3</v>
      </c>
      <c r="U55" s="345">
        <f t="shared" si="13"/>
        <v>1.2262731976457886E-3</v>
      </c>
      <c r="V55" s="159">
        <v>1.2262731976457886E-3</v>
      </c>
    </row>
    <row r="56" spans="1:22">
      <c r="A56" s="24">
        <v>2032</v>
      </c>
      <c r="F56" s="48">
        <f t="shared" si="10"/>
        <v>125.94646020712155</v>
      </c>
      <c r="G56" s="345">
        <f t="shared" si="11"/>
        <v>2.297633965821751E-2</v>
      </c>
      <c r="H56" s="48">
        <f t="shared" si="10"/>
        <v>124.09374515103657</v>
      </c>
      <c r="I56" s="345">
        <f t="shared" si="12"/>
        <v>2.3092447870263919E-2</v>
      </c>
      <c r="S56" s="345">
        <f t="shared" si="13"/>
        <v>1.1177336427066198E-3</v>
      </c>
      <c r="T56" s="159">
        <v>1.1177336427066198E-3</v>
      </c>
      <c r="U56" s="345">
        <f t="shared" si="13"/>
        <v>1.2262731976457886E-3</v>
      </c>
      <c r="V56" s="159">
        <v>1.2262731976457886E-3</v>
      </c>
    </row>
    <row r="57" spans="1:22">
      <c r="A57" s="24">
        <v>2033</v>
      </c>
      <c r="F57" s="48">
        <f t="shared" si="10"/>
        <v>128.84031956880099</v>
      </c>
      <c r="G57" s="345">
        <f t="shared" si="11"/>
        <v>2.297690111274607E-2</v>
      </c>
      <c r="H57" s="48">
        <f t="shared" si="10"/>
        <v>126.95958581901377</v>
      </c>
      <c r="I57" s="345">
        <f t="shared" si="12"/>
        <v>2.3094158891643721E-2</v>
      </c>
      <c r="S57" s="345">
        <f t="shared" si="13"/>
        <v>1.1177336427066198E-3</v>
      </c>
      <c r="T57" s="159">
        <v>1.1177336427066198E-3</v>
      </c>
      <c r="U57" s="345">
        <f t="shared" si="13"/>
        <v>1.2262731976459551E-3</v>
      </c>
      <c r="V57" s="159">
        <v>1.2262731976460106E-3</v>
      </c>
    </row>
    <row r="58" spans="1:22">
      <c r="A58" s="24">
        <v>2034</v>
      </c>
      <c r="F58" s="48">
        <f t="shared" si="10"/>
        <v>131.80069217636873</v>
      </c>
      <c r="G58" s="345">
        <f t="shared" si="11"/>
        <v>2.2977066631590284E-2</v>
      </c>
      <c r="H58" s="48">
        <f t="shared" si="10"/>
        <v>129.89167470709901</v>
      </c>
      <c r="I58" s="345">
        <f t="shared" si="12"/>
        <v>2.309466330699169E-2</v>
      </c>
      <c r="S58" s="345">
        <f t="shared" si="13"/>
        <v>1.1177336427064533E-3</v>
      </c>
      <c r="T58" s="159">
        <v>1.1177336427063977E-3</v>
      </c>
      <c r="U58" s="345">
        <f t="shared" si="13"/>
        <v>1.2262731976460106E-3</v>
      </c>
      <c r="V58" s="159">
        <v>1.2262731976460106E-3</v>
      </c>
    </row>
    <row r="59" spans="1:22">
      <c r="A59" s="24">
        <v>2035</v>
      </c>
      <c r="F59" s="48">
        <f t="shared" si="10"/>
        <v>134.82909189388337</v>
      </c>
      <c r="G59" s="345">
        <f t="shared" si="11"/>
        <v>2.2977115427149704E-2</v>
      </c>
      <c r="H59" s="48">
        <f t="shared" si="10"/>
        <v>132.89149851618555</v>
      </c>
      <c r="I59" s="345">
        <f t="shared" si="12"/>
        <v>2.3094812010477372E-2</v>
      </c>
      <c r="S59" s="345">
        <f t="shared" si="13"/>
        <v>1.1177336427065643E-3</v>
      </c>
      <c r="T59" s="159">
        <v>1.1177336427066198E-3</v>
      </c>
      <c r="U59" s="345">
        <f t="shared" si="13"/>
        <v>1.2262731976460106E-3</v>
      </c>
      <c r="V59" s="159">
        <v>1.2262731976460106E-3</v>
      </c>
    </row>
    <row r="60" spans="1:22">
      <c r="A60" s="24">
        <v>2036</v>
      </c>
      <c r="F60" s="48">
        <f t="shared" si="10"/>
        <v>137.92707744079809</v>
      </c>
      <c r="G60" s="345">
        <f t="shared" si="11"/>
        <v>2.297712981225878E-2</v>
      </c>
      <c r="H60" s="48">
        <f t="shared" si="10"/>
        <v>135.96060851794891</v>
      </c>
      <c r="I60" s="345">
        <f t="shared" si="12"/>
        <v>2.3094855848807709E-2</v>
      </c>
      <c r="S60" s="345">
        <f t="shared" si="13"/>
        <v>1.1177336427066198E-3</v>
      </c>
      <c r="T60" s="159">
        <v>1.1177336427066198E-3</v>
      </c>
      <c r="U60" s="345">
        <f t="shared" si="13"/>
        <v>1.2262731976460106E-3</v>
      </c>
      <c r="V60" s="159">
        <v>1.2262731976460106E-3</v>
      </c>
    </row>
    <row r="61" spans="1:22">
      <c r="A61" s="24">
        <v>2037</v>
      </c>
      <c r="F61" s="48">
        <f t="shared" si="10"/>
        <v>141.09624638869951</v>
      </c>
      <c r="G61" s="345">
        <f t="shared" si="11"/>
        <v>2.297713405304137E-2</v>
      </c>
      <c r="H61" s="48">
        <f t="shared" si="10"/>
        <v>139.10060092990119</v>
      </c>
      <c r="I61" s="345">
        <f t="shared" si="12"/>
        <v>2.3094868772507417E-2</v>
      </c>
      <c r="S61" s="345">
        <f t="shared" si="13"/>
        <v>1.1177336427064533E-3</v>
      </c>
      <c r="T61" s="159">
        <v>1.1177336427063977E-3</v>
      </c>
      <c r="U61" s="345">
        <f t="shared" si="13"/>
        <v>1.2262731976458441E-3</v>
      </c>
      <c r="V61" s="159">
        <v>1.2262731976457886E-3</v>
      </c>
    </row>
    <row r="62" spans="1:22">
      <c r="A62" s="24">
        <v>2038</v>
      </c>
      <c r="F62" s="48">
        <f t="shared" si="10"/>
        <v>144.33823393275188</v>
      </c>
      <c r="G62" s="345">
        <f t="shared" si="11"/>
        <v>2.2977135303239485E-2</v>
      </c>
      <c r="H62" s="48">
        <f t="shared" si="10"/>
        <v>142.31311158452104</v>
      </c>
      <c r="I62" s="345">
        <f t="shared" si="12"/>
        <v>2.3094872582461189E-2</v>
      </c>
      <c r="S62" s="345">
        <f t="shared" si="13"/>
        <v>1.1177336427063977E-3</v>
      </c>
      <c r="T62" s="159">
        <v>1.1177336427063977E-3</v>
      </c>
      <c r="U62" s="345">
        <f t="shared" si="13"/>
        <v>1.2262731976457886E-3</v>
      </c>
      <c r="V62" s="159">
        <v>1.2262731976457886E-3</v>
      </c>
    </row>
    <row r="63" spans="1:22">
      <c r="A63" s="24">
        <v>2039</v>
      </c>
      <c r="F63" s="48">
        <f t="shared" si="10"/>
        <v>147.65471311645308</v>
      </c>
      <c r="G63" s="345">
        <f t="shared" si="11"/>
        <v>2.2977135671802436E-2</v>
      </c>
      <c r="H63" s="48">
        <f t="shared" si="10"/>
        <v>145.59981492322356</v>
      </c>
      <c r="I63" s="345">
        <f t="shared" si="12"/>
        <v>2.3094873705649541E-2</v>
      </c>
      <c r="S63" s="345">
        <f t="shared" si="13"/>
        <v>1.1177336427063977E-3</v>
      </c>
      <c r="T63" s="159">
        <v>1.1177336427063977E-3</v>
      </c>
      <c r="U63" s="345">
        <f t="shared" si="13"/>
        <v>1.2262731976459551E-3</v>
      </c>
      <c r="V63" s="159">
        <v>1.2262731976460106E-3</v>
      </c>
    </row>
    <row r="64" spans="1:22">
      <c r="A64" s="24">
        <v>2040</v>
      </c>
      <c r="F64" s="48">
        <f t="shared" si="10"/>
        <v>151.04739550835413</v>
      </c>
      <c r="G64" s="345">
        <f t="shared" si="11"/>
        <v>2.297713578045614E-2</v>
      </c>
      <c r="H64" s="48">
        <f t="shared" si="10"/>
        <v>148.96242430865237</v>
      </c>
      <c r="I64" s="345">
        <f t="shared" si="12"/>
        <v>2.3094874036769554E-2</v>
      </c>
      <c r="S64" s="345">
        <f t="shared" si="13"/>
        <v>1.1177336427063977E-3</v>
      </c>
      <c r="T64" s="159">
        <v>1.1177336427063977E-3</v>
      </c>
      <c r="U64" s="345">
        <f t="shared" si="13"/>
        <v>1.2262731976458441E-3</v>
      </c>
      <c r="V64" s="159">
        <v>1.2262731976457886E-3</v>
      </c>
    </row>
    <row r="94" spans="3:15">
      <c r="C94" s="24">
        <v>658517</v>
      </c>
      <c r="D94" s="37">
        <v>626467</v>
      </c>
      <c r="E94" s="37">
        <v>626222</v>
      </c>
      <c r="F94" s="71">
        <v>647583</v>
      </c>
      <c r="G94" s="90">
        <v>697984</v>
      </c>
      <c r="N94" s="71">
        <v>933209</v>
      </c>
      <c r="O94" s="350">
        <v>903350</v>
      </c>
    </row>
  </sheetData>
  <mergeCells count="3">
    <mergeCell ref="D2:G2"/>
    <mergeCell ref="K2:L2"/>
    <mergeCell ref="N2:Q2"/>
  </mergeCells>
  <phoneticPr fontId="1"/>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C1C3F-EA57-4E37-9006-52F739DFAFCE}">
  <dimension ref="A1:H171"/>
  <sheetViews>
    <sheetView topLeftCell="A142" zoomScale="55" zoomScaleNormal="55" workbookViewId="0">
      <selection activeCell="F57" sqref="A1:H57"/>
    </sheetView>
  </sheetViews>
  <sheetFormatPr defaultColWidth="8.84375" defaultRowHeight="18.45"/>
  <cols>
    <col min="1" max="1" width="6.3046875" style="24" bestFit="1" customWidth="1"/>
    <col min="2" max="2" width="4.4609375" style="354" bestFit="1" customWidth="1"/>
    <col min="3" max="3" width="15.07421875" style="26" bestFit="1" customWidth="1"/>
    <col min="4" max="4" width="8.84375" style="24"/>
    <col min="5" max="5" width="27" style="24" customWidth="1"/>
    <col min="6" max="6" width="24.84375" style="24" bestFit="1" customWidth="1"/>
    <col min="7" max="7" width="26.07421875" style="24" bestFit="1" customWidth="1"/>
    <col min="8" max="8" width="17.84375" style="24" bestFit="1" customWidth="1"/>
    <col min="9" max="16384" width="8.84375" style="24"/>
  </cols>
  <sheetData>
    <row r="1" spans="1:8">
      <c r="B1" s="24"/>
    </row>
    <row r="2" spans="1:8">
      <c r="B2" s="24"/>
      <c r="C2" s="352" t="s">
        <v>486</v>
      </c>
      <c r="E2" s="425" t="s">
        <v>646</v>
      </c>
      <c r="F2" s="425"/>
      <c r="G2" s="425"/>
      <c r="H2" s="425"/>
    </row>
    <row r="3" spans="1:8" ht="36.9">
      <c r="B3" s="24"/>
      <c r="C3" s="26" t="s">
        <v>44</v>
      </c>
      <c r="E3" s="357" t="s">
        <v>647</v>
      </c>
      <c r="F3" s="357" t="s">
        <v>648</v>
      </c>
      <c r="G3" s="357" t="s">
        <v>649</v>
      </c>
      <c r="H3" s="353" t="s">
        <v>641</v>
      </c>
    </row>
    <row r="4" spans="1:8">
      <c r="A4" s="24">
        <v>1980</v>
      </c>
      <c r="B4" s="354" t="s">
        <v>650</v>
      </c>
      <c r="C4" s="26">
        <v>-6.0000000000000001E-3</v>
      </c>
    </row>
    <row r="5" spans="1:8">
      <c r="B5" s="354" t="s">
        <v>651</v>
      </c>
      <c r="C5" s="26">
        <v>-2.2000000000000002E-2</v>
      </c>
    </row>
    <row r="6" spans="1:8">
      <c r="B6" s="354" t="s">
        <v>652</v>
      </c>
      <c r="C6" s="26">
        <v>-1.1000000000000001E-2</v>
      </c>
    </row>
    <row r="7" spans="1:8">
      <c r="B7" s="354" t="s">
        <v>653</v>
      </c>
      <c r="C7" s="26">
        <v>0</v>
      </c>
    </row>
    <row r="8" spans="1:8">
      <c r="A8" s="24">
        <v>1981</v>
      </c>
      <c r="B8" s="354" t="s">
        <v>650</v>
      </c>
      <c r="C8" s="26">
        <v>-2E-3</v>
      </c>
    </row>
    <row r="9" spans="1:8">
      <c r="B9" s="354" t="s">
        <v>651</v>
      </c>
      <c r="C9" s="26">
        <v>-1E-3</v>
      </c>
    </row>
    <row r="10" spans="1:8">
      <c r="B10" s="354" t="s">
        <v>652</v>
      </c>
      <c r="C10" s="26">
        <v>-6.9999999999999993E-3</v>
      </c>
    </row>
    <row r="11" spans="1:8">
      <c r="B11" s="354" t="s">
        <v>653</v>
      </c>
      <c r="C11" s="26">
        <v>-0.01</v>
      </c>
    </row>
    <row r="12" spans="1:8">
      <c r="A12" s="24">
        <v>1982</v>
      </c>
      <c r="B12" s="354" t="s">
        <v>650</v>
      </c>
      <c r="C12" s="26">
        <v>-6.0000000000000001E-3</v>
      </c>
    </row>
    <row r="13" spans="1:8">
      <c r="B13" s="354" t="s">
        <v>651</v>
      </c>
      <c r="C13" s="26">
        <v>-8.0000000000000002E-3</v>
      </c>
    </row>
    <row r="14" spans="1:8">
      <c r="B14" s="354" t="s">
        <v>652</v>
      </c>
      <c r="C14" s="26">
        <v>-1.3000000000000001E-2</v>
      </c>
    </row>
    <row r="15" spans="1:8">
      <c r="B15" s="354" t="s">
        <v>653</v>
      </c>
      <c r="C15" s="26">
        <v>-8.0000000000000002E-3</v>
      </c>
    </row>
    <row r="16" spans="1:8">
      <c r="A16" s="24">
        <v>1983</v>
      </c>
      <c r="B16" s="354" t="s">
        <v>650</v>
      </c>
      <c r="C16" s="26">
        <v>-1.3000000000000001E-2</v>
      </c>
    </row>
    <row r="17" spans="1:3">
      <c r="B17" s="354" t="s">
        <v>651</v>
      </c>
      <c r="C17" s="26">
        <v>-1.3999999999999999E-2</v>
      </c>
    </row>
    <row r="18" spans="1:3">
      <c r="B18" s="354" t="s">
        <v>652</v>
      </c>
      <c r="C18" s="26">
        <v>-0.01</v>
      </c>
    </row>
    <row r="19" spans="1:3">
      <c r="B19" s="354" t="s">
        <v>653</v>
      </c>
      <c r="C19" s="26">
        <v>-1.2E-2</v>
      </c>
    </row>
    <row r="20" spans="1:3">
      <c r="A20" s="24">
        <v>1984</v>
      </c>
      <c r="B20" s="354" t="s">
        <v>650</v>
      </c>
      <c r="C20" s="26">
        <v>-1.1000000000000001E-2</v>
      </c>
    </row>
    <row r="21" spans="1:3">
      <c r="B21" s="354" t="s">
        <v>651</v>
      </c>
      <c r="C21" s="26">
        <v>-2E-3</v>
      </c>
    </row>
    <row r="22" spans="1:3">
      <c r="B22" s="354" t="s">
        <v>652</v>
      </c>
      <c r="C22" s="26">
        <v>-5.0000000000000001E-3</v>
      </c>
    </row>
    <row r="23" spans="1:3">
      <c r="B23" s="354" t="s">
        <v>653</v>
      </c>
      <c r="C23" s="26">
        <v>-1.1000000000000001E-2</v>
      </c>
    </row>
    <row r="24" spans="1:3">
      <c r="A24" s="24">
        <v>1985</v>
      </c>
      <c r="B24" s="354" t="s">
        <v>650</v>
      </c>
      <c r="C24" s="26">
        <v>-9.0000000000000011E-3</v>
      </c>
    </row>
    <row r="25" spans="1:3">
      <c r="B25" s="354" t="s">
        <v>651</v>
      </c>
      <c r="C25" s="26">
        <v>0</v>
      </c>
    </row>
    <row r="26" spans="1:3">
      <c r="B26" s="354" t="s">
        <v>652</v>
      </c>
      <c r="C26" s="26">
        <v>4.0000000000000001E-3</v>
      </c>
    </row>
    <row r="27" spans="1:3">
      <c r="B27" s="354" t="s">
        <v>653</v>
      </c>
      <c r="C27" s="26">
        <v>0.01</v>
      </c>
    </row>
    <row r="28" spans="1:3">
      <c r="A28" s="24">
        <v>1986</v>
      </c>
      <c r="B28" s="354" t="s">
        <v>650</v>
      </c>
      <c r="C28" s="26">
        <v>-2E-3</v>
      </c>
    </row>
    <row r="29" spans="1:3">
      <c r="B29" s="354" t="s">
        <v>651</v>
      </c>
      <c r="C29" s="26">
        <v>-9.0000000000000011E-3</v>
      </c>
    </row>
    <row r="30" spans="1:3">
      <c r="B30" s="354" t="s">
        <v>652</v>
      </c>
      <c r="C30" s="26">
        <v>-1.3999999999999999E-2</v>
      </c>
    </row>
    <row r="31" spans="1:3">
      <c r="B31" s="354" t="s">
        <v>653</v>
      </c>
      <c r="C31" s="26">
        <v>-1.3000000000000001E-2</v>
      </c>
    </row>
    <row r="32" spans="1:3">
      <c r="A32" s="24">
        <v>1987</v>
      </c>
      <c r="B32" s="354" t="s">
        <v>650</v>
      </c>
      <c r="C32" s="26">
        <v>-2.2000000000000002E-2</v>
      </c>
    </row>
    <row r="33" spans="1:3">
      <c r="B33" s="354" t="s">
        <v>651</v>
      </c>
      <c r="C33" s="26">
        <v>-1.4999999999999999E-2</v>
      </c>
    </row>
    <row r="34" spans="1:3">
      <c r="B34" s="354" t="s">
        <v>652</v>
      </c>
      <c r="C34" s="26">
        <v>-8.0000000000000002E-3</v>
      </c>
    </row>
    <row r="35" spans="1:3">
      <c r="B35" s="354" t="s">
        <v>653</v>
      </c>
      <c r="C35" s="26">
        <v>6.0000000000000001E-3</v>
      </c>
    </row>
    <row r="36" spans="1:3">
      <c r="A36" s="24">
        <v>1988</v>
      </c>
      <c r="B36" s="354" t="s">
        <v>650</v>
      </c>
      <c r="C36" s="26">
        <v>1.2E-2</v>
      </c>
    </row>
    <row r="37" spans="1:3">
      <c r="B37" s="354" t="s">
        <v>651</v>
      </c>
      <c r="C37" s="26">
        <v>6.0000000000000001E-3</v>
      </c>
    </row>
    <row r="38" spans="1:3">
      <c r="B38" s="354" t="s">
        <v>652</v>
      </c>
      <c r="C38" s="26">
        <v>1.3000000000000001E-2</v>
      </c>
    </row>
    <row r="39" spans="1:3">
      <c r="B39" s="354" t="s">
        <v>653</v>
      </c>
      <c r="C39" s="26">
        <v>1.3000000000000001E-2</v>
      </c>
    </row>
    <row r="40" spans="1:3">
      <c r="A40" s="24">
        <v>1989</v>
      </c>
      <c r="B40" s="354" t="s">
        <v>650</v>
      </c>
      <c r="C40" s="26">
        <v>2.3E-2</v>
      </c>
    </row>
    <row r="41" spans="1:3">
      <c r="B41" s="354" t="s">
        <v>651</v>
      </c>
      <c r="C41" s="26">
        <v>1E-3</v>
      </c>
    </row>
    <row r="42" spans="1:3">
      <c r="B42" s="354" t="s">
        <v>652</v>
      </c>
      <c r="C42" s="26">
        <v>6.0000000000000001E-3</v>
      </c>
    </row>
    <row r="43" spans="1:3">
      <c r="B43" s="354" t="s">
        <v>653</v>
      </c>
      <c r="C43" s="26">
        <v>2.4E-2</v>
      </c>
    </row>
    <row r="44" spans="1:3">
      <c r="A44" s="24">
        <v>1990</v>
      </c>
      <c r="B44" s="354" t="s">
        <v>650</v>
      </c>
      <c r="C44" s="26">
        <v>6.9999999999999993E-3</v>
      </c>
    </row>
    <row r="45" spans="1:3">
      <c r="B45" s="354" t="s">
        <v>651</v>
      </c>
      <c r="C45" s="26">
        <v>2.4E-2</v>
      </c>
    </row>
    <row r="46" spans="1:3">
      <c r="B46" s="354" t="s">
        <v>652</v>
      </c>
      <c r="C46" s="26">
        <v>3.4000000000000002E-2</v>
      </c>
    </row>
    <row r="47" spans="1:3">
      <c r="B47" s="354" t="s">
        <v>653</v>
      </c>
      <c r="C47" s="26">
        <v>2.5000000000000001E-2</v>
      </c>
    </row>
    <row r="48" spans="1:3">
      <c r="A48" s="24">
        <v>1991</v>
      </c>
      <c r="B48" s="354" t="s">
        <v>650</v>
      </c>
      <c r="C48" s="26">
        <v>2.7000000000000003E-2</v>
      </c>
    </row>
    <row r="49" spans="1:3">
      <c r="B49" s="354" t="s">
        <v>651</v>
      </c>
      <c r="C49" s="26">
        <v>2.7999999999999997E-2</v>
      </c>
    </row>
    <row r="50" spans="1:3">
      <c r="B50" s="354" t="s">
        <v>652</v>
      </c>
      <c r="C50" s="26">
        <v>0.02</v>
      </c>
    </row>
    <row r="51" spans="1:3">
      <c r="B51" s="354" t="s">
        <v>653</v>
      </c>
      <c r="C51" s="26">
        <v>2.1000000000000001E-2</v>
      </c>
    </row>
    <row r="52" spans="1:3">
      <c r="A52" s="24">
        <v>1992</v>
      </c>
      <c r="B52" s="354" t="s">
        <v>650</v>
      </c>
      <c r="C52" s="26">
        <v>1.6E-2</v>
      </c>
    </row>
    <row r="53" spans="1:3">
      <c r="B53" s="354" t="s">
        <v>651</v>
      </c>
      <c r="C53" s="26">
        <v>0.01</v>
      </c>
    </row>
    <row r="54" spans="1:3">
      <c r="B54" s="354" t="s">
        <v>652</v>
      </c>
      <c r="C54" s="26">
        <v>8.0000000000000002E-3</v>
      </c>
    </row>
    <row r="55" spans="1:3">
      <c r="B55" s="354" t="s">
        <v>653</v>
      </c>
      <c r="C55" s="26">
        <v>-3.0000000000000001E-3</v>
      </c>
    </row>
    <row r="56" spans="1:3">
      <c r="A56" s="24">
        <v>1993</v>
      </c>
      <c r="B56" s="354" t="s">
        <v>650</v>
      </c>
      <c r="C56" s="26">
        <v>-3.0000000000000001E-3</v>
      </c>
    </row>
    <row r="57" spans="1:3">
      <c r="B57" s="354" t="s">
        <v>651</v>
      </c>
      <c r="C57" s="26">
        <v>-1.6E-2</v>
      </c>
    </row>
    <row r="58" spans="1:3">
      <c r="B58" s="354" t="s">
        <v>652</v>
      </c>
      <c r="C58" s="26">
        <v>-2.5000000000000001E-2</v>
      </c>
    </row>
    <row r="59" spans="1:3">
      <c r="B59" s="354" t="s">
        <v>653</v>
      </c>
      <c r="C59" s="26">
        <v>-2.6000000000000002E-2</v>
      </c>
    </row>
    <row r="60" spans="1:3">
      <c r="A60" s="24">
        <v>1994</v>
      </c>
      <c r="B60" s="354" t="s">
        <v>650</v>
      </c>
      <c r="C60" s="26">
        <v>-1.9E-2</v>
      </c>
    </row>
    <row r="61" spans="1:3">
      <c r="B61" s="354" t="s">
        <v>651</v>
      </c>
      <c r="C61" s="26">
        <v>-2.7999999999999997E-2</v>
      </c>
    </row>
    <row r="62" spans="1:3">
      <c r="B62" s="354" t="s">
        <v>652</v>
      </c>
      <c r="C62" s="26">
        <v>-2.1000000000000001E-2</v>
      </c>
    </row>
    <row r="63" spans="1:3">
      <c r="B63" s="354" t="s">
        <v>653</v>
      </c>
      <c r="C63" s="26">
        <v>-2.8999999999999998E-2</v>
      </c>
    </row>
    <row r="64" spans="1:3">
      <c r="A64" s="24">
        <v>1995</v>
      </c>
      <c r="B64" s="354" t="s">
        <v>650</v>
      </c>
      <c r="C64" s="26">
        <v>-2.2000000000000002E-2</v>
      </c>
    </row>
    <row r="65" spans="1:8">
      <c r="B65" s="354" t="s">
        <v>651</v>
      </c>
      <c r="C65" s="26">
        <v>-1.6E-2</v>
      </c>
      <c r="E65" s="358">
        <v>100.05637182810543</v>
      </c>
    </row>
    <row r="66" spans="1:8">
      <c r="B66" s="354" t="s">
        <v>652</v>
      </c>
      <c r="C66" s="26">
        <v>-8.0000000000000002E-3</v>
      </c>
      <c r="E66" s="358">
        <v>100.00928492017673</v>
      </c>
      <c r="H66" s="356">
        <f t="shared" ref="H66:H84" si="0">E66/E65-1</f>
        <v>-4.7060379132668473E-4</v>
      </c>
    </row>
    <row r="67" spans="1:8">
      <c r="B67" s="354" t="s">
        <v>653</v>
      </c>
      <c r="C67" s="26">
        <v>-9.0000000000000011E-3</v>
      </c>
      <c r="E67" s="358">
        <v>100.34597488267443</v>
      </c>
      <c r="H67" s="356">
        <f t="shared" si="0"/>
        <v>3.3665870400576559E-3</v>
      </c>
    </row>
    <row r="68" spans="1:8">
      <c r="A68" s="24">
        <v>1996</v>
      </c>
      <c r="B68" s="354" t="s">
        <v>650</v>
      </c>
      <c r="C68" s="26">
        <v>-5.0000000000000001E-3</v>
      </c>
      <c r="E68" s="358">
        <v>99.587886182991156</v>
      </c>
      <c r="H68" s="356">
        <f t="shared" si="0"/>
        <v>-7.5547494612477895E-3</v>
      </c>
    </row>
    <row r="69" spans="1:8">
      <c r="B69" s="354" t="s">
        <v>651</v>
      </c>
      <c r="C69" s="26">
        <v>5.0000000000000001E-3</v>
      </c>
      <c r="E69" s="358">
        <v>99.813162094086451</v>
      </c>
      <c r="H69" s="356">
        <f t="shared" si="0"/>
        <v>2.2620814612066553E-3</v>
      </c>
    </row>
    <row r="70" spans="1:8">
      <c r="B70" s="354" t="s">
        <v>652</v>
      </c>
      <c r="C70" s="26">
        <v>3.0000000000000001E-3</v>
      </c>
      <c r="E70" s="358">
        <v>99.947426973984363</v>
      </c>
      <c r="H70" s="356">
        <f t="shared" si="0"/>
        <v>1.3451620716249391E-3</v>
      </c>
    </row>
    <row r="71" spans="1:8">
      <c r="B71" s="354" t="s">
        <v>653</v>
      </c>
      <c r="C71" s="26">
        <v>1.1000000000000001E-2</v>
      </c>
      <c r="E71" s="358">
        <v>100.80183929308052</v>
      </c>
      <c r="H71" s="356">
        <f t="shared" si="0"/>
        <v>8.5486174578417451E-3</v>
      </c>
    </row>
    <row r="72" spans="1:8">
      <c r="A72" s="24">
        <v>1997</v>
      </c>
      <c r="B72" s="354" t="s">
        <v>650</v>
      </c>
      <c r="C72" s="26">
        <v>1.1000000000000001E-2</v>
      </c>
      <c r="E72" s="358">
        <v>100.41438984644273</v>
      </c>
      <c r="H72" s="356">
        <f t="shared" si="0"/>
        <v>-3.8436743749414859E-3</v>
      </c>
    </row>
    <row r="73" spans="1:8">
      <c r="B73" s="354" t="s">
        <v>651</v>
      </c>
      <c r="C73" s="26">
        <v>1E-3</v>
      </c>
      <c r="E73" s="358">
        <v>101.8</v>
      </c>
      <c r="H73" s="356">
        <f t="shared" si="0"/>
        <v>1.3798920211298249E-2</v>
      </c>
    </row>
    <row r="74" spans="1:8">
      <c r="B74" s="354" t="s">
        <v>652</v>
      </c>
      <c r="C74" s="26">
        <v>0</v>
      </c>
      <c r="E74" s="358">
        <v>101.1</v>
      </c>
      <c r="H74" s="356">
        <f t="shared" si="0"/>
        <v>-6.8762278978389269E-3</v>
      </c>
    </row>
    <row r="75" spans="1:8">
      <c r="B75" s="354" t="s">
        <v>653</v>
      </c>
      <c r="C75" s="26">
        <v>-2E-3</v>
      </c>
      <c r="E75" s="358">
        <v>101.1</v>
      </c>
      <c r="H75" s="356">
        <f t="shared" si="0"/>
        <v>0</v>
      </c>
    </row>
    <row r="76" spans="1:8">
      <c r="A76" s="24">
        <v>1998</v>
      </c>
      <c r="B76" s="354" t="s">
        <v>650</v>
      </c>
      <c r="C76" s="26">
        <v>-1.6E-2</v>
      </c>
      <c r="E76" s="358">
        <v>99.9</v>
      </c>
      <c r="H76" s="356">
        <f t="shared" si="0"/>
        <v>-1.186943620178027E-2</v>
      </c>
    </row>
    <row r="77" spans="1:8">
      <c r="B77" s="354" t="s">
        <v>651</v>
      </c>
      <c r="C77" s="26">
        <v>-2.2000000000000002E-2</v>
      </c>
      <c r="E77" s="358">
        <v>99.7</v>
      </c>
      <c r="H77" s="356">
        <f t="shared" si="0"/>
        <v>-2.0020020020020679E-3</v>
      </c>
    </row>
    <row r="78" spans="1:8">
      <c r="B78" s="354" t="s">
        <v>652</v>
      </c>
      <c r="C78" s="26">
        <v>-2.2000000000000002E-2</v>
      </c>
      <c r="E78" s="358">
        <v>99.3</v>
      </c>
      <c r="H78" s="356">
        <f t="shared" si="0"/>
        <v>-4.0120361083250122E-3</v>
      </c>
    </row>
    <row r="79" spans="1:8">
      <c r="B79" s="354" t="s">
        <v>653</v>
      </c>
      <c r="C79" s="26">
        <v>-1.7000000000000001E-2</v>
      </c>
      <c r="E79" s="358">
        <v>99.4</v>
      </c>
      <c r="H79" s="356">
        <f t="shared" si="0"/>
        <v>1.0070493454179541E-3</v>
      </c>
    </row>
    <row r="80" spans="1:8">
      <c r="A80" s="24">
        <v>1999</v>
      </c>
      <c r="B80" s="354" t="s">
        <v>650</v>
      </c>
      <c r="C80" s="26">
        <v>-3.2000000000000001E-2</v>
      </c>
      <c r="E80" s="358">
        <v>97.7</v>
      </c>
      <c r="H80" s="356">
        <f t="shared" si="0"/>
        <v>-1.7102615694165046E-2</v>
      </c>
    </row>
    <row r="81" spans="1:8">
      <c r="B81" s="354" t="s">
        <v>651</v>
      </c>
      <c r="C81" s="26">
        <v>-3.1E-2</v>
      </c>
      <c r="E81" s="358">
        <v>97.8</v>
      </c>
      <c r="H81" s="356">
        <f t="shared" si="0"/>
        <v>1.0235414534287557E-3</v>
      </c>
    </row>
    <row r="82" spans="1:8">
      <c r="B82" s="354" t="s">
        <v>652</v>
      </c>
      <c r="C82" s="26">
        <v>-2.7000000000000003E-2</v>
      </c>
      <c r="E82" s="358">
        <v>97.9</v>
      </c>
      <c r="H82" s="356">
        <f t="shared" si="0"/>
        <v>1.0224948875257045E-3</v>
      </c>
    </row>
    <row r="83" spans="1:8">
      <c r="B83" s="354" t="s">
        <v>653</v>
      </c>
      <c r="C83" s="26">
        <v>-2.8999999999999998E-2</v>
      </c>
      <c r="E83" s="358">
        <v>98.3</v>
      </c>
      <c r="H83" s="356">
        <f t="shared" si="0"/>
        <v>4.0858018386107364E-3</v>
      </c>
    </row>
    <row r="84" spans="1:8">
      <c r="A84" s="24">
        <v>2000</v>
      </c>
      <c r="B84" s="354" t="s">
        <v>650</v>
      </c>
      <c r="C84" s="26">
        <v>-1.4999999999999999E-2</v>
      </c>
      <c r="E84" s="358">
        <v>98.2</v>
      </c>
      <c r="H84" s="356">
        <f t="shared" si="0"/>
        <v>-1.0172939979653517E-3</v>
      </c>
    </row>
    <row r="85" spans="1:8">
      <c r="B85" s="354" t="s">
        <v>651</v>
      </c>
      <c r="C85" s="26">
        <v>-1.2E-2</v>
      </c>
      <c r="E85" s="358">
        <v>98</v>
      </c>
      <c r="F85" s="24">
        <v>99.7</v>
      </c>
      <c r="H85" s="356">
        <f>E85/E84-1</f>
        <v>-2.0366598778004397E-3</v>
      </c>
    </row>
    <row r="86" spans="1:8">
      <c r="B86" s="354" t="s">
        <v>652</v>
      </c>
      <c r="C86" s="26">
        <v>-1.3999999999999999E-2</v>
      </c>
      <c r="E86" s="358">
        <v>98.5</v>
      </c>
      <c r="F86" s="24">
        <v>100.1</v>
      </c>
      <c r="H86" s="356">
        <f t="shared" ref="H86:H128" si="1">F86/F85-1</f>
        <v>4.0120361083249012E-3</v>
      </c>
    </row>
    <row r="87" spans="1:8">
      <c r="B87" s="354" t="s">
        <v>653</v>
      </c>
      <c r="C87" s="26">
        <v>-6.9999999999999993E-3</v>
      </c>
      <c r="E87" s="358">
        <v>98.7</v>
      </c>
      <c r="F87" s="24">
        <v>100.2</v>
      </c>
      <c r="H87" s="356">
        <f t="shared" si="1"/>
        <v>9.990009990010762E-4</v>
      </c>
    </row>
    <row r="88" spans="1:8">
      <c r="A88" s="24">
        <v>2001</v>
      </c>
      <c r="B88" s="354" t="s">
        <v>650</v>
      </c>
      <c r="C88" s="26">
        <v>-2E-3</v>
      </c>
      <c r="E88" s="358">
        <v>97.8</v>
      </c>
      <c r="F88" s="24">
        <v>99.2</v>
      </c>
      <c r="H88" s="356">
        <f t="shared" si="1"/>
        <v>-9.9800399201597223E-3</v>
      </c>
    </row>
    <row r="89" spans="1:8">
      <c r="B89" s="354" t="s">
        <v>651</v>
      </c>
      <c r="C89" s="26">
        <v>-1.2E-2</v>
      </c>
      <c r="E89" s="358">
        <v>97.9</v>
      </c>
      <c r="F89" s="24">
        <v>98.9</v>
      </c>
      <c r="H89" s="356">
        <f t="shared" si="1"/>
        <v>-3.0241935483871218E-3</v>
      </c>
    </row>
    <row r="90" spans="1:8">
      <c r="B90" s="354" t="s">
        <v>652</v>
      </c>
      <c r="C90" s="26">
        <v>-2.5000000000000001E-2</v>
      </c>
      <c r="E90" s="358">
        <v>97.2</v>
      </c>
      <c r="F90" s="24">
        <v>98</v>
      </c>
      <c r="H90" s="356">
        <f t="shared" si="1"/>
        <v>-9.1001011122345821E-3</v>
      </c>
    </row>
    <row r="91" spans="1:8">
      <c r="B91" s="354" t="s">
        <v>653</v>
      </c>
      <c r="C91" s="26">
        <v>-3.1E-2</v>
      </c>
      <c r="E91" s="358">
        <v>97.4</v>
      </c>
      <c r="F91" s="24">
        <v>98.2</v>
      </c>
      <c r="H91" s="356">
        <f t="shared" si="1"/>
        <v>2.0408163265306367E-3</v>
      </c>
    </row>
    <row r="92" spans="1:8">
      <c r="A92" s="24">
        <v>2002</v>
      </c>
      <c r="B92" s="354" t="s">
        <v>650</v>
      </c>
      <c r="C92" s="26">
        <v>-3.1E-2</v>
      </c>
      <c r="E92" s="358">
        <v>96.6</v>
      </c>
      <c r="F92" s="24">
        <v>97.3</v>
      </c>
      <c r="H92" s="356">
        <f t="shared" si="1"/>
        <v>-9.164969450101923E-3</v>
      </c>
    </row>
    <row r="93" spans="1:8">
      <c r="B93" s="354" t="s">
        <v>651</v>
      </c>
      <c r="C93" s="26">
        <v>-2.6000000000000002E-2</v>
      </c>
      <c r="E93" s="358">
        <v>96.6</v>
      </c>
      <c r="F93" s="24">
        <v>96.9</v>
      </c>
      <c r="H93" s="356">
        <f t="shared" si="1"/>
        <v>-4.1109969167522076E-3</v>
      </c>
    </row>
    <row r="94" spans="1:8">
      <c r="B94" s="354" t="s">
        <v>652</v>
      </c>
      <c r="C94" s="26">
        <v>-2.6000000000000002E-2</v>
      </c>
      <c r="E94" s="358">
        <v>96.7</v>
      </c>
      <c r="F94" s="24">
        <v>96.9</v>
      </c>
      <c r="H94" s="356">
        <f t="shared" si="1"/>
        <v>0</v>
      </c>
    </row>
    <row r="95" spans="1:8">
      <c r="B95" s="354" t="s">
        <v>653</v>
      </c>
      <c r="C95" s="26">
        <v>-2.5000000000000001E-2</v>
      </c>
      <c r="E95" s="358">
        <v>97.3</v>
      </c>
      <c r="F95" s="24">
        <v>97.4</v>
      </c>
      <c r="H95" s="356">
        <f t="shared" si="1"/>
        <v>5.1599587203301489E-3</v>
      </c>
    </row>
    <row r="96" spans="1:8">
      <c r="A96" s="24">
        <v>2003</v>
      </c>
      <c r="B96" s="354" t="s">
        <v>650</v>
      </c>
      <c r="C96" s="26">
        <v>-2.7999999999999997E-2</v>
      </c>
      <c r="E96" s="358">
        <v>97.2</v>
      </c>
      <c r="F96" s="24">
        <v>97.2</v>
      </c>
      <c r="H96" s="356">
        <f t="shared" si="1"/>
        <v>-2.0533880903490509E-3</v>
      </c>
    </row>
    <row r="97" spans="1:8">
      <c r="B97" s="354" t="s">
        <v>651</v>
      </c>
      <c r="C97" s="26">
        <v>-2.4E-2</v>
      </c>
      <c r="E97" s="358">
        <v>97.3</v>
      </c>
      <c r="F97" s="24">
        <v>97.2</v>
      </c>
      <c r="H97" s="356">
        <f t="shared" si="1"/>
        <v>0</v>
      </c>
    </row>
    <row r="98" spans="1:8">
      <c r="B98" s="354" t="s">
        <v>652</v>
      </c>
      <c r="C98" s="26">
        <v>-2.3E-2</v>
      </c>
      <c r="E98" s="358">
        <v>97.7</v>
      </c>
      <c r="F98" s="24">
        <v>97.6</v>
      </c>
      <c r="H98" s="356">
        <f t="shared" si="1"/>
        <v>4.1152263374484299E-3</v>
      </c>
    </row>
    <row r="99" spans="1:8">
      <c r="B99" s="354" t="s">
        <v>653</v>
      </c>
      <c r="C99" s="26">
        <v>-1.6E-2</v>
      </c>
      <c r="E99" s="358">
        <v>97.9</v>
      </c>
      <c r="F99" s="24">
        <v>97.9</v>
      </c>
      <c r="H99" s="356">
        <f t="shared" si="1"/>
        <v>3.0737704918033515E-3</v>
      </c>
    </row>
    <row r="100" spans="1:8">
      <c r="A100" s="24">
        <v>2004</v>
      </c>
      <c r="B100" s="354" t="s">
        <v>650</v>
      </c>
      <c r="C100" s="26">
        <v>-1.1000000000000001E-2</v>
      </c>
      <c r="E100" s="358">
        <v>98.1</v>
      </c>
      <c r="F100" s="24">
        <v>98.1</v>
      </c>
      <c r="H100" s="356">
        <f t="shared" si="1"/>
        <v>2.0429009193052572E-3</v>
      </c>
    </row>
    <row r="101" spans="1:8">
      <c r="B101" s="354" t="s">
        <v>651</v>
      </c>
      <c r="C101" s="26">
        <v>-1.3999999999999999E-2</v>
      </c>
      <c r="E101" s="358">
        <v>98.5</v>
      </c>
      <c r="F101" s="24">
        <v>98.4</v>
      </c>
      <c r="H101" s="356">
        <f t="shared" si="1"/>
        <v>3.0581039755352979E-3</v>
      </c>
    </row>
    <row r="102" spans="1:8">
      <c r="B102" s="354" t="s">
        <v>652</v>
      </c>
      <c r="C102" s="26">
        <v>-0.01</v>
      </c>
      <c r="E102" s="358">
        <v>98.7</v>
      </c>
      <c r="F102" s="24">
        <v>98.6</v>
      </c>
      <c r="H102" s="356">
        <f t="shared" si="1"/>
        <v>2.0325203252031798E-3</v>
      </c>
    </row>
    <row r="103" spans="1:8">
      <c r="B103" s="354" t="s">
        <v>653</v>
      </c>
      <c r="C103" s="26">
        <v>-1.4999999999999999E-2</v>
      </c>
      <c r="E103" s="358">
        <v>99.4</v>
      </c>
      <c r="F103" s="24">
        <v>99.4</v>
      </c>
      <c r="H103" s="356">
        <f t="shared" si="1"/>
        <v>8.113590263691739E-3</v>
      </c>
    </row>
    <row r="104" spans="1:8">
      <c r="A104" s="24">
        <v>2005</v>
      </c>
      <c r="B104" s="354" t="s">
        <v>650</v>
      </c>
      <c r="C104" s="26">
        <v>-1.2E-2</v>
      </c>
      <c r="E104" s="358">
        <v>98.8</v>
      </c>
      <c r="F104" s="24">
        <v>98.8</v>
      </c>
      <c r="H104" s="356">
        <f t="shared" si="1"/>
        <v>-6.0362173038229772E-3</v>
      </c>
    </row>
    <row r="105" spans="1:8">
      <c r="B105" s="354" t="s">
        <v>651</v>
      </c>
      <c r="C105" s="26">
        <v>-6.0000000000000001E-3</v>
      </c>
      <c r="F105" s="24">
        <v>99.6</v>
      </c>
      <c r="H105" s="356">
        <f t="shared" si="1"/>
        <v>8.0971659919029104E-3</v>
      </c>
    </row>
    <row r="106" spans="1:8">
      <c r="B106" s="354" t="s">
        <v>652</v>
      </c>
      <c r="C106" s="26">
        <v>2E-3</v>
      </c>
      <c r="F106" s="24">
        <v>99.8</v>
      </c>
      <c r="H106" s="356">
        <f t="shared" si="1"/>
        <v>2.0080321285140812E-3</v>
      </c>
    </row>
    <row r="107" spans="1:8">
      <c r="B107" s="354" t="s">
        <v>653</v>
      </c>
      <c r="C107" s="26">
        <v>2E-3</v>
      </c>
      <c r="F107" s="24">
        <v>100.4</v>
      </c>
      <c r="H107" s="356">
        <f t="shared" si="1"/>
        <v>6.0120240480963094E-3</v>
      </c>
    </row>
    <row r="108" spans="1:8">
      <c r="A108" s="24">
        <v>2006</v>
      </c>
      <c r="B108" s="354" t="s">
        <v>650</v>
      </c>
      <c r="C108" s="26">
        <v>1E-3</v>
      </c>
      <c r="F108" s="24">
        <v>100.2</v>
      </c>
      <c r="H108" s="356">
        <f t="shared" si="1"/>
        <v>-1.9920318725099584E-3</v>
      </c>
    </row>
    <row r="109" spans="1:8">
      <c r="B109" s="354" t="s">
        <v>651</v>
      </c>
      <c r="C109" s="26">
        <v>2E-3</v>
      </c>
      <c r="F109" s="24">
        <v>101</v>
      </c>
      <c r="H109" s="356">
        <f t="shared" si="1"/>
        <v>7.9840319361277334E-3</v>
      </c>
    </row>
    <row r="110" spans="1:8">
      <c r="B110" s="354" t="s">
        <v>652</v>
      </c>
      <c r="C110" s="26">
        <v>-1E-3</v>
      </c>
      <c r="F110" s="24">
        <v>102.4</v>
      </c>
      <c r="H110" s="356">
        <f t="shared" si="1"/>
        <v>1.3861386138613874E-2</v>
      </c>
    </row>
    <row r="111" spans="1:8">
      <c r="B111" s="354" t="s">
        <v>653</v>
      </c>
      <c r="C111" s="26">
        <v>1.1000000000000001E-2</v>
      </c>
      <c r="F111" s="24">
        <v>102</v>
      </c>
      <c r="H111" s="356">
        <f t="shared" si="1"/>
        <v>-3.90625E-3</v>
      </c>
    </row>
    <row r="112" spans="1:8">
      <c r="A112" s="24">
        <v>2007</v>
      </c>
      <c r="B112" s="354" t="s">
        <v>650</v>
      </c>
      <c r="C112" s="26">
        <v>1.7000000000000001E-2</v>
      </c>
      <c r="F112" s="24">
        <v>102.6</v>
      </c>
      <c r="H112" s="356">
        <f t="shared" si="1"/>
        <v>5.8823529411764497E-3</v>
      </c>
    </row>
    <row r="113" spans="1:8">
      <c r="B113" s="354" t="s">
        <v>651</v>
      </c>
      <c r="C113" s="26">
        <v>1.7000000000000001E-2</v>
      </c>
      <c r="F113" s="24">
        <v>103.9</v>
      </c>
      <c r="H113" s="356">
        <f t="shared" si="1"/>
        <v>1.2670565302144388E-2</v>
      </c>
    </row>
    <row r="114" spans="1:8">
      <c r="B114" s="354" t="s">
        <v>652</v>
      </c>
      <c r="C114" s="26">
        <v>1.2E-2</v>
      </c>
      <c r="F114" s="24">
        <v>104.1</v>
      </c>
      <c r="H114" s="356">
        <f t="shared" si="1"/>
        <v>1.9249278152069227E-3</v>
      </c>
    </row>
    <row r="115" spans="1:8">
      <c r="B115" s="354" t="s">
        <v>653</v>
      </c>
      <c r="C115" s="26">
        <v>1.6E-2</v>
      </c>
      <c r="F115" s="24">
        <v>104.6</v>
      </c>
      <c r="H115" s="356">
        <f t="shared" si="1"/>
        <v>4.8030739673390332E-3</v>
      </c>
    </row>
    <row r="116" spans="1:8">
      <c r="A116" s="24">
        <v>2008</v>
      </c>
      <c r="B116" s="354" t="s">
        <v>650</v>
      </c>
      <c r="C116" s="26">
        <v>0.02</v>
      </c>
      <c r="F116" s="24">
        <v>105.7</v>
      </c>
      <c r="H116" s="356">
        <f t="shared" si="1"/>
        <v>1.051625239005749E-2</v>
      </c>
    </row>
    <row r="117" spans="1:8">
      <c r="B117" s="354" t="s">
        <v>651</v>
      </c>
      <c r="C117" s="26">
        <v>1.4999999999999999E-2</v>
      </c>
      <c r="F117" s="24">
        <v>108.6</v>
      </c>
      <c r="H117" s="356">
        <f t="shared" si="1"/>
        <v>2.7436140018921362E-2</v>
      </c>
    </row>
    <row r="118" spans="1:8">
      <c r="B118" s="354" t="s">
        <v>652</v>
      </c>
      <c r="C118" s="26">
        <v>3.0000000000000001E-3</v>
      </c>
      <c r="F118" s="24">
        <v>110</v>
      </c>
      <c r="H118" s="356">
        <f t="shared" si="1"/>
        <v>1.2891344383057168E-2</v>
      </c>
    </row>
    <row r="119" spans="1:8">
      <c r="B119" s="354" t="s">
        <v>653</v>
      </c>
      <c r="C119" s="26">
        <v>-2.2000000000000002E-2</v>
      </c>
      <c r="F119" s="24">
        <v>107.7</v>
      </c>
      <c r="H119" s="356">
        <f t="shared" si="1"/>
        <v>-2.0909090909090877E-2</v>
      </c>
    </row>
    <row r="120" spans="1:8">
      <c r="A120" s="24">
        <v>2009</v>
      </c>
      <c r="B120" s="354" t="s">
        <v>650</v>
      </c>
      <c r="C120" s="26">
        <v>-6.9000000000000006E-2</v>
      </c>
      <c r="F120" s="24">
        <v>105.4</v>
      </c>
      <c r="H120" s="356">
        <f t="shared" si="1"/>
        <v>-2.1355617455895981E-2</v>
      </c>
    </row>
    <row r="121" spans="1:8">
      <c r="B121" s="354" t="s">
        <v>651</v>
      </c>
      <c r="C121" s="26">
        <v>-0.05</v>
      </c>
      <c r="F121" s="24">
        <v>105.5</v>
      </c>
      <c r="H121" s="356">
        <f t="shared" si="1"/>
        <v>9.4876660341558505E-4</v>
      </c>
    </row>
    <row r="122" spans="1:8">
      <c r="B122" s="354" t="s">
        <v>652</v>
      </c>
      <c r="C122" s="26">
        <v>-0.05</v>
      </c>
      <c r="F122" s="24">
        <v>104.1</v>
      </c>
      <c r="H122" s="356">
        <f t="shared" si="1"/>
        <v>-1.3270142180094813E-2</v>
      </c>
    </row>
    <row r="123" spans="1:8">
      <c r="B123" s="354" t="s">
        <v>653</v>
      </c>
      <c r="C123" s="26">
        <v>-3.9E-2</v>
      </c>
      <c r="F123" s="24">
        <v>103.9</v>
      </c>
      <c r="H123" s="356">
        <f t="shared" si="1"/>
        <v>-1.9212295869355245E-3</v>
      </c>
    </row>
    <row r="124" spans="1:8">
      <c r="A124" s="24">
        <v>2010</v>
      </c>
      <c r="B124" s="354" t="s">
        <v>650</v>
      </c>
      <c r="C124" s="26">
        <v>-2.8999999999999998E-2</v>
      </c>
      <c r="F124" s="24">
        <v>103.8</v>
      </c>
      <c r="H124" s="356">
        <f t="shared" si="1"/>
        <v>-9.6246390760357237E-4</v>
      </c>
    </row>
    <row r="125" spans="1:8">
      <c r="B125" s="354" t="s">
        <v>651</v>
      </c>
      <c r="C125" s="26">
        <v>-1.8000000000000002E-2</v>
      </c>
      <c r="F125" s="24">
        <v>104.7</v>
      </c>
      <c r="H125" s="356">
        <f t="shared" si="1"/>
        <v>8.6705202312138407E-3</v>
      </c>
    </row>
    <row r="126" spans="1:8">
      <c r="B126" s="354" t="s">
        <v>652</v>
      </c>
      <c r="C126" s="26">
        <v>-1E-3</v>
      </c>
      <c r="F126" s="24">
        <v>104.2</v>
      </c>
      <c r="H126" s="356">
        <f t="shared" si="1"/>
        <v>-4.7755491881565915E-3</v>
      </c>
    </row>
    <row r="127" spans="1:8">
      <c r="B127" s="354" t="s">
        <v>653</v>
      </c>
      <c r="C127" s="26">
        <v>-0.01</v>
      </c>
      <c r="F127" s="24">
        <v>104.5</v>
      </c>
      <c r="H127" s="356">
        <f t="shared" si="1"/>
        <v>2.8790786948176272E-3</v>
      </c>
    </row>
    <row r="128" spans="1:8">
      <c r="A128" s="24">
        <v>2011</v>
      </c>
      <c r="B128" s="354" t="s">
        <v>650</v>
      </c>
      <c r="C128" s="26">
        <v>-2.2000000000000002E-2</v>
      </c>
      <c r="F128" s="24">
        <v>105.1</v>
      </c>
      <c r="H128" s="356">
        <f t="shared" si="1"/>
        <v>5.7416267942582699E-3</v>
      </c>
    </row>
    <row r="129" spans="1:8">
      <c r="B129" s="354" t="s">
        <v>651</v>
      </c>
      <c r="C129" s="26">
        <v>-3.2000000000000001E-2</v>
      </c>
      <c r="F129" s="24">
        <v>107.6</v>
      </c>
      <c r="G129" s="355">
        <v>95.8</v>
      </c>
      <c r="H129" s="356">
        <f>F129/F128-1</f>
        <v>2.3786869647954401E-2</v>
      </c>
    </row>
    <row r="130" spans="1:8">
      <c r="B130" s="354" t="s">
        <v>652</v>
      </c>
      <c r="C130" s="26">
        <v>-0.01</v>
      </c>
      <c r="F130" s="24">
        <v>105.7</v>
      </c>
      <c r="G130" s="355">
        <v>94</v>
      </c>
      <c r="H130" s="356">
        <f>G130/G129-1</f>
        <v>-1.8789144050104345E-2</v>
      </c>
    </row>
    <row r="131" spans="1:8">
      <c r="B131" s="354" t="s">
        <v>653</v>
      </c>
      <c r="C131" s="26">
        <v>-1.3000000000000001E-2</v>
      </c>
      <c r="F131" s="24">
        <v>106.1</v>
      </c>
      <c r="G131" s="355">
        <v>94.6</v>
      </c>
      <c r="H131" s="356">
        <f t="shared" ref="H131:H170" si="2">G131/G130-1</f>
        <v>6.382978723404209E-3</v>
      </c>
    </row>
    <row r="132" spans="1:8">
      <c r="A132" s="24">
        <v>2012</v>
      </c>
      <c r="B132" s="354" t="s">
        <v>650</v>
      </c>
      <c r="C132" s="26">
        <v>-1E-3</v>
      </c>
      <c r="F132" s="24">
        <v>105.4</v>
      </c>
      <c r="G132" s="355">
        <v>94.3</v>
      </c>
      <c r="H132" s="356">
        <f t="shared" si="2"/>
        <v>-3.1712473572937938E-3</v>
      </c>
    </row>
    <row r="133" spans="1:8">
      <c r="B133" s="354" t="s">
        <v>651</v>
      </c>
      <c r="C133" s="26">
        <v>-1.2E-2</v>
      </c>
      <c r="F133" s="24">
        <v>104.5</v>
      </c>
      <c r="G133" s="355">
        <v>93.7</v>
      </c>
      <c r="H133" s="356">
        <f t="shared" si="2"/>
        <v>-6.3626723223753068E-3</v>
      </c>
    </row>
    <row r="134" spans="1:8">
      <c r="B134" s="354" t="s">
        <v>652</v>
      </c>
      <c r="C134" s="26">
        <v>-1.7000000000000001E-2</v>
      </c>
      <c r="F134" s="24">
        <v>104.4</v>
      </c>
      <c r="G134" s="355">
        <v>93.9</v>
      </c>
      <c r="H134" s="356">
        <f t="shared" si="2"/>
        <v>2.1344717182496531E-3</v>
      </c>
    </row>
    <row r="135" spans="1:8">
      <c r="B135" s="354" t="s">
        <v>653</v>
      </c>
      <c r="C135" s="26">
        <v>-0.02</v>
      </c>
      <c r="F135" s="24">
        <v>104</v>
      </c>
      <c r="G135" s="355">
        <v>93.9</v>
      </c>
      <c r="H135" s="356">
        <f t="shared" si="2"/>
        <v>0</v>
      </c>
    </row>
    <row r="136" spans="1:8">
      <c r="A136" s="24">
        <v>2013</v>
      </c>
      <c r="B136" s="354" t="s">
        <v>650</v>
      </c>
      <c r="C136" s="26">
        <v>-9.0000000000000011E-3</v>
      </c>
      <c r="F136" s="24">
        <v>105.2</v>
      </c>
      <c r="G136" s="355">
        <v>94.8</v>
      </c>
      <c r="H136" s="356">
        <f t="shared" si="2"/>
        <v>9.5846645367412275E-3</v>
      </c>
    </row>
    <row r="137" spans="1:8">
      <c r="B137" s="354" t="s">
        <v>651</v>
      </c>
      <c r="C137" s="26">
        <v>-2E-3</v>
      </c>
      <c r="F137" s="24">
        <v>106</v>
      </c>
      <c r="G137" s="355">
        <v>95.3</v>
      </c>
      <c r="H137" s="356">
        <f t="shared" si="2"/>
        <v>5.2742616033756295E-3</v>
      </c>
    </row>
    <row r="138" spans="1:8">
      <c r="B138" s="354" t="s">
        <v>652</v>
      </c>
      <c r="C138" s="26">
        <v>6.0000000000000001E-3</v>
      </c>
      <c r="F138" s="24">
        <v>106.8</v>
      </c>
      <c r="G138" s="355">
        <v>96.1</v>
      </c>
      <c r="H138" s="356">
        <f t="shared" si="2"/>
        <v>8.394543546694555E-3</v>
      </c>
    </row>
    <row r="139" spans="1:8">
      <c r="B139" s="354" t="s">
        <v>653</v>
      </c>
      <c r="C139" s="26">
        <v>2E-3</v>
      </c>
      <c r="F139" s="24">
        <v>107.2</v>
      </c>
      <c r="G139" s="355">
        <v>96.9</v>
      </c>
      <c r="H139" s="356">
        <f t="shared" si="2"/>
        <v>8.3246618106140868E-3</v>
      </c>
    </row>
    <row r="140" spans="1:8">
      <c r="A140" s="24">
        <v>2014</v>
      </c>
      <c r="B140" s="354" t="s">
        <v>650</v>
      </c>
      <c r="C140" s="26">
        <v>8.0000000000000002E-3</v>
      </c>
      <c r="F140" s="24">
        <v>107.9</v>
      </c>
      <c r="G140" s="355">
        <v>97.7</v>
      </c>
      <c r="H140" s="356">
        <f t="shared" si="2"/>
        <v>8.2559339525283271E-3</v>
      </c>
    </row>
    <row r="141" spans="1:8">
      <c r="B141" s="354" t="s">
        <v>651</v>
      </c>
      <c r="C141" s="26">
        <v>-1.3000000000000001E-2</v>
      </c>
      <c r="F141" s="24">
        <v>109.9</v>
      </c>
      <c r="G141" s="355">
        <v>99.6</v>
      </c>
      <c r="H141" s="356">
        <f t="shared" si="2"/>
        <v>1.9447287615148356E-2</v>
      </c>
    </row>
    <row r="142" spans="1:8">
      <c r="B142" s="354" t="s">
        <v>652</v>
      </c>
      <c r="C142" s="26">
        <v>-1.3999999999999999E-2</v>
      </c>
      <c r="F142" s="24">
        <v>110.7</v>
      </c>
      <c r="G142" s="355">
        <v>100.2</v>
      </c>
      <c r="H142" s="356">
        <f t="shared" si="2"/>
        <v>6.0240963855422436E-3</v>
      </c>
    </row>
    <row r="143" spans="1:8">
      <c r="B143" s="354" t="s">
        <v>653</v>
      </c>
      <c r="C143" s="26">
        <v>-1.1000000000000001E-2</v>
      </c>
      <c r="F143" s="24">
        <v>109.3</v>
      </c>
      <c r="G143" s="355">
        <v>99.5</v>
      </c>
      <c r="H143" s="356">
        <f t="shared" si="2"/>
        <v>-6.98602794411185E-3</v>
      </c>
    </row>
    <row r="144" spans="1:8">
      <c r="A144" s="24">
        <v>2015</v>
      </c>
      <c r="B144" s="354" t="s">
        <v>650</v>
      </c>
      <c r="C144" s="26">
        <v>2E-3</v>
      </c>
      <c r="F144" s="24">
        <v>109.1</v>
      </c>
      <c r="G144" s="355">
        <v>99.8</v>
      </c>
      <c r="H144" s="356">
        <f t="shared" si="2"/>
        <v>3.0150753768845018E-3</v>
      </c>
    </row>
    <row r="145" spans="1:8">
      <c r="B145" s="354" t="s">
        <v>651</v>
      </c>
      <c r="C145" s="26">
        <v>1E-3</v>
      </c>
      <c r="G145" s="355">
        <v>99.9</v>
      </c>
      <c r="H145" s="356">
        <f t="shared" si="2"/>
        <v>1.0020040080160886E-3</v>
      </c>
    </row>
    <row r="146" spans="1:8">
      <c r="B146" s="354" t="s">
        <v>652</v>
      </c>
      <c r="C146" s="26">
        <v>-1E-3</v>
      </c>
      <c r="G146" s="355">
        <v>100.4</v>
      </c>
      <c r="H146" s="356">
        <f t="shared" si="2"/>
        <v>5.0050050050050032E-3</v>
      </c>
    </row>
    <row r="147" spans="1:8">
      <c r="B147" s="354" t="s">
        <v>653</v>
      </c>
      <c r="C147" s="26">
        <v>-4.0000000000000001E-3</v>
      </c>
      <c r="G147" s="355">
        <v>100.1</v>
      </c>
      <c r="H147" s="356">
        <f t="shared" si="2"/>
        <v>-2.9880478087650486E-3</v>
      </c>
    </row>
    <row r="148" spans="1:8">
      <c r="A148" s="24">
        <v>2016</v>
      </c>
      <c r="B148" s="354" t="s">
        <v>650</v>
      </c>
      <c r="C148" s="26">
        <v>1E-3</v>
      </c>
      <c r="G148" s="355">
        <v>99.5</v>
      </c>
      <c r="H148" s="356">
        <f t="shared" si="2"/>
        <v>-5.9940059940059021E-3</v>
      </c>
    </row>
    <row r="149" spans="1:8">
      <c r="B149" s="354" t="s">
        <v>651</v>
      </c>
      <c r="C149" s="26">
        <v>-3.0000000000000001E-3</v>
      </c>
      <c r="G149" s="355">
        <v>99.7</v>
      </c>
      <c r="H149" s="356">
        <f t="shared" si="2"/>
        <v>2.0100502512563345E-3</v>
      </c>
    </row>
    <row r="150" spans="1:8">
      <c r="B150" s="354" t="s">
        <v>652</v>
      </c>
      <c r="C150" s="26">
        <v>-3.0000000000000001E-3</v>
      </c>
      <c r="G150" s="355">
        <v>99.9</v>
      </c>
      <c r="H150" s="356">
        <f t="shared" si="2"/>
        <v>2.0060180541625616E-3</v>
      </c>
    </row>
    <row r="151" spans="1:8">
      <c r="B151" s="354" t="s">
        <v>653</v>
      </c>
      <c r="C151" s="26">
        <v>-3.0000000000000001E-3</v>
      </c>
      <c r="G151" s="355">
        <v>100.6</v>
      </c>
      <c r="H151" s="356">
        <f t="shared" si="2"/>
        <v>7.0070070070069601E-3</v>
      </c>
    </row>
    <row r="152" spans="1:8">
      <c r="A152" s="24">
        <v>2017</v>
      </c>
      <c r="B152" s="354" t="s">
        <v>650</v>
      </c>
      <c r="C152" s="26">
        <v>3.0000000000000001E-3</v>
      </c>
      <c r="G152" s="355">
        <v>100.9</v>
      </c>
      <c r="H152" s="356">
        <f t="shared" si="2"/>
        <v>2.9821073558649047E-3</v>
      </c>
    </row>
    <row r="153" spans="1:8">
      <c r="B153" s="354" t="s">
        <v>651</v>
      </c>
      <c r="C153" s="26">
        <v>3.0000000000000001E-3</v>
      </c>
      <c r="G153" s="355">
        <v>101.4</v>
      </c>
      <c r="H153" s="356">
        <f t="shared" si="2"/>
        <v>4.9554013875123815E-3</v>
      </c>
    </row>
    <row r="154" spans="1:8">
      <c r="B154" s="354" t="s">
        <v>652</v>
      </c>
      <c r="C154" s="26">
        <v>9.0000000000000011E-3</v>
      </c>
      <c r="G154" s="355">
        <v>101.6</v>
      </c>
      <c r="H154" s="356">
        <f t="shared" si="2"/>
        <v>1.9723865877709912E-3</v>
      </c>
    </row>
    <row r="155" spans="1:8">
      <c r="B155" s="354" t="s">
        <v>653</v>
      </c>
      <c r="C155" s="26">
        <v>1.1000000000000001E-2</v>
      </c>
      <c r="G155" s="355">
        <v>102.9</v>
      </c>
      <c r="H155" s="356">
        <f t="shared" si="2"/>
        <v>1.279527559055138E-2</v>
      </c>
    </row>
    <row r="156" spans="1:8">
      <c r="A156" s="24">
        <v>2018</v>
      </c>
      <c r="B156" s="354" t="s">
        <v>650</v>
      </c>
      <c r="C156" s="26">
        <v>9.0000000000000011E-3</v>
      </c>
      <c r="G156" s="355">
        <v>103</v>
      </c>
      <c r="H156" s="356">
        <f t="shared" si="2"/>
        <v>9.7181729834794339E-4</v>
      </c>
    </row>
    <row r="157" spans="1:8">
      <c r="B157" s="354" t="s">
        <v>651</v>
      </c>
      <c r="C157" s="26">
        <v>8.0000000000000002E-3</v>
      </c>
      <c r="G157" s="355">
        <v>104.9</v>
      </c>
      <c r="H157" s="356">
        <f t="shared" si="2"/>
        <v>1.844660194174752E-2</v>
      </c>
    </row>
    <row r="158" spans="1:8">
      <c r="B158" s="354" t="s">
        <v>652</v>
      </c>
      <c r="C158" s="26">
        <v>0</v>
      </c>
      <c r="G158" s="355">
        <v>105.5</v>
      </c>
      <c r="H158" s="356">
        <f t="shared" si="2"/>
        <v>5.7197330791229906E-3</v>
      </c>
    </row>
    <row r="159" spans="1:8">
      <c r="B159" s="354" t="s">
        <v>653</v>
      </c>
      <c r="C159" s="26">
        <v>2E-3</v>
      </c>
      <c r="G159" s="355">
        <v>105.8</v>
      </c>
      <c r="H159" s="356">
        <f t="shared" si="2"/>
        <v>2.8436018957345155E-3</v>
      </c>
    </row>
    <row r="160" spans="1:8">
      <c r="A160" s="24">
        <v>2019</v>
      </c>
      <c r="B160" s="354" t="s">
        <v>650</v>
      </c>
      <c r="C160" s="26">
        <v>4.0000000000000001E-3</v>
      </c>
      <c r="G160" s="355">
        <v>106</v>
      </c>
      <c r="H160" s="356">
        <f t="shared" si="2"/>
        <v>1.890359168241984E-3</v>
      </c>
    </row>
    <row r="161" spans="1:8">
      <c r="B161" s="354" t="s">
        <v>651</v>
      </c>
      <c r="C161" s="26">
        <v>4.0000000000000001E-3</v>
      </c>
      <c r="G161" s="355">
        <v>106.6</v>
      </c>
      <c r="H161" s="356">
        <f t="shared" si="2"/>
        <v>5.6603773584904538E-3</v>
      </c>
    </row>
    <row r="162" spans="1:8">
      <c r="B162" s="354" t="s">
        <v>652</v>
      </c>
      <c r="C162" s="26">
        <v>3.0000000000000001E-3</v>
      </c>
      <c r="G162" s="355">
        <v>107.5</v>
      </c>
      <c r="H162" s="356">
        <f t="shared" si="2"/>
        <v>8.4427767354597894E-3</v>
      </c>
    </row>
    <row r="163" spans="1:8">
      <c r="B163" s="354" t="s">
        <v>653</v>
      </c>
      <c r="C163" s="26">
        <v>-1.8000000000000002E-2</v>
      </c>
      <c r="G163" s="355">
        <v>109</v>
      </c>
      <c r="H163" s="356">
        <f t="shared" si="2"/>
        <v>1.3953488372093092E-2</v>
      </c>
    </row>
    <row r="164" spans="1:8">
      <c r="A164" s="24">
        <v>2020</v>
      </c>
      <c r="B164" s="354" t="s">
        <v>650</v>
      </c>
      <c r="C164" s="26">
        <v>-2.5000000000000001E-2</v>
      </c>
      <c r="G164" s="355">
        <v>109</v>
      </c>
      <c r="H164" s="356">
        <f t="shared" si="2"/>
        <v>0</v>
      </c>
    </row>
    <row r="165" spans="1:8">
      <c r="B165" s="354" t="s">
        <v>651</v>
      </c>
      <c r="C165" s="26">
        <v>-0.10400000000000001</v>
      </c>
      <c r="G165" s="355">
        <v>107.8</v>
      </c>
      <c r="H165" s="356">
        <f t="shared" si="2"/>
        <v>-1.1009174311926606E-2</v>
      </c>
    </row>
    <row r="166" spans="1:8">
      <c r="B166" s="354" t="s">
        <v>652</v>
      </c>
      <c r="C166" s="26">
        <v>-5.5999999999999994E-2</v>
      </c>
      <c r="G166" s="355">
        <v>107.3</v>
      </c>
      <c r="H166" s="356">
        <f t="shared" si="2"/>
        <v>-4.638218923933235E-3</v>
      </c>
    </row>
    <row r="167" spans="1:8">
      <c r="B167" s="354" t="s">
        <v>653</v>
      </c>
      <c r="C167" s="26">
        <v>-3.1E-2</v>
      </c>
      <c r="G167" s="355">
        <v>107.8</v>
      </c>
      <c r="H167" s="356">
        <f t="shared" si="2"/>
        <v>4.6598322460391639E-3</v>
      </c>
    </row>
    <row r="168" spans="1:8">
      <c r="A168" s="24">
        <v>2021</v>
      </c>
      <c r="B168" s="354" t="s">
        <v>650</v>
      </c>
      <c r="C168" s="26">
        <v>-4.2000000000000003E-2</v>
      </c>
      <c r="G168" s="355">
        <v>108.7</v>
      </c>
      <c r="H168" s="356">
        <f t="shared" si="2"/>
        <v>8.3487940630797564E-3</v>
      </c>
    </row>
    <row r="169" spans="1:8">
      <c r="B169" s="354" t="s">
        <v>651</v>
      </c>
      <c r="C169" s="26">
        <v>-3.9E-2</v>
      </c>
      <c r="G169" s="355">
        <v>109.4</v>
      </c>
      <c r="H169" s="356">
        <f t="shared" si="2"/>
        <v>6.4397424103035394E-3</v>
      </c>
    </row>
    <row r="170" spans="1:8">
      <c r="B170" s="354" t="s">
        <v>652</v>
      </c>
      <c r="C170" s="26">
        <v>-4.8000000000000001E-2</v>
      </c>
      <c r="G170" s="355">
        <v>111.6</v>
      </c>
      <c r="H170" s="356">
        <f t="shared" si="2"/>
        <v>2.0109689213893889E-2</v>
      </c>
    </row>
    <row r="171" spans="1:8">
      <c r="B171" s="354" t="s">
        <v>653</v>
      </c>
    </row>
  </sheetData>
  <mergeCells count="1">
    <mergeCell ref="E2:H2"/>
  </mergeCells>
  <phoneticPr fontId="1"/>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5B4C9-4C5E-4914-92B7-9E7B0DD07226}">
  <dimension ref="A1:R55"/>
  <sheetViews>
    <sheetView showGridLines="0" topLeftCell="A16" zoomScale="85" zoomScaleNormal="85" workbookViewId="0">
      <selection activeCell="R43" sqref="R43"/>
    </sheetView>
  </sheetViews>
  <sheetFormatPr defaultColWidth="8.84375" defaultRowHeight="18.45" outlineLevelRow="1" outlineLevelCol="1"/>
  <cols>
    <col min="1" max="1" width="21.4609375" style="57" bestFit="1" customWidth="1"/>
    <col min="2" max="2" width="15.4609375" style="57" bestFit="1" customWidth="1"/>
    <col min="3" max="3" width="20.765625" style="24" bestFit="1" customWidth="1"/>
    <col min="4" max="4" width="25.4609375" style="24" bestFit="1" customWidth="1"/>
    <col min="5" max="5" width="20.765625" style="24" bestFit="1" customWidth="1"/>
    <col min="6" max="9" width="14.4609375" style="24" hidden="1" customWidth="1" outlineLevel="1"/>
    <col min="10" max="10" width="13.23046875" style="24" hidden="1" customWidth="1" outlineLevel="1" collapsed="1"/>
    <col min="11" max="11" width="20.765625" style="24" bestFit="1" customWidth="1" collapsed="1"/>
    <col min="12" max="12" width="25.4609375" style="24" bestFit="1" customWidth="1"/>
    <col min="13" max="13" width="20.765625" style="24" bestFit="1" customWidth="1"/>
    <col min="14" max="17" width="21.3046875" style="24" hidden="1" customWidth="1" outlineLevel="1"/>
    <col min="18" max="18" width="8.84375" style="24" collapsed="1"/>
    <col min="19" max="16384" width="8.84375" style="24"/>
  </cols>
  <sheetData>
    <row r="1" spans="1:17">
      <c r="A1" s="434" t="s">
        <v>164</v>
      </c>
      <c r="B1" s="434"/>
      <c r="C1" s="434"/>
      <c r="D1" s="434"/>
      <c r="E1" s="434"/>
      <c r="F1" s="434"/>
      <c r="G1" s="434"/>
      <c r="H1" s="434"/>
      <c r="I1" s="434"/>
      <c r="J1" s="434"/>
      <c r="K1" s="434"/>
      <c r="L1" s="434"/>
      <c r="M1" s="434"/>
      <c r="N1" s="24" t="s">
        <v>164</v>
      </c>
      <c r="O1" s="24" t="s">
        <v>164</v>
      </c>
      <c r="P1" s="24" t="s">
        <v>164</v>
      </c>
      <c r="Q1" s="24" t="s">
        <v>164</v>
      </c>
    </row>
    <row r="2" spans="1:17">
      <c r="A2" s="432" t="s">
        <v>542</v>
      </c>
      <c r="B2" s="432"/>
      <c r="C2" s="435" t="s">
        <v>543</v>
      </c>
      <c r="D2" s="432"/>
      <c r="E2" s="432"/>
      <c r="F2" s="57" t="s">
        <v>544</v>
      </c>
      <c r="G2" s="57" t="s">
        <v>544</v>
      </c>
      <c r="H2" s="57" t="s">
        <v>544</v>
      </c>
      <c r="I2" s="57" t="s">
        <v>544</v>
      </c>
      <c r="J2" s="57"/>
      <c r="K2" s="432" t="s">
        <v>545</v>
      </c>
      <c r="L2" s="432"/>
      <c r="M2" s="432"/>
      <c r="N2" s="24" t="s">
        <v>546</v>
      </c>
      <c r="O2" s="24" t="s">
        <v>546</v>
      </c>
      <c r="P2" s="24" t="s">
        <v>546</v>
      </c>
      <c r="Q2" s="24" t="s">
        <v>546</v>
      </c>
    </row>
    <row r="3" spans="1:17">
      <c r="A3" s="436" t="s">
        <v>547</v>
      </c>
      <c r="B3" s="436"/>
      <c r="C3" s="153" t="s">
        <v>548</v>
      </c>
      <c r="D3" s="154" t="s">
        <v>549</v>
      </c>
      <c r="E3" s="154" t="s">
        <v>550</v>
      </c>
      <c r="F3" s="154" t="s">
        <v>551</v>
      </c>
      <c r="G3" s="154">
        <v>1565</v>
      </c>
      <c r="H3" s="154" t="s">
        <v>552</v>
      </c>
      <c r="I3" s="154" t="s">
        <v>553</v>
      </c>
      <c r="J3" s="154"/>
      <c r="K3" s="153" t="s">
        <v>548</v>
      </c>
      <c r="L3" s="154" t="s">
        <v>549</v>
      </c>
      <c r="M3" s="154" t="s">
        <v>550</v>
      </c>
      <c r="N3" s="24" t="s">
        <v>551</v>
      </c>
      <c r="O3" s="24">
        <v>1565</v>
      </c>
      <c r="P3" s="24" t="s">
        <v>552</v>
      </c>
      <c r="Q3" s="24" t="s">
        <v>553</v>
      </c>
    </row>
    <row r="4" spans="1:17" s="44" customFormat="1">
      <c r="A4" s="437" t="s">
        <v>554</v>
      </c>
      <c r="B4" s="147" t="s">
        <v>555</v>
      </c>
      <c r="C4" s="149">
        <v>0.1552</v>
      </c>
      <c r="D4" s="151">
        <v>0.2697</v>
      </c>
      <c r="E4" s="150">
        <v>5.1200000000000002E-2</v>
      </c>
      <c r="F4" s="146"/>
      <c r="G4" s="146"/>
      <c r="H4" s="146"/>
      <c r="I4" s="146"/>
      <c r="J4" s="146"/>
      <c r="K4" s="146">
        <v>0.1153</v>
      </c>
      <c r="L4" s="148">
        <v>4.5600000000000002E-2</v>
      </c>
      <c r="M4" s="146">
        <v>0.1978</v>
      </c>
      <c r="N4" s="44">
        <v>0.2112</v>
      </c>
      <c r="O4" s="44">
        <v>0.85370000000000001</v>
      </c>
      <c r="P4" s="44">
        <v>0.4299</v>
      </c>
      <c r="Q4" s="44">
        <v>0.23219999999999999</v>
      </c>
    </row>
    <row r="5" spans="1:17" s="44" customFormat="1">
      <c r="A5" s="437"/>
      <c r="B5" s="147" t="s">
        <v>556</v>
      </c>
      <c r="C5" s="149">
        <v>0.1221</v>
      </c>
      <c r="D5" s="151">
        <v>0.23050000000000001</v>
      </c>
      <c r="E5" s="150">
        <v>5.3199999999999997E-2</v>
      </c>
      <c r="F5" s="146"/>
      <c r="G5" s="146"/>
      <c r="H5" s="146"/>
      <c r="I5" s="146"/>
      <c r="J5" s="146"/>
      <c r="K5" s="146">
        <v>0.1022</v>
      </c>
      <c r="L5" s="148">
        <v>4.0099999999999997E-2</v>
      </c>
      <c r="M5" s="146">
        <v>0.30630000000000002</v>
      </c>
      <c r="N5" s="44">
        <v>0.36609999999999998</v>
      </c>
      <c r="O5" s="44">
        <v>0.89090000000000003</v>
      </c>
      <c r="P5" s="44">
        <v>0.4541</v>
      </c>
      <c r="Q5" s="44">
        <v>0.44369999999999998</v>
      </c>
    </row>
    <row r="6" spans="1:17" s="44" customFormat="1">
      <c r="A6" s="437" t="s">
        <v>557</v>
      </c>
      <c r="B6" s="147" t="s">
        <v>558</v>
      </c>
      <c r="C6" s="149">
        <v>0.12670000000000001</v>
      </c>
      <c r="D6" s="151">
        <v>0.24129999999999999</v>
      </c>
      <c r="E6" s="151">
        <v>0.41</v>
      </c>
      <c r="F6" s="146"/>
      <c r="G6" s="146"/>
      <c r="H6" s="146"/>
      <c r="I6" s="146"/>
      <c r="J6" s="146"/>
      <c r="K6" s="146">
        <v>8.5400000000000004E-2</v>
      </c>
      <c r="L6" s="148">
        <v>4.1399999999999999E-2</v>
      </c>
      <c r="M6" s="146">
        <v>0.1898</v>
      </c>
      <c r="N6" s="44">
        <v>0.15870000000000001</v>
      </c>
      <c r="O6" s="44">
        <v>0.79569999999999996</v>
      </c>
      <c r="P6" s="44">
        <v>0.27779999999999999</v>
      </c>
      <c r="Q6" s="44">
        <v>0.17369999999999999</v>
      </c>
    </row>
    <row r="7" spans="1:17" s="44" customFormat="1">
      <c r="A7" s="437"/>
      <c r="B7" s="147" t="s">
        <v>556</v>
      </c>
      <c r="C7" s="152">
        <v>9.6600000000000005E-2</v>
      </c>
      <c r="D7" s="151">
        <v>0.2112</v>
      </c>
      <c r="E7" s="151">
        <v>0.48220000000000002</v>
      </c>
      <c r="F7" s="146"/>
      <c r="G7" s="146"/>
      <c r="H7" s="146"/>
      <c r="I7" s="146"/>
      <c r="J7" s="146"/>
      <c r="K7" s="146">
        <v>6.6100000000000006E-2</v>
      </c>
      <c r="L7" s="148">
        <v>4.2599999999999999E-2</v>
      </c>
      <c r="M7" s="146">
        <v>0.3291</v>
      </c>
      <c r="N7" s="44">
        <v>0.23250000000000001</v>
      </c>
      <c r="O7" s="44">
        <v>0.82540000000000002</v>
      </c>
      <c r="P7" s="44">
        <v>0.2492</v>
      </c>
      <c r="Q7" s="44">
        <v>0.26540000000000002</v>
      </c>
    </row>
    <row r="8" spans="1:17" s="44" customFormat="1" hidden="1" outlineLevel="1">
      <c r="A8" s="147"/>
      <c r="B8" s="147"/>
      <c r="C8" s="44">
        <f>AVERAGE(C4:C7)</f>
        <v>0.12515000000000001</v>
      </c>
      <c r="D8" s="44">
        <f t="shared" ref="D8:Q8" si="0">AVERAGE(D4:D7)</f>
        <v>0.23817499999999997</v>
      </c>
      <c r="E8" s="44">
        <f t="shared" si="0"/>
        <v>0.24914999999999998</v>
      </c>
      <c r="F8" s="44" t="e">
        <f t="shared" si="0"/>
        <v>#DIV/0!</v>
      </c>
      <c r="G8" s="44" t="e">
        <f t="shared" si="0"/>
        <v>#DIV/0!</v>
      </c>
      <c r="H8" s="44" t="e">
        <f t="shared" si="0"/>
        <v>#DIV/0!</v>
      </c>
      <c r="I8" s="44" t="e">
        <f t="shared" si="0"/>
        <v>#DIV/0!</v>
      </c>
      <c r="K8" s="44">
        <f t="shared" si="0"/>
        <v>9.2249999999999999E-2</v>
      </c>
      <c r="L8" s="44">
        <f t="shared" si="0"/>
        <v>4.2424999999999997E-2</v>
      </c>
      <c r="M8" s="44">
        <f t="shared" si="0"/>
        <v>0.25574999999999998</v>
      </c>
      <c r="N8" s="44">
        <f t="shared" si="0"/>
        <v>0.24212500000000001</v>
      </c>
      <c r="O8" s="44">
        <f t="shared" si="0"/>
        <v>0.84142500000000009</v>
      </c>
      <c r="P8" s="44">
        <f t="shared" si="0"/>
        <v>0.35275000000000001</v>
      </c>
      <c r="Q8" s="44">
        <f t="shared" si="0"/>
        <v>0.27875</v>
      </c>
    </row>
    <row r="9" spans="1:17" collapsed="1"/>
    <row r="10" spans="1:17">
      <c r="A10" s="434" t="s">
        <v>559</v>
      </c>
      <c r="B10" s="434"/>
      <c r="C10" s="434"/>
      <c r="D10" s="434"/>
      <c r="E10" s="434"/>
      <c r="F10" s="434"/>
      <c r="G10" s="434"/>
      <c r="H10" s="434"/>
      <c r="I10" s="434"/>
      <c r="J10" s="434"/>
      <c r="K10" s="434"/>
      <c r="L10" s="434"/>
      <c r="M10" s="434"/>
      <c r="N10" s="24" t="s">
        <v>165</v>
      </c>
      <c r="O10" s="24" t="s">
        <v>165</v>
      </c>
      <c r="P10" s="24" t="s">
        <v>165</v>
      </c>
      <c r="Q10" s="24" t="s">
        <v>165</v>
      </c>
    </row>
    <row r="11" spans="1:17">
      <c r="A11" s="432" t="s">
        <v>542</v>
      </c>
      <c r="B11" s="432"/>
      <c r="C11" s="435" t="s">
        <v>543</v>
      </c>
      <c r="D11" s="432"/>
      <c r="E11" s="432"/>
      <c r="F11" s="57" t="s">
        <v>544</v>
      </c>
      <c r="G11" s="57" t="s">
        <v>544</v>
      </c>
      <c r="H11" s="57" t="s">
        <v>544</v>
      </c>
      <c r="I11" s="57" t="s">
        <v>544</v>
      </c>
      <c r="J11" s="57"/>
      <c r="K11" s="432" t="s">
        <v>545</v>
      </c>
      <c r="L11" s="432"/>
      <c r="M11" s="432"/>
      <c r="N11" s="24" t="s">
        <v>546</v>
      </c>
      <c r="O11" s="24" t="s">
        <v>546</v>
      </c>
      <c r="P11" s="24" t="s">
        <v>546</v>
      </c>
      <c r="Q11" s="24" t="s">
        <v>546</v>
      </c>
    </row>
    <row r="12" spans="1:17">
      <c r="A12" s="436" t="s">
        <v>547</v>
      </c>
      <c r="B12" s="436"/>
      <c r="C12" s="153" t="s">
        <v>548</v>
      </c>
      <c r="D12" s="154" t="s">
        <v>549</v>
      </c>
      <c r="E12" s="154" t="s">
        <v>550</v>
      </c>
      <c r="F12" s="155" t="s">
        <v>560</v>
      </c>
      <c r="G12" s="155">
        <v>1565</v>
      </c>
      <c r="H12" s="155" t="s">
        <v>561</v>
      </c>
      <c r="I12" s="155" t="s">
        <v>562</v>
      </c>
      <c r="J12" s="155"/>
      <c r="K12" s="153" t="s">
        <v>548</v>
      </c>
      <c r="L12" s="154" t="s">
        <v>549</v>
      </c>
      <c r="M12" s="154" t="s">
        <v>550</v>
      </c>
      <c r="N12" s="24" t="s">
        <v>551</v>
      </c>
      <c r="O12" s="24">
        <v>1565</v>
      </c>
      <c r="P12" s="24" t="s">
        <v>552</v>
      </c>
      <c r="Q12" s="24" t="s">
        <v>553</v>
      </c>
    </row>
    <row r="13" spans="1:17" s="44" customFormat="1">
      <c r="A13" s="437" t="s">
        <v>554</v>
      </c>
      <c r="B13" s="147" t="s">
        <v>555</v>
      </c>
      <c r="C13" s="149">
        <v>0.1084</v>
      </c>
      <c r="D13" s="151">
        <v>0.23930000000000001</v>
      </c>
      <c r="E13" s="150">
        <v>4.1500000000000002E-2</v>
      </c>
      <c r="F13" s="146"/>
      <c r="G13" s="146"/>
      <c r="H13" s="146"/>
      <c r="I13" s="146"/>
      <c r="J13" s="146"/>
      <c r="K13" s="146">
        <v>0.17030000000000001</v>
      </c>
      <c r="L13" s="148">
        <v>6.0900000000000003E-2</v>
      </c>
      <c r="M13" s="146">
        <v>0.20830000000000001</v>
      </c>
      <c r="N13" s="44">
        <v>0.20219999999999999</v>
      </c>
      <c r="O13" s="44">
        <v>0.1749</v>
      </c>
      <c r="P13" s="44">
        <v>7.8E-2</v>
      </c>
      <c r="Q13" s="44">
        <v>0.4582</v>
      </c>
    </row>
    <row r="14" spans="1:17" s="44" customFormat="1">
      <c r="A14" s="437"/>
      <c r="B14" s="147" t="s">
        <v>556</v>
      </c>
      <c r="C14" s="152">
        <v>8.2000000000000003E-2</v>
      </c>
      <c r="D14" s="151">
        <v>0.20430000000000001</v>
      </c>
      <c r="E14" s="150">
        <v>4.6199999999999998E-2</v>
      </c>
      <c r="F14" s="146"/>
      <c r="G14" s="146"/>
      <c r="H14" s="146"/>
      <c r="I14" s="146"/>
      <c r="J14" s="146"/>
      <c r="K14" s="146">
        <v>0.15479999999999999</v>
      </c>
      <c r="L14" s="148">
        <v>5.3400000000000003E-2</v>
      </c>
      <c r="M14" s="146">
        <v>0.3201</v>
      </c>
      <c r="N14" s="44">
        <v>7.8100000000000003E-2</v>
      </c>
      <c r="O14" s="44">
        <v>0.26200000000000001</v>
      </c>
      <c r="P14" s="44">
        <v>1.0699999999999999E-2</v>
      </c>
      <c r="Q14" s="44">
        <v>0.27610000000000001</v>
      </c>
    </row>
    <row r="15" spans="1:17" s="44" customFormat="1">
      <c r="A15" s="437" t="s">
        <v>557</v>
      </c>
      <c r="B15" s="147" t="s">
        <v>558</v>
      </c>
      <c r="C15" s="152">
        <v>8.9200000000000002E-2</v>
      </c>
      <c r="D15" s="151">
        <v>0.22020000000000001</v>
      </c>
      <c r="E15" s="151">
        <v>0.39150000000000001</v>
      </c>
      <c r="F15" s="146"/>
      <c r="G15" s="146"/>
      <c r="H15" s="146"/>
      <c r="I15" s="146"/>
      <c r="J15" s="146"/>
      <c r="K15" s="146">
        <v>0.12640000000000001</v>
      </c>
      <c r="L15" s="148">
        <v>5.5100000000000003E-2</v>
      </c>
      <c r="M15" s="146">
        <v>0.19769999999999999</v>
      </c>
      <c r="N15" s="44">
        <v>0.39350000000000002</v>
      </c>
      <c r="O15" s="44">
        <v>0.2238</v>
      </c>
      <c r="P15" s="44">
        <v>0.24460000000000001</v>
      </c>
      <c r="Q15" s="44">
        <v>0.62329999999999997</v>
      </c>
    </row>
    <row r="16" spans="1:17" s="44" customFormat="1">
      <c r="A16" s="437"/>
      <c r="B16" s="147" t="s">
        <v>556</v>
      </c>
      <c r="C16" s="152">
        <v>6.6299999999999998E-2</v>
      </c>
      <c r="D16" s="151">
        <v>0.19769999999999999</v>
      </c>
      <c r="E16" s="151">
        <v>0.4718</v>
      </c>
      <c r="F16" s="146"/>
      <c r="G16" s="146"/>
      <c r="H16" s="146"/>
      <c r="I16" s="146"/>
      <c r="J16" s="146"/>
      <c r="K16" s="146">
        <v>0.10150000000000001</v>
      </c>
      <c r="L16" s="148">
        <v>5.4699999999999999E-2</v>
      </c>
      <c r="M16" s="146">
        <v>0.33300000000000002</v>
      </c>
      <c r="N16" s="44">
        <v>0.32300000000000001</v>
      </c>
      <c r="O16" s="44">
        <v>0.46379999999999999</v>
      </c>
      <c r="P16" s="44">
        <v>0.17449999999999999</v>
      </c>
      <c r="Q16" s="44">
        <v>0.54530000000000001</v>
      </c>
    </row>
    <row r="17" spans="1:17" s="44" customFormat="1" hidden="1" outlineLevel="1">
      <c r="A17" s="147"/>
      <c r="B17" s="147"/>
      <c r="C17" s="44">
        <f>AVERAGE(C13:C16)</f>
        <v>8.6474999999999996E-2</v>
      </c>
      <c r="D17" s="44">
        <f t="shared" ref="D17:Q17" si="1">AVERAGE(D13:D16)</f>
        <v>0.21537499999999998</v>
      </c>
      <c r="E17" s="44">
        <f t="shared" si="1"/>
        <v>0.23775000000000002</v>
      </c>
      <c r="F17" s="44" t="e">
        <f t="shared" si="1"/>
        <v>#DIV/0!</v>
      </c>
      <c r="G17" s="44" t="e">
        <f t="shared" si="1"/>
        <v>#DIV/0!</v>
      </c>
      <c r="H17" s="44" t="e">
        <f t="shared" si="1"/>
        <v>#DIV/0!</v>
      </c>
      <c r="I17" s="44" t="e">
        <f t="shared" si="1"/>
        <v>#DIV/0!</v>
      </c>
      <c r="J17" s="44" t="e">
        <f t="shared" si="1"/>
        <v>#DIV/0!</v>
      </c>
      <c r="K17" s="44">
        <f t="shared" si="1"/>
        <v>0.13825000000000001</v>
      </c>
      <c r="L17" s="44">
        <f t="shared" si="1"/>
        <v>5.6025000000000005E-2</v>
      </c>
      <c r="M17" s="44">
        <f t="shared" si="1"/>
        <v>0.26477499999999998</v>
      </c>
      <c r="N17" s="44">
        <f t="shared" si="1"/>
        <v>0.24919999999999998</v>
      </c>
      <c r="O17" s="44">
        <f t="shared" si="1"/>
        <v>0.28112500000000001</v>
      </c>
      <c r="P17" s="44">
        <f t="shared" si="1"/>
        <v>0.12695000000000001</v>
      </c>
      <c r="Q17" s="44">
        <f t="shared" si="1"/>
        <v>0.47572499999999995</v>
      </c>
    </row>
    <row r="18" spans="1:17" collapsed="1"/>
    <row r="19" spans="1:17">
      <c r="A19" s="434" t="s">
        <v>563</v>
      </c>
      <c r="B19" s="434"/>
      <c r="C19" s="434"/>
      <c r="D19" s="434"/>
      <c r="E19" s="434"/>
      <c r="F19" s="434"/>
      <c r="G19" s="434"/>
      <c r="H19" s="434"/>
      <c r="I19" s="434"/>
      <c r="J19" s="434"/>
      <c r="K19" s="434"/>
      <c r="L19" s="434"/>
      <c r="M19" s="434"/>
      <c r="N19" s="24" t="s">
        <v>165</v>
      </c>
      <c r="O19" s="24" t="s">
        <v>165</v>
      </c>
      <c r="P19" s="24" t="s">
        <v>165</v>
      </c>
      <c r="Q19" s="24" t="s">
        <v>165</v>
      </c>
    </row>
    <row r="20" spans="1:17">
      <c r="A20" s="432" t="s">
        <v>542</v>
      </c>
      <c r="B20" s="432"/>
      <c r="C20" s="435" t="s">
        <v>543</v>
      </c>
      <c r="D20" s="432"/>
      <c r="E20" s="432"/>
      <c r="F20" s="57" t="s">
        <v>544</v>
      </c>
      <c r="G20" s="57" t="s">
        <v>544</v>
      </c>
      <c r="H20" s="57" t="s">
        <v>544</v>
      </c>
      <c r="I20" s="57" t="s">
        <v>544</v>
      </c>
      <c r="J20" s="57"/>
      <c r="K20" s="432" t="s">
        <v>545</v>
      </c>
      <c r="L20" s="432"/>
      <c r="M20" s="432"/>
      <c r="N20" s="24" t="s">
        <v>546</v>
      </c>
      <c r="O20" s="24" t="s">
        <v>546</v>
      </c>
      <c r="P20" s="24" t="s">
        <v>546</v>
      </c>
      <c r="Q20" s="24" t="s">
        <v>546</v>
      </c>
    </row>
    <row r="21" spans="1:17">
      <c r="A21" s="436" t="s">
        <v>547</v>
      </c>
      <c r="B21" s="436"/>
      <c r="C21" s="153" t="s">
        <v>548</v>
      </c>
      <c r="D21" s="154" t="s">
        <v>549</v>
      </c>
      <c r="E21" s="154" t="s">
        <v>550</v>
      </c>
      <c r="F21" s="155" t="s">
        <v>560</v>
      </c>
      <c r="G21" s="155">
        <v>1565</v>
      </c>
      <c r="H21" s="155" t="s">
        <v>561</v>
      </c>
      <c r="I21" s="155" t="s">
        <v>562</v>
      </c>
      <c r="J21" s="155"/>
      <c r="K21" s="153" t="s">
        <v>548</v>
      </c>
      <c r="L21" s="154" t="s">
        <v>549</v>
      </c>
      <c r="M21" s="154" t="s">
        <v>550</v>
      </c>
      <c r="N21" s="24" t="s">
        <v>551</v>
      </c>
      <c r="O21" s="24">
        <v>1565</v>
      </c>
      <c r="P21" s="24" t="s">
        <v>552</v>
      </c>
      <c r="Q21" s="24" t="s">
        <v>553</v>
      </c>
    </row>
    <row r="22" spans="1:17" s="44" customFormat="1">
      <c r="A22" s="437" t="s">
        <v>554</v>
      </c>
      <c r="B22" s="147" t="s">
        <v>555</v>
      </c>
      <c r="C22" s="149">
        <v>0.3397</v>
      </c>
      <c r="D22" s="151">
        <v>0.2838</v>
      </c>
      <c r="E22" s="151">
        <v>0.6411</v>
      </c>
      <c r="F22" s="146"/>
      <c r="G22" s="146"/>
      <c r="H22" s="146"/>
      <c r="I22" s="146"/>
      <c r="J22" s="146"/>
      <c r="K22" s="146">
        <v>0.1186</v>
      </c>
      <c r="L22" s="146">
        <v>0.2253</v>
      </c>
      <c r="M22" s="146">
        <v>0.40379999999999999</v>
      </c>
      <c r="N22" s="44">
        <v>0.20219999999999999</v>
      </c>
      <c r="O22" s="44">
        <v>0.1749</v>
      </c>
      <c r="P22" s="44">
        <v>7.8E-2</v>
      </c>
      <c r="Q22" s="44">
        <v>0.4582</v>
      </c>
    </row>
    <row r="23" spans="1:17" s="44" customFormat="1">
      <c r="A23" s="437"/>
      <c r="B23" s="147" t="s">
        <v>556</v>
      </c>
      <c r="C23" s="149">
        <v>0.29920000000000002</v>
      </c>
      <c r="D23" s="151">
        <v>0.24299999999999999</v>
      </c>
      <c r="E23" s="151">
        <v>0.70379999999999998</v>
      </c>
      <c r="F23" s="146"/>
      <c r="G23" s="146"/>
      <c r="H23" s="146"/>
      <c r="I23" s="146"/>
      <c r="J23" s="146"/>
      <c r="K23" s="148">
        <v>9.8699999999999996E-2</v>
      </c>
      <c r="L23" s="146">
        <v>0.18440000000000001</v>
      </c>
      <c r="M23" s="146">
        <v>0.3543</v>
      </c>
      <c r="N23" s="44">
        <v>7.8100000000000003E-2</v>
      </c>
      <c r="O23" s="44">
        <v>0.26200000000000001</v>
      </c>
      <c r="P23" s="44">
        <v>1.0699999999999999E-2</v>
      </c>
      <c r="Q23" s="44">
        <v>0.27610000000000001</v>
      </c>
    </row>
    <row r="24" spans="1:17" s="44" customFormat="1">
      <c r="A24" s="437" t="s">
        <v>557</v>
      </c>
      <c r="B24" s="147" t="s">
        <v>558</v>
      </c>
      <c r="C24" s="149">
        <v>0.2329</v>
      </c>
      <c r="D24" s="151">
        <v>0.24890000000000001</v>
      </c>
      <c r="E24" s="151">
        <v>0.56589999999999996</v>
      </c>
      <c r="F24" s="146"/>
      <c r="G24" s="146"/>
      <c r="H24" s="146"/>
      <c r="I24" s="146"/>
      <c r="J24" s="146"/>
      <c r="K24" s="146">
        <v>0.105</v>
      </c>
      <c r="L24" s="146">
        <v>0.2064</v>
      </c>
      <c r="M24" s="146">
        <v>0.4047</v>
      </c>
      <c r="N24" s="44">
        <v>0.39350000000000002</v>
      </c>
      <c r="O24" s="44">
        <v>0.2238</v>
      </c>
      <c r="P24" s="44">
        <v>0.24460000000000001</v>
      </c>
      <c r="Q24" s="44">
        <v>0.62329999999999997</v>
      </c>
    </row>
    <row r="25" spans="1:17" s="44" customFormat="1">
      <c r="A25" s="437"/>
      <c r="B25" s="147" t="s">
        <v>556</v>
      </c>
      <c r="C25" s="149">
        <v>0.17330000000000001</v>
      </c>
      <c r="D25" s="151">
        <v>0.2147</v>
      </c>
      <c r="E25" s="151">
        <v>0.61099999999999999</v>
      </c>
      <c r="F25" s="146"/>
      <c r="G25" s="146"/>
      <c r="H25" s="146"/>
      <c r="I25" s="146"/>
      <c r="J25" s="146"/>
      <c r="K25" s="148">
        <v>9.2299999999999993E-2</v>
      </c>
      <c r="L25" s="146">
        <v>0.17780000000000001</v>
      </c>
      <c r="M25" s="146">
        <v>0.38009999999999999</v>
      </c>
      <c r="N25" s="44">
        <v>0.32300000000000001</v>
      </c>
      <c r="O25" s="44">
        <v>0.46379999999999999</v>
      </c>
      <c r="P25" s="44">
        <v>0.17449999999999999</v>
      </c>
      <c r="Q25" s="44">
        <v>0.54530000000000001</v>
      </c>
    </row>
    <row r="26" spans="1:17" s="44" customFormat="1" hidden="1" outlineLevel="1">
      <c r="A26" s="147"/>
      <c r="B26" s="147"/>
      <c r="C26" s="44">
        <f>AVERAGE(C4:C7)</f>
        <v>0.12515000000000001</v>
      </c>
      <c r="D26" s="44">
        <f t="shared" ref="D26" si="2">AVERAGE(D4:D7)</f>
        <v>0.23817499999999997</v>
      </c>
      <c r="E26" s="44">
        <f t="shared" ref="E26" si="3">AVERAGE(E4:E7)</f>
        <v>0.24914999999999998</v>
      </c>
      <c r="F26" s="44" t="e">
        <f t="shared" ref="F26" si="4">AVERAGE(F4:F7)</f>
        <v>#DIV/0!</v>
      </c>
      <c r="G26" s="44" t="e">
        <f t="shared" ref="G26" si="5">AVERAGE(G4:G7)</f>
        <v>#DIV/0!</v>
      </c>
      <c r="H26" s="44" t="e">
        <f t="shared" ref="H26" si="6">AVERAGE(H4:H7)</f>
        <v>#DIV/0!</v>
      </c>
      <c r="I26" s="44" t="e">
        <f t="shared" ref="I26" si="7">AVERAGE(I4:I7)</f>
        <v>#DIV/0!</v>
      </c>
      <c r="K26" s="44">
        <f t="shared" ref="K26" si="8">AVERAGE(K4:K7)</f>
        <v>9.2249999999999999E-2</v>
      </c>
      <c r="L26" s="44">
        <f t="shared" ref="L26" si="9">AVERAGE(L4:L7)</f>
        <v>4.2424999999999997E-2</v>
      </c>
      <c r="M26" s="44">
        <f t="shared" ref="M26" si="10">AVERAGE(M4:M7)</f>
        <v>0.25574999999999998</v>
      </c>
      <c r="N26" s="44">
        <f t="shared" ref="N26" si="11">AVERAGE(N4:N7)</f>
        <v>0.24212500000000001</v>
      </c>
      <c r="O26" s="44">
        <f>AVERAGE(O4:O7)</f>
        <v>0.84142500000000009</v>
      </c>
      <c r="P26" s="44">
        <f t="shared" ref="P26" si="12">AVERAGE(P4:P7)</f>
        <v>0.35275000000000001</v>
      </c>
      <c r="Q26" s="44">
        <f t="shared" ref="Q26" si="13">AVERAGE(Q4:Q7)</f>
        <v>0.27875</v>
      </c>
    </row>
    <row r="27" spans="1:17" collapsed="1"/>
    <row r="28" spans="1:17">
      <c r="A28" s="434" t="s">
        <v>564</v>
      </c>
      <c r="B28" s="434"/>
      <c r="C28" s="434"/>
      <c r="D28" s="434"/>
      <c r="E28" s="434"/>
      <c r="F28" s="434"/>
      <c r="G28" s="434"/>
      <c r="H28" s="434"/>
      <c r="I28" s="434"/>
      <c r="J28" s="434"/>
      <c r="K28" s="434"/>
      <c r="L28" s="434"/>
      <c r="M28" s="434"/>
      <c r="N28" s="24" t="s">
        <v>167</v>
      </c>
      <c r="O28" s="24" t="s">
        <v>167</v>
      </c>
      <c r="P28" s="24" t="s">
        <v>167</v>
      </c>
      <c r="Q28" s="24" t="s">
        <v>167</v>
      </c>
    </row>
    <row r="29" spans="1:17">
      <c r="A29" s="432" t="s">
        <v>542</v>
      </c>
      <c r="B29" s="432"/>
      <c r="C29" s="435" t="s">
        <v>543</v>
      </c>
      <c r="D29" s="432"/>
      <c r="E29" s="432"/>
      <c r="F29" s="57" t="s">
        <v>544</v>
      </c>
      <c r="G29" s="57" t="s">
        <v>544</v>
      </c>
      <c r="H29" s="57" t="s">
        <v>544</v>
      </c>
      <c r="I29" s="57" t="s">
        <v>544</v>
      </c>
      <c r="J29" s="57"/>
      <c r="K29" s="432" t="s">
        <v>545</v>
      </c>
      <c r="L29" s="432"/>
      <c r="M29" s="432"/>
      <c r="N29" s="24" t="s">
        <v>546</v>
      </c>
      <c r="O29" s="24" t="s">
        <v>546</v>
      </c>
      <c r="P29" s="24" t="s">
        <v>546</v>
      </c>
      <c r="Q29" s="24" t="s">
        <v>546</v>
      </c>
    </row>
    <row r="30" spans="1:17">
      <c r="A30" s="436" t="s">
        <v>547</v>
      </c>
      <c r="B30" s="436"/>
      <c r="C30" s="153" t="s">
        <v>548</v>
      </c>
      <c r="D30" s="154" t="s">
        <v>549</v>
      </c>
      <c r="E30" s="154" t="s">
        <v>550</v>
      </c>
      <c r="F30" s="154" t="s">
        <v>560</v>
      </c>
      <c r="G30" s="154">
        <v>1565</v>
      </c>
      <c r="H30" s="154" t="s">
        <v>561</v>
      </c>
      <c r="I30" s="154" t="s">
        <v>562</v>
      </c>
      <c r="J30" s="154"/>
      <c r="K30" s="153" t="s">
        <v>548</v>
      </c>
      <c r="L30" s="154" t="s">
        <v>549</v>
      </c>
      <c r="M30" s="154" t="s">
        <v>550</v>
      </c>
      <c r="N30" s="24" t="s">
        <v>551</v>
      </c>
      <c r="O30" s="24">
        <v>1565</v>
      </c>
      <c r="P30" s="24" t="s">
        <v>552</v>
      </c>
      <c r="Q30" s="24" t="s">
        <v>553</v>
      </c>
    </row>
    <row r="31" spans="1:17">
      <c r="A31" s="437" t="s">
        <v>554</v>
      </c>
      <c r="B31" s="147" t="s">
        <v>555</v>
      </c>
      <c r="C31" s="149">
        <v>0.27879999999999999</v>
      </c>
      <c r="D31" s="151">
        <v>0.28260000000000002</v>
      </c>
      <c r="E31" s="151">
        <v>0.62139999999999995</v>
      </c>
      <c r="F31" s="146"/>
      <c r="G31" s="146"/>
      <c r="H31" s="146"/>
      <c r="I31" s="146"/>
      <c r="J31" s="146"/>
      <c r="K31" s="148">
        <v>3.2800000000000003E-2</v>
      </c>
      <c r="L31" s="146">
        <v>0.13420000000000001</v>
      </c>
      <c r="M31" s="146">
        <v>0.33539999999999998</v>
      </c>
      <c r="N31" s="44">
        <v>0.85089999999999999</v>
      </c>
      <c r="O31" s="44">
        <v>0.72570000000000001</v>
      </c>
      <c r="P31" s="44">
        <v>0.72009999999999996</v>
      </c>
      <c r="Q31" s="44">
        <v>0.95540000000000003</v>
      </c>
    </row>
    <row r="32" spans="1:17">
      <c r="A32" s="437"/>
      <c r="B32" s="147" t="s">
        <v>556</v>
      </c>
      <c r="C32" s="149">
        <v>0.24829999999999999</v>
      </c>
      <c r="D32" s="151">
        <v>0.24160000000000001</v>
      </c>
      <c r="E32" s="151">
        <v>0.67430000000000001</v>
      </c>
      <c r="F32" s="146"/>
      <c r="G32" s="146"/>
      <c r="H32" s="146"/>
      <c r="I32" s="146"/>
      <c r="J32" s="146"/>
      <c r="K32" s="148">
        <v>3.4799999999999998E-2</v>
      </c>
      <c r="L32" s="146">
        <v>0.1106</v>
      </c>
      <c r="M32" s="146">
        <v>0.28320000000000001</v>
      </c>
      <c r="N32" s="44">
        <v>0.93259999999999998</v>
      </c>
      <c r="O32" s="44">
        <v>0.81130000000000002</v>
      </c>
      <c r="P32" s="44">
        <v>0.74160000000000004</v>
      </c>
      <c r="Q32" s="44">
        <v>0.93879999999999997</v>
      </c>
    </row>
    <row r="33" spans="1:17">
      <c r="A33" s="437" t="s">
        <v>557</v>
      </c>
      <c r="B33" s="147" t="s">
        <v>558</v>
      </c>
      <c r="C33" s="149">
        <v>0.1807</v>
      </c>
      <c r="D33" s="151">
        <v>0.2389</v>
      </c>
      <c r="E33" s="151">
        <v>0.5272</v>
      </c>
      <c r="F33" s="146"/>
      <c r="G33" s="146"/>
      <c r="H33" s="146"/>
      <c r="I33" s="146"/>
      <c r="J33" s="146"/>
      <c r="K33" s="148">
        <v>2.7099999999999999E-2</v>
      </c>
      <c r="L33" s="146">
        <v>0.1145</v>
      </c>
      <c r="M33" s="146">
        <v>0.32719999999999999</v>
      </c>
      <c r="N33" s="44">
        <v>0.76839999999999997</v>
      </c>
      <c r="O33" s="44">
        <v>0.39560000000000001</v>
      </c>
      <c r="P33" s="44">
        <v>0.55449999999999999</v>
      </c>
      <c r="Q33" s="44">
        <v>0.93440000000000001</v>
      </c>
    </row>
    <row r="34" spans="1:17">
      <c r="A34" s="437"/>
      <c r="B34" s="147" t="s">
        <v>556</v>
      </c>
      <c r="C34" s="149">
        <v>0.129</v>
      </c>
      <c r="D34" s="151">
        <v>0.20050000000000001</v>
      </c>
      <c r="E34" s="151">
        <v>0.55369999999999997</v>
      </c>
      <c r="F34" s="146"/>
      <c r="G34" s="146"/>
      <c r="H34" s="146"/>
      <c r="I34" s="146"/>
      <c r="J34" s="146"/>
      <c r="K34" s="148">
        <v>2.9000000000000001E-2</v>
      </c>
      <c r="L34" s="148">
        <v>9.5699999999999993E-2</v>
      </c>
      <c r="M34" s="146">
        <v>0.29549999999999998</v>
      </c>
      <c r="N34" s="44">
        <v>0.8387</v>
      </c>
      <c r="O34" s="44">
        <v>0.8821</v>
      </c>
      <c r="P34" s="44">
        <v>0.52980000000000005</v>
      </c>
      <c r="Q34" s="44">
        <v>0.94110000000000005</v>
      </c>
    </row>
    <row r="35" spans="1:17" s="44" customFormat="1" hidden="1" outlineLevel="1">
      <c r="A35" s="147"/>
      <c r="B35" s="147"/>
      <c r="C35" s="44">
        <f>AVERAGE(C31:C34)</f>
        <v>0.2092</v>
      </c>
      <c r="D35" s="44">
        <f t="shared" ref="D35:M35" si="14">AVERAGE(D31:D34)</f>
        <v>0.2409</v>
      </c>
      <c r="E35" s="44">
        <f t="shared" si="14"/>
        <v>0.59415000000000007</v>
      </c>
      <c r="F35" s="44" t="e">
        <f t="shared" si="14"/>
        <v>#DIV/0!</v>
      </c>
      <c r="G35" s="44" t="e">
        <f t="shared" si="14"/>
        <v>#DIV/0!</v>
      </c>
      <c r="H35" s="44" t="e">
        <f t="shared" si="14"/>
        <v>#DIV/0!</v>
      </c>
      <c r="I35" s="44" t="e">
        <f t="shared" si="14"/>
        <v>#DIV/0!</v>
      </c>
      <c r="J35" s="44" t="e">
        <f t="shared" si="14"/>
        <v>#DIV/0!</v>
      </c>
      <c r="K35" s="44">
        <f t="shared" si="14"/>
        <v>3.0924999999999998E-2</v>
      </c>
      <c r="L35" s="44">
        <f t="shared" si="14"/>
        <v>0.11375</v>
      </c>
      <c r="M35" s="44">
        <f t="shared" si="14"/>
        <v>0.31032499999999996</v>
      </c>
      <c r="N35" s="44">
        <f t="shared" ref="N35:Q35" si="15">AVERAGE(N22:N25)</f>
        <v>0.24919999999999998</v>
      </c>
      <c r="O35" s="44">
        <f>AVERAGE(O22:O25)</f>
        <v>0.28112500000000001</v>
      </c>
      <c r="P35" s="44">
        <f t="shared" si="15"/>
        <v>0.12695000000000001</v>
      </c>
      <c r="Q35" s="44">
        <f t="shared" si="15"/>
        <v>0.47572499999999995</v>
      </c>
    </row>
    <row r="36" spans="1:17" collapsed="1"/>
    <row r="37" spans="1:17">
      <c r="A37" s="434" t="s">
        <v>566</v>
      </c>
      <c r="B37" s="434"/>
      <c r="C37" s="434"/>
      <c r="D37" s="434"/>
      <c r="E37" s="434"/>
      <c r="F37" s="434"/>
      <c r="G37" s="434"/>
      <c r="H37" s="434"/>
      <c r="I37" s="434"/>
      <c r="J37" s="434"/>
      <c r="K37" s="434"/>
      <c r="L37" s="434"/>
      <c r="M37" s="434"/>
      <c r="N37" s="24" t="s">
        <v>167</v>
      </c>
      <c r="O37" s="24" t="s">
        <v>167</v>
      </c>
      <c r="P37" s="24" t="s">
        <v>167</v>
      </c>
      <c r="Q37" s="24" t="s">
        <v>167</v>
      </c>
    </row>
    <row r="38" spans="1:17">
      <c r="A38" s="432" t="s">
        <v>542</v>
      </c>
      <c r="B38" s="432"/>
      <c r="C38" s="435" t="s">
        <v>565</v>
      </c>
      <c r="D38" s="432"/>
      <c r="E38" s="432"/>
      <c r="F38" s="57" t="s">
        <v>544</v>
      </c>
      <c r="G38" s="57" t="s">
        <v>544</v>
      </c>
      <c r="H38" s="57" t="s">
        <v>544</v>
      </c>
      <c r="I38" s="57" t="s">
        <v>544</v>
      </c>
      <c r="J38" s="57"/>
      <c r="K38" s="432" t="s">
        <v>545</v>
      </c>
      <c r="L38" s="432"/>
      <c r="M38" s="432"/>
      <c r="N38" s="24" t="s">
        <v>546</v>
      </c>
      <c r="O38" s="24" t="s">
        <v>546</v>
      </c>
      <c r="P38" s="24" t="s">
        <v>546</v>
      </c>
      <c r="Q38" s="24" t="s">
        <v>546</v>
      </c>
    </row>
    <row r="39" spans="1:17">
      <c r="A39" s="436" t="s">
        <v>547</v>
      </c>
      <c r="B39" s="436"/>
      <c r="C39" s="153" t="s">
        <v>548</v>
      </c>
      <c r="D39" s="154" t="s">
        <v>549</v>
      </c>
      <c r="E39" s="154" t="s">
        <v>550</v>
      </c>
      <c r="F39" s="154" t="s">
        <v>560</v>
      </c>
      <c r="G39" s="154">
        <v>1565</v>
      </c>
      <c r="H39" s="154" t="s">
        <v>561</v>
      </c>
      <c r="I39" s="154" t="s">
        <v>562</v>
      </c>
      <c r="J39" s="154"/>
      <c r="K39" s="153" t="s">
        <v>548</v>
      </c>
      <c r="L39" s="154" t="s">
        <v>549</v>
      </c>
      <c r="M39" s="154" t="s">
        <v>550</v>
      </c>
      <c r="N39" s="24" t="s">
        <v>551</v>
      </c>
      <c r="O39" s="24">
        <v>1565</v>
      </c>
      <c r="P39" s="24" t="s">
        <v>552</v>
      </c>
      <c r="Q39" s="24" t="s">
        <v>553</v>
      </c>
    </row>
    <row r="40" spans="1:17">
      <c r="A40" s="437" t="s">
        <v>554</v>
      </c>
      <c r="B40" s="147" t="s">
        <v>555</v>
      </c>
      <c r="C40" s="149">
        <v>0.46150000000000002</v>
      </c>
      <c r="D40" s="151">
        <v>0.37609999999999999</v>
      </c>
      <c r="E40" s="151">
        <v>0.42730000000000001</v>
      </c>
      <c r="F40" s="146"/>
      <c r="G40" s="146"/>
      <c r="H40" s="146"/>
      <c r="I40" s="146"/>
      <c r="J40" s="146"/>
      <c r="K40" s="146">
        <v>0.8276</v>
      </c>
      <c r="L40" s="146">
        <v>0.3639</v>
      </c>
      <c r="M40" s="146">
        <v>0.44309999999999999</v>
      </c>
      <c r="N40" s="44">
        <v>0.85089999999999999</v>
      </c>
      <c r="O40" s="44">
        <v>0.72570000000000001</v>
      </c>
      <c r="P40" s="44">
        <v>0.72009999999999996</v>
      </c>
      <c r="Q40" s="44">
        <v>0.95540000000000003</v>
      </c>
    </row>
    <row r="41" spans="1:17">
      <c r="A41" s="437"/>
      <c r="B41" s="147" t="s">
        <v>556</v>
      </c>
      <c r="C41" s="149">
        <v>0.23250000000000001</v>
      </c>
      <c r="D41" s="151">
        <v>0.17760000000000001</v>
      </c>
      <c r="E41" s="151">
        <v>0.25940000000000002</v>
      </c>
      <c r="F41" s="146"/>
      <c r="G41" s="146"/>
      <c r="H41" s="146"/>
      <c r="I41" s="146"/>
      <c r="J41" s="146"/>
      <c r="K41" s="146">
        <v>0.81799999999999995</v>
      </c>
      <c r="L41" s="146">
        <v>0.30020000000000002</v>
      </c>
      <c r="M41" s="146">
        <v>0.53200000000000003</v>
      </c>
      <c r="N41" s="44">
        <v>0.93259999999999998</v>
      </c>
      <c r="O41" s="44">
        <v>0.81130000000000002</v>
      </c>
      <c r="P41" s="44">
        <v>0.74160000000000004</v>
      </c>
      <c r="Q41" s="44">
        <v>0.93879999999999997</v>
      </c>
    </row>
    <row r="42" spans="1:17">
      <c r="A42" s="437" t="s">
        <v>557</v>
      </c>
      <c r="B42" s="147" t="s">
        <v>558</v>
      </c>
      <c r="C42" s="152">
        <v>6.0000000000000001E-3</v>
      </c>
      <c r="D42" s="150">
        <v>3.8E-3</v>
      </c>
      <c r="E42" s="150">
        <v>1.0800000000000001E-2</v>
      </c>
      <c r="F42" s="146"/>
      <c r="G42" s="146"/>
      <c r="H42" s="146"/>
      <c r="I42" s="146"/>
      <c r="J42" s="146"/>
      <c r="K42" s="146">
        <v>0.74099999999999999</v>
      </c>
      <c r="L42" s="146">
        <v>0.33929999999999999</v>
      </c>
      <c r="M42" s="146">
        <v>0.40189999999999998</v>
      </c>
      <c r="N42" s="44">
        <v>0.76839999999999997</v>
      </c>
      <c r="O42" s="44">
        <v>0.39560000000000001</v>
      </c>
      <c r="P42" s="44">
        <v>0.55449999999999999</v>
      </c>
      <c r="Q42" s="44">
        <v>0.93440000000000001</v>
      </c>
    </row>
    <row r="43" spans="1:17">
      <c r="A43" s="437"/>
      <c r="B43" s="147" t="s">
        <v>556</v>
      </c>
      <c r="C43" s="152">
        <v>8.9999999999999998E-4</v>
      </c>
      <c r="D43" s="150">
        <v>6.9999999999999999E-4</v>
      </c>
      <c r="E43" s="150">
        <v>4.7000000000000002E-3</v>
      </c>
      <c r="F43" s="146"/>
      <c r="G43" s="146"/>
      <c r="H43" s="146"/>
      <c r="I43" s="146"/>
      <c r="J43" s="146"/>
      <c r="K43" s="146">
        <v>0.70630000000000004</v>
      </c>
      <c r="L43" s="146">
        <v>0.28960000000000002</v>
      </c>
      <c r="M43" s="146">
        <v>0.4854</v>
      </c>
      <c r="N43" s="44">
        <v>0.8387</v>
      </c>
      <c r="O43" s="44">
        <v>0.8821</v>
      </c>
      <c r="P43" s="44">
        <v>0.52980000000000005</v>
      </c>
      <c r="Q43" s="44">
        <v>0.94110000000000005</v>
      </c>
    </row>
    <row r="44" spans="1:17" s="44" customFormat="1" hidden="1" outlineLevel="1">
      <c r="A44" s="147"/>
      <c r="B44" s="147"/>
      <c r="C44" s="44">
        <f>AVERAGE(C40:C43)</f>
        <v>0.17522500000000002</v>
      </c>
      <c r="D44" s="44">
        <f t="shared" ref="D44:I44" si="16">AVERAGE(D40:D43)</f>
        <v>0.13955000000000001</v>
      </c>
      <c r="E44" s="44">
        <f t="shared" si="16"/>
        <v>0.17555000000000004</v>
      </c>
      <c r="F44" s="44" t="e">
        <f t="shared" si="16"/>
        <v>#DIV/0!</v>
      </c>
      <c r="G44" s="44" t="e">
        <f t="shared" si="16"/>
        <v>#DIV/0!</v>
      </c>
      <c r="H44" s="44" t="e">
        <f t="shared" si="16"/>
        <v>#DIV/0!</v>
      </c>
      <c r="I44" s="44" t="e">
        <f t="shared" si="16"/>
        <v>#DIV/0!</v>
      </c>
      <c r="K44" s="44">
        <f t="shared" ref="K44:Q44" si="17">AVERAGE(K40:K43)</f>
        <v>0.77322500000000005</v>
      </c>
      <c r="L44" s="44">
        <f t="shared" si="17"/>
        <v>0.32325000000000004</v>
      </c>
      <c r="M44" s="44">
        <f t="shared" si="17"/>
        <v>0.46560000000000001</v>
      </c>
      <c r="N44" s="44">
        <f t="shared" si="17"/>
        <v>0.84765000000000001</v>
      </c>
      <c r="O44" s="44">
        <f t="shared" si="17"/>
        <v>0.70367499999999994</v>
      </c>
      <c r="P44" s="44">
        <f t="shared" si="17"/>
        <v>0.63650000000000007</v>
      </c>
      <c r="Q44" s="44">
        <f t="shared" si="17"/>
        <v>0.94242500000000007</v>
      </c>
    </row>
    <row r="45" spans="1:17" collapsed="1"/>
    <row r="46" spans="1:17">
      <c r="A46" s="434" t="s">
        <v>567</v>
      </c>
      <c r="B46" s="434"/>
      <c r="C46" s="434"/>
      <c r="D46" s="434"/>
      <c r="E46" s="434"/>
      <c r="F46" s="434"/>
      <c r="G46" s="434"/>
      <c r="H46" s="434"/>
      <c r="I46" s="434"/>
      <c r="J46" s="434"/>
      <c r="K46" s="434"/>
      <c r="L46" s="434"/>
      <c r="M46" s="434"/>
      <c r="N46" s="24" t="s">
        <v>535</v>
      </c>
      <c r="O46" s="24" t="s">
        <v>535</v>
      </c>
      <c r="P46" s="24" t="s">
        <v>535</v>
      </c>
      <c r="Q46" s="24" t="s">
        <v>535</v>
      </c>
    </row>
    <row r="47" spans="1:17">
      <c r="A47" s="432" t="s">
        <v>542</v>
      </c>
      <c r="B47" s="432"/>
      <c r="C47" s="435" t="s">
        <v>543</v>
      </c>
      <c r="D47" s="432"/>
      <c r="E47" s="432"/>
      <c r="F47" s="57" t="s">
        <v>544</v>
      </c>
      <c r="G47" s="57" t="s">
        <v>544</v>
      </c>
      <c r="H47" s="57" t="s">
        <v>544</v>
      </c>
      <c r="I47" s="57" t="s">
        <v>544</v>
      </c>
      <c r="J47" s="57"/>
      <c r="K47" s="432" t="s">
        <v>545</v>
      </c>
      <c r="L47" s="432"/>
      <c r="M47" s="432"/>
      <c r="N47" s="24" t="s">
        <v>546</v>
      </c>
      <c r="O47" s="24" t="s">
        <v>546</v>
      </c>
      <c r="P47" s="24" t="s">
        <v>546</v>
      </c>
      <c r="Q47" s="24" t="s">
        <v>546</v>
      </c>
    </row>
    <row r="48" spans="1:17">
      <c r="A48" s="436" t="s">
        <v>547</v>
      </c>
      <c r="B48" s="436"/>
      <c r="C48" s="153" t="s">
        <v>548</v>
      </c>
      <c r="D48" s="154" t="s">
        <v>549</v>
      </c>
      <c r="E48" s="154" t="s">
        <v>550</v>
      </c>
      <c r="F48" s="154" t="s">
        <v>560</v>
      </c>
      <c r="G48" s="154">
        <v>1565</v>
      </c>
      <c r="H48" s="154" t="s">
        <v>561</v>
      </c>
      <c r="I48" s="154" t="s">
        <v>562</v>
      </c>
      <c r="J48" s="154"/>
      <c r="K48" s="153" t="s">
        <v>548</v>
      </c>
      <c r="L48" s="154" t="s">
        <v>549</v>
      </c>
      <c r="M48" s="154" t="s">
        <v>550</v>
      </c>
      <c r="N48" s="24" t="s">
        <v>551</v>
      </c>
      <c r="O48" s="24">
        <v>1565</v>
      </c>
      <c r="P48" s="24" t="s">
        <v>552</v>
      </c>
      <c r="Q48" s="24" t="s">
        <v>553</v>
      </c>
    </row>
    <row r="49" spans="1:17">
      <c r="A49" s="437" t="s">
        <v>554</v>
      </c>
      <c r="B49" s="147" t="s">
        <v>555</v>
      </c>
      <c r="C49" s="149">
        <v>0.2414</v>
      </c>
      <c r="D49" s="151">
        <v>0.47399999999999998</v>
      </c>
      <c r="E49" s="151">
        <v>0.70189999999999997</v>
      </c>
      <c r="F49" s="146"/>
      <c r="G49" s="146"/>
      <c r="H49" s="146"/>
      <c r="I49" s="146"/>
      <c r="J49" s="146"/>
      <c r="K49" s="146">
        <v>0.4884</v>
      </c>
      <c r="L49" s="146">
        <v>0.18609999999999999</v>
      </c>
      <c r="M49" s="146">
        <v>0.39800000000000002</v>
      </c>
      <c r="N49" s="44">
        <v>0.56299999999999994</v>
      </c>
      <c r="O49" s="44">
        <v>0.51370000000000005</v>
      </c>
      <c r="P49" s="44">
        <v>0.69630000000000003</v>
      </c>
      <c r="Q49" s="44">
        <v>0.70009999999999994</v>
      </c>
    </row>
    <row r="50" spans="1:17">
      <c r="A50" s="437"/>
      <c r="B50" s="147" t="s">
        <v>556</v>
      </c>
      <c r="C50" s="149">
        <v>0.1825</v>
      </c>
      <c r="D50" s="151">
        <v>0.35709999999999997</v>
      </c>
      <c r="E50" s="151">
        <v>0.64280000000000004</v>
      </c>
      <c r="F50" s="146"/>
      <c r="G50" s="146"/>
      <c r="H50" s="146"/>
      <c r="I50" s="146"/>
      <c r="J50" s="146"/>
      <c r="K50" s="146">
        <v>0.45150000000000001</v>
      </c>
      <c r="L50" s="146">
        <v>0.15379999999999999</v>
      </c>
      <c r="M50" s="146">
        <v>0.50660000000000005</v>
      </c>
      <c r="N50" s="44">
        <v>0.79830000000000001</v>
      </c>
      <c r="O50" s="44">
        <v>0.3911</v>
      </c>
      <c r="P50" s="44">
        <v>0.76439999999999997</v>
      </c>
      <c r="Q50" s="44">
        <v>0.86990000000000001</v>
      </c>
    </row>
    <row r="51" spans="1:17">
      <c r="A51" s="437" t="s">
        <v>557</v>
      </c>
      <c r="B51" s="147" t="s">
        <v>558</v>
      </c>
      <c r="C51" s="152">
        <v>1.14E-2</v>
      </c>
      <c r="D51" s="150">
        <v>1.6500000000000001E-2</v>
      </c>
      <c r="E51" s="150">
        <v>9.5399999999999999E-2</v>
      </c>
      <c r="F51" s="146"/>
      <c r="G51" s="146"/>
      <c r="H51" s="146"/>
      <c r="I51" s="146"/>
      <c r="J51" s="146"/>
      <c r="K51" s="146">
        <v>0.46200000000000002</v>
      </c>
      <c r="L51" s="146">
        <v>0.17630000000000001</v>
      </c>
      <c r="M51" s="146">
        <v>0.37290000000000001</v>
      </c>
      <c r="N51" s="44">
        <v>0.46789999999999998</v>
      </c>
      <c r="O51" s="44">
        <v>0.81369999999999998</v>
      </c>
      <c r="P51" s="44">
        <v>0.48670000000000002</v>
      </c>
      <c r="Q51" s="44">
        <v>0.58289999999999997</v>
      </c>
    </row>
    <row r="52" spans="1:17">
      <c r="A52" s="437"/>
      <c r="B52" s="147" t="s">
        <v>556</v>
      </c>
      <c r="C52" s="152">
        <v>6.3E-3</v>
      </c>
      <c r="D52" s="150">
        <v>7.0000000000000001E-3</v>
      </c>
      <c r="E52" s="150">
        <v>7.5300000000000006E-2</v>
      </c>
      <c r="F52" s="146"/>
      <c r="G52" s="146"/>
      <c r="H52" s="146"/>
      <c r="I52" s="146"/>
      <c r="J52" s="146"/>
      <c r="K52" s="146">
        <v>0.43759999999999999</v>
      </c>
      <c r="L52" s="146">
        <v>0.1593</v>
      </c>
      <c r="M52" s="146">
        <v>0.48880000000000001</v>
      </c>
      <c r="N52" s="44">
        <v>0.60019999999999996</v>
      </c>
      <c r="O52" s="44">
        <v>0.89929999999999999</v>
      </c>
      <c r="P52" s="44">
        <v>0.48270000000000002</v>
      </c>
      <c r="Q52" s="44">
        <v>0.68430000000000002</v>
      </c>
    </row>
    <row r="53" spans="1:17" s="44" customFormat="1" hidden="1" outlineLevel="1">
      <c r="A53" s="147"/>
      <c r="B53" s="147"/>
      <c r="C53" s="44">
        <f>AVERAGE(C49:C52)</f>
        <v>0.1104</v>
      </c>
      <c r="D53" s="44">
        <f t="shared" ref="D53:I53" si="18">AVERAGE(D49:D52)</f>
        <v>0.21364999999999998</v>
      </c>
      <c r="E53" s="44">
        <f t="shared" si="18"/>
        <v>0.37884999999999996</v>
      </c>
      <c r="F53" s="44" t="e">
        <f t="shared" si="18"/>
        <v>#DIV/0!</v>
      </c>
      <c r="G53" s="44" t="e">
        <f t="shared" si="18"/>
        <v>#DIV/0!</v>
      </c>
      <c r="H53" s="44" t="e">
        <f t="shared" si="18"/>
        <v>#DIV/0!</v>
      </c>
      <c r="I53" s="44" t="e">
        <f t="shared" si="18"/>
        <v>#DIV/0!</v>
      </c>
      <c r="K53" s="44">
        <f t="shared" ref="K53:Q53" si="19">AVERAGE(K49:K52)</f>
        <v>0.45987499999999998</v>
      </c>
      <c r="L53" s="44">
        <f t="shared" si="19"/>
        <v>0.168875</v>
      </c>
      <c r="M53" s="44">
        <f t="shared" si="19"/>
        <v>0.44157500000000005</v>
      </c>
      <c r="N53" s="44">
        <f t="shared" si="19"/>
        <v>0.60734999999999995</v>
      </c>
      <c r="O53" s="44">
        <f t="shared" si="19"/>
        <v>0.65444999999999998</v>
      </c>
      <c r="P53" s="44">
        <f t="shared" si="19"/>
        <v>0.60752499999999998</v>
      </c>
      <c r="Q53" s="44">
        <f t="shared" si="19"/>
        <v>0.70929999999999993</v>
      </c>
    </row>
    <row r="54" spans="1:17" collapsed="1"/>
    <row r="55" spans="1:17">
      <c r="A55" s="433" t="s">
        <v>654</v>
      </c>
      <c r="B55" s="433"/>
      <c r="C55" s="433"/>
      <c r="D55" s="433"/>
      <c r="E55" s="433"/>
      <c r="F55" s="433"/>
      <c r="G55" s="433"/>
      <c r="H55" s="433"/>
      <c r="I55" s="433"/>
      <c r="J55" s="433"/>
      <c r="K55" s="433"/>
      <c r="L55" s="433"/>
      <c r="M55" s="433"/>
    </row>
  </sheetData>
  <mergeCells count="43">
    <mergeCell ref="A4:A5"/>
    <mergeCell ref="A1:M1"/>
    <mergeCell ref="A2:B2"/>
    <mergeCell ref="C2:E2"/>
    <mergeCell ref="K2:M2"/>
    <mergeCell ref="A3:B3"/>
    <mergeCell ref="C38:E38"/>
    <mergeCell ref="K38:M38"/>
    <mergeCell ref="A33:A34"/>
    <mergeCell ref="A6:A7"/>
    <mergeCell ref="A19:M19"/>
    <mergeCell ref="A20:B20"/>
    <mergeCell ref="C20:E20"/>
    <mergeCell ref="K20:M20"/>
    <mergeCell ref="A21:B21"/>
    <mergeCell ref="A10:M10"/>
    <mergeCell ref="A11:B11"/>
    <mergeCell ref="C11:E11"/>
    <mergeCell ref="K11:M11"/>
    <mergeCell ref="A12:B12"/>
    <mergeCell ref="A13:A14"/>
    <mergeCell ref="A15:A16"/>
    <mergeCell ref="A51:A52"/>
    <mergeCell ref="A55:M55"/>
    <mergeCell ref="A28:M28"/>
    <mergeCell ref="A29:B29"/>
    <mergeCell ref="C29:E29"/>
    <mergeCell ref="K29:M29"/>
    <mergeCell ref="A30:B30"/>
    <mergeCell ref="A31:A32"/>
    <mergeCell ref="A39:B39"/>
    <mergeCell ref="A40:A41"/>
    <mergeCell ref="A42:A43"/>
    <mergeCell ref="A46:M46"/>
    <mergeCell ref="A47:B47"/>
    <mergeCell ref="C47:E47"/>
    <mergeCell ref="K47:M47"/>
    <mergeCell ref="A37:M37"/>
    <mergeCell ref="A48:B48"/>
    <mergeCell ref="A49:A50"/>
    <mergeCell ref="A22:A23"/>
    <mergeCell ref="A24:A25"/>
    <mergeCell ref="A38:B38"/>
  </mergeCells>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3FB9E-ECC3-42DC-B69E-53B30E5D9E05}">
  <dimension ref="A1:BG509"/>
  <sheetViews>
    <sheetView topLeftCell="AB481" zoomScale="70" zoomScaleNormal="70" workbookViewId="0">
      <selection activeCell="W5" sqref="W5"/>
    </sheetView>
  </sheetViews>
  <sheetFormatPr defaultColWidth="8.84375" defaultRowHeight="18.45"/>
  <cols>
    <col min="1" max="1" width="7.84375" style="162" bestFit="1" customWidth="1"/>
    <col min="2" max="2" width="7.69140625" style="162" bestFit="1" customWidth="1"/>
    <col min="3" max="3" width="10" style="162" bestFit="1" customWidth="1"/>
    <col min="4" max="4" width="8.84375" style="162" bestFit="1" customWidth="1"/>
    <col min="5" max="5" width="10" style="162" bestFit="1" customWidth="1"/>
    <col min="6" max="7" width="26.4609375" style="162" bestFit="1" customWidth="1"/>
    <col min="8" max="8" width="10" style="162" bestFit="1" customWidth="1"/>
    <col min="9" max="9" width="8.84375" style="162" bestFit="1" customWidth="1"/>
    <col min="10" max="10" width="8.23046875" style="162" customWidth="1"/>
    <col min="11" max="11" width="10.23046875" style="162" bestFit="1" customWidth="1"/>
    <col min="12" max="12" width="12.4609375" style="162" bestFit="1" customWidth="1"/>
    <col min="13" max="13" width="10.23046875" style="162" bestFit="1" customWidth="1"/>
    <col min="14" max="14" width="12.4609375" style="162" bestFit="1" customWidth="1"/>
    <col min="15" max="15" width="7" style="162" customWidth="1"/>
    <col min="16" max="16" width="23.84375" style="162" bestFit="1" customWidth="1"/>
    <col min="17" max="17" width="26.07421875" style="162" bestFit="1" customWidth="1"/>
    <col min="18" max="18" width="9" style="162" bestFit="1" customWidth="1"/>
    <col min="19" max="19" width="23.84375" style="162" bestFit="1" customWidth="1"/>
    <col min="20" max="20" width="26.07421875" style="162" customWidth="1"/>
    <col min="21" max="21" width="9" style="162" bestFit="1" customWidth="1"/>
    <col min="22" max="22" width="8.84375" style="25"/>
    <col min="23" max="23" width="17.84375" style="25" bestFit="1" customWidth="1"/>
    <col min="24" max="26" width="8.84375" style="25" bestFit="1" customWidth="1"/>
    <col min="27" max="29" width="10" style="25" bestFit="1" customWidth="1"/>
    <col min="30" max="30" width="8.84375" style="25"/>
    <col min="31" max="31" width="13" style="25" bestFit="1" customWidth="1"/>
    <col min="32" max="33" width="12.07421875" style="25" bestFit="1" customWidth="1"/>
    <col min="34" max="34" width="10" style="25" bestFit="1" customWidth="1"/>
    <col min="35" max="35" width="8.3046875" style="25" bestFit="1" customWidth="1"/>
    <col min="36" max="36" width="10.23046875" style="25" bestFit="1" customWidth="1"/>
    <col min="37" max="37" width="10.4609375" style="25" bestFit="1" customWidth="1"/>
    <col min="38" max="16384" width="8.84375" style="25"/>
  </cols>
  <sheetData>
    <row r="1" spans="1:59">
      <c r="A1" s="412" t="s">
        <v>161</v>
      </c>
      <c r="B1" s="412"/>
      <c r="C1" s="412"/>
      <c r="D1" s="412"/>
      <c r="E1" s="412"/>
      <c r="F1" s="412"/>
      <c r="G1" s="412"/>
      <c r="H1" s="412"/>
      <c r="I1" s="412"/>
      <c r="J1" s="412"/>
      <c r="K1" s="412"/>
      <c r="L1" s="412"/>
      <c r="M1" s="412"/>
      <c r="N1" s="412"/>
      <c r="O1" s="412"/>
      <c r="P1" s="412"/>
      <c r="Q1" s="412"/>
      <c r="R1" s="412"/>
      <c r="S1" s="412"/>
      <c r="T1" s="412"/>
      <c r="U1" s="412"/>
      <c r="W1" s="412" t="s">
        <v>162</v>
      </c>
      <c r="X1" s="412"/>
      <c r="Y1" s="412"/>
      <c r="Z1" s="412"/>
      <c r="AA1" s="412"/>
      <c r="AB1" s="412"/>
      <c r="AC1" s="412"/>
      <c r="AF1" s="412" t="s">
        <v>163</v>
      </c>
      <c r="AG1" s="412"/>
      <c r="AH1" s="412"/>
      <c r="AI1" s="412"/>
      <c r="AJ1" s="412"/>
      <c r="AK1" s="412"/>
      <c r="AM1" s="412" t="s">
        <v>161</v>
      </c>
      <c r="AN1" s="412"/>
      <c r="AO1" s="412"/>
      <c r="AP1" s="412"/>
      <c r="AQ1" s="412"/>
      <c r="AR1" s="412"/>
      <c r="AT1" s="412" t="s">
        <v>161</v>
      </c>
      <c r="AU1" s="412"/>
      <c r="AV1" s="412"/>
      <c r="AW1" s="412"/>
      <c r="AX1" s="412"/>
      <c r="AY1" s="412"/>
      <c r="BA1" s="412" t="s">
        <v>161</v>
      </c>
      <c r="BB1" s="412"/>
      <c r="BC1" s="412"/>
      <c r="BD1" s="412"/>
      <c r="BE1" s="412"/>
      <c r="BF1" s="412"/>
    </row>
    <row r="2" spans="1:59">
      <c r="B2" s="160" t="s">
        <v>164</v>
      </c>
      <c r="C2" s="160" t="s">
        <v>164</v>
      </c>
      <c r="D2" s="160" t="s">
        <v>165</v>
      </c>
      <c r="E2" s="160" t="s">
        <v>165</v>
      </c>
      <c r="F2" s="160" t="s">
        <v>166</v>
      </c>
      <c r="G2" s="160" t="s">
        <v>166</v>
      </c>
      <c r="H2" s="160" t="s">
        <v>167</v>
      </c>
      <c r="I2" s="160" t="s">
        <v>167</v>
      </c>
      <c r="J2" s="160"/>
      <c r="K2" s="413" t="s">
        <v>166</v>
      </c>
      <c r="L2" s="413"/>
      <c r="M2" s="413"/>
      <c r="N2" s="413"/>
      <c r="O2" s="160"/>
      <c r="P2" s="160" t="s">
        <v>148</v>
      </c>
      <c r="Q2" s="160" t="s">
        <v>148</v>
      </c>
      <c r="R2" s="160" t="s">
        <v>148</v>
      </c>
      <c r="S2" s="160" t="s">
        <v>168</v>
      </c>
      <c r="T2" s="160" t="s">
        <v>168</v>
      </c>
      <c r="U2" s="160" t="s">
        <v>168</v>
      </c>
      <c r="V2" s="160"/>
      <c r="X2" s="24" t="s">
        <v>169</v>
      </c>
      <c r="Y2" s="24"/>
      <c r="Z2" s="24"/>
      <c r="AA2" s="24" t="s">
        <v>170</v>
      </c>
      <c r="AB2" s="24"/>
      <c r="AC2" s="24"/>
      <c r="AF2" s="25" t="s">
        <v>171</v>
      </c>
      <c r="AG2" s="25" t="s">
        <v>171</v>
      </c>
      <c r="AH2" s="25" t="s">
        <v>171</v>
      </c>
      <c r="AI2" s="25" t="s">
        <v>172</v>
      </c>
      <c r="AJ2" s="25" t="s">
        <v>172</v>
      </c>
      <c r="AK2" s="25" t="s">
        <v>172</v>
      </c>
      <c r="AM2" s="25" t="s">
        <v>171</v>
      </c>
      <c r="AN2" s="25" t="s">
        <v>171</v>
      </c>
      <c r="AO2" s="25" t="s">
        <v>171</v>
      </c>
      <c r="AP2" s="25" t="s">
        <v>172</v>
      </c>
      <c r="AQ2" s="25" t="s">
        <v>172</v>
      </c>
      <c r="AR2" s="25" t="s">
        <v>172</v>
      </c>
      <c r="AT2" s="25" t="s">
        <v>171</v>
      </c>
      <c r="AU2" s="25" t="s">
        <v>171</v>
      </c>
      <c r="AV2" s="25" t="s">
        <v>171</v>
      </c>
      <c r="AW2" s="25" t="s">
        <v>172</v>
      </c>
      <c r="AX2" s="25" t="s">
        <v>172</v>
      </c>
      <c r="AY2" s="25" t="s">
        <v>172</v>
      </c>
      <c r="BA2" s="25" t="s">
        <v>171</v>
      </c>
      <c r="BB2" s="25" t="s">
        <v>171</v>
      </c>
      <c r="BC2" s="25" t="s">
        <v>171</v>
      </c>
      <c r="BD2" s="25" t="s">
        <v>172</v>
      </c>
      <c r="BE2" s="25" t="s">
        <v>172</v>
      </c>
      <c r="BF2" s="25" t="s">
        <v>172</v>
      </c>
    </row>
    <row r="3" spans="1:59">
      <c r="A3" s="161" t="s">
        <v>173</v>
      </c>
      <c r="B3" s="160" t="s">
        <v>168</v>
      </c>
      <c r="C3" s="160" t="s">
        <v>148</v>
      </c>
      <c r="D3" s="160" t="s">
        <v>168</v>
      </c>
      <c r="E3" s="160" t="s">
        <v>148</v>
      </c>
      <c r="F3" s="160" t="s">
        <v>168</v>
      </c>
      <c r="G3" s="160" t="s">
        <v>148</v>
      </c>
      <c r="H3" s="160" t="s">
        <v>168</v>
      </c>
      <c r="I3" s="160" t="s">
        <v>148</v>
      </c>
      <c r="J3" s="160"/>
      <c r="K3" s="160" t="s">
        <v>174</v>
      </c>
      <c r="L3" s="160" t="s">
        <v>175</v>
      </c>
      <c r="M3" s="160" t="s">
        <v>176</v>
      </c>
      <c r="N3" s="160" t="s">
        <v>177</v>
      </c>
      <c r="O3" s="160"/>
      <c r="P3" s="160" t="s">
        <v>178</v>
      </c>
      <c r="Q3" s="160" t="s">
        <v>179</v>
      </c>
      <c r="R3" s="160" t="s">
        <v>167</v>
      </c>
      <c r="S3" s="160" t="s">
        <v>178</v>
      </c>
      <c r="T3" s="160" t="s">
        <v>179</v>
      </c>
      <c r="U3" s="160" t="s">
        <v>167</v>
      </c>
      <c r="V3" s="160"/>
      <c r="W3" s="160"/>
      <c r="X3" s="24" t="s">
        <v>180</v>
      </c>
      <c r="Y3" s="24" t="s">
        <v>181</v>
      </c>
      <c r="Z3" s="24" t="s">
        <v>182</v>
      </c>
      <c r="AA3" s="24" t="s">
        <v>180</v>
      </c>
      <c r="AB3" s="24" t="s">
        <v>181</v>
      </c>
      <c r="AC3" s="24" t="s">
        <v>182</v>
      </c>
      <c r="AD3" s="160"/>
      <c r="AE3" s="160"/>
      <c r="AF3" s="25" t="s">
        <v>183</v>
      </c>
      <c r="AG3" s="25" t="s">
        <v>183</v>
      </c>
      <c r="AH3" s="25" t="s">
        <v>184</v>
      </c>
      <c r="AI3" s="25" t="s">
        <v>183</v>
      </c>
      <c r="AJ3" s="25" t="s">
        <v>183</v>
      </c>
      <c r="AK3" s="25" t="s">
        <v>184</v>
      </c>
      <c r="AM3" s="25" t="s">
        <v>183</v>
      </c>
      <c r="AN3" s="25" t="s">
        <v>183</v>
      </c>
      <c r="AO3" s="25" t="s">
        <v>184</v>
      </c>
      <c r="AP3" s="25" t="s">
        <v>183</v>
      </c>
      <c r="AQ3" s="25" t="s">
        <v>183</v>
      </c>
      <c r="AR3" s="25" t="s">
        <v>184</v>
      </c>
      <c r="AT3" s="25" t="s">
        <v>183</v>
      </c>
      <c r="AU3" s="25" t="s">
        <v>183</v>
      </c>
      <c r="AV3" s="25" t="s">
        <v>184</v>
      </c>
      <c r="AW3" s="25" t="s">
        <v>183</v>
      </c>
      <c r="AX3" s="25" t="s">
        <v>183</v>
      </c>
      <c r="AY3" s="25" t="s">
        <v>184</v>
      </c>
      <c r="BA3" s="25" t="s">
        <v>183</v>
      </c>
      <c r="BB3" s="25" t="s">
        <v>183</v>
      </c>
      <c r="BC3" s="25" t="s">
        <v>184</v>
      </c>
      <c r="BD3" s="25" t="s">
        <v>183</v>
      </c>
      <c r="BE3" s="25" t="s">
        <v>183</v>
      </c>
      <c r="BF3" s="25" t="s">
        <v>184</v>
      </c>
    </row>
    <row r="4" spans="1:59">
      <c r="A4" s="163">
        <v>1979</v>
      </c>
      <c r="B4" s="312">
        <v>12925</v>
      </c>
      <c r="C4" s="312">
        <v>219992</v>
      </c>
      <c r="D4" s="312">
        <v>54278</v>
      </c>
      <c r="E4" s="312">
        <v>129230</v>
      </c>
      <c r="F4" s="160"/>
      <c r="G4" s="160"/>
      <c r="H4" s="312">
        <v>209681</v>
      </c>
      <c r="I4" s="312">
        <v>67798</v>
      </c>
      <c r="J4" s="160"/>
      <c r="K4" s="160"/>
      <c r="L4" s="160"/>
      <c r="M4" s="160"/>
      <c r="N4" s="160"/>
      <c r="O4" s="160"/>
      <c r="P4" s="311">
        <f>SUM(C4,M4)</f>
        <v>219992</v>
      </c>
      <c r="Q4" s="311">
        <f>SUM(E4,N4)</f>
        <v>129230</v>
      </c>
      <c r="R4" s="311">
        <f>I4</f>
        <v>67798</v>
      </c>
      <c r="S4" s="311">
        <f>SUM(B4,K4)</f>
        <v>12925</v>
      </c>
      <c r="T4" s="311">
        <f>SUM(D4,L4)</f>
        <v>54278</v>
      </c>
      <c r="U4" s="311">
        <f>H4</f>
        <v>209681</v>
      </c>
      <c r="W4" s="164" t="s">
        <v>185</v>
      </c>
      <c r="X4" s="277">
        <v>2201.0947696801159</v>
      </c>
      <c r="Y4" s="277">
        <v>13527.279678252384</v>
      </c>
      <c r="Z4" s="252">
        <f t="shared" ref="Z4:Z5" si="0">SUM(X4:Y4)</f>
        <v>15728.3744479325</v>
      </c>
      <c r="AA4" s="277">
        <v>18594.58937309411</v>
      </c>
      <c r="AB4" s="277">
        <v>25571.098924478378</v>
      </c>
      <c r="AC4" s="252">
        <f t="shared" ref="AC4:AC5" si="1">SUM(AA4:AB4)</f>
        <v>44165.688297572487</v>
      </c>
      <c r="AF4" s="25" t="s">
        <v>186</v>
      </c>
      <c r="AG4" s="25" t="s">
        <v>187</v>
      </c>
      <c r="AH4" s="25" t="s">
        <v>184</v>
      </c>
      <c r="AI4" s="25" t="s">
        <v>186</v>
      </c>
      <c r="AJ4" s="25" t="s">
        <v>187</v>
      </c>
      <c r="AK4" s="25" t="s">
        <v>184</v>
      </c>
      <c r="AM4" s="25" t="s">
        <v>186</v>
      </c>
      <c r="AN4" s="25" t="s">
        <v>187</v>
      </c>
      <c r="AO4" s="25" t="s">
        <v>184</v>
      </c>
      <c r="AP4" s="25" t="s">
        <v>186</v>
      </c>
      <c r="AQ4" s="25" t="s">
        <v>187</v>
      </c>
      <c r="AR4" s="25" t="s">
        <v>184</v>
      </c>
      <c r="AT4" s="25" t="s">
        <v>186</v>
      </c>
      <c r="AU4" s="25" t="s">
        <v>187</v>
      </c>
      <c r="AV4" s="25" t="s">
        <v>184</v>
      </c>
      <c r="AW4" s="25" t="s">
        <v>186</v>
      </c>
      <c r="AX4" s="25" t="s">
        <v>187</v>
      </c>
      <c r="AY4" s="25" t="s">
        <v>184</v>
      </c>
      <c r="BA4" s="25" t="s">
        <v>186</v>
      </c>
      <c r="BB4" s="25" t="s">
        <v>187</v>
      </c>
      <c r="BC4" s="25" t="s">
        <v>184</v>
      </c>
      <c r="BD4" s="25" t="s">
        <v>186</v>
      </c>
      <c r="BE4" s="25" t="s">
        <v>187</v>
      </c>
      <c r="BF4" s="25" t="s">
        <v>184</v>
      </c>
      <c r="BG4" s="25" t="s">
        <v>188</v>
      </c>
    </row>
    <row r="5" spans="1:59">
      <c r="A5" s="163">
        <v>1980</v>
      </c>
      <c r="B5" s="312">
        <v>11765</v>
      </c>
      <c r="C5" s="312">
        <v>199109</v>
      </c>
      <c r="D5" s="312">
        <v>52762</v>
      </c>
      <c r="E5" s="312">
        <v>124922</v>
      </c>
      <c r="F5" s="160"/>
      <c r="G5" s="160"/>
      <c r="H5" s="312">
        <v>197330</v>
      </c>
      <c r="I5" s="312">
        <v>71325</v>
      </c>
      <c r="J5" s="160"/>
      <c r="K5" s="160"/>
      <c r="L5" s="160"/>
      <c r="M5" s="160"/>
      <c r="N5" s="160"/>
      <c r="O5" s="160"/>
      <c r="P5" s="311">
        <f t="shared" ref="P5:P45" si="2">SUM(C5,M5)</f>
        <v>199109</v>
      </c>
      <c r="Q5" s="311">
        <f t="shared" ref="Q5:Q45" si="3">SUM(E5,N5)</f>
        <v>124922</v>
      </c>
      <c r="R5" s="311">
        <f t="shared" ref="R5:R45" si="4">I5</f>
        <v>71325</v>
      </c>
      <c r="S5" s="311">
        <f t="shared" ref="S5:S45" si="5">SUM(B5,K5)</f>
        <v>11765</v>
      </c>
      <c r="T5" s="311">
        <f t="shared" ref="T5:T45" si="6">SUM(D5,L5)</f>
        <v>52762</v>
      </c>
      <c r="U5" s="311">
        <f t="shared" ref="U5:U45" si="7">H5</f>
        <v>197330</v>
      </c>
      <c r="W5" s="160" t="s">
        <v>189</v>
      </c>
      <c r="X5" s="277">
        <v>2842.1085232924661</v>
      </c>
      <c r="Y5" s="277">
        <v>9810.3370055607065</v>
      </c>
      <c r="Z5" s="252">
        <f t="shared" si="0"/>
        <v>12652.445528853172</v>
      </c>
      <c r="AA5" s="277">
        <v>16928.055923910812</v>
      </c>
      <c r="AB5" s="277">
        <v>29981.255764633061</v>
      </c>
      <c r="AC5" s="252">
        <f t="shared" si="1"/>
        <v>46909.311688543872</v>
      </c>
      <c r="AF5" s="25" t="s">
        <v>190</v>
      </c>
      <c r="AG5" s="25" t="s">
        <v>190</v>
      </c>
      <c r="AH5" s="25" t="s">
        <v>190</v>
      </c>
      <c r="AI5" s="25" t="s">
        <v>190</v>
      </c>
      <c r="AJ5" s="25" t="s">
        <v>190</v>
      </c>
      <c r="AK5" s="25" t="s">
        <v>190</v>
      </c>
    </row>
    <row r="6" spans="1:59">
      <c r="A6" s="163">
        <v>1981</v>
      </c>
      <c r="B6" s="312">
        <v>11881</v>
      </c>
      <c r="C6" s="312">
        <v>196680</v>
      </c>
      <c r="D6" s="312">
        <v>53476</v>
      </c>
      <c r="E6" s="312">
        <v>123517</v>
      </c>
      <c r="F6" s="160"/>
      <c r="G6" s="160"/>
      <c r="H6" s="312">
        <v>201561</v>
      </c>
      <c r="I6" s="312">
        <v>76065</v>
      </c>
      <c r="J6" s="160"/>
      <c r="K6" s="160"/>
      <c r="L6" s="160"/>
      <c r="M6" s="160"/>
      <c r="N6" s="160"/>
      <c r="O6" s="160"/>
      <c r="P6" s="311">
        <f t="shared" si="2"/>
        <v>196680</v>
      </c>
      <c r="Q6" s="311">
        <f t="shared" si="3"/>
        <v>123517</v>
      </c>
      <c r="R6" s="311">
        <f t="shared" si="4"/>
        <v>76065</v>
      </c>
      <c r="S6" s="311">
        <f t="shared" si="5"/>
        <v>11881</v>
      </c>
      <c r="T6" s="311">
        <f t="shared" si="6"/>
        <v>53476</v>
      </c>
      <c r="U6" s="311">
        <f t="shared" si="7"/>
        <v>201561</v>
      </c>
      <c r="W6" s="164" t="s">
        <v>191</v>
      </c>
      <c r="X6" s="277">
        <v>588.02420210941364</v>
      </c>
      <c r="Y6" s="277">
        <v>3163.5501396369355</v>
      </c>
      <c r="Z6" s="252">
        <f>SUM(X6:Y6)</f>
        <v>3751.5743417463491</v>
      </c>
      <c r="AA6" s="277">
        <v>6840.2223039178089</v>
      </c>
      <c r="AB6" s="277">
        <v>13348.187385298714</v>
      </c>
      <c r="AC6" s="252">
        <f>SUM(AA6:AB6)</f>
        <v>20188.409689216522</v>
      </c>
      <c r="AE6" s="165">
        <v>28946</v>
      </c>
      <c r="AF6" s="277">
        <v>1321237</v>
      </c>
      <c r="AG6" s="277">
        <v>562552</v>
      </c>
      <c r="AH6" s="277">
        <v>170453</v>
      </c>
      <c r="AI6" s="277">
        <v>54969</v>
      </c>
      <c r="AJ6" s="277">
        <v>179014</v>
      </c>
      <c r="AK6" s="277">
        <v>477384</v>
      </c>
      <c r="AT6" s="252">
        <f>AF6/SUM(AF6:AF17)*AM17</f>
        <v>17605.956052219131</v>
      </c>
      <c r="AU6" s="252">
        <f t="shared" ref="AU6:AY6" si="8">AG6/SUM(AG6:AG17)*AN17</f>
        <v>9251.1824703119746</v>
      </c>
      <c r="AV6" s="252">
        <f t="shared" si="8"/>
        <v>4708.9641403320611</v>
      </c>
      <c r="AW6" s="252">
        <f t="shared" si="8"/>
        <v>993.71763832126283</v>
      </c>
      <c r="AX6" s="252">
        <f t="shared" si="8"/>
        <v>3561.2970884404808</v>
      </c>
      <c r="AY6" s="252">
        <f t="shared" si="8"/>
        <v>8055.5118797817813</v>
      </c>
    </row>
    <row r="7" spans="1:59">
      <c r="A7" s="163">
        <v>1982</v>
      </c>
      <c r="B7" s="312">
        <v>11464</v>
      </c>
      <c r="C7" s="312">
        <v>200578</v>
      </c>
      <c r="D7" s="312">
        <v>49021</v>
      </c>
      <c r="E7" s="312">
        <v>116523</v>
      </c>
      <c r="F7" s="160"/>
      <c r="G7" s="160"/>
      <c r="H7" s="312">
        <v>206134</v>
      </c>
      <c r="I7" s="312">
        <v>74797</v>
      </c>
      <c r="J7" s="160"/>
      <c r="K7" s="160"/>
      <c r="L7" s="160"/>
      <c r="M7" s="160"/>
      <c r="N7" s="160"/>
      <c r="O7" s="160"/>
      <c r="P7" s="311">
        <f t="shared" si="2"/>
        <v>200578</v>
      </c>
      <c r="Q7" s="311">
        <f t="shared" si="3"/>
        <v>116523</v>
      </c>
      <c r="R7" s="311">
        <f t="shared" si="4"/>
        <v>74797</v>
      </c>
      <c r="S7" s="311">
        <f t="shared" si="5"/>
        <v>11464</v>
      </c>
      <c r="T7" s="311">
        <f t="shared" si="6"/>
        <v>49021</v>
      </c>
      <c r="U7" s="311">
        <f t="shared" si="7"/>
        <v>206134</v>
      </c>
      <c r="W7" s="164" t="s">
        <v>192</v>
      </c>
      <c r="X7" s="277">
        <v>734.63597403471658</v>
      </c>
      <c r="Y7" s="277">
        <v>3410.24520216578</v>
      </c>
      <c r="Z7" s="252">
        <f t="shared" ref="Z7:Z25" si="9">SUM(X7:Y7)</f>
        <v>4144.8811762004971</v>
      </c>
      <c r="AA7" s="277">
        <v>7322.5370563718261</v>
      </c>
      <c r="AB7" s="277">
        <v>13350.275528399199</v>
      </c>
      <c r="AC7" s="252">
        <f t="shared" ref="AC7:AC25" si="10">SUM(AA7:AB7)</f>
        <v>20672.812584771025</v>
      </c>
      <c r="AE7" s="165">
        <v>28976</v>
      </c>
      <c r="AF7" s="277">
        <v>1366065</v>
      </c>
      <c r="AG7" s="277">
        <v>566560</v>
      </c>
      <c r="AH7" s="277">
        <v>191178</v>
      </c>
      <c r="AI7" s="277">
        <v>51228</v>
      </c>
      <c r="AJ7" s="277">
        <v>159855</v>
      </c>
      <c r="AK7" s="277">
        <v>626776</v>
      </c>
      <c r="AT7" s="252">
        <f t="shared" ref="AT7:AY7" si="11">AF7/SUM(AF6:AF17)*AM17</f>
        <v>18203.305201470084</v>
      </c>
      <c r="AU7" s="252">
        <f t="shared" si="11"/>
        <v>9317.0941359731241</v>
      </c>
      <c r="AV7" s="252">
        <f t="shared" si="11"/>
        <v>5281.5165847500648</v>
      </c>
      <c r="AW7" s="252">
        <f t="shared" si="11"/>
        <v>926.08865316672404</v>
      </c>
      <c r="AX7" s="252">
        <f t="shared" si="11"/>
        <v>3180.1487373761438</v>
      </c>
      <c r="AY7" s="252">
        <f t="shared" si="11"/>
        <v>10576.394504135258</v>
      </c>
    </row>
    <row r="8" spans="1:59">
      <c r="A8" s="163">
        <v>1983</v>
      </c>
      <c r="B8" s="312">
        <v>11940</v>
      </c>
      <c r="C8" s="312">
        <v>183013</v>
      </c>
      <c r="D8" s="312">
        <v>43264</v>
      </c>
      <c r="E8" s="312">
        <v>123420</v>
      </c>
      <c r="F8" s="160"/>
      <c r="G8" s="160"/>
      <c r="H8" s="312">
        <v>207412</v>
      </c>
      <c r="I8" s="312">
        <v>57418</v>
      </c>
      <c r="J8" s="160"/>
      <c r="K8" s="160"/>
      <c r="L8" s="160"/>
      <c r="M8" s="160"/>
      <c r="N8" s="160"/>
      <c r="O8" s="160"/>
      <c r="P8" s="311">
        <f t="shared" si="2"/>
        <v>183013</v>
      </c>
      <c r="Q8" s="311">
        <f t="shared" si="3"/>
        <v>123420</v>
      </c>
      <c r="R8" s="311">
        <f t="shared" si="4"/>
        <v>57418</v>
      </c>
      <c r="S8" s="311">
        <f t="shared" si="5"/>
        <v>11940</v>
      </c>
      <c r="T8" s="311">
        <f t="shared" si="6"/>
        <v>43264</v>
      </c>
      <c r="U8" s="311">
        <f t="shared" si="7"/>
        <v>207412</v>
      </c>
      <c r="W8" s="164" t="s">
        <v>193</v>
      </c>
      <c r="X8" s="277">
        <v>1189.0696412183916</v>
      </c>
      <c r="Y8" s="277">
        <v>3423.9411346906354</v>
      </c>
      <c r="Z8" s="252">
        <f t="shared" si="9"/>
        <v>4613.010775909027</v>
      </c>
      <c r="AA8" s="277">
        <v>7528.3087020290695</v>
      </c>
      <c r="AB8" s="277">
        <v>11766.18876180133</v>
      </c>
      <c r="AC8" s="252">
        <f t="shared" si="10"/>
        <v>19294.497463830397</v>
      </c>
      <c r="AE8" s="165">
        <v>29007</v>
      </c>
      <c r="AF8" s="277">
        <v>1431197</v>
      </c>
      <c r="AG8" s="277">
        <v>600293</v>
      </c>
      <c r="AH8" s="277">
        <v>184886</v>
      </c>
      <c r="AI8" s="277">
        <v>50452</v>
      </c>
      <c r="AJ8" s="277">
        <v>169808</v>
      </c>
      <c r="AK8" s="277">
        <v>795398</v>
      </c>
      <c r="AT8" s="252">
        <f t="shared" ref="AT8:AY8" si="12">AF8/SUM(AF6:AF17)*AM17</f>
        <v>19071.212419927586</v>
      </c>
      <c r="AU8" s="252">
        <f t="shared" si="12"/>
        <v>9871.8342102614279</v>
      </c>
      <c r="AV8" s="252">
        <f t="shared" si="12"/>
        <v>5107.6927015038373</v>
      </c>
      <c r="AW8" s="252">
        <f t="shared" si="12"/>
        <v>912.06029377620757</v>
      </c>
      <c r="AX8" s="252">
        <f t="shared" si="12"/>
        <v>3378.1533064112368</v>
      </c>
      <c r="AY8" s="252">
        <f t="shared" si="12"/>
        <v>13421.769556907375</v>
      </c>
    </row>
    <row r="9" spans="1:59">
      <c r="A9" s="163">
        <v>1984</v>
      </c>
      <c r="B9" s="312">
        <v>11028</v>
      </c>
      <c r="C9" s="312">
        <v>183724</v>
      </c>
      <c r="D9" s="312">
        <v>40058</v>
      </c>
      <c r="E9" s="312">
        <v>134672</v>
      </c>
      <c r="F9" s="160"/>
      <c r="G9" s="160"/>
      <c r="H9" s="312">
        <v>201346</v>
      </c>
      <c r="I9" s="312">
        <v>55394</v>
      </c>
      <c r="J9" s="160"/>
      <c r="K9" s="160"/>
      <c r="L9" s="160"/>
      <c r="M9" s="160"/>
      <c r="N9" s="160"/>
      <c r="O9" s="160"/>
      <c r="P9" s="311">
        <f t="shared" si="2"/>
        <v>183724</v>
      </c>
      <c r="Q9" s="311">
        <f t="shared" si="3"/>
        <v>134672</v>
      </c>
      <c r="R9" s="311">
        <f t="shared" si="4"/>
        <v>55394</v>
      </c>
      <c r="S9" s="311">
        <f t="shared" si="5"/>
        <v>11028</v>
      </c>
      <c r="T9" s="311">
        <f t="shared" si="6"/>
        <v>40058</v>
      </c>
      <c r="U9" s="311">
        <f t="shared" si="7"/>
        <v>201346</v>
      </c>
      <c r="W9" s="164" t="s">
        <v>194</v>
      </c>
      <c r="X9" s="277">
        <v>587.8475599525184</v>
      </c>
      <c r="Y9" s="277">
        <v>2404.2662925411132</v>
      </c>
      <c r="Z9" s="252">
        <f t="shared" si="9"/>
        <v>2992.1138524936314</v>
      </c>
      <c r="AA9" s="277">
        <v>6375.4686087886312</v>
      </c>
      <c r="AB9" s="277">
        <v>13062.596408024951</v>
      </c>
      <c r="AC9" s="252">
        <f t="shared" si="10"/>
        <v>19438.065016813583</v>
      </c>
      <c r="AE9" s="165">
        <v>29037</v>
      </c>
      <c r="AF9" s="277">
        <v>1575972</v>
      </c>
      <c r="AG9" s="277">
        <v>652593</v>
      </c>
      <c r="AH9" s="277">
        <v>199818</v>
      </c>
      <c r="AI9" s="277">
        <v>53211</v>
      </c>
      <c r="AJ9" s="277">
        <v>200400</v>
      </c>
      <c r="AK9" s="277">
        <v>953768</v>
      </c>
      <c r="AT9" s="252">
        <f t="shared" ref="AT9:AY9" si="13">AF9/SUM(AF6:AF17)*AM17</f>
        <v>21000.391127048279</v>
      </c>
      <c r="AU9" s="252">
        <f t="shared" si="13"/>
        <v>10731.909089023418</v>
      </c>
      <c r="AV9" s="252">
        <f t="shared" si="13"/>
        <v>5520.2067232191393</v>
      </c>
      <c r="AW9" s="252">
        <f t="shared" si="13"/>
        <v>961.93689629996391</v>
      </c>
      <c r="AX9" s="252">
        <f t="shared" si="13"/>
        <v>3986.7492851032448</v>
      </c>
      <c r="AY9" s="252">
        <f t="shared" si="13"/>
        <v>16094.149478314544</v>
      </c>
    </row>
    <row r="10" spans="1:59">
      <c r="A10" s="163">
        <v>1985</v>
      </c>
      <c r="B10" s="312">
        <v>10808</v>
      </c>
      <c r="C10" s="312">
        <v>190215</v>
      </c>
      <c r="D10" s="312">
        <v>36620</v>
      </c>
      <c r="E10" s="312">
        <v>141215</v>
      </c>
      <c r="F10" s="160"/>
      <c r="G10" s="160"/>
      <c r="H10" s="312">
        <v>206361</v>
      </c>
      <c r="I10" s="312">
        <v>62364</v>
      </c>
      <c r="J10" s="160"/>
      <c r="K10" s="160"/>
      <c r="L10" s="160"/>
      <c r="M10" s="160"/>
      <c r="N10" s="160"/>
      <c r="O10" s="160"/>
      <c r="P10" s="311">
        <f t="shared" si="2"/>
        <v>190215</v>
      </c>
      <c r="Q10" s="311">
        <f t="shared" si="3"/>
        <v>141215</v>
      </c>
      <c r="R10" s="311">
        <f t="shared" si="4"/>
        <v>62364</v>
      </c>
      <c r="S10" s="311">
        <f t="shared" si="5"/>
        <v>10808</v>
      </c>
      <c r="T10" s="311">
        <f t="shared" si="6"/>
        <v>36620</v>
      </c>
      <c r="U10" s="311">
        <f t="shared" si="7"/>
        <v>206361</v>
      </c>
      <c r="W10" s="164" t="s">
        <v>195</v>
      </c>
      <c r="X10" s="277">
        <v>249.46619657286743</v>
      </c>
      <c r="Y10" s="277">
        <v>1927.7421305947846</v>
      </c>
      <c r="Z10" s="252">
        <f t="shared" si="9"/>
        <v>2177.208327167652</v>
      </c>
      <c r="AA10" s="277">
        <v>6704.3144685578163</v>
      </c>
      <c r="AB10" s="277">
        <v>12815.376078882584</v>
      </c>
      <c r="AC10" s="252">
        <f t="shared" si="10"/>
        <v>19519.690547440401</v>
      </c>
      <c r="AE10" s="165">
        <v>29068</v>
      </c>
      <c r="AF10" s="277">
        <v>1645144</v>
      </c>
      <c r="AG10" s="277">
        <v>706694</v>
      </c>
      <c r="AH10" s="277">
        <v>205371</v>
      </c>
      <c r="AI10" s="277">
        <v>55803</v>
      </c>
      <c r="AJ10" s="277">
        <v>233662</v>
      </c>
      <c r="AK10" s="277">
        <v>1062473</v>
      </c>
      <c r="AT10" s="252">
        <f t="shared" ref="AT10:AY10" si="14">AF10/SUM(AF6:AF17)*AM17</f>
        <v>21922.132791900309</v>
      </c>
      <c r="AU10" s="252">
        <f t="shared" si="14"/>
        <v>11621.601460264386</v>
      </c>
      <c r="AV10" s="252">
        <f t="shared" si="14"/>
        <v>5673.6148642976996</v>
      </c>
      <c r="AW10" s="252">
        <f t="shared" si="14"/>
        <v>1008.7945091095241</v>
      </c>
      <c r="AX10" s="252">
        <f t="shared" si="14"/>
        <v>4648.4621330129457</v>
      </c>
      <c r="AY10" s="252">
        <f t="shared" si="14"/>
        <v>17928.468221489176</v>
      </c>
    </row>
    <row r="11" spans="1:59">
      <c r="A11" s="163">
        <v>1986</v>
      </c>
      <c r="B11" s="312">
        <v>10602</v>
      </c>
      <c r="C11" s="312">
        <v>209483</v>
      </c>
      <c r="D11" s="312">
        <v>38664</v>
      </c>
      <c r="E11" s="312">
        <v>151111</v>
      </c>
      <c r="F11" s="160"/>
      <c r="G11" s="160"/>
      <c r="H11" s="312">
        <v>224419</v>
      </c>
      <c r="I11" s="312">
        <v>63705</v>
      </c>
      <c r="J11" s="160"/>
      <c r="K11" s="160"/>
      <c r="L11" s="160"/>
      <c r="M11" s="160"/>
      <c r="N11" s="160"/>
      <c r="O11" s="160"/>
      <c r="P11" s="311">
        <f t="shared" si="2"/>
        <v>209483</v>
      </c>
      <c r="Q11" s="311">
        <f t="shared" si="3"/>
        <v>151111</v>
      </c>
      <c r="R11" s="311">
        <f t="shared" si="4"/>
        <v>63705</v>
      </c>
      <c r="S11" s="311">
        <f t="shared" si="5"/>
        <v>10602</v>
      </c>
      <c r="T11" s="311">
        <f t="shared" si="6"/>
        <v>38664</v>
      </c>
      <c r="U11" s="311">
        <f t="shared" si="7"/>
        <v>224419</v>
      </c>
      <c r="W11" s="164" t="s">
        <v>196</v>
      </c>
      <c r="X11" s="277">
        <v>958.30126146514806</v>
      </c>
      <c r="Y11" s="277">
        <v>2812.7871094495454</v>
      </c>
      <c r="Z11" s="252">
        <f t="shared" si="9"/>
        <v>3771.0883709146933</v>
      </c>
      <c r="AA11" s="277">
        <v>6874.6127695172208</v>
      </c>
      <c r="AB11" s="277">
        <v>14438.537059409378</v>
      </c>
      <c r="AC11" s="252">
        <f t="shared" si="10"/>
        <v>21313.149828926598</v>
      </c>
      <c r="AE11" s="165">
        <v>29099</v>
      </c>
      <c r="AF11" s="277">
        <v>1588970</v>
      </c>
      <c r="AG11" s="277">
        <v>735600</v>
      </c>
      <c r="AH11" s="277">
        <v>224736</v>
      </c>
      <c r="AI11" s="277">
        <v>65529</v>
      </c>
      <c r="AJ11" s="277">
        <v>274633</v>
      </c>
      <c r="AK11" s="277">
        <v>1117863</v>
      </c>
      <c r="AT11" s="252">
        <f t="shared" ref="AT11:AY11" si="15">AF11/SUM(AF6:AF17)*AM17</f>
        <v>21173.594130572055</v>
      </c>
      <c r="AU11" s="252">
        <f t="shared" si="15"/>
        <v>12096.961392300602</v>
      </c>
      <c r="AV11" s="252">
        <f t="shared" si="15"/>
        <v>6208.5957128455711</v>
      </c>
      <c r="AW11" s="252">
        <f t="shared" si="15"/>
        <v>1184.6190238416932</v>
      </c>
      <c r="AX11" s="252">
        <f t="shared" si="15"/>
        <v>5463.5375070646678</v>
      </c>
      <c r="AY11" s="252">
        <f t="shared" si="15"/>
        <v>18863.13465987235</v>
      </c>
    </row>
    <row r="12" spans="1:59">
      <c r="A12" s="163">
        <v>1987</v>
      </c>
      <c r="B12" s="312">
        <v>10751</v>
      </c>
      <c r="C12" s="312">
        <v>262580</v>
      </c>
      <c r="D12" s="312">
        <v>39839</v>
      </c>
      <c r="E12" s="312">
        <v>163880</v>
      </c>
      <c r="F12" s="160"/>
      <c r="G12" s="160"/>
      <c r="H12" s="312">
        <v>242743</v>
      </c>
      <c r="I12" s="312">
        <v>68191</v>
      </c>
      <c r="J12" s="160"/>
      <c r="K12" s="160"/>
      <c r="L12" s="160"/>
      <c r="M12" s="160"/>
      <c r="N12" s="160"/>
      <c r="O12" s="160"/>
      <c r="P12" s="311">
        <f t="shared" si="2"/>
        <v>262580</v>
      </c>
      <c r="Q12" s="311">
        <f t="shared" si="3"/>
        <v>163880</v>
      </c>
      <c r="R12" s="311">
        <f t="shared" si="4"/>
        <v>68191</v>
      </c>
      <c r="S12" s="311">
        <f t="shared" si="5"/>
        <v>10751</v>
      </c>
      <c r="T12" s="311">
        <f t="shared" si="6"/>
        <v>39839</v>
      </c>
      <c r="U12" s="311">
        <f t="shared" si="7"/>
        <v>242743</v>
      </c>
      <c r="W12" s="164" t="s">
        <v>197</v>
      </c>
      <c r="X12" s="277">
        <v>787.0707353641651</v>
      </c>
      <c r="Y12" s="277">
        <v>1945.7354136296246</v>
      </c>
      <c r="Z12" s="252">
        <f t="shared" si="9"/>
        <v>2732.80614899379</v>
      </c>
      <c r="AA12" s="277">
        <v>6851.0817696851473</v>
      </c>
      <c r="AB12" s="277">
        <v>11769.34781519526</v>
      </c>
      <c r="AC12" s="252">
        <f t="shared" si="10"/>
        <v>18620.429584880407</v>
      </c>
      <c r="AE12" s="165">
        <v>29129</v>
      </c>
      <c r="AF12" s="277">
        <v>1478636</v>
      </c>
      <c r="AG12" s="277">
        <v>761916</v>
      </c>
      <c r="AH12" s="277">
        <v>225439</v>
      </c>
      <c r="AI12" s="277">
        <v>71371</v>
      </c>
      <c r="AJ12" s="277">
        <v>307282</v>
      </c>
      <c r="AK12" s="277">
        <v>1235860</v>
      </c>
      <c r="AT12" s="252">
        <f t="shared" ref="AT12:AY12" si="16">AF12/SUM(AF6:AF17)*AM17</f>
        <v>19703.354078964705</v>
      </c>
      <c r="AU12" s="252">
        <f t="shared" si="16"/>
        <v>12529.728706057784</v>
      </c>
      <c r="AV12" s="252">
        <f t="shared" si="16"/>
        <v>6228.0169127696172</v>
      </c>
      <c r="AW12" s="252">
        <f t="shared" si="16"/>
        <v>1290.2294304904008</v>
      </c>
      <c r="AX12" s="252">
        <f t="shared" si="16"/>
        <v>6113.0553584086592</v>
      </c>
      <c r="AY12" s="252">
        <f t="shared" si="16"/>
        <v>20854.24922441287</v>
      </c>
    </row>
    <row r="13" spans="1:59">
      <c r="A13" s="163">
        <v>1988</v>
      </c>
      <c r="B13" s="312">
        <v>10103</v>
      </c>
      <c r="C13" s="312">
        <v>275601</v>
      </c>
      <c r="D13" s="312">
        <v>40300</v>
      </c>
      <c r="E13" s="312">
        <v>195915</v>
      </c>
      <c r="F13" s="160"/>
      <c r="G13" s="160"/>
      <c r="H13" s="312">
        <v>246977</v>
      </c>
      <c r="I13" s="312">
        <v>69380</v>
      </c>
      <c r="J13" s="160"/>
      <c r="K13" s="160"/>
      <c r="L13" s="160"/>
      <c r="M13" s="160"/>
      <c r="N13" s="160"/>
      <c r="O13" s="160"/>
      <c r="P13" s="311">
        <f t="shared" si="2"/>
        <v>275601</v>
      </c>
      <c r="Q13" s="311">
        <f t="shared" si="3"/>
        <v>195915</v>
      </c>
      <c r="R13" s="311">
        <f t="shared" si="4"/>
        <v>69380</v>
      </c>
      <c r="S13" s="311">
        <f t="shared" si="5"/>
        <v>10103</v>
      </c>
      <c r="T13" s="311">
        <f t="shared" si="6"/>
        <v>40300</v>
      </c>
      <c r="U13" s="311">
        <f t="shared" si="7"/>
        <v>246977</v>
      </c>
      <c r="W13" s="164" t="s">
        <v>198</v>
      </c>
      <c r="X13" s="277">
        <v>378.62280025150142</v>
      </c>
      <c r="Y13" s="277">
        <v>1733.1007623954163</v>
      </c>
      <c r="Z13" s="252">
        <f t="shared" si="9"/>
        <v>2111.7235626469178</v>
      </c>
      <c r="AA13" s="277">
        <v>5942.5263694970326</v>
      </c>
      <c r="AB13" s="277">
        <v>10683.748964262913</v>
      </c>
      <c r="AC13" s="252">
        <f t="shared" si="10"/>
        <v>16626.275333759946</v>
      </c>
      <c r="AE13" s="165">
        <v>29160</v>
      </c>
      <c r="AF13" s="277">
        <v>1347997</v>
      </c>
      <c r="AG13" s="277">
        <v>730979</v>
      </c>
      <c r="AH13" s="277">
        <v>226623</v>
      </c>
      <c r="AI13" s="277">
        <v>69209</v>
      </c>
      <c r="AJ13" s="277">
        <v>293387</v>
      </c>
      <c r="AK13" s="277">
        <v>1303511</v>
      </c>
      <c r="AT13" s="252">
        <f t="shared" ref="AT13:AY13" si="17">AF13/SUM(AF6:AF17)*AM17</f>
        <v>17962.542632792778</v>
      </c>
      <c r="AU13" s="252">
        <f t="shared" si="17"/>
        <v>12020.968925479203</v>
      </c>
      <c r="AV13" s="252">
        <f t="shared" si="17"/>
        <v>6260.7263021153794</v>
      </c>
      <c r="AW13" s="252">
        <f t="shared" si="17"/>
        <v>1251.145264250328</v>
      </c>
      <c r="AX13" s="252">
        <f t="shared" si="17"/>
        <v>5836.6288049330624</v>
      </c>
      <c r="AY13" s="252">
        <f t="shared" si="17"/>
        <v>21995.811225190268</v>
      </c>
    </row>
    <row r="14" spans="1:59">
      <c r="A14" s="163">
        <v>1989</v>
      </c>
      <c r="B14" s="312">
        <v>10989</v>
      </c>
      <c r="C14" s="312">
        <v>276734</v>
      </c>
      <c r="D14" s="312">
        <v>38914</v>
      </c>
      <c r="E14" s="312">
        <v>222257</v>
      </c>
      <c r="F14" s="160"/>
      <c r="G14" s="160"/>
      <c r="H14" s="312">
        <v>244063</v>
      </c>
      <c r="I14" s="312">
        <v>79366</v>
      </c>
      <c r="J14" s="160"/>
      <c r="K14" s="160"/>
      <c r="L14" s="160"/>
      <c r="M14" s="160"/>
      <c r="N14" s="160"/>
      <c r="O14" s="160"/>
      <c r="P14" s="311">
        <f t="shared" si="2"/>
        <v>276734</v>
      </c>
      <c r="Q14" s="311">
        <f t="shared" si="3"/>
        <v>222257</v>
      </c>
      <c r="R14" s="311">
        <f t="shared" si="4"/>
        <v>79366</v>
      </c>
      <c r="S14" s="311">
        <f t="shared" si="5"/>
        <v>10989</v>
      </c>
      <c r="T14" s="311">
        <f t="shared" si="6"/>
        <v>38914</v>
      </c>
      <c r="U14" s="311">
        <f t="shared" si="7"/>
        <v>244063</v>
      </c>
      <c r="W14" s="164" t="s">
        <v>199</v>
      </c>
      <c r="X14" s="277">
        <v>344.44437527140701</v>
      </c>
      <c r="Y14" s="277">
        <v>1836.3583014296455</v>
      </c>
      <c r="Z14" s="252">
        <f t="shared" si="9"/>
        <v>2180.8026767010524</v>
      </c>
      <c r="AA14" s="277">
        <v>5681.5076407502056</v>
      </c>
      <c r="AB14" s="277">
        <v>12577.45943416298</v>
      </c>
      <c r="AC14" s="252">
        <f t="shared" si="10"/>
        <v>18258.967074913184</v>
      </c>
      <c r="AE14" s="165">
        <v>29190</v>
      </c>
      <c r="AF14" s="277">
        <v>1334624</v>
      </c>
      <c r="AG14" s="277">
        <v>719340</v>
      </c>
      <c r="AH14" s="277">
        <v>226149</v>
      </c>
      <c r="AI14" s="277">
        <v>70589</v>
      </c>
      <c r="AJ14" s="277">
        <v>285450</v>
      </c>
      <c r="AK14" s="277">
        <v>1492554</v>
      </c>
      <c r="AT14" s="252">
        <f t="shared" ref="AT14:AY14" si="18">AF14/SUM(AF6:AF17)*AM17</f>
        <v>17784.342620012085</v>
      </c>
      <c r="AU14" s="252">
        <f t="shared" si="18"/>
        <v>11829.565263645345</v>
      </c>
      <c r="AV14" s="252">
        <f t="shared" si="18"/>
        <v>6247.6314959077008</v>
      </c>
      <c r="AW14" s="252">
        <f t="shared" si="18"/>
        <v>1276.0926044035662</v>
      </c>
      <c r="AX14" s="252">
        <f t="shared" si="18"/>
        <v>5678.7304562511044</v>
      </c>
      <c r="AY14" s="252">
        <f t="shared" si="18"/>
        <v>25185.775975348603</v>
      </c>
    </row>
    <row r="15" spans="1:59">
      <c r="A15" s="163">
        <v>1990</v>
      </c>
      <c r="B15" s="312">
        <v>11551</v>
      </c>
      <c r="C15" s="312">
        <v>292958</v>
      </c>
      <c r="D15" s="312">
        <v>41228</v>
      </c>
      <c r="E15" s="312">
        <v>251830</v>
      </c>
      <c r="F15" s="160"/>
      <c r="G15" s="160"/>
      <c r="H15" s="312">
        <v>248110</v>
      </c>
      <c r="I15" s="312">
        <v>93510</v>
      </c>
      <c r="J15" s="160"/>
      <c r="K15" s="160"/>
      <c r="L15" s="160"/>
      <c r="M15" s="160"/>
      <c r="N15" s="160"/>
      <c r="O15" s="160"/>
      <c r="P15" s="311">
        <f t="shared" si="2"/>
        <v>292958</v>
      </c>
      <c r="Q15" s="311">
        <f t="shared" si="3"/>
        <v>251830</v>
      </c>
      <c r="R15" s="311">
        <f t="shared" si="4"/>
        <v>93510</v>
      </c>
      <c r="S15" s="311">
        <f t="shared" si="5"/>
        <v>11551</v>
      </c>
      <c r="T15" s="311">
        <f t="shared" si="6"/>
        <v>41228</v>
      </c>
      <c r="U15" s="311">
        <f t="shared" si="7"/>
        <v>248110</v>
      </c>
      <c r="W15" s="164" t="s">
        <v>200</v>
      </c>
      <c r="X15" s="277">
        <v>436.31299431936282</v>
      </c>
      <c r="Y15" s="277">
        <v>2221.7532866529837</v>
      </c>
      <c r="Z15" s="252">
        <f t="shared" si="9"/>
        <v>2658.0662809723462</v>
      </c>
      <c r="AA15" s="277">
        <v>6374.5823126858559</v>
      </c>
      <c r="AB15" s="277">
        <v>11115.31978948504</v>
      </c>
      <c r="AC15" s="252">
        <f t="shared" si="10"/>
        <v>17489.902102170898</v>
      </c>
      <c r="AE15" s="165">
        <v>29221</v>
      </c>
      <c r="AF15" s="277">
        <v>1023640</v>
      </c>
      <c r="AG15" s="277">
        <v>560540</v>
      </c>
      <c r="AH15" s="277">
        <v>182543</v>
      </c>
      <c r="AI15" s="277">
        <v>54924</v>
      </c>
      <c r="AJ15" s="277">
        <v>214392</v>
      </c>
      <c r="AK15" s="277">
        <v>1231034</v>
      </c>
      <c r="AT15" s="252">
        <f t="shared" ref="AT15:AY15" si="19">AF15/SUM(AF6:AF17)*AM17</f>
        <v>13640.369482003298</v>
      </c>
      <c r="AU15" s="252">
        <f t="shared" si="19"/>
        <v>9218.0950772704982</v>
      </c>
      <c r="AV15" s="252">
        <f t="shared" si="19"/>
        <v>5042.964577148161</v>
      </c>
      <c r="AW15" s="252">
        <f t="shared" si="19"/>
        <v>992.90413809887457</v>
      </c>
      <c r="AX15" s="252">
        <f t="shared" si="19"/>
        <v>4265.105552554166</v>
      </c>
      <c r="AY15" s="252">
        <f t="shared" si="19"/>
        <v>20772.813943105102</v>
      </c>
    </row>
    <row r="16" spans="1:59">
      <c r="A16" s="163">
        <v>1991</v>
      </c>
      <c r="B16" s="312">
        <v>12828</v>
      </c>
      <c r="C16" s="312">
        <v>257267</v>
      </c>
      <c r="D16" s="312">
        <v>50331</v>
      </c>
      <c r="E16" s="312">
        <v>246334</v>
      </c>
      <c r="F16" s="160"/>
      <c r="G16" s="160"/>
      <c r="H16" s="312">
        <v>262752</v>
      </c>
      <c r="I16" s="312">
        <v>98193</v>
      </c>
      <c r="J16" s="160"/>
      <c r="K16" s="160"/>
      <c r="L16" s="160"/>
      <c r="M16" s="160"/>
      <c r="N16" s="160"/>
      <c r="O16" s="160"/>
      <c r="P16" s="311">
        <f t="shared" si="2"/>
        <v>257267</v>
      </c>
      <c r="Q16" s="311">
        <f t="shared" si="3"/>
        <v>246334</v>
      </c>
      <c r="R16" s="311">
        <f t="shared" si="4"/>
        <v>98193</v>
      </c>
      <c r="S16" s="311">
        <f t="shared" si="5"/>
        <v>12828</v>
      </c>
      <c r="T16" s="311">
        <f t="shared" si="6"/>
        <v>50331</v>
      </c>
      <c r="U16" s="311">
        <f t="shared" si="7"/>
        <v>262752</v>
      </c>
      <c r="W16" s="164" t="s">
        <v>201</v>
      </c>
      <c r="X16" s="277">
        <v>570.12847399230998</v>
      </c>
      <c r="Y16" s="277">
        <v>2074.805464015988</v>
      </c>
      <c r="Z16" s="252">
        <f t="shared" si="9"/>
        <v>2644.9339380082979</v>
      </c>
      <c r="AA16" s="277">
        <v>7372.0470371228948</v>
      </c>
      <c r="AB16" s="277">
        <v>10762.696123168995</v>
      </c>
      <c r="AC16" s="252">
        <f t="shared" si="10"/>
        <v>18134.743160291888</v>
      </c>
      <c r="AE16" s="165">
        <v>29252</v>
      </c>
      <c r="AF16" s="277">
        <v>1067686</v>
      </c>
      <c r="AG16" s="277">
        <v>581937</v>
      </c>
      <c r="AH16" s="277">
        <v>185714</v>
      </c>
      <c r="AI16" s="277">
        <v>54891</v>
      </c>
      <c r="AJ16" s="277">
        <v>203910</v>
      </c>
      <c r="AK16" s="277">
        <v>1111689</v>
      </c>
      <c r="AT16" s="252">
        <f t="shared" ref="AT16:AY16" si="20">AF16/SUM(AF6:AF17)*AM17</f>
        <v>14227.298201283824</v>
      </c>
      <c r="AU16" s="252">
        <f t="shared" si="20"/>
        <v>9569.9693063502382</v>
      </c>
      <c r="AV16" s="252">
        <f t="shared" si="20"/>
        <v>5130.5671731071234</v>
      </c>
      <c r="AW16" s="252">
        <f t="shared" si="20"/>
        <v>992.3075712691234</v>
      </c>
      <c r="AX16" s="252">
        <f t="shared" si="20"/>
        <v>4056.577079468077</v>
      </c>
      <c r="AY16" s="252">
        <f t="shared" si="20"/>
        <v>18758.952847440905</v>
      </c>
    </row>
    <row r="17" spans="1:59">
      <c r="A17" s="163">
        <v>1992</v>
      </c>
      <c r="B17" s="312">
        <v>14769</v>
      </c>
      <c r="C17" s="312">
        <v>248492</v>
      </c>
      <c r="D17" s="312">
        <v>55569</v>
      </c>
      <c r="E17" s="312">
        <v>222029</v>
      </c>
      <c r="F17" s="160"/>
      <c r="G17" s="160"/>
      <c r="H17" s="312">
        <v>292296</v>
      </c>
      <c r="I17" s="312">
        <v>100054</v>
      </c>
      <c r="J17" s="160"/>
      <c r="K17" s="160"/>
      <c r="L17" s="160"/>
      <c r="M17" s="160"/>
      <c r="N17" s="160"/>
      <c r="O17" s="160"/>
      <c r="P17" s="311">
        <f t="shared" si="2"/>
        <v>248492</v>
      </c>
      <c r="Q17" s="311">
        <f t="shared" si="3"/>
        <v>222029</v>
      </c>
      <c r="R17" s="311">
        <f t="shared" si="4"/>
        <v>100054</v>
      </c>
      <c r="S17" s="311">
        <f t="shared" si="5"/>
        <v>14769</v>
      </c>
      <c r="T17" s="311">
        <f t="shared" si="6"/>
        <v>55569</v>
      </c>
      <c r="U17" s="311">
        <f t="shared" si="7"/>
        <v>292296</v>
      </c>
      <c r="W17" s="164" t="s">
        <v>202</v>
      </c>
      <c r="X17" s="277">
        <v>612.2156153468585</v>
      </c>
      <c r="Y17" s="277">
        <v>2621.6138480008103</v>
      </c>
      <c r="Z17" s="252">
        <f t="shared" si="9"/>
        <v>3233.8294633476689</v>
      </c>
      <c r="AA17" s="277">
        <v>8191.7681542775817</v>
      </c>
      <c r="AB17" s="277">
        <v>12603.654566229532</v>
      </c>
      <c r="AC17" s="252">
        <f t="shared" si="10"/>
        <v>20795.422720507115</v>
      </c>
      <c r="AE17" s="165">
        <v>29281</v>
      </c>
      <c r="AF17" s="277">
        <v>1328107</v>
      </c>
      <c r="AG17" s="277">
        <v>679299</v>
      </c>
      <c r="AH17" s="277">
        <v>231212</v>
      </c>
      <c r="AI17" s="277">
        <v>62790</v>
      </c>
      <c r="AJ17" s="277">
        <v>206573</v>
      </c>
      <c r="AK17" s="277">
        <v>1017760</v>
      </c>
      <c r="AM17" s="277">
        <v>219992</v>
      </c>
      <c r="AN17" s="277">
        <v>129230</v>
      </c>
      <c r="AO17" s="277">
        <v>67798</v>
      </c>
      <c r="AP17" s="277">
        <v>12925</v>
      </c>
      <c r="AQ17" s="277">
        <v>54278</v>
      </c>
      <c r="AR17" s="277">
        <v>209681</v>
      </c>
      <c r="AT17" s="252">
        <f t="shared" ref="AT17:AY17" si="21">AF17/SUM(AF6:AF17)*AM17</f>
        <v>17697.501261805861</v>
      </c>
      <c r="AU17" s="252">
        <f t="shared" si="21"/>
        <v>11171.089963061999</v>
      </c>
      <c r="AV17" s="252">
        <f t="shared" si="21"/>
        <v>6387.5028120036413</v>
      </c>
      <c r="AW17" s="252">
        <f t="shared" si="21"/>
        <v>1135.1039769723316</v>
      </c>
      <c r="AX17" s="252">
        <f t="shared" si="21"/>
        <v>4109.5546909762106</v>
      </c>
      <c r="AY17" s="252">
        <f t="shared" si="21"/>
        <v>17173.96848400178</v>
      </c>
      <c r="AZ17" s="25">
        <f>SUM(AT6:AY17)-SUM(AM17:AR17)</f>
        <v>0</v>
      </c>
    </row>
    <row r="18" spans="1:59">
      <c r="A18" s="163">
        <v>1993</v>
      </c>
      <c r="B18" s="312">
        <v>16558</v>
      </c>
      <c r="C18" s="312">
        <v>260238</v>
      </c>
      <c r="D18" s="312">
        <v>57180</v>
      </c>
      <c r="E18" s="312">
        <v>160063</v>
      </c>
      <c r="F18" s="160"/>
      <c r="G18" s="160"/>
      <c r="H18" s="312">
        <v>309252</v>
      </c>
      <c r="I18" s="312">
        <v>100059</v>
      </c>
      <c r="J18" s="160"/>
      <c r="K18" s="160"/>
      <c r="L18" s="160"/>
      <c r="M18" s="160"/>
      <c r="N18" s="160"/>
      <c r="O18" s="160"/>
      <c r="P18" s="311">
        <f t="shared" si="2"/>
        <v>260238</v>
      </c>
      <c r="Q18" s="311">
        <f t="shared" si="3"/>
        <v>160063</v>
      </c>
      <c r="R18" s="311">
        <f t="shared" si="4"/>
        <v>100059</v>
      </c>
      <c r="S18" s="311">
        <f t="shared" si="5"/>
        <v>16558</v>
      </c>
      <c r="T18" s="311">
        <f t="shared" si="6"/>
        <v>57180</v>
      </c>
      <c r="U18" s="311">
        <f t="shared" si="7"/>
        <v>309252</v>
      </c>
      <c r="W18" s="164" t="s">
        <v>203</v>
      </c>
      <c r="X18" s="277">
        <v>653.13016878875817</v>
      </c>
      <c r="Y18" s="277">
        <v>2795.9252045282315</v>
      </c>
      <c r="Z18" s="252">
        <f t="shared" si="9"/>
        <v>3449.0553733169895</v>
      </c>
      <c r="AA18" s="277">
        <v>5534.967142856538</v>
      </c>
      <c r="AB18" s="277">
        <v>13398.898036545226</v>
      </c>
      <c r="AC18" s="252">
        <f t="shared" si="10"/>
        <v>18933.865179401764</v>
      </c>
      <c r="AE18" s="165">
        <v>29312</v>
      </c>
      <c r="AF18" s="277">
        <v>1532570</v>
      </c>
      <c r="AG18" s="277">
        <v>704693</v>
      </c>
      <c r="AH18" s="277">
        <v>194148</v>
      </c>
      <c r="AI18" s="277">
        <v>61749</v>
      </c>
      <c r="AJ18" s="277">
        <v>183243</v>
      </c>
      <c r="AK18" s="277">
        <v>492359</v>
      </c>
      <c r="AT18" s="252">
        <f t="shared" ref="AT18" si="22">AF18/SUM(AF18:AF29)*AM29</f>
        <v>19464.563960020994</v>
      </c>
      <c r="AU18" s="252">
        <f t="shared" ref="AU18" si="23">AG18/SUM(AG18:AG29)*AN29</f>
        <v>10718.063736151884</v>
      </c>
      <c r="AV18" s="252">
        <f t="shared" ref="AV18" si="24">AH18/SUM(AH18:AH29)*AO29</f>
        <v>4803.0149765513388</v>
      </c>
      <c r="AW18" s="252">
        <f t="shared" ref="AW18" si="25">AI18/SUM(AI18:AI29)*AP29</f>
        <v>912.4520492199639</v>
      </c>
      <c r="AX18" s="252">
        <f t="shared" ref="AX18" si="26">AJ18/SUM(AJ18:AJ29)*AQ29</f>
        <v>3433.260358799173</v>
      </c>
      <c r="AY18" s="252">
        <f t="shared" ref="AY18" si="27">AK18/SUM(AK18:AK29)*AR29</f>
        <v>7375.2327956505223</v>
      </c>
    </row>
    <row r="19" spans="1:59">
      <c r="A19" s="163">
        <v>1994</v>
      </c>
      <c r="B19" s="312">
        <v>19357</v>
      </c>
      <c r="C19" s="312">
        <v>276016</v>
      </c>
      <c r="D19" s="312">
        <v>51934</v>
      </c>
      <c r="E19" s="312">
        <v>130687</v>
      </c>
      <c r="F19" s="160"/>
      <c r="G19" s="160"/>
      <c r="H19" s="312">
        <v>299647</v>
      </c>
      <c r="I19" s="312">
        <v>90152</v>
      </c>
      <c r="J19" s="160"/>
      <c r="K19" s="160"/>
      <c r="L19" s="160"/>
      <c r="M19" s="160"/>
      <c r="N19" s="160"/>
      <c r="O19" s="160"/>
      <c r="P19" s="311">
        <f t="shared" si="2"/>
        <v>276016</v>
      </c>
      <c r="Q19" s="311">
        <f t="shared" si="3"/>
        <v>130687</v>
      </c>
      <c r="R19" s="311">
        <f t="shared" si="4"/>
        <v>90152</v>
      </c>
      <c r="S19" s="311">
        <f t="shared" si="5"/>
        <v>19357</v>
      </c>
      <c r="T19" s="311">
        <f t="shared" si="6"/>
        <v>51934</v>
      </c>
      <c r="U19" s="311">
        <f t="shared" si="7"/>
        <v>299647</v>
      </c>
      <c r="W19" s="164" t="s">
        <v>204</v>
      </c>
      <c r="X19" s="277">
        <v>859.9142896844395</v>
      </c>
      <c r="Y19" s="277">
        <v>3311.881008087973</v>
      </c>
      <c r="Z19" s="252">
        <f t="shared" si="9"/>
        <v>4171.7952977724126</v>
      </c>
      <c r="AA19" s="277">
        <v>6818.8533029198225</v>
      </c>
      <c r="AB19" s="277">
        <v>12670.531160327466</v>
      </c>
      <c r="AC19" s="252">
        <f t="shared" si="10"/>
        <v>19489.38446324729</v>
      </c>
      <c r="AE19" s="165">
        <v>29342</v>
      </c>
      <c r="AF19" s="277">
        <v>1563227</v>
      </c>
      <c r="AG19" s="277">
        <v>707773</v>
      </c>
      <c r="AH19" s="277">
        <v>215924</v>
      </c>
      <c r="AI19" s="277">
        <v>59522</v>
      </c>
      <c r="AJ19" s="277">
        <v>150241</v>
      </c>
      <c r="AK19" s="277">
        <v>633510</v>
      </c>
      <c r="AT19" s="252">
        <f t="shared" ref="AT19" si="28">AF19/SUM(AF18:AF29)*AM29</f>
        <v>19853.926362601211</v>
      </c>
      <c r="AU19" s="252">
        <f t="shared" ref="AU19" si="29">AG19/SUM(AG18:AG29)*AN29</f>
        <v>10764.909151541775</v>
      </c>
      <c r="AV19" s="252">
        <f t="shared" ref="AV19" si="30">AH19/SUM(AH18:AH29)*AO29</f>
        <v>5341.7300502548114</v>
      </c>
      <c r="AW19" s="252">
        <f t="shared" ref="AW19" si="31">AI19/SUM(AI18:AI29)*AP29</f>
        <v>879.54413632076125</v>
      </c>
      <c r="AX19" s="252">
        <f t="shared" ref="AX19" si="32">AJ19/SUM(AJ18:AJ29)*AQ29</f>
        <v>2814.9313729110886</v>
      </c>
      <c r="AY19" s="252">
        <f t="shared" ref="AY19" si="33">AK19/SUM(AK18:AK29)*AR29</f>
        <v>9489.5873303271837</v>
      </c>
    </row>
    <row r="20" spans="1:59">
      <c r="A20" s="163">
        <v>1995</v>
      </c>
      <c r="B20" s="312">
        <v>15838</v>
      </c>
      <c r="C20" s="312">
        <v>262275</v>
      </c>
      <c r="D20" s="312">
        <v>46436</v>
      </c>
      <c r="E20" s="312">
        <v>121384</v>
      </c>
      <c r="F20" s="160"/>
      <c r="G20" s="160"/>
      <c r="H20" s="312">
        <v>329359</v>
      </c>
      <c r="I20" s="312">
        <v>95031</v>
      </c>
      <c r="J20" s="160"/>
      <c r="K20" s="160"/>
      <c r="L20" s="160"/>
      <c r="M20" s="160"/>
      <c r="N20" s="160"/>
      <c r="O20" s="160"/>
      <c r="P20" s="311">
        <f t="shared" si="2"/>
        <v>262275</v>
      </c>
      <c r="Q20" s="311">
        <f t="shared" si="3"/>
        <v>121384</v>
      </c>
      <c r="R20" s="311">
        <f t="shared" si="4"/>
        <v>95031</v>
      </c>
      <c r="S20" s="311">
        <f t="shared" si="5"/>
        <v>15838</v>
      </c>
      <c r="T20" s="311">
        <f t="shared" si="6"/>
        <v>46436</v>
      </c>
      <c r="U20" s="311">
        <f t="shared" si="7"/>
        <v>329359</v>
      </c>
      <c r="W20" s="164" t="s">
        <v>205</v>
      </c>
      <c r="X20" s="277">
        <v>896.68712243687139</v>
      </c>
      <c r="Y20" s="277">
        <v>2786.1613324303548</v>
      </c>
      <c r="Z20" s="252">
        <f t="shared" si="9"/>
        <v>3682.8484548672263</v>
      </c>
      <c r="AA20" s="277">
        <v>5280.7477885434655</v>
      </c>
      <c r="AB20" s="277">
        <v>12947.281702769893</v>
      </c>
      <c r="AC20" s="252">
        <f t="shared" si="10"/>
        <v>18228.029491313358</v>
      </c>
      <c r="AE20" s="165">
        <v>29373</v>
      </c>
      <c r="AF20" s="277">
        <v>1564748</v>
      </c>
      <c r="AG20" s="277">
        <v>724526</v>
      </c>
      <c r="AH20" s="277">
        <v>225533</v>
      </c>
      <c r="AI20" s="277">
        <v>59432</v>
      </c>
      <c r="AJ20" s="277">
        <v>159545</v>
      </c>
      <c r="AK20" s="277">
        <v>809682</v>
      </c>
      <c r="AT20" s="252">
        <f t="shared" ref="AT20" si="34">AF20/SUM(AF18:AF29)*AM29</f>
        <v>19873.243980578332</v>
      </c>
      <c r="AU20" s="252">
        <f t="shared" ref="AU20" si="35">AG20/SUM(AG18:AG29)*AN29</f>
        <v>11019.714750251784</v>
      </c>
      <c r="AV20" s="252">
        <f t="shared" ref="AV20" si="36">AH20/SUM(AH18:AH29)*AO29</f>
        <v>5579.4464877647624</v>
      </c>
      <c r="AW20" s="252">
        <f t="shared" ref="AW20" si="37">AI20/SUM(AI18:AI29)*AP29</f>
        <v>878.2142251573448</v>
      </c>
      <c r="AX20" s="252">
        <f t="shared" ref="AX20" si="38">AJ20/SUM(AJ18:AJ29)*AQ29</f>
        <v>2989.2521075545264</v>
      </c>
      <c r="AY20" s="252">
        <f t="shared" ref="AY20" si="39">AK20/SUM(AK18:AK29)*AR29</f>
        <v>12128.534748928943</v>
      </c>
    </row>
    <row r="21" spans="1:59">
      <c r="A21" s="163">
        <v>1996</v>
      </c>
      <c r="B21" s="312">
        <v>16469</v>
      </c>
      <c r="C21" s="312">
        <v>299244</v>
      </c>
      <c r="D21" s="312">
        <v>46122</v>
      </c>
      <c r="E21" s="312">
        <v>133576</v>
      </c>
      <c r="F21" s="160"/>
      <c r="G21" s="160"/>
      <c r="H21" s="312">
        <v>321973</v>
      </c>
      <c r="I21" s="312">
        <v>91474</v>
      </c>
      <c r="J21" s="160"/>
      <c r="K21" s="160"/>
      <c r="L21" s="160"/>
      <c r="M21" s="160"/>
      <c r="N21" s="160"/>
      <c r="O21" s="160"/>
      <c r="P21" s="311">
        <f t="shared" si="2"/>
        <v>299244</v>
      </c>
      <c r="Q21" s="311">
        <f t="shared" si="3"/>
        <v>133576</v>
      </c>
      <c r="R21" s="311">
        <f t="shared" si="4"/>
        <v>91474</v>
      </c>
      <c r="S21" s="311">
        <f t="shared" si="5"/>
        <v>16469</v>
      </c>
      <c r="T21" s="311">
        <f t="shared" si="6"/>
        <v>46122</v>
      </c>
      <c r="U21" s="311">
        <f t="shared" si="7"/>
        <v>321973</v>
      </c>
      <c r="W21" s="164" t="s">
        <v>206</v>
      </c>
      <c r="X21" s="277">
        <v>497.71698529314995</v>
      </c>
      <c r="Y21" s="277">
        <v>3515.6527070536818</v>
      </c>
      <c r="Z21" s="252">
        <f t="shared" si="9"/>
        <v>4013.3696923468315</v>
      </c>
      <c r="AA21" s="277">
        <v>5746.5627995907935</v>
      </c>
      <c r="AB21" s="277">
        <v>14169.094607812247</v>
      </c>
      <c r="AC21" s="252">
        <f t="shared" si="10"/>
        <v>19915.65740740304</v>
      </c>
      <c r="AE21" s="165">
        <v>29403</v>
      </c>
      <c r="AF21" s="277">
        <v>1559424</v>
      </c>
      <c r="AG21" s="277">
        <v>738613</v>
      </c>
      <c r="AH21" s="277">
        <v>247136</v>
      </c>
      <c r="AI21" s="277">
        <v>64165</v>
      </c>
      <c r="AJ21" s="277">
        <v>185394</v>
      </c>
      <c r="AK21" s="277">
        <v>999402</v>
      </c>
      <c r="AT21" s="252">
        <f t="shared" ref="AT21" si="40">AF21/SUM(AF18:AF29)*AM29</f>
        <v>19805.625967356653</v>
      </c>
      <c r="AU21" s="252">
        <f t="shared" ref="AU21" si="41">AG21/SUM(AG18:AG29)*AN29</f>
        <v>11233.971687458727</v>
      </c>
      <c r="AV21" s="252">
        <f t="shared" ref="AV21" si="42">AH21/SUM(AH18:AH29)*AO29</f>
        <v>6113.8817255134818</v>
      </c>
      <c r="AW21" s="252">
        <f t="shared" ref="AW21" si="43">AI21/SUM(AI18:AI29)*AP29</f>
        <v>948.15277556234071</v>
      </c>
      <c r="AX21" s="252">
        <f t="shared" ref="AX21" si="44">AJ21/SUM(AJ18:AJ29)*AQ29</f>
        <v>3473.5617238269069</v>
      </c>
      <c r="AY21" s="252">
        <f t="shared" ref="AY21" si="45">AK21/SUM(AK18:AK29)*AR29</f>
        <v>14970.422814325973</v>
      </c>
    </row>
    <row r="22" spans="1:59">
      <c r="A22" s="163">
        <v>1997</v>
      </c>
      <c r="B22" s="312">
        <v>14730</v>
      </c>
      <c r="C22" s="312">
        <v>239732</v>
      </c>
      <c r="D22" s="312">
        <v>44197</v>
      </c>
      <c r="E22" s="312">
        <v>130610</v>
      </c>
      <c r="F22" s="160"/>
      <c r="G22" s="160"/>
      <c r="H22" s="312">
        <v>304489</v>
      </c>
      <c r="I22" s="312">
        <v>86154</v>
      </c>
      <c r="J22" s="160"/>
      <c r="K22" s="160"/>
      <c r="L22" s="160"/>
      <c r="M22" s="160"/>
      <c r="N22" s="160"/>
      <c r="O22" s="160"/>
      <c r="P22" s="311">
        <f t="shared" si="2"/>
        <v>239732</v>
      </c>
      <c r="Q22" s="311">
        <f t="shared" si="3"/>
        <v>130610</v>
      </c>
      <c r="R22" s="311">
        <f t="shared" si="4"/>
        <v>86154</v>
      </c>
      <c r="S22" s="311">
        <f t="shared" si="5"/>
        <v>14730</v>
      </c>
      <c r="T22" s="311">
        <f t="shared" si="6"/>
        <v>44197</v>
      </c>
      <c r="U22" s="311">
        <f t="shared" si="7"/>
        <v>304489</v>
      </c>
      <c r="W22" s="25" t="s">
        <v>207</v>
      </c>
      <c r="X22" s="277">
        <v>234.80300298838273</v>
      </c>
      <c r="Y22" s="277">
        <v>3145.047160719198</v>
      </c>
      <c r="Z22" s="252">
        <f t="shared" si="9"/>
        <v>3379.8501637075806</v>
      </c>
      <c r="AA22" s="277">
        <v>4459.8118137189776</v>
      </c>
      <c r="AB22" s="277">
        <v>9557.5389673441641</v>
      </c>
      <c r="AC22" s="252">
        <f t="shared" si="10"/>
        <v>14017.350781063142</v>
      </c>
      <c r="AE22" s="165">
        <v>29434</v>
      </c>
      <c r="AF22" s="277">
        <v>1516847</v>
      </c>
      <c r="AG22" s="277">
        <v>747719</v>
      </c>
      <c r="AH22" s="277">
        <v>247665</v>
      </c>
      <c r="AI22" s="277">
        <v>67458</v>
      </c>
      <c r="AJ22" s="277">
        <v>230782</v>
      </c>
      <c r="AK22" s="277">
        <v>1144917</v>
      </c>
      <c r="AT22" s="252">
        <f t="shared" ref="AT22" si="46">AF22/SUM(AF18:AF29)*AM29</f>
        <v>19264.872370636229</v>
      </c>
      <c r="AU22" s="252">
        <f t="shared" ref="AU22" si="47">AG22/SUM(AG18:AG29)*AN29</f>
        <v>11372.469853867928</v>
      </c>
      <c r="AV22" s="252">
        <f t="shared" ref="AV22" si="48">AH22/SUM(AH18:AH29)*AO29</f>
        <v>6126.9686227392876</v>
      </c>
      <c r="AW22" s="252">
        <f t="shared" ref="AW22" si="49">AI22/SUM(AI18:AI29)*AP29</f>
        <v>996.81274735267482</v>
      </c>
      <c r="AX22" s="252">
        <f t="shared" ref="AX22" si="50">AJ22/SUM(AJ18:AJ29)*AQ29</f>
        <v>4323.9561245143923</v>
      </c>
      <c r="AY22" s="252">
        <f t="shared" ref="AY22" si="51">AK22/SUM(AK18:AK29)*AR29</f>
        <v>17150.147365434183</v>
      </c>
    </row>
    <row r="23" spans="1:59">
      <c r="A23" s="163">
        <v>1998</v>
      </c>
      <c r="B23" s="312">
        <v>13490</v>
      </c>
      <c r="C23" s="312">
        <v>215508</v>
      </c>
      <c r="D23" s="312">
        <v>40435</v>
      </c>
      <c r="E23" s="312">
        <v>113879</v>
      </c>
      <c r="F23" s="160"/>
      <c r="G23" s="160"/>
      <c r="H23" s="312">
        <v>327755</v>
      </c>
      <c r="I23" s="312">
        <v>83804</v>
      </c>
      <c r="J23" s="160"/>
      <c r="K23" s="160"/>
      <c r="L23" s="160"/>
      <c r="M23" s="160"/>
      <c r="N23" s="160"/>
      <c r="O23" s="160"/>
      <c r="P23" s="311">
        <f t="shared" si="2"/>
        <v>215508</v>
      </c>
      <c r="Q23" s="311">
        <f t="shared" si="3"/>
        <v>113879</v>
      </c>
      <c r="R23" s="311">
        <f t="shared" si="4"/>
        <v>83804</v>
      </c>
      <c r="S23" s="311">
        <f t="shared" si="5"/>
        <v>13490</v>
      </c>
      <c r="T23" s="311">
        <f t="shared" si="6"/>
        <v>40435</v>
      </c>
      <c r="U23" s="311">
        <f t="shared" si="7"/>
        <v>327755</v>
      </c>
      <c r="W23" s="25" t="s">
        <v>208</v>
      </c>
      <c r="X23" s="277">
        <v>667.37172957701762</v>
      </c>
      <c r="Y23" s="277">
        <v>3730.8071844133551</v>
      </c>
      <c r="Z23" s="252">
        <f t="shared" si="9"/>
        <v>4398.1789139903731</v>
      </c>
      <c r="AA23" s="277">
        <v>5526.0471947493998</v>
      </c>
      <c r="AB23" s="277">
        <v>9955.1089796758861</v>
      </c>
      <c r="AC23" s="252">
        <f t="shared" si="10"/>
        <v>15481.156174425287</v>
      </c>
      <c r="AE23" s="165">
        <v>29465</v>
      </c>
      <c r="AF23" s="277">
        <v>1425392</v>
      </c>
      <c r="AG23" s="277">
        <v>759545</v>
      </c>
      <c r="AH23" s="277">
        <v>250664</v>
      </c>
      <c r="AI23" s="277">
        <v>74836</v>
      </c>
      <c r="AJ23" s="277">
        <v>278753</v>
      </c>
      <c r="AK23" s="277">
        <v>1259206</v>
      </c>
      <c r="AT23" s="252">
        <f t="shared" ref="AT23" si="52">AF23/SUM(AF18:AF29)*AM29</f>
        <v>18103.33867431977</v>
      </c>
      <c r="AU23" s="252">
        <f t="shared" ref="AU23" si="53">AG23/SUM(AG18:AG29)*AN29</f>
        <v>11552.337997504563</v>
      </c>
      <c r="AV23" s="252">
        <f t="shared" ref="AV23" si="54">AH23/SUM(AH18:AH29)*AO29</f>
        <v>6201.1606922670571</v>
      </c>
      <c r="AW23" s="252">
        <f t="shared" ref="AW23" si="55">AI23/SUM(AI18:AI29)*AP29</f>
        <v>1105.8359091714069</v>
      </c>
      <c r="AX23" s="252">
        <f t="shared" ref="AX23" si="56">AJ23/SUM(AJ18:AJ29)*AQ29</f>
        <v>5222.7458882268138</v>
      </c>
      <c r="AY23" s="252">
        <f t="shared" ref="AY23" si="57">AK23/SUM(AK18:AK29)*AR29</f>
        <v>18862.125781553521</v>
      </c>
    </row>
    <row r="24" spans="1:59">
      <c r="A24" s="163">
        <v>1999</v>
      </c>
      <c r="B24" s="312">
        <v>11868</v>
      </c>
      <c r="C24" s="312">
        <v>227734</v>
      </c>
      <c r="D24" s="312">
        <v>38929</v>
      </c>
      <c r="E24" s="312">
        <v>105219</v>
      </c>
      <c r="F24" s="160"/>
      <c r="G24" s="160"/>
      <c r="H24" s="312">
        <v>311258</v>
      </c>
      <c r="I24" s="312">
        <v>73960</v>
      </c>
      <c r="J24" s="160"/>
      <c r="K24" s="160"/>
      <c r="L24" s="160"/>
      <c r="M24" s="160"/>
      <c r="N24" s="160"/>
      <c r="O24" s="160"/>
      <c r="P24" s="311">
        <f t="shared" si="2"/>
        <v>227734</v>
      </c>
      <c r="Q24" s="311">
        <f t="shared" si="3"/>
        <v>105219</v>
      </c>
      <c r="R24" s="311">
        <f t="shared" si="4"/>
        <v>73960</v>
      </c>
      <c r="S24" s="311">
        <f t="shared" si="5"/>
        <v>11868</v>
      </c>
      <c r="T24" s="311">
        <f t="shared" si="6"/>
        <v>38929</v>
      </c>
      <c r="U24" s="311">
        <f t="shared" si="7"/>
        <v>311258</v>
      </c>
      <c r="W24" s="25" t="s">
        <v>209</v>
      </c>
      <c r="X24" s="277">
        <v>399.41397551115216</v>
      </c>
      <c r="Y24" s="277">
        <v>2217.1347542353196</v>
      </c>
      <c r="Z24" s="252">
        <f t="shared" si="9"/>
        <v>2616.548729746472</v>
      </c>
      <c r="AA24" s="277">
        <v>6005.3793009515284</v>
      </c>
      <c r="AB24" s="277">
        <v>10390.597602321272</v>
      </c>
      <c r="AC24" s="252">
        <f t="shared" si="10"/>
        <v>16395.9769032728</v>
      </c>
      <c r="AE24" s="165">
        <v>29495</v>
      </c>
      <c r="AF24" s="277">
        <v>1349251</v>
      </c>
      <c r="AG24" s="277">
        <v>764028</v>
      </c>
      <c r="AH24" s="277">
        <v>245700</v>
      </c>
      <c r="AI24" s="277">
        <v>81702</v>
      </c>
      <c r="AJ24" s="277">
        <v>321522</v>
      </c>
      <c r="AK24" s="277">
        <v>1426647</v>
      </c>
      <c r="AT24" s="252">
        <f t="shared" ref="AT24" si="58">AF24/SUM(AF18:AF29)*AM29</f>
        <v>17136.302020542156</v>
      </c>
      <c r="AU24" s="252">
        <f t="shared" ref="AU24" si="59">AG24/SUM(AG18:AG29)*AN29</f>
        <v>11620.522412177575</v>
      </c>
      <c r="AV24" s="252">
        <f t="shared" ref="AV24" si="60">AH24/SUM(AH18:AH29)*AO29</f>
        <v>6078.3566131954167</v>
      </c>
      <c r="AW24" s="252">
        <f t="shared" ref="AW24" si="61">AI24/SUM(AI18:AI29)*AP29</f>
        <v>1207.2933541493705</v>
      </c>
      <c r="AX24" s="252">
        <f t="shared" ref="AX24" si="62">AJ24/SUM(AJ18:AJ29)*AQ29</f>
        <v>6024.0704260562625</v>
      </c>
      <c r="AY24" s="252">
        <f t="shared" ref="AY24" si="63">AK24/SUM(AK18:AK29)*AR29</f>
        <v>21370.288229150741</v>
      </c>
    </row>
    <row r="25" spans="1:59">
      <c r="A25" s="163">
        <v>2000</v>
      </c>
      <c r="B25" s="312">
        <v>10737</v>
      </c>
      <c r="C25" s="312">
        <v>222564</v>
      </c>
      <c r="D25" s="312">
        <v>33878</v>
      </c>
      <c r="E25" s="312">
        <v>104507</v>
      </c>
      <c r="F25" s="160"/>
      <c r="G25" s="160"/>
      <c r="H25" s="312">
        <v>293985</v>
      </c>
      <c r="I25" s="312">
        <v>75527</v>
      </c>
      <c r="J25" s="160"/>
      <c r="K25" s="160"/>
      <c r="L25" s="160"/>
      <c r="M25" s="160"/>
      <c r="N25" s="160"/>
      <c r="O25" s="160"/>
      <c r="P25" s="311">
        <f t="shared" si="2"/>
        <v>222564</v>
      </c>
      <c r="Q25" s="311">
        <f t="shared" si="3"/>
        <v>104507</v>
      </c>
      <c r="R25" s="311">
        <f t="shared" si="4"/>
        <v>75527</v>
      </c>
      <c r="S25" s="311">
        <f t="shared" si="5"/>
        <v>10737</v>
      </c>
      <c r="T25" s="311">
        <f t="shared" si="6"/>
        <v>33878</v>
      </c>
      <c r="U25" s="311">
        <f t="shared" si="7"/>
        <v>293985</v>
      </c>
      <c r="W25" s="25" t="s">
        <v>210</v>
      </c>
      <c r="X25" s="277">
        <v>804.42946495529759</v>
      </c>
      <c r="Y25" s="277">
        <v>2532.6724532133653</v>
      </c>
      <c r="Z25" s="252">
        <f t="shared" si="9"/>
        <v>3337.1019181686629</v>
      </c>
      <c r="AA25" s="277">
        <v>4773.2959712144475</v>
      </c>
      <c r="AB25" s="277">
        <v>11875.819482264262</v>
      </c>
      <c r="AC25" s="252">
        <f t="shared" si="10"/>
        <v>16649.115453478709</v>
      </c>
      <c r="AE25" s="165">
        <v>29526</v>
      </c>
      <c r="AF25" s="277">
        <v>1241520</v>
      </c>
      <c r="AG25" s="277">
        <v>721146</v>
      </c>
      <c r="AH25" s="277">
        <v>251558</v>
      </c>
      <c r="AI25" s="277">
        <v>79226</v>
      </c>
      <c r="AJ25" s="277">
        <v>319752</v>
      </c>
      <c r="AK25" s="277">
        <v>1467017</v>
      </c>
      <c r="AT25" s="252">
        <f t="shared" ref="AT25" si="64">AF25/SUM(AF18:AF29)*AM29</f>
        <v>15768.053301085934</v>
      </c>
      <c r="AU25" s="252">
        <f t="shared" ref="AU25" si="65">AG25/SUM(AG18:AG29)*AN29</f>
        <v>10968.306469726514</v>
      </c>
      <c r="AV25" s="252">
        <f t="shared" ref="AV25" si="66">AH25/SUM(AH18:AH29)*AO29</f>
        <v>6223.2773011893069</v>
      </c>
      <c r="AW25" s="252">
        <f t="shared" ref="AW25" si="67">AI25/SUM(AI18:AI29)*AP29</f>
        <v>1170.7060203647161</v>
      </c>
      <c r="AX25" s="252">
        <f t="shared" ref="AX25" si="68">AJ25/SUM(AJ18:AJ29)*AQ29</f>
        <v>5990.9075175955059</v>
      </c>
      <c r="AY25" s="252">
        <f t="shared" ref="AY25" si="69">AK25/SUM(AK18:AK29)*AR29</f>
        <v>21975.005819283982</v>
      </c>
    </row>
    <row r="26" spans="1:59">
      <c r="A26" s="163">
        <v>2001</v>
      </c>
      <c r="B26" s="312">
        <v>10597</v>
      </c>
      <c r="C26" s="312">
        <v>207311</v>
      </c>
      <c r="D26" s="312">
        <v>30344</v>
      </c>
      <c r="E26" s="312">
        <v>97915</v>
      </c>
      <c r="F26" s="160"/>
      <c r="G26" s="160"/>
      <c r="H26" s="312">
        <v>283461</v>
      </c>
      <c r="I26" s="312">
        <v>68637</v>
      </c>
      <c r="J26" s="160"/>
      <c r="K26" s="160"/>
      <c r="L26" s="160"/>
      <c r="M26" s="160"/>
      <c r="N26" s="160"/>
      <c r="O26" s="160"/>
      <c r="P26" s="311">
        <f t="shared" si="2"/>
        <v>207311</v>
      </c>
      <c r="Q26" s="311">
        <f t="shared" si="3"/>
        <v>97915</v>
      </c>
      <c r="R26" s="311">
        <f t="shared" si="4"/>
        <v>68637</v>
      </c>
      <c r="S26" s="311">
        <f t="shared" si="5"/>
        <v>10597</v>
      </c>
      <c r="T26" s="311">
        <f t="shared" si="6"/>
        <v>30344</v>
      </c>
      <c r="U26" s="311">
        <f t="shared" si="7"/>
        <v>283461</v>
      </c>
      <c r="AE26" s="165">
        <v>29556</v>
      </c>
      <c r="AF26" s="277">
        <v>1124419</v>
      </c>
      <c r="AG26" s="277">
        <v>676540</v>
      </c>
      <c r="AH26" s="277">
        <v>245904</v>
      </c>
      <c r="AI26" s="277">
        <v>76130</v>
      </c>
      <c r="AJ26" s="277">
        <v>316048</v>
      </c>
      <c r="AK26" s="277">
        <v>1527924</v>
      </c>
      <c r="AT26" s="252">
        <f t="shared" ref="AT26" si="70">AF26/SUM(AF18:AF29)*AM29</f>
        <v>14280.799926504402</v>
      </c>
      <c r="AU26" s="252">
        <f t="shared" ref="AU26" si="71">AG26/SUM(AG18:AG29)*AN29</f>
        <v>10289.869262297476</v>
      </c>
      <c r="AV26" s="252">
        <f t="shared" ref="AV26" si="72">AH26/SUM(AH18:AH29)*AO29</f>
        <v>6083.4033561709639</v>
      </c>
      <c r="AW26" s="252">
        <f t="shared" ref="AW26" si="73">AI26/SUM(AI18:AI29)*AP29</f>
        <v>1124.9570763431934</v>
      </c>
      <c r="AX26" s="252">
        <f t="shared" ref="AX26" si="74">AJ26/SUM(AJ18:AJ29)*AQ29</f>
        <v>5921.5089792120907</v>
      </c>
      <c r="AY26" s="252">
        <f t="shared" ref="AY26" si="75">AK26/SUM(AK18:AK29)*AR29</f>
        <v>22887.354946414154</v>
      </c>
      <c r="BA26" s="252">
        <f>SUM(AT15:AT26)</f>
        <v>209115.89550873864</v>
      </c>
      <c r="BB26" s="252">
        <f t="shared" ref="BB26" si="76">SUM(AU15:AU26)</f>
        <v>129499.31966766097</v>
      </c>
      <c r="BC26" s="252">
        <f t="shared" ref="BC26" si="77">SUM(AV15:AV26)</f>
        <v>69112.274387905345</v>
      </c>
      <c r="BD26" s="252">
        <f t="shared" ref="BD26" si="78">SUM(AW15:AW26)</f>
        <v>12344.283979982103</v>
      </c>
      <c r="BE26" s="252">
        <f t="shared" ref="BE26" si="79">SUM(AX15:AX26)</f>
        <v>52625.431821695216</v>
      </c>
      <c r="BF26" s="252">
        <f t="shared" ref="BF26" si="80">SUM(AY15:AY26)</f>
        <v>202914.43510561698</v>
      </c>
      <c r="BG26" s="252">
        <f>SUM(BA26:BF26)</f>
        <v>675611.6404715993</v>
      </c>
    </row>
    <row r="27" spans="1:59">
      <c r="A27" s="163">
        <v>2002</v>
      </c>
      <c r="B27" s="312">
        <v>10040</v>
      </c>
      <c r="C27" s="312">
        <v>202375</v>
      </c>
      <c r="D27" s="312">
        <v>30009</v>
      </c>
      <c r="E27" s="312">
        <v>88667</v>
      </c>
      <c r="F27" s="160"/>
      <c r="G27" s="160"/>
      <c r="H27" s="312">
        <v>261393</v>
      </c>
      <c r="I27" s="312">
        <v>61402</v>
      </c>
      <c r="J27" s="160"/>
      <c r="K27" s="160"/>
      <c r="L27" s="160"/>
      <c r="M27" s="160"/>
      <c r="N27" s="160"/>
      <c r="O27" s="160"/>
      <c r="P27" s="311">
        <f t="shared" si="2"/>
        <v>202375</v>
      </c>
      <c r="Q27" s="311">
        <f t="shared" si="3"/>
        <v>88667</v>
      </c>
      <c r="R27" s="311">
        <f t="shared" si="4"/>
        <v>61402</v>
      </c>
      <c r="S27" s="311">
        <f t="shared" si="5"/>
        <v>10040</v>
      </c>
      <c r="T27" s="311">
        <f t="shared" si="6"/>
        <v>30009</v>
      </c>
      <c r="U27" s="311">
        <f t="shared" si="7"/>
        <v>261393</v>
      </c>
      <c r="AE27" s="165">
        <v>29587</v>
      </c>
      <c r="AF27" s="277">
        <v>819745</v>
      </c>
      <c r="AG27" s="277">
        <v>493088</v>
      </c>
      <c r="AH27" s="277">
        <v>198467</v>
      </c>
      <c r="AI27" s="277">
        <v>56545</v>
      </c>
      <c r="AJ27" s="277">
        <v>232515</v>
      </c>
      <c r="AK27" s="277">
        <v>1154509</v>
      </c>
      <c r="AT27" s="252">
        <f t="shared" ref="AT27" si="81">AF27/SUM(AF18:AF29)*AM29</f>
        <v>10411.256245005065</v>
      </c>
      <c r="AU27" s="252">
        <f t="shared" ref="AU27" si="82">AG27/SUM(AG18:AG29)*AN29</f>
        <v>7499.646812912375</v>
      </c>
      <c r="AV27" s="252">
        <f t="shared" ref="AV27" si="83">AH27/SUM(AH18:AH29)*AO29</f>
        <v>4909.862441803235</v>
      </c>
      <c r="AW27" s="252">
        <f t="shared" ref="AW27" si="84">AI27/SUM(AI18:AI29)*AP29</f>
        <v>835.55363039308907</v>
      </c>
      <c r="AX27" s="252">
        <f t="shared" ref="AX27" si="85">AJ27/SUM(AJ18:AJ29)*AQ29</f>
        <v>4356.4257970355748</v>
      </c>
      <c r="AY27" s="252">
        <f t="shared" ref="AY27" si="86">AK27/SUM(AK18:AK29)*AR29</f>
        <v>17293.829583035324</v>
      </c>
    </row>
    <row r="28" spans="1:59">
      <c r="A28" s="163">
        <v>2003</v>
      </c>
      <c r="B28" s="312">
        <v>9246</v>
      </c>
      <c r="C28" s="312">
        <v>200682</v>
      </c>
      <c r="D28" s="312">
        <v>26544</v>
      </c>
      <c r="E28" s="312">
        <v>86860</v>
      </c>
      <c r="F28" s="160"/>
      <c r="G28" s="160"/>
      <c r="H28" s="312">
        <v>235077</v>
      </c>
      <c r="I28" s="312">
        <v>54869</v>
      </c>
      <c r="J28" s="160"/>
      <c r="K28" s="160"/>
      <c r="L28" s="160"/>
      <c r="M28" s="160"/>
      <c r="N28" s="160"/>
      <c r="O28" s="160"/>
      <c r="P28" s="311">
        <f t="shared" si="2"/>
        <v>200682</v>
      </c>
      <c r="Q28" s="311">
        <f t="shared" si="3"/>
        <v>86860</v>
      </c>
      <c r="R28" s="311">
        <f t="shared" si="4"/>
        <v>54869</v>
      </c>
      <c r="S28" s="311">
        <f t="shared" si="5"/>
        <v>9246</v>
      </c>
      <c r="T28" s="311">
        <f t="shared" si="6"/>
        <v>26544</v>
      </c>
      <c r="U28" s="311">
        <f t="shared" si="7"/>
        <v>235077</v>
      </c>
      <c r="AE28" s="165">
        <v>29618</v>
      </c>
      <c r="AF28" s="277">
        <v>900450</v>
      </c>
      <c r="AG28" s="277">
        <v>542514</v>
      </c>
      <c r="AH28" s="277">
        <v>239879</v>
      </c>
      <c r="AI28" s="277">
        <v>53513</v>
      </c>
      <c r="AJ28" s="277">
        <v>214408</v>
      </c>
      <c r="AK28" s="277">
        <v>1178110</v>
      </c>
      <c r="AT28" s="252">
        <f t="shared" ref="AT28" si="87">AF28/SUM(AF18:AF29)*AM29</f>
        <v>11436.258453317569</v>
      </c>
      <c r="AU28" s="252">
        <f t="shared" ref="AU28" si="88">AG28/SUM(AG18:AG29)*AN29</f>
        <v>8251.3940535165002</v>
      </c>
      <c r="AV28" s="252">
        <f t="shared" ref="AV28" si="89">AH28/SUM(AH18:AH29)*AO29</f>
        <v>5934.3512658392492</v>
      </c>
      <c r="AW28" s="252">
        <f t="shared" ref="AW28" si="90">AI28/SUM(AI18:AI29)*AP29</f>
        <v>790.75040097666238</v>
      </c>
      <c r="AX28" s="252">
        <f t="shared" ref="AX28" si="91">AJ28/SUM(AJ18:AJ29)*AQ29</f>
        <v>4017.171117092676</v>
      </c>
      <c r="AY28" s="252">
        <f t="shared" ref="AY28" si="92">AK28/SUM(AK18:AK29)*AR29</f>
        <v>17647.357941834794</v>
      </c>
    </row>
    <row r="29" spans="1:59">
      <c r="A29" s="163">
        <v>2004</v>
      </c>
      <c r="B29" s="312">
        <v>7408</v>
      </c>
      <c r="C29" s="312">
        <v>203938</v>
      </c>
      <c r="D29" s="312">
        <v>19369</v>
      </c>
      <c r="E29" s="312">
        <v>100860</v>
      </c>
      <c r="F29" s="160"/>
      <c r="G29" s="160"/>
      <c r="H29" s="312">
        <v>211216</v>
      </c>
      <c r="I29" s="312">
        <v>53547</v>
      </c>
      <c r="J29" s="160"/>
      <c r="K29" s="160"/>
      <c r="L29" s="160"/>
      <c r="M29" s="160"/>
      <c r="N29" s="160"/>
      <c r="O29" s="160"/>
      <c r="P29" s="311">
        <f t="shared" si="2"/>
        <v>203938</v>
      </c>
      <c r="Q29" s="311">
        <f t="shared" si="3"/>
        <v>100860</v>
      </c>
      <c r="R29" s="311">
        <f t="shared" si="4"/>
        <v>53547</v>
      </c>
      <c r="S29" s="311">
        <f t="shared" si="5"/>
        <v>7408</v>
      </c>
      <c r="T29" s="311">
        <f t="shared" si="6"/>
        <v>19369</v>
      </c>
      <c r="U29" s="311">
        <f t="shared" si="7"/>
        <v>211216</v>
      </c>
      <c r="AE29" s="165">
        <v>29646</v>
      </c>
      <c r="AF29" s="277">
        <v>1079536</v>
      </c>
      <c r="AG29" s="277">
        <v>633207</v>
      </c>
      <c r="AH29" s="277">
        <v>320529</v>
      </c>
      <c r="AI29" s="277">
        <v>61903</v>
      </c>
      <c r="AJ29" s="277">
        <v>223857</v>
      </c>
      <c r="AK29" s="277">
        <v>1080159</v>
      </c>
      <c r="AM29" s="277">
        <v>199109</v>
      </c>
      <c r="AN29" s="277">
        <v>124922</v>
      </c>
      <c r="AO29" s="277">
        <v>71325</v>
      </c>
      <c r="AP29" s="277">
        <v>11765</v>
      </c>
      <c r="AQ29" s="277">
        <v>52762</v>
      </c>
      <c r="AR29" s="277">
        <v>197330</v>
      </c>
      <c r="AT29" s="252">
        <f t="shared" ref="AT29" si="93">AF29/SUM(AF18:AF29)*AM29</f>
        <v>13710.758738031689</v>
      </c>
      <c r="AU29" s="252">
        <f t="shared" ref="AU29" si="94">AG29/SUM(AG18:AG29)*AN29</f>
        <v>9630.7938125928958</v>
      </c>
      <c r="AV29" s="252">
        <f t="shared" ref="AV29" si="95">AH29/SUM(AH18:AH29)*AO29</f>
        <v>7929.5464667110864</v>
      </c>
      <c r="AW29" s="252">
        <f t="shared" ref="AW29" si="96">AI29/SUM(AI18:AI29)*AP29</f>
        <v>914.72767498847622</v>
      </c>
      <c r="AX29" s="252">
        <f t="shared" ref="AX29" si="97">AJ29/SUM(AJ18:AJ29)*AQ29</f>
        <v>4194.2085871749887</v>
      </c>
      <c r="AY29" s="252">
        <f t="shared" ref="AY29" si="98">AK29/SUM(AK18:AK29)*AR29</f>
        <v>16180.11264406068</v>
      </c>
      <c r="AZ29" s="25">
        <f t="shared" ref="AZ29" si="99">SUM(AT18:AY29)-SUM(AM29:AR29)</f>
        <v>0</v>
      </c>
    </row>
    <row r="30" spans="1:59">
      <c r="A30" s="163">
        <v>2005</v>
      </c>
      <c r="B30" s="312">
        <v>5946</v>
      </c>
      <c r="C30" s="312">
        <v>202927</v>
      </c>
      <c r="D30" s="312">
        <v>16883</v>
      </c>
      <c r="E30" s="312">
        <v>103192</v>
      </c>
      <c r="F30" s="160"/>
      <c r="G30" s="160"/>
      <c r="H30" s="312">
        <v>190844</v>
      </c>
      <c r="I30" s="312">
        <v>55295</v>
      </c>
      <c r="J30" s="160"/>
      <c r="K30" s="160"/>
      <c r="L30" s="160"/>
      <c r="M30" s="160"/>
      <c r="N30" s="160"/>
      <c r="O30" s="160"/>
      <c r="P30" s="311">
        <f t="shared" si="2"/>
        <v>202927</v>
      </c>
      <c r="Q30" s="311">
        <f t="shared" si="3"/>
        <v>103192</v>
      </c>
      <c r="R30" s="311">
        <f t="shared" si="4"/>
        <v>55295</v>
      </c>
      <c r="S30" s="311">
        <f t="shared" si="5"/>
        <v>5946</v>
      </c>
      <c r="T30" s="311">
        <f t="shared" si="6"/>
        <v>16883</v>
      </c>
      <c r="U30" s="311">
        <f t="shared" si="7"/>
        <v>190844</v>
      </c>
      <c r="AE30" s="165">
        <v>29677</v>
      </c>
      <c r="AF30" s="277">
        <v>1208919</v>
      </c>
      <c r="AG30" s="277">
        <v>647427</v>
      </c>
      <c r="AH30" s="277">
        <v>294894</v>
      </c>
      <c r="AI30" s="277">
        <v>67113</v>
      </c>
      <c r="AJ30" s="277">
        <v>196271</v>
      </c>
      <c r="AK30" s="277">
        <v>654711</v>
      </c>
      <c r="AT30" s="252">
        <f t="shared" ref="AT30" si="100">AF30/SUM(AF30:AF41)*AM41</f>
        <v>15846.850704683438</v>
      </c>
      <c r="AU30" s="252">
        <f t="shared" ref="AU30" si="101">AG30/SUM(AG30:AG41)*AN41</f>
        <v>9440.994054415889</v>
      </c>
      <c r="AV30" s="252">
        <f t="shared" ref="AV30" si="102">AH30/SUM(AH30:AH41)*AO41</f>
        <v>4783.1702402192432</v>
      </c>
      <c r="AW30" s="252">
        <f t="shared" ref="AW30" si="103">AI30/SUM(AI30:AI41)*AP41</f>
        <v>819.33342409984448</v>
      </c>
      <c r="AX30" s="252">
        <f t="shared" ref="AX30" si="104">AJ30/SUM(AJ30:AJ41)*AQ41</f>
        <v>3121.7878771294677</v>
      </c>
      <c r="AY30" s="252">
        <f t="shared" ref="AY30" si="105">AK30/SUM(AK30:AK41)*AR41</f>
        <v>8580.8164046640286</v>
      </c>
    </row>
    <row r="31" spans="1:59">
      <c r="A31" s="163">
        <v>2006</v>
      </c>
      <c r="B31" s="312">
        <v>6442</v>
      </c>
      <c r="C31" s="312">
        <v>202483</v>
      </c>
      <c r="D31" s="312">
        <v>15848</v>
      </c>
      <c r="E31" s="312">
        <v>107218</v>
      </c>
      <c r="F31" s="160"/>
      <c r="G31" s="160"/>
      <c r="H31" s="312">
        <v>174523</v>
      </c>
      <c r="I31" s="312">
        <v>54565</v>
      </c>
      <c r="J31" s="160"/>
      <c r="K31" s="160"/>
      <c r="L31" s="160"/>
      <c r="M31" s="160"/>
      <c r="N31" s="160"/>
      <c r="O31" s="160"/>
      <c r="P31" s="311">
        <f t="shared" si="2"/>
        <v>202483</v>
      </c>
      <c r="Q31" s="311">
        <f t="shared" si="3"/>
        <v>107218</v>
      </c>
      <c r="R31" s="311">
        <f t="shared" si="4"/>
        <v>54565</v>
      </c>
      <c r="S31" s="311">
        <f t="shared" si="5"/>
        <v>6442</v>
      </c>
      <c r="T31" s="311">
        <f t="shared" si="6"/>
        <v>15848</v>
      </c>
      <c r="U31" s="311">
        <f t="shared" si="7"/>
        <v>174523</v>
      </c>
      <c r="AE31" s="165">
        <v>29707</v>
      </c>
      <c r="AF31" s="277">
        <v>1310536</v>
      </c>
      <c r="AG31" s="277">
        <v>692906</v>
      </c>
      <c r="AH31" s="277">
        <v>326150</v>
      </c>
      <c r="AI31" s="277">
        <v>69615</v>
      </c>
      <c r="AJ31" s="277">
        <v>189688</v>
      </c>
      <c r="AK31" s="277">
        <v>695434</v>
      </c>
      <c r="AT31" s="252">
        <f t="shared" ref="AT31" si="106">AF31/SUM(AF30:AF41)*AM41</f>
        <v>17178.874957803637</v>
      </c>
      <c r="AU31" s="252">
        <f t="shared" ref="AU31" si="107">AG31/SUM(AG30:AG41)*AN41</f>
        <v>10104.183832724148</v>
      </c>
      <c r="AV31" s="252">
        <f t="shared" ref="AV31" si="108">AH31/SUM(AH30:AH41)*AO41</f>
        <v>5290.1414537003338</v>
      </c>
      <c r="AW31" s="252">
        <f t="shared" ref="AW31" si="109">AI31/SUM(AI30:AI41)*AP41</f>
        <v>849.87850816847219</v>
      </c>
      <c r="AX31" s="252">
        <f t="shared" ref="AX31" si="110">AJ31/SUM(AJ30:AJ41)*AQ41</f>
        <v>3017.0819878481002</v>
      </c>
      <c r="AY31" s="252">
        <f t="shared" ref="AY31" si="111">AK31/SUM(AK30:AK41)*AR41</f>
        <v>9114.5428678624976</v>
      </c>
    </row>
    <row r="32" spans="1:59">
      <c r="A32" s="163">
        <v>2007</v>
      </c>
      <c r="B32" s="312">
        <v>5747</v>
      </c>
      <c r="C32" s="312">
        <v>175128</v>
      </c>
      <c r="D32" s="312">
        <v>14980</v>
      </c>
      <c r="E32" s="312">
        <v>97829</v>
      </c>
      <c r="F32" s="160"/>
      <c r="G32" s="160"/>
      <c r="H32" s="312">
        <v>162087</v>
      </c>
      <c r="I32" s="312">
        <v>52878</v>
      </c>
      <c r="J32" s="160"/>
      <c r="K32" s="160"/>
      <c r="L32" s="160"/>
      <c r="M32" s="160"/>
      <c r="N32" s="160"/>
      <c r="O32" s="160"/>
      <c r="P32" s="311">
        <f t="shared" si="2"/>
        <v>175128</v>
      </c>
      <c r="Q32" s="311">
        <f t="shared" si="3"/>
        <v>97829</v>
      </c>
      <c r="R32" s="311">
        <f t="shared" si="4"/>
        <v>52878</v>
      </c>
      <c r="S32" s="311">
        <f t="shared" si="5"/>
        <v>5747</v>
      </c>
      <c r="T32" s="311">
        <f t="shared" si="6"/>
        <v>14980</v>
      </c>
      <c r="U32" s="311">
        <f t="shared" si="7"/>
        <v>162087</v>
      </c>
      <c r="AE32" s="165">
        <v>29738</v>
      </c>
      <c r="AF32" s="277">
        <v>1387000</v>
      </c>
      <c r="AG32" s="277">
        <v>755603</v>
      </c>
      <c r="AH32" s="277">
        <v>355898</v>
      </c>
      <c r="AI32" s="277">
        <v>70455</v>
      </c>
      <c r="AJ32" s="277">
        <v>208817</v>
      </c>
      <c r="AK32" s="277">
        <v>917371</v>
      </c>
      <c r="AT32" s="252">
        <f t="shared" ref="AT32" si="112">AF32/SUM(AF30:AF41)*AM41</f>
        <v>18181.186603400169</v>
      </c>
      <c r="AU32" s="252">
        <f t="shared" ref="AU32" si="113">AG32/SUM(AG30:AG41)*AN41</f>
        <v>11018.452166033869</v>
      </c>
      <c r="AV32" s="252">
        <f t="shared" ref="AV32" si="114">AH32/SUM(AH30:AH41)*AO41</f>
        <v>5772.6529605673504</v>
      </c>
      <c r="AW32" s="252">
        <f t="shared" ref="AW32" si="115">AI32/SUM(AI30:AI41)*AP41</f>
        <v>860.13345246009794</v>
      </c>
      <c r="AX32" s="252">
        <f t="shared" ref="AX32" si="116">AJ32/SUM(AJ30:AJ41)*AQ41</f>
        <v>3321.3382473138877</v>
      </c>
      <c r="AY32" s="252">
        <f t="shared" ref="AY32" si="117">AK32/SUM(AK30:AK41)*AR41</f>
        <v>12023.308186303642</v>
      </c>
    </row>
    <row r="33" spans="1:59">
      <c r="A33" s="163">
        <v>2008</v>
      </c>
      <c r="B33" s="312">
        <v>5445</v>
      </c>
      <c r="C33" s="312">
        <v>168417</v>
      </c>
      <c r="D33" s="312">
        <v>15813</v>
      </c>
      <c r="E33" s="312">
        <v>103084</v>
      </c>
      <c r="F33" s="160"/>
      <c r="G33" s="160"/>
      <c r="H33" s="312">
        <v>152458</v>
      </c>
      <c r="I33" s="312">
        <v>51879</v>
      </c>
      <c r="J33" s="160"/>
      <c r="K33" s="160"/>
      <c r="L33" s="160"/>
      <c r="M33" s="160"/>
      <c r="N33" s="160"/>
      <c r="O33" s="160"/>
      <c r="P33" s="311">
        <f t="shared" si="2"/>
        <v>168417</v>
      </c>
      <c r="Q33" s="311">
        <f t="shared" si="3"/>
        <v>103084</v>
      </c>
      <c r="R33" s="311">
        <f t="shared" si="4"/>
        <v>51879</v>
      </c>
      <c r="S33" s="311">
        <f t="shared" si="5"/>
        <v>5445</v>
      </c>
      <c r="T33" s="311">
        <f t="shared" si="6"/>
        <v>15813</v>
      </c>
      <c r="U33" s="311">
        <f t="shared" si="7"/>
        <v>152458</v>
      </c>
      <c r="AE33" s="165">
        <v>29768</v>
      </c>
      <c r="AF33" s="277">
        <v>1428103</v>
      </c>
      <c r="AG33" s="277">
        <v>779942</v>
      </c>
      <c r="AH33" s="277">
        <v>374372</v>
      </c>
      <c r="AI33" s="277">
        <v>73923</v>
      </c>
      <c r="AJ33" s="277">
        <v>243030</v>
      </c>
      <c r="AK33" s="277">
        <v>1147269</v>
      </c>
      <c r="AT33" s="252">
        <f t="shared" ref="AT33" si="118">AF33/SUM(AF30:AF41)*AM41</f>
        <v>18719.976302722127</v>
      </c>
      <c r="AU33" s="252">
        <f t="shared" ref="AU33" si="119">AG33/SUM(AG30:AG41)*AN41</f>
        <v>11373.371491750017</v>
      </c>
      <c r="AV33" s="252">
        <f t="shared" ref="AV33" si="120">AH33/SUM(AH30:AH41)*AO41</f>
        <v>6072.30058655435</v>
      </c>
      <c r="AW33" s="252">
        <f t="shared" ref="AW33" si="121">AI33/SUM(AI30:AI41)*AP41</f>
        <v>902.47172246409502</v>
      </c>
      <c r="AX33" s="252">
        <f t="shared" ref="AX33" si="122">AJ33/SUM(AJ30:AJ41)*AQ41</f>
        <v>3865.5130293256493</v>
      </c>
      <c r="AY33" s="252">
        <f t="shared" ref="AY33" si="123">AK33/SUM(AK30:AK41)*AR41</f>
        <v>15036.412486978979</v>
      </c>
    </row>
    <row r="34" spans="1:59">
      <c r="A34" s="163">
        <v>2009</v>
      </c>
      <c r="B34" s="312">
        <v>5967</v>
      </c>
      <c r="C34" s="312">
        <v>136600</v>
      </c>
      <c r="D34" s="312">
        <v>17781</v>
      </c>
      <c r="E34" s="312">
        <v>82308</v>
      </c>
      <c r="F34" s="160"/>
      <c r="G34" s="160"/>
      <c r="H34" s="312">
        <v>169426</v>
      </c>
      <c r="I34" s="312">
        <v>48627</v>
      </c>
      <c r="J34" s="160"/>
      <c r="K34" s="160"/>
      <c r="L34" s="160"/>
      <c r="M34" s="160"/>
      <c r="N34" s="160"/>
      <c r="O34" s="160"/>
      <c r="P34" s="311">
        <f t="shared" si="2"/>
        <v>136600</v>
      </c>
      <c r="Q34" s="311">
        <f t="shared" si="3"/>
        <v>82308</v>
      </c>
      <c r="R34" s="311">
        <f t="shared" si="4"/>
        <v>48627</v>
      </c>
      <c r="S34" s="311">
        <f t="shared" si="5"/>
        <v>5967</v>
      </c>
      <c r="T34" s="311">
        <f t="shared" si="6"/>
        <v>17781</v>
      </c>
      <c r="U34" s="311">
        <f t="shared" si="7"/>
        <v>169426</v>
      </c>
      <c r="AE34" s="165">
        <v>29799</v>
      </c>
      <c r="AF34" s="277">
        <v>1417520</v>
      </c>
      <c r="AG34" s="277">
        <v>775258</v>
      </c>
      <c r="AH34" s="277">
        <v>394058</v>
      </c>
      <c r="AI34" s="277">
        <v>80019</v>
      </c>
      <c r="AJ34" s="277">
        <v>277780</v>
      </c>
      <c r="AK34" s="277">
        <v>1342764</v>
      </c>
      <c r="AT34" s="252">
        <f t="shared" ref="AT34" si="124">AF34/SUM(AF30:AF41)*AM41</f>
        <v>18581.251358364676</v>
      </c>
      <c r="AU34" s="252">
        <f t="shared" ref="AU34" si="125">AG34/SUM(AG30:AG41)*AN41</f>
        <v>11305.067858829418</v>
      </c>
      <c r="AV34" s="252">
        <f t="shared" ref="AV34" si="126">AH34/SUM(AH30:AH41)*AO41</f>
        <v>6391.6068096343579</v>
      </c>
      <c r="AW34" s="252">
        <f t="shared" ref="AW34" si="127">AI34/SUM(AI30:AI41)*AP41</f>
        <v>976.89331818046367</v>
      </c>
      <c r="AX34" s="252">
        <f t="shared" ref="AX34" si="128">AJ34/SUM(AJ30:AJ41)*AQ41</f>
        <v>4418.2290634328228</v>
      </c>
      <c r="AY34" s="252">
        <f t="shared" ref="AY34" si="129">AK34/SUM(AK30:AK41)*AR41</f>
        <v>17598.621924470932</v>
      </c>
    </row>
    <row r="35" spans="1:59">
      <c r="A35" s="163">
        <v>2010</v>
      </c>
      <c r="B35" s="312">
        <v>5489</v>
      </c>
      <c r="C35" s="312">
        <v>138357</v>
      </c>
      <c r="D35" s="312">
        <v>18256</v>
      </c>
      <c r="E35" s="312">
        <v>74478</v>
      </c>
      <c r="F35" s="160"/>
      <c r="G35" s="160"/>
      <c r="H35" s="312">
        <v>169161</v>
      </c>
      <c r="I35" s="312">
        <v>43202</v>
      </c>
      <c r="J35" s="160"/>
      <c r="K35" s="160"/>
      <c r="L35" s="160"/>
      <c r="M35" s="160"/>
      <c r="N35" s="160"/>
      <c r="O35" s="160"/>
      <c r="P35" s="311">
        <f t="shared" si="2"/>
        <v>138357</v>
      </c>
      <c r="Q35" s="311">
        <f t="shared" si="3"/>
        <v>74478</v>
      </c>
      <c r="R35" s="311">
        <f t="shared" si="4"/>
        <v>43202</v>
      </c>
      <c r="S35" s="311">
        <f t="shared" si="5"/>
        <v>5489</v>
      </c>
      <c r="T35" s="311">
        <f t="shared" si="6"/>
        <v>18256</v>
      </c>
      <c r="U35" s="311">
        <f t="shared" si="7"/>
        <v>169161</v>
      </c>
      <c r="AE35" s="165">
        <v>29830</v>
      </c>
      <c r="AF35" s="277">
        <v>1376819</v>
      </c>
      <c r="AG35" s="277">
        <v>776629</v>
      </c>
      <c r="AH35" s="277">
        <v>425701</v>
      </c>
      <c r="AI35" s="277">
        <v>88352</v>
      </c>
      <c r="AJ35" s="277">
        <v>319206</v>
      </c>
      <c r="AK35" s="277">
        <v>1511568</v>
      </c>
      <c r="AT35" s="252">
        <f t="shared" ref="AT35" si="130">AF35/SUM(AF30:AF41)*AM41</f>
        <v>18047.731188252932</v>
      </c>
      <c r="AU35" s="252">
        <f t="shared" ref="AU35" si="131">AG35/SUM(AG30:AG41)*AN41</f>
        <v>11325.060233025435</v>
      </c>
      <c r="AV35" s="252">
        <f t="shared" ref="AV35" si="132">AH35/SUM(AH30:AH41)*AO41</f>
        <v>6904.8551494149488</v>
      </c>
      <c r="AW35" s="252">
        <f t="shared" ref="AW35" si="133">AI35/SUM(AI30:AI41)*AP41</f>
        <v>1078.6248072067924</v>
      </c>
      <c r="AX35" s="252">
        <f t="shared" ref="AX35" si="134">AJ35/SUM(AJ30:AJ41)*AQ41</f>
        <v>5077.1301980781109</v>
      </c>
      <c r="AY35" s="252">
        <f t="shared" ref="AY35" si="135">AK35/SUM(AK30:AK41)*AR41</f>
        <v>19811.012020823226</v>
      </c>
    </row>
    <row r="36" spans="1:59">
      <c r="A36" s="163">
        <v>2011</v>
      </c>
      <c r="B36" s="312">
        <v>4588</v>
      </c>
      <c r="C36" s="312">
        <v>147441</v>
      </c>
      <c r="D36" s="312">
        <v>20214</v>
      </c>
      <c r="E36" s="312">
        <v>78802</v>
      </c>
      <c r="F36" s="160"/>
      <c r="G36" s="160"/>
      <c r="H36" s="312">
        <v>148078</v>
      </c>
      <c r="I36" s="312">
        <v>45686</v>
      </c>
      <c r="J36" s="160"/>
      <c r="K36" s="160"/>
      <c r="L36" s="160"/>
      <c r="M36" s="160"/>
      <c r="N36" s="160"/>
      <c r="O36" s="160"/>
      <c r="P36" s="311">
        <f t="shared" si="2"/>
        <v>147441</v>
      </c>
      <c r="Q36" s="311">
        <f t="shared" si="3"/>
        <v>78802</v>
      </c>
      <c r="R36" s="311">
        <f t="shared" si="4"/>
        <v>45686</v>
      </c>
      <c r="S36" s="311">
        <f t="shared" si="5"/>
        <v>4588</v>
      </c>
      <c r="T36" s="311">
        <f t="shared" si="6"/>
        <v>20214</v>
      </c>
      <c r="U36" s="311">
        <f t="shared" si="7"/>
        <v>148078</v>
      </c>
      <c r="AE36" s="165">
        <v>29860</v>
      </c>
      <c r="AF36" s="277">
        <v>1342889</v>
      </c>
      <c r="AG36" s="277">
        <v>787216</v>
      </c>
      <c r="AH36" s="277">
        <v>434517</v>
      </c>
      <c r="AI36" s="277">
        <v>97002</v>
      </c>
      <c r="AJ36" s="277">
        <v>365043</v>
      </c>
      <c r="AK36" s="277">
        <v>1678208</v>
      </c>
      <c r="AT36" s="252">
        <f t="shared" ref="AT36" si="136">AF36/SUM(AF30:AF41)*AM41</f>
        <v>17602.967192972927</v>
      </c>
      <c r="AU36" s="252">
        <f t="shared" ref="AU36" si="137">AG36/SUM(AG30:AG41)*AN41</f>
        <v>11479.443358928589</v>
      </c>
      <c r="AV36" s="252">
        <f t="shared" ref="AV36" si="138">AH36/SUM(AH30:AH41)*AO41</f>
        <v>7047.850357312609</v>
      </c>
      <c r="AW36" s="252">
        <f t="shared" ref="AW36" si="139">AI36/SUM(AI30:AI41)*AP41</f>
        <v>1184.2263168765085</v>
      </c>
      <c r="AX36" s="252">
        <f t="shared" ref="AX36" si="140">AJ36/SUM(AJ30:AJ41)*AQ41</f>
        <v>5806.1904816858942</v>
      </c>
      <c r="AY36" s="252">
        <f t="shared" ref="AY36" si="141">AK36/SUM(AK30:AK41)*AR41</f>
        <v>21995.040157929849</v>
      </c>
    </row>
    <row r="37" spans="1:59">
      <c r="A37" s="163">
        <v>2012</v>
      </c>
      <c r="B37" s="312">
        <v>4765</v>
      </c>
      <c r="C37" s="312">
        <v>156950</v>
      </c>
      <c r="D37" s="312">
        <v>24383</v>
      </c>
      <c r="E37" s="312">
        <v>78877</v>
      </c>
      <c r="F37" s="160"/>
      <c r="G37" s="160"/>
      <c r="H37" s="312">
        <v>141496</v>
      </c>
      <c r="I37" s="312">
        <v>44913</v>
      </c>
      <c r="J37" s="160"/>
      <c r="K37" s="160"/>
      <c r="L37" s="160"/>
      <c r="M37" s="160"/>
      <c r="N37" s="160"/>
      <c r="O37" s="160"/>
      <c r="P37" s="311">
        <f t="shared" si="2"/>
        <v>156950</v>
      </c>
      <c r="Q37" s="311">
        <f t="shared" si="3"/>
        <v>78877</v>
      </c>
      <c r="R37" s="311">
        <f t="shared" si="4"/>
        <v>44913</v>
      </c>
      <c r="S37" s="311">
        <f t="shared" si="5"/>
        <v>4765</v>
      </c>
      <c r="T37" s="311">
        <f t="shared" si="6"/>
        <v>24383</v>
      </c>
      <c r="U37" s="311">
        <f t="shared" si="7"/>
        <v>141496</v>
      </c>
      <c r="AE37" s="165">
        <v>29891</v>
      </c>
      <c r="AF37" s="277">
        <v>1255103</v>
      </c>
      <c r="AG37" s="277">
        <v>749913</v>
      </c>
      <c r="AH37" s="277">
        <v>451815</v>
      </c>
      <c r="AI37" s="277">
        <v>97092</v>
      </c>
      <c r="AJ37" s="277">
        <v>369760</v>
      </c>
      <c r="AK37" s="277">
        <v>1717462</v>
      </c>
      <c r="AT37" s="252">
        <f t="shared" ref="AT37" si="142">AF37/SUM(AF30:AF41)*AM41</f>
        <v>16452.243582903648</v>
      </c>
      <c r="AU37" s="252">
        <f t="shared" ref="AU37" si="143">AG37/SUM(AG30:AG41)*AN41</f>
        <v>10935.478709304962</v>
      </c>
      <c r="AV37" s="252">
        <f t="shared" ref="AV37" si="144">AH37/SUM(AH30:AH41)*AO41</f>
        <v>7328.4233049321365</v>
      </c>
      <c r="AW37" s="252">
        <f t="shared" ref="AW37" si="145">AI37/SUM(AI30:AI41)*AP41</f>
        <v>1185.3250609077541</v>
      </c>
      <c r="AX37" s="252">
        <f t="shared" ref="AX37" si="146">AJ37/SUM(AJ30:AJ41)*AQ41</f>
        <v>5881.2167128480105</v>
      </c>
      <c r="AY37" s="252">
        <f t="shared" ref="AY37" si="147">AK37/SUM(AK30:AK41)*AR41</f>
        <v>22509.513516631141</v>
      </c>
    </row>
    <row r="38" spans="1:59">
      <c r="A38" s="163">
        <v>2013</v>
      </c>
      <c r="B38" s="312">
        <v>6704</v>
      </c>
      <c r="C38" s="312">
        <v>170813</v>
      </c>
      <c r="D38" s="312">
        <v>27900</v>
      </c>
      <c r="E38" s="312">
        <v>92203</v>
      </c>
      <c r="F38" s="160"/>
      <c r="G38" s="160"/>
      <c r="H38" s="312">
        <v>156175</v>
      </c>
      <c r="I38" s="312">
        <v>46888</v>
      </c>
      <c r="J38" s="160"/>
      <c r="K38" s="160"/>
      <c r="L38" s="160"/>
      <c r="M38" s="160"/>
      <c r="N38" s="160"/>
      <c r="O38" s="160"/>
      <c r="P38" s="311">
        <f t="shared" si="2"/>
        <v>170813</v>
      </c>
      <c r="Q38" s="311">
        <f t="shared" si="3"/>
        <v>92203</v>
      </c>
      <c r="R38" s="311">
        <f t="shared" si="4"/>
        <v>46888</v>
      </c>
      <c r="S38" s="311">
        <f t="shared" si="5"/>
        <v>6704</v>
      </c>
      <c r="T38" s="311">
        <f t="shared" si="6"/>
        <v>27900</v>
      </c>
      <c r="U38" s="311">
        <f t="shared" si="7"/>
        <v>156175</v>
      </c>
      <c r="AE38" s="165">
        <v>29921</v>
      </c>
      <c r="AF38" s="277">
        <v>1225488</v>
      </c>
      <c r="AG38" s="277">
        <v>725947</v>
      </c>
      <c r="AH38" s="277">
        <v>436275</v>
      </c>
      <c r="AI38" s="277">
        <v>98054</v>
      </c>
      <c r="AJ38" s="277">
        <v>370470</v>
      </c>
      <c r="AK38" s="277">
        <v>1775559</v>
      </c>
      <c r="AT38" s="252">
        <f t="shared" ref="AT38" si="148">AF38/SUM(AF30:AF41)*AM41</f>
        <v>16064.04182280293</v>
      </c>
      <c r="AU38" s="252">
        <f t="shared" ref="AU38" si="149">AG38/SUM(AG30:AG41)*AN41</f>
        <v>10585.998592615155</v>
      </c>
      <c r="AV38" s="252">
        <f t="shared" ref="AV38" si="150">AH38/SUM(AH30:AH41)*AO41</f>
        <v>7076.3650550762322</v>
      </c>
      <c r="AW38" s="252">
        <f t="shared" ref="AW38" si="151">AI38/SUM(AI30:AI41)*AP41</f>
        <v>1197.0694137750684</v>
      </c>
      <c r="AX38" s="252">
        <f t="shared" ref="AX38" si="152">AJ38/SUM(AJ30:AJ41)*AQ41</f>
        <v>5892.5096159909199</v>
      </c>
      <c r="AY38" s="252">
        <f t="shared" ref="AY38" si="153">AK38/SUM(AK30:AK41)*AR41</f>
        <v>23270.948242276147</v>
      </c>
      <c r="BA38" s="252">
        <f t="shared" ref="BA38" si="154">SUM(AT27:AT38)</f>
        <v>192233.3971502608</v>
      </c>
      <c r="BB38" s="252">
        <f t="shared" ref="BB38" si="155">SUM(AU27:AU38)</f>
        <v>122949.88497664926</v>
      </c>
      <c r="BC38" s="252">
        <f t="shared" ref="BC38" si="156">SUM(AV27:AV38)</f>
        <v>75441.126091765123</v>
      </c>
      <c r="BD38" s="252">
        <f t="shared" ref="BD38" si="157">SUM(AW27:AW38)</f>
        <v>11594.987730497327</v>
      </c>
      <c r="BE38" s="252">
        <f t="shared" ref="BE38" si="158">SUM(AX27:AX38)</f>
        <v>52968.802714956102</v>
      </c>
      <c r="BF38" s="252">
        <f t="shared" ref="BF38" si="159">SUM(AY27:AY38)</f>
        <v>201061.51597687128</v>
      </c>
      <c r="BG38" s="252">
        <f t="shared" ref="BG38" si="160">SUM(BA38:BF38)</f>
        <v>656249.71464099991</v>
      </c>
    </row>
    <row r="39" spans="1:59">
      <c r="A39" s="163">
        <v>2014</v>
      </c>
      <c r="B39" s="312">
        <v>7438</v>
      </c>
      <c r="C39" s="312">
        <v>148464</v>
      </c>
      <c r="D39" s="312">
        <v>34316</v>
      </c>
      <c r="E39" s="312">
        <v>92248</v>
      </c>
      <c r="F39" s="162" t="s">
        <v>211</v>
      </c>
      <c r="G39" s="162" t="s">
        <v>211</v>
      </c>
      <c r="H39" s="312">
        <v>145003</v>
      </c>
      <c r="I39" s="312">
        <v>48620</v>
      </c>
      <c r="P39" s="311">
        <f t="shared" si="2"/>
        <v>148464</v>
      </c>
      <c r="Q39" s="311">
        <f t="shared" si="3"/>
        <v>92248</v>
      </c>
      <c r="R39" s="311">
        <f t="shared" si="4"/>
        <v>48620</v>
      </c>
      <c r="S39" s="311">
        <f t="shared" si="5"/>
        <v>7438</v>
      </c>
      <c r="T39" s="311">
        <f t="shared" si="6"/>
        <v>34316</v>
      </c>
      <c r="U39" s="311">
        <f t="shared" si="7"/>
        <v>145003</v>
      </c>
      <c r="AE39" s="165">
        <v>29952</v>
      </c>
      <c r="AF39" s="277">
        <v>861082</v>
      </c>
      <c r="AG39" s="277">
        <v>505286</v>
      </c>
      <c r="AH39" s="277">
        <v>313255</v>
      </c>
      <c r="AI39" s="277">
        <v>69877</v>
      </c>
      <c r="AJ39" s="277">
        <v>255601</v>
      </c>
      <c r="AK39" s="277">
        <v>1239766</v>
      </c>
      <c r="AT39" s="252">
        <f t="shared" ref="AT39" si="161">AF39/SUM(AF30:AF41)*AM41</f>
        <v>11287.305351715229</v>
      </c>
      <c r="AU39" s="252">
        <f t="shared" ref="AU39" si="162">AG39/SUM(AG30:AG41)*AN41</f>
        <v>7368.247110144599</v>
      </c>
      <c r="AV39" s="252">
        <f t="shared" ref="AV39" si="163">AH39/SUM(AH30:AH41)*AO41</f>
        <v>5080.9850102066475</v>
      </c>
      <c r="AW39" s="252">
        <f t="shared" ref="AW39" si="164">AI39/SUM(AI30:AI41)*AP41</f>
        <v>853.0770741260983</v>
      </c>
      <c r="AX39" s="252">
        <f t="shared" ref="AX39" si="165">AJ39/SUM(AJ30:AJ41)*AQ41</f>
        <v>4065.4610369446787</v>
      </c>
      <c r="AY39" s="252">
        <f t="shared" ref="AY39" si="166">AK39/SUM(AK30:AK41)*AR41</f>
        <v>16248.702757009893</v>
      </c>
    </row>
    <row r="40" spans="1:59">
      <c r="A40" s="163">
        <v>2015</v>
      </c>
      <c r="B40" s="312">
        <v>7898</v>
      </c>
      <c r="C40" s="312">
        <v>156910</v>
      </c>
      <c r="D40" s="312">
        <v>34905</v>
      </c>
      <c r="E40" s="312">
        <v>95919</v>
      </c>
      <c r="F40" s="312">
        <v>13284</v>
      </c>
      <c r="G40" s="312">
        <v>62000</v>
      </c>
      <c r="H40" s="312">
        <v>145961</v>
      </c>
      <c r="I40" s="312">
        <v>49591</v>
      </c>
      <c r="K40" s="311">
        <f>F40/SUM(Z4:Z5)*SUM(X4:X5)</f>
        <v>2360.5347766077939</v>
      </c>
      <c r="L40" s="311">
        <f>F40/SUM(Z4:Z5)*SUM(Y4:Y5)</f>
        <v>10923.465223392206</v>
      </c>
      <c r="M40" s="311">
        <f>G40/SUM(AC4:AC5)*SUM(AA4:AA5)</f>
        <v>24182.311377985654</v>
      </c>
      <c r="N40" s="311">
        <f>G40/SUM(AC4:AC5)*SUM(AB4:AB5)</f>
        <v>37817.688622014342</v>
      </c>
      <c r="O40" s="162">
        <f>SUM(K40:N40)-SUM(F40:G40)</f>
        <v>0</v>
      </c>
      <c r="P40" s="311">
        <f t="shared" si="2"/>
        <v>181092.31137798566</v>
      </c>
      <c r="Q40" s="311">
        <f t="shared" si="3"/>
        <v>133736.68862201434</v>
      </c>
      <c r="R40" s="311">
        <f t="shared" si="4"/>
        <v>49591</v>
      </c>
      <c r="S40" s="311">
        <f t="shared" si="5"/>
        <v>10258.534776607794</v>
      </c>
      <c r="T40" s="311">
        <f t="shared" si="6"/>
        <v>45828.46522339221</v>
      </c>
      <c r="U40" s="311">
        <f t="shared" si="7"/>
        <v>145961</v>
      </c>
      <c r="AE40" s="165">
        <v>29983</v>
      </c>
      <c r="AF40" s="277">
        <v>1008303</v>
      </c>
      <c r="AG40" s="277">
        <v>591943</v>
      </c>
      <c r="AH40" s="277">
        <v>388533</v>
      </c>
      <c r="AI40" s="277">
        <v>78408</v>
      </c>
      <c r="AJ40" s="277">
        <v>279222</v>
      </c>
      <c r="AK40" s="277">
        <v>1401433</v>
      </c>
      <c r="AT40" s="252">
        <f t="shared" ref="AT40" si="167">AF40/SUM(AF30:AF41)*AM41</f>
        <v>13217.11967971752</v>
      </c>
      <c r="AU40" s="252">
        <f t="shared" ref="AU40" si="168">AG40/SUM(AG30:AG41)*AN41</f>
        <v>8631.9080661651515</v>
      </c>
      <c r="AV40" s="252">
        <f t="shared" ref="AV40" si="169">AH40/SUM(AH30:AH41)*AO41</f>
        <v>6301.9915052293472</v>
      </c>
      <c r="AW40" s="252">
        <f t="shared" ref="AW40" si="170">AI40/SUM(AI30:AI41)*AP41</f>
        <v>957.2258000211674</v>
      </c>
      <c r="AX40" s="252">
        <f t="shared" ref="AX40" si="171">AJ40/SUM(AJ30:AJ41)*AQ41</f>
        <v>4441.164790661097</v>
      </c>
      <c r="AY40" s="252">
        <f t="shared" ref="AY40" si="172">AK40/SUM(AK30:AK41)*AR41</f>
        <v>18367.553434167938</v>
      </c>
    </row>
    <row r="41" spans="1:59">
      <c r="A41" s="163">
        <v>2016</v>
      </c>
      <c r="B41" s="312">
        <v>7575</v>
      </c>
      <c r="C41" s="312">
        <v>164134</v>
      </c>
      <c r="D41" s="312">
        <v>34691</v>
      </c>
      <c r="E41" s="312">
        <v>102122</v>
      </c>
      <c r="F41" s="312">
        <v>13420</v>
      </c>
      <c r="G41" s="312">
        <v>60136</v>
      </c>
      <c r="H41" s="312">
        <v>153409</v>
      </c>
      <c r="I41" s="312">
        <v>50287</v>
      </c>
      <c r="K41" s="311">
        <f>F41/SUM(Z6:Z9)*SUM(X6:X9)</f>
        <v>2683.3605355621403</v>
      </c>
      <c r="L41" s="311">
        <f>F41/SUM(Z6:Z9)*SUM(Y6:Y9)</f>
        <v>10736.639464437862</v>
      </c>
      <c r="M41" s="311">
        <f>G41/SUM(AC6:AC9)*SUM(AA6:AA9)</f>
        <v>21205.289514210446</v>
      </c>
      <c r="N41" s="311">
        <f>G41/SUM(AC6:AC9)*SUM(AB6:AB9)</f>
        <v>38930.710485789561</v>
      </c>
      <c r="O41" s="162">
        <f t="shared" ref="O41:O45" si="173">SUM(K41:N41)-SUM(F41:G41)</f>
        <v>0</v>
      </c>
      <c r="P41" s="311">
        <f t="shared" si="2"/>
        <v>185339.28951421045</v>
      </c>
      <c r="Q41" s="311">
        <f t="shared" si="3"/>
        <v>141052.71048578958</v>
      </c>
      <c r="R41" s="311">
        <f t="shared" si="4"/>
        <v>50287</v>
      </c>
      <c r="S41" s="311">
        <f t="shared" si="5"/>
        <v>10258.36053556214</v>
      </c>
      <c r="T41" s="311">
        <f t="shared" si="6"/>
        <v>45427.63946443786</v>
      </c>
      <c r="U41" s="311">
        <f t="shared" si="7"/>
        <v>153409</v>
      </c>
      <c r="AE41" s="165">
        <v>30011</v>
      </c>
      <c r="AF41" s="277">
        <v>1182493</v>
      </c>
      <c r="AG41" s="277">
        <v>682250</v>
      </c>
      <c r="AH41" s="277">
        <v>494123</v>
      </c>
      <c r="AI41" s="277">
        <v>83283</v>
      </c>
      <c r="AJ41" s="277">
        <v>287220</v>
      </c>
      <c r="AK41" s="277">
        <v>1297435</v>
      </c>
      <c r="AM41" s="277">
        <v>196680</v>
      </c>
      <c r="AN41" s="277">
        <v>123517</v>
      </c>
      <c r="AO41" s="277">
        <v>76065</v>
      </c>
      <c r="AP41" s="277">
        <v>11881</v>
      </c>
      <c r="AQ41" s="277">
        <v>53476</v>
      </c>
      <c r="AR41" s="277">
        <v>201561</v>
      </c>
      <c r="AT41" s="252">
        <f t="shared" ref="AT41" si="174">AF41/SUM(AF30:AF41)*AM41</f>
        <v>15500.451254660762</v>
      </c>
      <c r="AU41" s="252">
        <f t="shared" ref="AU41" si="175">AG41/SUM(AG30:AG41)*AN41</f>
        <v>9948.7945260627712</v>
      </c>
      <c r="AV41" s="252">
        <f t="shared" ref="AV41" si="176">AH41/SUM(AH30:AH41)*AO41</f>
        <v>8014.6575671524442</v>
      </c>
      <c r="AW41" s="252">
        <f t="shared" ref="AW41" si="177">AI41/SUM(AI30:AI41)*AP41</f>
        <v>1016.7411017136375</v>
      </c>
      <c r="AX41" s="252">
        <f t="shared" ref="AX41" si="178">AJ41/SUM(AJ30:AJ41)*AQ41</f>
        <v>4568.3769587413608</v>
      </c>
      <c r="AY41" s="252">
        <f t="shared" ref="AY41" si="179">AK41/SUM(AK30:AK41)*AR41</f>
        <v>17004.528000881721</v>
      </c>
      <c r="AZ41" s="25">
        <f t="shared" ref="AZ41" si="180">SUM(AT30:AY41)-SUM(AM41:AR41)</f>
        <v>0</v>
      </c>
    </row>
    <row r="42" spans="1:59">
      <c r="A42" s="163">
        <v>2017</v>
      </c>
      <c r="B42" s="312">
        <v>6067</v>
      </c>
      <c r="C42" s="312">
        <v>165937</v>
      </c>
      <c r="D42" s="312">
        <v>41381</v>
      </c>
      <c r="E42" s="312">
        <v>111952</v>
      </c>
      <c r="F42" s="312">
        <v>12937</v>
      </c>
      <c r="G42" s="312">
        <v>61674</v>
      </c>
      <c r="H42" s="312">
        <v>152219</v>
      </c>
      <c r="I42" s="312">
        <v>47595</v>
      </c>
      <c r="K42" s="311">
        <f>F42/SUM(Z10:Z13)*SUM(X10:X13)</f>
        <v>2844.9883014180341</v>
      </c>
      <c r="L42" s="311">
        <f>F42/SUM(Z10:Z13)*SUM(Y10:Y13)</f>
        <v>10092.011698581968</v>
      </c>
      <c r="M42" s="311">
        <f>G42/SUM(AC10:AC13)*SUM(AA10:AA13)</f>
        <v>21378.936224579396</v>
      </c>
      <c r="N42" s="311">
        <f>G42/SUM(AC10:AC13)*SUM(AB10:AB13)</f>
        <v>40295.063775420611</v>
      </c>
      <c r="O42" s="162">
        <f t="shared" si="173"/>
        <v>0</v>
      </c>
      <c r="P42" s="311">
        <f t="shared" si="2"/>
        <v>187315.9362245794</v>
      </c>
      <c r="Q42" s="311">
        <f t="shared" si="3"/>
        <v>152247.0637754206</v>
      </c>
      <c r="R42" s="311">
        <f t="shared" si="4"/>
        <v>47595</v>
      </c>
      <c r="S42" s="311">
        <f t="shared" si="5"/>
        <v>8911.9883014180341</v>
      </c>
      <c r="T42" s="311">
        <f t="shared" si="6"/>
        <v>51473.01169858197</v>
      </c>
      <c r="U42" s="311">
        <f t="shared" si="7"/>
        <v>152219</v>
      </c>
      <c r="AE42" s="165">
        <v>30042</v>
      </c>
      <c r="AF42" s="277">
        <v>1271444</v>
      </c>
      <c r="AG42" s="277">
        <v>683458</v>
      </c>
      <c r="AH42" s="277">
        <v>457394</v>
      </c>
      <c r="AI42" s="277">
        <v>78860</v>
      </c>
      <c r="AJ42" s="277">
        <v>239154</v>
      </c>
      <c r="AK42" s="277">
        <v>834697</v>
      </c>
      <c r="AT42" s="252">
        <f t="shared" ref="AT42" si="181">AF42/SUM(AF42:AF53)*AM53</f>
        <v>16136.437457024907</v>
      </c>
      <c r="AU42" s="252">
        <f t="shared" ref="AU42" si="182">AG42/SUM(AG42:AG53)*AN53</f>
        <v>9627.6411245924137</v>
      </c>
      <c r="AV42" s="252">
        <f t="shared" ref="AV42" si="183">AH42/SUM(AH42:AH53)*AO53</f>
        <v>6005.1804208191952</v>
      </c>
      <c r="AW42" s="252">
        <f t="shared" ref="AW42" si="184">AI42/SUM(AI42:AI53)*AP53</f>
        <v>935.61494581191062</v>
      </c>
      <c r="AX42" s="252">
        <f t="shared" ref="AX42" si="185">AJ42/SUM(AJ42:AJ53)*AQ53</f>
        <v>3401.3408675827568</v>
      </c>
      <c r="AY42" s="252">
        <f t="shared" ref="AY42" si="186">AK42/SUM(AK42:AK53)*AR53</f>
        <v>10535.541828308922</v>
      </c>
    </row>
    <row r="43" spans="1:59">
      <c r="A43" s="163">
        <v>2018</v>
      </c>
      <c r="B43" s="312">
        <v>4933</v>
      </c>
      <c r="C43" s="312">
        <v>159093</v>
      </c>
      <c r="D43" s="312">
        <v>36652</v>
      </c>
      <c r="E43" s="312">
        <v>108900</v>
      </c>
      <c r="F43" s="312">
        <v>12439</v>
      </c>
      <c r="G43" s="312">
        <v>62186</v>
      </c>
      <c r="H43" s="312">
        <v>149599</v>
      </c>
      <c r="I43" s="312">
        <v>51653</v>
      </c>
      <c r="K43" s="311">
        <f>F43/SUM(Z14:Z17)*SUM(X14:X17)</f>
        <v>2278.39677921561</v>
      </c>
      <c r="L43" s="311">
        <f>F43/SUM(Z14:Z17)*SUM(Y14:Y17)</f>
        <v>10160.603220784391</v>
      </c>
      <c r="M43" s="311">
        <f>G43/SUM(AC14:AC17)*SUM(AA14:AA17)</f>
        <v>22999.378875283135</v>
      </c>
      <c r="N43" s="311">
        <f>G43/SUM(AC14:AC17)*SUM(AB14:AB17)</f>
        <v>39186.621124716861</v>
      </c>
      <c r="O43" s="162">
        <f t="shared" si="173"/>
        <v>0</v>
      </c>
      <c r="P43" s="311">
        <f t="shared" si="2"/>
        <v>182092.37887528315</v>
      </c>
      <c r="Q43" s="311">
        <f t="shared" si="3"/>
        <v>148086.62112471685</v>
      </c>
      <c r="R43" s="311">
        <f t="shared" si="4"/>
        <v>51653</v>
      </c>
      <c r="S43" s="311">
        <f t="shared" si="5"/>
        <v>7211.39677921561</v>
      </c>
      <c r="T43" s="311">
        <f t="shared" si="6"/>
        <v>46812.603220784389</v>
      </c>
      <c r="U43" s="311">
        <f t="shared" si="7"/>
        <v>149599</v>
      </c>
      <c r="AE43" s="165">
        <v>30072</v>
      </c>
      <c r="AF43" s="277">
        <v>1332374</v>
      </c>
      <c r="AG43" s="277">
        <v>664229</v>
      </c>
      <c r="AH43" s="277">
        <v>470890</v>
      </c>
      <c r="AI43" s="277">
        <v>73386</v>
      </c>
      <c r="AJ43" s="277">
        <v>207925</v>
      </c>
      <c r="AK43" s="277">
        <v>830094</v>
      </c>
      <c r="AT43" s="252">
        <f t="shared" ref="AT43" si="187">AF43/SUM(AF42:AF53)*AM53</f>
        <v>16909.726044061794</v>
      </c>
      <c r="AU43" s="252">
        <f t="shared" ref="AU43" si="188">AG43/SUM(AG42:AG53)*AN53</f>
        <v>9356.7687210434196</v>
      </c>
      <c r="AV43" s="252">
        <f t="shared" ref="AV43" si="189">AH43/SUM(AH42:AH53)*AO53</f>
        <v>6182.3710157097621</v>
      </c>
      <c r="AW43" s="252">
        <f t="shared" ref="AW43" si="190">AI43/SUM(AI42:AI53)*AP53</f>
        <v>870.67002806686367</v>
      </c>
      <c r="AX43" s="252">
        <f t="shared" ref="AX43" si="191">AJ43/SUM(AJ42:AJ53)*AQ53</f>
        <v>2957.1899273779436</v>
      </c>
      <c r="AY43" s="252">
        <f t="shared" ref="AY43" si="192">AK43/SUM(AK42:AK53)*AR53</f>
        <v>10477.442782744236</v>
      </c>
    </row>
    <row r="44" spans="1:59">
      <c r="A44" s="163">
        <v>2019</v>
      </c>
      <c r="B44" s="312">
        <v>4070</v>
      </c>
      <c r="C44" s="312">
        <v>151349</v>
      </c>
      <c r="D44" s="312">
        <v>37488</v>
      </c>
      <c r="E44" s="312">
        <v>107018</v>
      </c>
      <c r="F44" s="312">
        <v>13116</v>
      </c>
      <c r="G44" s="312">
        <v>60372</v>
      </c>
      <c r="H44" s="312">
        <v>154533</v>
      </c>
      <c r="I44" s="312">
        <v>50139</v>
      </c>
      <c r="K44" s="311">
        <f>F44/SUM(Z18:Z21)*SUM(X18:X21)</f>
        <v>2489.6470628082752</v>
      </c>
      <c r="L44" s="311">
        <f>F44/SUM(Z18:Z21)*SUM(Y18:Y21)</f>
        <v>10626.352937191725</v>
      </c>
      <c r="M44" s="311">
        <f>G44/SUM(AC18:AC21)*SUM(AA18:AA21)</f>
        <v>18435.707454700772</v>
      </c>
      <c r="N44" s="311">
        <f>G44/SUM(AC18:AC21)*SUM(AB18:AB21)</f>
        <v>41936.292545299235</v>
      </c>
      <c r="O44" s="162">
        <f t="shared" si="173"/>
        <v>0</v>
      </c>
      <c r="P44" s="311">
        <f t="shared" si="2"/>
        <v>169784.70745470078</v>
      </c>
      <c r="Q44" s="311">
        <f t="shared" si="3"/>
        <v>148954.29254529922</v>
      </c>
      <c r="R44" s="311">
        <f t="shared" si="4"/>
        <v>50139</v>
      </c>
      <c r="S44" s="311">
        <f t="shared" si="5"/>
        <v>6559.6470628082752</v>
      </c>
      <c r="T44" s="311">
        <f t="shared" si="6"/>
        <v>48114.352937191725</v>
      </c>
      <c r="U44" s="311">
        <f t="shared" si="7"/>
        <v>154533</v>
      </c>
      <c r="AE44" s="165">
        <v>30103</v>
      </c>
      <c r="AF44" s="277">
        <v>1393403</v>
      </c>
      <c r="AG44" s="277">
        <v>684357</v>
      </c>
      <c r="AH44" s="277">
        <v>477863</v>
      </c>
      <c r="AI44" s="277">
        <v>73473</v>
      </c>
      <c r="AJ44" s="277">
        <v>213439</v>
      </c>
      <c r="AK44" s="277">
        <v>972405</v>
      </c>
      <c r="AT44" s="252">
        <f t="shared" ref="AT44" si="193">AF44/SUM(AF42:AF53)*AM53</f>
        <v>17684.271082274074</v>
      </c>
      <c r="AU44" s="252">
        <f t="shared" ref="AU44" si="194">AG44/SUM(AG42:AG53)*AN53</f>
        <v>9640.3050327930778</v>
      </c>
      <c r="AV44" s="252">
        <f t="shared" ref="AV44" si="195">AH44/SUM(AH42:AH53)*AO53</f>
        <v>6273.9203650111785</v>
      </c>
      <c r="AW44" s="252">
        <f t="shared" ref="AW44" si="196">AI44/SUM(AI42:AI53)*AP53</f>
        <v>871.70221802737137</v>
      </c>
      <c r="AX44" s="252">
        <f t="shared" ref="AX44" si="197">AJ44/SUM(AJ42:AJ53)*AQ53</f>
        <v>3035.612172223739</v>
      </c>
      <c r="AY44" s="252">
        <f t="shared" ref="AY44" si="198">AK44/SUM(AK42:AK53)*AR53</f>
        <v>12273.69159294539</v>
      </c>
    </row>
    <row r="45" spans="1:59">
      <c r="A45" s="163">
        <v>2020</v>
      </c>
      <c r="B45" s="312">
        <v>4174</v>
      </c>
      <c r="C45" s="312">
        <v>140913</v>
      </c>
      <c r="D45" s="312">
        <v>38412</v>
      </c>
      <c r="E45" s="312">
        <v>97138</v>
      </c>
      <c r="F45" s="312">
        <v>13302</v>
      </c>
      <c r="G45" s="312">
        <v>54512</v>
      </c>
      <c r="H45" s="312">
        <v>165075</v>
      </c>
      <c r="I45" s="312">
        <v>50463</v>
      </c>
      <c r="K45" s="311">
        <f>F45/SUM(Z22:Z25)*SUM(X22:X25)</f>
        <v>2040.1184922348525</v>
      </c>
      <c r="L45" s="311">
        <f>F45/SUM(Z22:Z25)*SUM(Y22:Y25)</f>
        <v>11261.881507765145</v>
      </c>
      <c r="M45" s="311">
        <f>G45/SUM(AC22:AC25)*SUM(AA22:AA25)</f>
        <v>18098.035692749476</v>
      </c>
      <c r="N45" s="311">
        <f>G45/SUM(AC22:AC25)*SUM(AB22:AB25)</f>
        <v>36413.964307250528</v>
      </c>
      <c r="O45" s="162">
        <f t="shared" si="173"/>
        <v>0</v>
      </c>
      <c r="P45" s="311">
        <f t="shared" si="2"/>
        <v>159011.03569274949</v>
      </c>
      <c r="Q45" s="311">
        <f t="shared" si="3"/>
        <v>133551.96430725051</v>
      </c>
      <c r="R45" s="311">
        <f t="shared" si="4"/>
        <v>50463</v>
      </c>
      <c r="S45" s="311">
        <f t="shared" si="5"/>
        <v>6214.118492234853</v>
      </c>
      <c r="T45" s="311">
        <f t="shared" si="6"/>
        <v>49673.881507765145</v>
      </c>
      <c r="U45" s="311">
        <f t="shared" si="7"/>
        <v>165075</v>
      </c>
      <c r="AE45" s="165">
        <v>30133</v>
      </c>
      <c r="AF45" s="277">
        <v>1447507</v>
      </c>
      <c r="AG45" s="277">
        <v>720421</v>
      </c>
      <c r="AH45" s="277">
        <v>486139</v>
      </c>
      <c r="AI45" s="277">
        <v>79337</v>
      </c>
      <c r="AJ45" s="277">
        <v>241185</v>
      </c>
      <c r="AK45" s="277">
        <v>1201330</v>
      </c>
      <c r="AT45" s="252">
        <f t="shared" ref="AT45" si="199">AF45/SUM(AF42:AF53)*AM53</f>
        <v>18370.927995338963</v>
      </c>
      <c r="AU45" s="252">
        <f t="shared" ref="AU45" si="200">AG45/SUM(AG42:AG53)*AN53</f>
        <v>10148.326373559152</v>
      </c>
      <c r="AV45" s="252">
        <f t="shared" ref="AV45" si="201">AH45/SUM(AH42:AH53)*AO53</f>
        <v>6382.5769568394489</v>
      </c>
      <c r="AW45" s="252">
        <f t="shared" ref="AW45" si="202">AI45/SUM(AI42:AI53)*AP53</f>
        <v>941.2741942160734</v>
      </c>
      <c r="AX45" s="252">
        <f t="shared" ref="AX45" si="203">AJ45/SUM(AJ42:AJ53)*AQ53</f>
        <v>3430.2265366581669</v>
      </c>
      <c r="AY45" s="252">
        <f t="shared" ref="AY45" si="204">AK45/SUM(AK42:AK53)*AR53</f>
        <v>15163.18192661811</v>
      </c>
    </row>
    <row r="46" spans="1:59">
      <c r="AE46" s="165">
        <v>30164</v>
      </c>
      <c r="AF46" s="277">
        <v>1458958</v>
      </c>
      <c r="AG46" s="277">
        <v>742812</v>
      </c>
      <c r="AH46" s="277">
        <v>496419</v>
      </c>
      <c r="AI46" s="277">
        <v>85104</v>
      </c>
      <c r="AJ46" s="277">
        <v>281805</v>
      </c>
      <c r="AK46" s="277">
        <v>1407267</v>
      </c>
      <c r="AT46" s="252">
        <f t="shared" ref="AT46" si="205">AF46/SUM(AF42:AF53)*AM53</f>
        <v>18516.257514626002</v>
      </c>
      <c r="AU46" s="252">
        <f t="shared" ref="AU46" si="206">AG46/SUM(AG42:AG53)*AN53</f>
        <v>10463.740799055306</v>
      </c>
      <c r="AV46" s="252">
        <f t="shared" ref="AV46" si="207">AH46/SUM(AH42:AH53)*AO53</f>
        <v>6517.544303866347</v>
      </c>
      <c r="AW46" s="252">
        <f t="shared" ref="AW46" si="208">AI46/SUM(AI42:AI53)*AP53</f>
        <v>1009.6953379200717</v>
      </c>
      <c r="AX46" s="252">
        <f t="shared" ref="AX46" si="209">AJ46/SUM(AJ42:AJ53)*AQ53</f>
        <v>4007.9399181663644</v>
      </c>
      <c r="AY46" s="252">
        <f t="shared" ref="AY46" si="210">AK46/SUM(AK42:AK53)*AR53</f>
        <v>17762.517826347539</v>
      </c>
    </row>
    <row r="47" spans="1:59">
      <c r="AE47" s="165">
        <v>30195</v>
      </c>
      <c r="AF47" s="277">
        <v>1432762</v>
      </c>
      <c r="AG47" s="277">
        <v>762688</v>
      </c>
      <c r="AH47" s="277">
        <v>522277</v>
      </c>
      <c r="AI47" s="277">
        <v>91652</v>
      </c>
      <c r="AJ47" s="277">
        <v>331602</v>
      </c>
      <c r="AK47" s="277">
        <v>1594558</v>
      </c>
      <c r="AT47" s="252">
        <f t="shared" ref="AT47" si="211">AF47/SUM(AF42:AF53)*AM53</f>
        <v>18183.792918761599</v>
      </c>
      <c r="AU47" s="252">
        <f t="shared" ref="AU47" si="212">AG47/SUM(AG42:AG53)*AN53</f>
        <v>10743.727272243706</v>
      </c>
      <c r="AV47" s="252">
        <f t="shared" ref="AV47" si="213">AH47/SUM(AH42:AH53)*AO53</f>
        <v>6857.0370722925682</v>
      </c>
      <c r="AW47" s="252">
        <f t="shared" ref="AW47" si="214">AI47/SUM(AI42:AI53)*AP53</f>
        <v>1087.3824627637996</v>
      </c>
      <c r="AX47" s="252">
        <f t="shared" ref="AX47" si="215">AJ47/SUM(AJ42:AJ53)*AQ53</f>
        <v>4716.1721500463191</v>
      </c>
      <c r="AY47" s="252">
        <f t="shared" ref="AY47" si="216">AK47/SUM(AK42:AK53)*AR53</f>
        <v>20126.503996857085</v>
      </c>
    </row>
    <row r="48" spans="1:59">
      <c r="AE48" s="165">
        <v>30225</v>
      </c>
      <c r="AF48" s="277">
        <v>1430129</v>
      </c>
      <c r="AG48" s="277">
        <v>772489</v>
      </c>
      <c r="AH48" s="277">
        <v>518117</v>
      </c>
      <c r="AI48" s="277">
        <v>97560</v>
      </c>
      <c r="AJ48" s="277">
        <v>373999</v>
      </c>
      <c r="AK48" s="277">
        <v>1765800</v>
      </c>
      <c r="AT48" s="252">
        <f t="shared" ref="AT48" si="217">AF48/SUM(AF42:AF53)*AM53</f>
        <v>18150.37639406657</v>
      </c>
      <c r="AU48" s="252">
        <f t="shared" ref="AU48" si="218">AG48/SUM(AG42:AG53)*AN53</f>
        <v>10881.790636286749</v>
      </c>
      <c r="AV48" s="252">
        <f t="shared" ref="AV48" si="219">AH48/SUM(AH42:AH53)*AO53</f>
        <v>6802.4199357524994</v>
      </c>
      <c r="AW48" s="252">
        <f t="shared" ref="AW48" si="220">AI48/SUM(AI42:AI53)*AP53</f>
        <v>1157.4764660589651</v>
      </c>
      <c r="AX48" s="252">
        <f t="shared" ref="AX48" si="221">AJ48/SUM(AJ42:AJ53)*AQ53</f>
        <v>5319.1587141970595</v>
      </c>
      <c r="AY48" s="252">
        <f t="shared" ref="AY48" si="222">AK48/SUM(AK42:AK53)*AR53</f>
        <v>22287.919760617198</v>
      </c>
    </row>
    <row r="49" spans="31:59">
      <c r="AE49" s="165">
        <v>30256</v>
      </c>
      <c r="AF49" s="277">
        <v>1377296</v>
      </c>
      <c r="AG49" s="277">
        <v>752429</v>
      </c>
      <c r="AH49" s="277">
        <v>515949</v>
      </c>
      <c r="AI49" s="277">
        <v>91122</v>
      </c>
      <c r="AJ49" s="277">
        <v>368964</v>
      </c>
      <c r="AK49" s="277">
        <v>1747348</v>
      </c>
      <c r="AT49" s="252">
        <f t="shared" ref="AT49" si="223">AF49/SUM(AF42:AF53)*AM53</f>
        <v>17479.850283465552</v>
      </c>
      <c r="AU49" s="252">
        <f t="shared" ref="AU49" si="224">AG49/SUM(AG42:AG53)*AN53</f>
        <v>10599.212217482193</v>
      </c>
      <c r="AV49" s="252">
        <f t="shared" ref="AV49" si="225">AH49/SUM(AH42:AH53)*AO53</f>
        <v>6773.9560049787342</v>
      </c>
      <c r="AW49" s="252">
        <f t="shared" ref="AW49" si="226">AI49/SUM(AI42:AI53)*AP53</f>
        <v>1081.0944089813963</v>
      </c>
      <c r="AX49" s="252">
        <f t="shared" ref="AX49" si="227">AJ49/SUM(AJ42:AJ53)*AQ53</f>
        <v>5247.5489929786008</v>
      </c>
      <c r="AY49" s="252">
        <f t="shared" ref="AY49" si="228">AK49/SUM(AK42:AK53)*AR53</f>
        <v>22055.018698536038</v>
      </c>
    </row>
    <row r="50" spans="31:59">
      <c r="AE50" s="165">
        <v>30286</v>
      </c>
      <c r="AF50" s="277">
        <v>1366031</v>
      </c>
      <c r="AG50" s="277">
        <v>738100</v>
      </c>
      <c r="AH50" s="277">
        <v>488741</v>
      </c>
      <c r="AI50" s="277">
        <v>88715</v>
      </c>
      <c r="AJ50" s="277">
        <v>367823</v>
      </c>
      <c r="AK50" s="277">
        <v>1807481</v>
      </c>
      <c r="AT50" s="252">
        <f t="shared" ref="AT50" si="229">AF50/SUM(AF42:AF53)*AM53</f>
        <v>17336.881369417129</v>
      </c>
      <c r="AU50" s="252">
        <f t="shared" ref="AU50" si="230">AG50/SUM(AG42:AG53)*AN53</f>
        <v>10397.364452624244</v>
      </c>
      <c r="AV50" s="252">
        <f t="shared" ref="AV50" si="231">AH50/SUM(AH42:AH53)*AO53</f>
        <v>6416.7389254157124</v>
      </c>
      <c r="AW50" s="252">
        <f t="shared" ref="AW50" si="232">AI50/SUM(AI42:AI53)*AP53</f>
        <v>1052.5371534073504</v>
      </c>
      <c r="AX50" s="252">
        <f t="shared" ref="AX50" si="233">AJ50/SUM(AJ42:AJ53)*AQ53</f>
        <v>5231.3212488057579</v>
      </c>
      <c r="AY50" s="252">
        <f t="shared" ref="AY50" si="234">AK50/SUM(AK42:AK53)*AR53</f>
        <v>22814.017157571714</v>
      </c>
      <c r="BA50" s="252">
        <f t="shared" ref="BA50" si="235">SUM(AT39:AT50)</f>
        <v>198773.39734513013</v>
      </c>
      <c r="BB50" s="252">
        <f t="shared" ref="BB50" si="236">SUM(AU39:AU50)</f>
        <v>117807.82633205278</v>
      </c>
      <c r="BC50" s="252">
        <f t="shared" ref="BC50" si="237">SUM(AV39:AV50)</f>
        <v>77609.379083273889</v>
      </c>
      <c r="BD50" s="252">
        <f t="shared" ref="BD50" si="238">SUM(AW39:AW50)</f>
        <v>11834.491191114705</v>
      </c>
      <c r="BE50" s="252">
        <f t="shared" ref="BE50" si="239">SUM(AX39:AX50)</f>
        <v>50421.513314383847</v>
      </c>
      <c r="BF50" s="252">
        <f t="shared" ref="BF50" si="240">SUM(AY39:AY50)</f>
        <v>205116.61976260578</v>
      </c>
      <c r="BG50" s="252">
        <f t="shared" ref="BG50" si="241">SUM(BA50:BF50)</f>
        <v>661563.22702856117</v>
      </c>
    </row>
    <row r="51" spans="31:59">
      <c r="AE51" s="165">
        <v>30317</v>
      </c>
      <c r="AF51" s="277">
        <v>951397</v>
      </c>
      <c r="AG51" s="277">
        <v>504338</v>
      </c>
      <c r="AH51" s="277">
        <v>345139</v>
      </c>
      <c r="AI51" s="277">
        <v>63045</v>
      </c>
      <c r="AJ51" s="277">
        <v>254294</v>
      </c>
      <c r="AK51" s="277">
        <v>1262648</v>
      </c>
      <c r="AT51" s="252">
        <f t="shared" ref="AT51" si="242">AF51/SUM(AF42:AF53)*AM53</f>
        <v>12074.584635501938</v>
      </c>
      <c r="AU51" s="252">
        <f t="shared" ref="AU51" si="243">AG51/SUM(AG42:AG53)*AN53</f>
        <v>7104.4384139108597</v>
      </c>
      <c r="AV51" s="252">
        <f t="shared" ref="AV51" si="244">AH51/SUM(AH42:AH53)*AO53</f>
        <v>4531.3711269957985</v>
      </c>
      <c r="AW51" s="252">
        <f t="shared" ref="AW51" si="245">AI51/SUM(AI42:AI53)*AP53</f>
        <v>747.98179379548446</v>
      </c>
      <c r="AX51" s="252">
        <f t="shared" ref="AX51" si="246">AJ51/SUM(AJ42:AJ53)*AQ53</f>
        <v>3616.6678148017158</v>
      </c>
      <c r="AY51" s="252">
        <f t="shared" ref="AY51" si="247">AK51/SUM(AK42:AK53)*AR53</f>
        <v>15937.137450392902</v>
      </c>
    </row>
    <row r="52" spans="31:59">
      <c r="AE52" s="165">
        <v>30348</v>
      </c>
      <c r="AF52" s="277">
        <v>1098991</v>
      </c>
      <c r="AG52" s="277">
        <v>586841</v>
      </c>
      <c r="AH52" s="277">
        <v>423904</v>
      </c>
      <c r="AI52" s="277">
        <v>69930</v>
      </c>
      <c r="AJ52" s="277">
        <v>281810</v>
      </c>
      <c r="AK52" s="277">
        <v>1466686</v>
      </c>
      <c r="AT52" s="252">
        <f t="shared" ref="AT52" si="248">AF52/SUM(AF42:AF53)*AM53</f>
        <v>13947.76296662162</v>
      </c>
      <c r="AU52" s="252">
        <f t="shared" ref="AU52" si="249">AG52/SUM(AG42:AG53)*AN53</f>
        <v>8266.6302028755781</v>
      </c>
      <c r="AV52" s="252">
        <f t="shared" ref="AV52" si="250">AH52/SUM(AH42:AH53)*AO53</f>
        <v>5565.4862134329269</v>
      </c>
      <c r="AW52" s="252">
        <f t="shared" ref="AW52" si="251">AI52/SUM(AI42:AI53)*AP53</f>
        <v>829.66717170462744</v>
      </c>
      <c r="AX52" s="252">
        <f t="shared" ref="AX52" si="252">AJ52/SUM(AJ42:AJ53)*AQ53</f>
        <v>4008.0110301040199</v>
      </c>
      <c r="AY52" s="252">
        <f t="shared" ref="AY52" si="253">AK52/SUM(AK42:AK53)*AR53</f>
        <v>18512.504180553064</v>
      </c>
    </row>
    <row r="53" spans="31:59">
      <c r="AE53" s="165">
        <v>30376</v>
      </c>
      <c r="AF53" s="277">
        <v>1243921</v>
      </c>
      <c r="AG53" s="277">
        <v>659706</v>
      </c>
      <c r="AH53" s="277">
        <v>494199</v>
      </c>
      <c r="AI53" s="277">
        <v>74080</v>
      </c>
      <c r="AJ53" s="277">
        <v>284749</v>
      </c>
      <c r="AK53" s="277">
        <v>1441018</v>
      </c>
      <c r="AM53" s="277">
        <v>200578</v>
      </c>
      <c r="AN53" s="277">
        <v>116523</v>
      </c>
      <c r="AO53" s="277">
        <v>74797</v>
      </c>
      <c r="AP53" s="277">
        <v>11464</v>
      </c>
      <c r="AQ53" s="277">
        <v>49021</v>
      </c>
      <c r="AR53" s="277">
        <v>206134</v>
      </c>
      <c r="AT53" s="252">
        <f t="shared" ref="AT53" si="254">AF53/SUM(AF42:AF53)*AM53</f>
        <v>15787.131338839839</v>
      </c>
      <c r="AU53" s="252">
        <f t="shared" ref="AU53" si="255">AG53/SUM(AG42:AG53)*AN53</f>
        <v>9293.0547535333008</v>
      </c>
      <c r="AV53" s="252">
        <f t="shared" ref="AV53" si="256">AH53/SUM(AH42:AH53)*AO53</f>
        <v>6488.3976588858304</v>
      </c>
      <c r="AW53" s="252">
        <f t="shared" ref="AW53" si="257">AI53/SUM(AI42:AI53)*AP53</f>
        <v>878.90381924608596</v>
      </c>
      <c r="AX53" s="252">
        <f t="shared" ref="AX53" si="258">AJ53/SUM(AJ42:AJ53)*AQ53</f>
        <v>4049.8106270575549</v>
      </c>
      <c r="AY53" s="252">
        <f t="shared" ref="AY53" si="259">AK53/SUM(AK42:AK53)*AR53</f>
        <v>18188.522798507802</v>
      </c>
      <c r="AZ53" s="25">
        <f t="shared" ref="AZ53" si="260">SUM(AT42:AY53)-SUM(AM53:AR53)</f>
        <v>0</v>
      </c>
    </row>
    <row r="54" spans="31:59">
      <c r="AE54" s="165">
        <v>30407</v>
      </c>
      <c r="AF54" s="277">
        <v>1271627</v>
      </c>
      <c r="AG54" s="277">
        <v>644702</v>
      </c>
      <c r="AH54" s="277">
        <v>452673</v>
      </c>
      <c r="AI54" s="277">
        <v>70036</v>
      </c>
      <c r="AJ54" s="277">
        <v>230494</v>
      </c>
      <c r="AK54" s="277">
        <v>949473</v>
      </c>
      <c r="AT54" s="252">
        <f t="shared" ref="AT54" si="261">AF54/SUM(AF54:AF65)*AM65</f>
        <v>15764.828207780847</v>
      </c>
      <c r="AU54" s="252">
        <f t="shared" ref="AU54" si="262">AG54/SUM(AG54:AG65)*AN65</f>
        <v>9322.8996049587076</v>
      </c>
      <c r="AV54" s="252">
        <f t="shared" ref="AV54" si="263">AH54/SUM(AH54:AH65)*AO65</f>
        <v>4851.42608408043</v>
      </c>
      <c r="AW54" s="252">
        <f t="shared" ref="AW54" si="264">AI54/SUM(AI54:AI65)*AP65</f>
        <v>1125.8836834820634</v>
      </c>
      <c r="AX54" s="252">
        <f t="shared" ref="AX54" si="265">AJ54/SUM(AJ54:AJ65)*AQ65</f>
        <v>3094.7337306092154</v>
      </c>
      <c r="AY54" s="252">
        <f t="shared" ref="AY54" si="266">AK54/SUM(AK54:AK65)*AR65</f>
        <v>12709.686550825361</v>
      </c>
    </row>
    <row r="55" spans="31:59">
      <c r="AE55" s="165">
        <v>30437</v>
      </c>
      <c r="AF55" s="277">
        <v>1267121</v>
      </c>
      <c r="AG55" s="277">
        <v>650085</v>
      </c>
      <c r="AH55" s="277">
        <v>455132</v>
      </c>
      <c r="AI55" s="277">
        <v>64779</v>
      </c>
      <c r="AJ55" s="277">
        <v>196301</v>
      </c>
      <c r="AK55" s="277">
        <v>911364</v>
      </c>
      <c r="AT55" s="252">
        <f t="shared" ref="AT55" si="267">AF55/SUM(AF54:AF65)*AM65</f>
        <v>15708.965666403335</v>
      </c>
      <c r="AU55" s="252">
        <f t="shared" ref="AU55" si="268">AG55/SUM(AG54:AG65)*AN65</f>
        <v>9400.7420322716262</v>
      </c>
      <c r="AV55" s="252">
        <f t="shared" ref="AV55" si="269">AH55/SUM(AH54:AH65)*AO65</f>
        <v>4877.7798907814122</v>
      </c>
      <c r="AW55" s="252">
        <f t="shared" ref="AW55" si="270">AI55/SUM(AI54:AI65)*AP65</f>
        <v>1041.3732813450881</v>
      </c>
      <c r="AX55" s="252">
        <f t="shared" ref="AX55" si="271">AJ55/SUM(AJ54:AJ65)*AQ65</f>
        <v>2635.6405201537546</v>
      </c>
      <c r="AY55" s="252">
        <f t="shared" ref="AY55" si="272">AK55/SUM(AK54:AK65)*AR65</f>
        <v>12199.557832298975</v>
      </c>
    </row>
    <row r="56" spans="31:59">
      <c r="AE56" s="165">
        <v>30468</v>
      </c>
      <c r="AF56" s="277">
        <v>1294343</v>
      </c>
      <c r="AG56" s="277">
        <v>677920</v>
      </c>
      <c r="AH56" s="277">
        <v>436934</v>
      </c>
      <c r="AI56" s="277">
        <v>60720</v>
      </c>
      <c r="AJ56" s="277">
        <v>193984</v>
      </c>
      <c r="AK56" s="277">
        <v>984225</v>
      </c>
      <c r="AT56" s="252">
        <f t="shared" ref="AT56" si="273">AF56/SUM(AF54:AF65)*AM65</f>
        <v>16046.446825164679</v>
      </c>
      <c r="AU56" s="252">
        <f t="shared" ref="AU56" si="274">AG56/SUM(AG54:AG65)*AN65</f>
        <v>9803.2580947377355</v>
      </c>
      <c r="AV56" s="252">
        <f t="shared" ref="AV56" si="275">AH56/SUM(AH54:AH65)*AO65</f>
        <v>4682.7467169935007</v>
      </c>
      <c r="AW56" s="252">
        <f t="shared" ref="AW56" si="276">AI56/SUM(AI54:AI65)*AP65</f>
        <v>976.12166972743876</v>
      </c>
      <c r="AX56" s="252">
        <f t="shared" ref="AX56" si="277">AJ56/SUM(AJ54:AJ65)*AQ65</f>
        <v>2604.5312589416553</v>
      </c>
      <c r="AY56" s="252">
        <f t="shared" ref="AY56" si="278">AK56/SUM(AK54:AK65)*AR65</f>
        <v>13174.87832248636</v>
      </c>
    </row>
    <row r="57" spans="31:59">
      <c r="AE57" s="165">
        <v>30498</v>
      </c>
      <c r="AF57" s="277">
        <v>1341185</v>
      </c>
      <c r="AG57" s="277">
        <v>715967</v>
      </c>
      <c r="AH57" s="277">
        <v>442956</v>
      </c>
      <c r="AI57" s="277">
        <v>58765</v>
      </c>
      <c r="AJ57" s="277">
        <v>213867</v>
      </c>
      <c r="AK57" s="277">
        <v>1142720</v>
      </c>
      <c r="AT57" s="252">
        <f t="shared" ref="AT57" si="279">AF57/SUM(AF54:AF65)*AM65</f>
        <v>16627.164349178303</v>
      </c>
      <c r="AU57" s="252">
        <f t="shared" ref="AU57" si="280">AG57/SUM(AG54:AG65)*AN65</f>
        <v>10353.447734710722</v>
      </c>
      <c r="AV57" s="252">
        <f t="shared" ref="AV57" si="281">AH57/SUM(AH54:AH65)*AO65</f>
        <v>4747.286214331164</v>
      </c>
      <c r="AW57" s="252">
        <f t="shared" ref="AW57" si="282">AI57/SUM(AI54:AI65)*AP65</f>
        <v>944.69350990666896</v>
      </c>
      <c r="AX57" s="252">
        <f t="shared" ref="AX57" si="283">AJ57/SUM(AJ54:AJ65)*AQ65</f>
        <v>2871.4908794337421</v>
      </c>
      <c r="AY57" s="252">
        <f t="shared" ref="AY57" si="284">AK57/SUM(AK54:AK65)*AR65</f>
        <v>15296.499232057318</v>
      </c>
    </row>
    <row r="58" spans="31:59">
      <c r="AE58" s="165">
        <v>30529</v>
      </c>
      <c r="AF58" s="277">
        <v>1346866</v>
      </c>
      <c r="AG58" s="277">
        <v>740296</v>
      </c>
      <c r="AH58" s="277">
        <v>459196</v>
      </c>
      <c r="AI58" s="277">
        <v>60484</v>
      </c>
      <c r="AJ58" s="277">
        <v>254136</v>
      </c>
      <c r="AK58" s="277">
        <v>1295645</v>
      </c>
      <c r="AT58" s="252">
        <f t="shared" ref="AT58" si="285">AF58/SUM(AF54:AF65)*AM65</f>
        <v>16697.593798260779</v>
      </c>
      <c r="AU58" s="252">
        <f t="shared" ref="AU58" si="286">AG58/SUM(AG54:AG65)*AN65</f>
        <v>10705.26427086082</v>
      </c>
      <c r="AV58" s="252">
        <f t="shared" ref="AV58" si="287">AH58/SUM(AH54:AH65)*AO65</f>
        <v>4921.3349417910886</v>
      </c>
      <c r="AW58" s="252">
        <f t="shared" ref="AW58" si="288">AI58/SUM(AI54:AI65)*AP65</f>
        <v>972.32778444984183</v>
      </c>
      <c r="AX58" s="252">
        <f t="shared" ref="AX58" si="289">AJ58/SUM(AJ54:AJ65)*AQ65</f>
        <v>3412.1636630979697</v>
      </c>
      <c r="AY58" s="252">
        <f t="shared" ref="AY58" si="290">AK58/SUM(AK54:AK65)*AR65</f>
        <v>17343.559881264791</v>
      </c>
    </row>
    <row r="59" spans="31:59">
      <c r="AE59" s="165">
        <v>30560</v>
      </c>
      <c r="AF59" s="277">
        <v>1319085</v>
      </c>
      <c r="AG59" s="277">
        <v>763849</v>
      </c>
      <c r="AH59" s="277">
        <v>480279</v>
      </c>
      <c r="AI59" s="277">
        <v>65208</v>
      </c>
      <c r="AJ59" s="277">
        <v>296595</v>
      </c>
      <c r="AK59" s="277">
        <v>1439510</v>
      </c>
      <c r="AT59" s="252">
        <f t="shared" ref="AT59" si="291">AF59/SUM(AF54:AF65)*AM65</f>
        <v>16353.182510642351</v>
      </c>
      <c r="AU59" s="252">
        <f t="shared" ref="AU59" si="292">AG59/SUM(AG54:AG65)*AN65</f>
        <v>11045.859234728765</v>
      </c>
      <c r="AV59" s="252">
        <f t="shared" ref="AV59" si="293">AH59/SUM(AH54:AH65)*AO65</f>
        <v>5147.2874861899536</v>
      </c>
      <c r="AW59" s="252">
        <f t="shared" ref="AW59" si="294">AI59/SUM(AI54:AI65)*AP65</f>
        <v>1048.2697931420755</v>
      </c>
      <c r="AX59" s="252">
        <f t="shared" ref="AX59" si="295">AJ59/SUM(AJ54:AJ65)*AQ65</f>
        <v>3982.2405391465295</v>
      </c>
      <c r="AY59" s="252">
        <f t="shared" ref="AY59" si="296">AK59/SUM(AK54:AK65)*AR65</f>
        <v>19269.342979504017</v>
      </c>
    </row>
    <row r="60" spans="31:59">
      <c r="AE60" s="165">
        <v>30590</v>
      </c>
      <c r="AF60" s="277">
        <v>1318285</v>
      </c>
      <c r="AG60" s="277">
        <v>792192</v>
      </c>
      <c r="AH60" s="277">
        <v>477336</v>
      </c>
      <c r="AI60" s="277">
        <v>70707</v>
      </c>
      <c r="AJ60" s="277">
        <v>335321</v>
      </c>
      <c r="AK60" s="277">
        <v>1589933</v>
      </c>
      <c r="AT60" s="252">
        <f t="shared" ref="AT60" si="297">AF60/SUM(AF54:AF65)*AM65</f>
        <v>16343.264616034716</v>
      </c>
      <c r="AU60" s="252">
        <f t="shared" ref="AU60" si="298">AG60/SUM(AG54:AG65)*AN65</f>
        <v>11455.721378018758</v>
      </c>
      <c r="AV60" s="252">
        <f t="shared" ref="AV60" si="299">AH60/SUM(AH54:AH65)*AO65</f>
        <v>5115.7465129809298</v>
      </c>
      <c r="AW60" s="252">
        <f t="shared" ref="AW60" si="300">AI60/SUM(AI54:AI65)*AP65</f>
        <v>1136.6705352670949</v>
      </c>
      <c r="AX60" s="252">
        <f t="shared" ref="AX60" si="301">AJ60/SUM(AJ54:AJ65)*AQ65</f>
        <v>4502.1961928796954</v>
      </c>
      <c r="AY60" s="252">
        <f t="shared" ref="AY60" si="302">AK60/SUM(AK54:AK65)*AR65</f>
        <v>21282.911748742114</v>
      </c>
    </row>
    <row r="61" spans="31:59">
      <c r="AE61" s="165">
        <v>30621</v>
      </c>
      <c r="AF61" s="277">
        <v>1265735</v>
      </c>
      <c r="AG61" s="277">
        <v>794141</v>
      </c>
      <c r="AH61" s="277">
        <v>468099</v>
      </c>
      <c r="AI61" s="277">
        <v>67654</v>
      </c>
      <c r="AJ61" s="277">
        <v>345588</v>
      </c>
      <c r="AK61" s="277">
        <v>1610043</v>
      </c>
      <c r="AT61" s="252">
        <f t="shared" ref="AT61" si="303">AF61/SUM(AF54:AF65)*AM65</f>
        <v>15691.782913995607</v>
      </c>
      <c r="AU61" s="252">
        <f t="shared" ref="AU61" si="304">AG61/SUM(AG54:AG65)*AN65</f>
        <v>11483.905455825347</v>
      </c>
      <c r="AV61" s="252">
        <f t="shared" ref="AV61" si="305">AH61/SUM(AH54:AH65)*AO65</f>
        <v>5016.7509405950113</v>
      </c>
      <c r="AW61" s="252">
        <f t="shared" ref="AW61" si="306">AI61/SUM(AI54:AI65)*AP65</f>
        <v>1087.5911634344554</v>
      </c>
      <c r="AX61" s="252">
        <f t="shared" ref="AX61" si="307">AJ61/SUM(AJ54:AJ65)*AQ65</f>
        <v>4640.0463374047804</v>
      </c>
      <c r="AY61" s="252">
        <f t="shared" ref="AY61" si="308">AK61/SUM(AK54:AK65)*AR65</f>
        <v>21552.10507655354</v>
      </c>
    </row>
    <row r="62" spans="31:59">
      <c r="AE62" s="165">
        <v>30651</v>
      </c>
      <c r="AF62" s="277">
        <v>1253344</v>
      </c>
      <c r="AG62" s="277">
        <v>792836</v>
      </c>
      <c r="AH62" s="277">
        <v>474420</v>
      </c>
      <c r="AI62" s="277">
        <v>65754</v>
      </c>
      <c r="AJ62" s="277">
        <v>356625</v>
      </c>
      <c r="AK62" s="277">
        <v>1687771</v>
      </c>
      <c r="AT62" s="252">
        <f t="shared" ref="AT62" si="309">AF62/SUM(AF54:AF65)*AM65</f>
        <v>15538.167123891581</v>
      </c>
      <c r="AU62" s="252">
        <f t="shared" ref="AU62" si="310">AG62/SUM(AG54:AG65)*AN65</f>
        <v>11465.034126149822</v>
      </c>
      <c r="AV62" s="252">
        <f t="shared" ref="AV62" si="311">AH62/SUM(AH54:AH65)*AO65</f>
        <v>5084.4949064985931</v>
      </c>
      <c r="AW62" s="252">
        <f t="shared" ref="AW62" si="312">AI62/SUM(AI54:AI65)*AP65</f>
        <v>1057.0471717927867</v>
      </c>
      <c r="AX62" s="252">
        <f t="shared" ref="AX62" si="313">AJ62/SUM(AJ54:AJ65)*AQ65</f>
        <v>4788.2349071060908</v>
      </c>
      <c r="AY62" s="252">
        <f t="shared" ref="AY62" si="314">AK62/SUM(AK54:AK65)*AR65</f>
        <v>22592.57543876769</v>
      </c>
      <c r="BA62" s="252">
        <f t="shared" ref="BA62" si="315">SUM(AT51:AT62)</f>
        <v>186580.87495231561</v>
      </c>
      <c r="BB62" s="252">
        <f t="shared" ref="BB62" si="316">SUM(AU51:AU62)</f>
        <v>119700.25530258204</v>
      </c>
      <c r="BC62" s="252">
        <f t="shared" ref="BC62" si="317">SUM(AV51:AV62)</f>
        <v>61030.108693556635</v>
      </c>
      <c r="BD62" s="252">
        <f t="shared" ref="BD62" si="318">SUM(AW51:AW62)</f>
        <v>11846.53137729371</v>
      </c>
      <c r="BE62" s="252">
        <f t="shared" ref="BE62" si="319">SUM(AX51:AX62)</f>
        <v>44205.767500736722</v>
      </c>
      <c r="BF62" s="252">
        <f t="shared" ref="BF62" si="320">SUM(AY51:AY62)</f>
        <v>208059.28149195394</v>
      </c>
      <c r="BG62" s="252">
        <f t="shared" ref="BG62" si="321">SUM(BA62:BF62)</f>
        <v>631422.81931843865</v>
      </c>
    </row>
    <row r="63" spans="31:59">
      <c r="AE63" s="165">
        <v>30682</v>
      </c>
      <c r="AF63" s="277">
        <v>878797</v>
      </c>
      <c r="AG63" s="277">
        <v>555426</v>
      </c>
      <c r="AH63" s="277">
        <v>332103</v>
      </c>
      <c r="AI63" s="277">
        <v>47720</v>
      </c>
      <c r="AJ63" s="277">
        <v>249416</v>
      </c>
      <c r="AK63" s="277">
        <v>1182324</v>
      </c>
      <c r="AT63" s="252">
        <f t="shared" ref="AT63" si="322">AF63/SUM(AF54:AF65)*AM65</f>
        <v>10894.770034383657</v>
      </c>
      <c r="AU63" s="252">
        <f t="shared" ref="AU63" si="323">AG63/SUM(AG54:AG65)*AN65</f>
        <v>8031.8982041063864</v>
      </c>
      <c r="AV63" s="252">
        <f t="shared" ref="AV63" si="324">AH63/SUM(AH54:AH65)*AO65</f>
        <v>3559.242890124578</v>
      </c>
      <c r="AW63" s="252">
        <f t="shared" ref="AW63" si="325">AI63/SUM(AI54:AI65)*AP65</f>
        <v>767.1364637581255</v>
      </c>
      <c r="AX63" s="252">
        <f t="shared" ref="AX63" si="326">AJ63/SUM(AJ54:AJ65)*AQ65</f>
        <v>3348.7904594203233</v>
      </c>
      <c r="AY63" s="252">
        <f t="shared" ref="AY63" si="327">AK63/SUM(AK54:AK65)*AR65</f>
        <v>15826.640085097783</v>
      </c>
    </row>
    <row r="64" spans="31:59">
      <c r="AE64" s="165">
        <v>30713</v>
      </c>
      <c r="AF64" s="277">
        <v>1025020</v>
      </c>
      <c r="AG64" s="277">
        <v>655771</v>
      </c>
      <c r="AH64" s="277">
        <v>402102</v>
      </c>
      <c r="AI64" s="277">
        <v>53807</v>
      </c>
      <c r="AJ64" s="277">
        <v>274505</v>
      </c>
      <c r="AK64" s="277">
        <v>1370659</v>
      </c>
      <c r="AT64" s="252">
        <f t="shared" ref="AT64" si="328">AF64/SUM(AF54:AF65)*AM65</f>
        <v>12707.550413399154</v>
      </c>
      <c r="AU64" s="252">
        <f t="shared" ref="AU64" si="329">AG64/SUM(AG54:AG65)*AN65</f>
        <v>9482.9660786586301</v>
      </c>
      <c r="AV64" s="252">
        <f t="shared" ref="AV64" si="330">AH64/SUM(AH54:AH65)*AO65</f>
        <v>4309.4422049932491</v>
      </c>
      <c r="AW64" s="252">
        <f t="shared" ref="AW64" si="331">AI64/SUM(AI54:AI65)*AP65</f>
        <v>864.98976750698773</v>
      </c>
      <c r="AX64" s="252">
        <f t="shared" ref="AX64" si="332">AJ64/SUM(AJ54:AJ65)*AQ65</f>
        <v>3685.6485753246616</v>
      </c>
      <c r="AY64" s="252">
        <f t="shared" ref="AY64" si="333">AK64/SUM(AK54:AK65)*AR65</f>
        <v>18347.700522361079</v>
      </c>
    </row>
    <row r="65" spans="31:59">
      <c r="AE65" s="165">
        <v>30742</v>
      </c>
      <c r="AF65" s="277">
        <v>1180838</v>
      </c>
      <c r="AG65" s="277">
        <v>751619</v>
      </c>
      <c r="AH65" s="277">
        <v>476283</v>
      </c>
      <c r="AI65" s="277">
        <v>57098</v>
      </c>
      <c r="AJ65" s="277">
        <v>275446</v>
      </c>
      <c r="AK65" s="277">
        <v>1330979</v>
      </c>
      <c r="AM65" s="277">
        <v>183013</v>
      </c>
      <c r="AN65" s="277">
        <v>123420</v>
      </c>
      <c r="AO65" s="277">
        <v>57418</v>
      </c>
      <c r="AP65" s="277">
        <v>11940</v>
      </c>
      <c r="AQ65" s="277">
        <v>43264</v>
      </c>
      <c r="AR65" s="277">
        <v>207412</v>
      </c>
      <c r="AT65" s="252">
        <f t="shared" ref="AT65" si="334">AF65/SUM(AF54:AF65)*AM65</f>
        <v>14639.283540864988</v>
      </c>
      <c r="AU65" s="252">
        <f t="shared" ref="AU65" si="335">AG65/SUM(AG54:AG65)*AN65</f>
        <v>10869.003784972685</v>
      </c>
      <c r="AV65" s="252">
        <f t="shared" ref="AV65" si="336">AH65/SUM(AH54:AH65)*AO65</f>
        <v>5104.4612106400864</v>
      </c>
      <c r="AW65" s="252">
        <f t="shared" ref="AW65" si="337">AI65/SUM(AI54:AI65)*AP65</f>
        <v>917.89517618737318</v>
      </c>
      <c r="AX65" s="252">
        <f t="shared" ref="AX65" si="338">AJ65/SUM(AJ54:AJ65)*AQ65</f>
        <v>3698.2829364815821</v>
      </c>
      <c r="AY65" s="252">
        <f t="shared" ref="AY65" si="339">AK65/SUM(AK54:AK65)*AR65</f>
        <v>17816.542330040971</v>
      </c>
      <c r="AZ65" s="25">
        <f t="shared" ref="AZ65" si="340">SUM(AT54:AY65)-SUM(AM65:AR65)</f>
        <v>0</v>
      </c>
    </row>
    <row r="66" spans="31:59">
      <c r="AE66" s="165">
        <v>30773</v>
      </c>
      <c r="AF66" s="277">
        <v>1243538</v>
      </c>
      <c r="AG66" s="277">
        <v>752434</v>
      </c>
      <c r="AH66" s="277">
        <v>443892</v>
      </c>
      <c r="AI66" s="277">
        <v>54851</v>
      </c>
      <c r="AJ66" s="277">
        <v>226648</v>
      </c>
      <c r="AK66" s="277">
        <v>901401</v>
      </c>
      <c r="AT66" s="252">
        <f t="shared" ref="AT66" si="341">AF66/SUM(AF66:AF77)*AM77</f>
        <v>15055.138276534619</v>
      </c>
      <c r="AU66" s="252">
        <f t="shared" ref="AU66" si="342">AG66/SUM(AG66:AG77)*AN77</f>
        <v>10310.173920493104</v>
      </c>
      <c r="AV66" s="252">
        <f t="shared" ref="AV66" si="343">AH66/SUM(AH66:AH77)*AO77</f>
        <v>4853.1228279179932</v>
      </c>
      <c r="AW66" s="252">
        <f t="shared" ref="AW66" si="344">AI66/SUM(AI66:AI77)*AP77</f>
        <v>829.31878418952817</v>
      </c>
      <c r="AX66" s="252">
        <f t="shared" ref="AX66" si="345">AJ66/SUM(AJ66:AJ77)*AQ77</f>
        <v>2975.0855454617249</v>
      </c>
      <c r="AY66" s="252">
        <f t="shared" ref="AY66" si="346">AK66/SUM(AK66:AK77)*AR77</f>
        <v>11966.720755944114</v>
      </c>
    </row>
    <row r="67" spans="31:59">
      <c r="AE67" s="165">
        <v>30803</v>
      </c>
      <c r="AF67" s="277">
        <v>1283805</v>
      </c>
      <c r="AG67" s="277">
        <v>758527</v>
      </c>
      <c r="AH67" s="277">
        <v>464039</v>
      </c>
      <c r="AI67" s="277">
        <v>52610</v>
      </c>
      <c r="AJ67" s="277">
        <v>191427</v>
      </c>
      <c r="AK67" s="277">
        <v>912067</v>
      </c>
      <c r="AT67" s="252">
        <f t="shared" ref="AT67" si="347">AF67/SUM(AF66:AF77)*AM77</f>
        <v>15542.638660906645</v>
      </c>
      <c r="AU67" s="252">
        <f t="shared" ref="AU67" si="348">AG67/SUM(AG66:AG77)*AN77</f>
        <v>10393.662824101348</v>
      </c>
      <c r="AV67" s="252">
        <f t="shared" ref="AV67" si="349">AH67/SUM(AH66:AH77)*AO77</f>
        <v>5073.3923205289511</v>
      </c>
      <c r="AW67" s="252">
        <f t="shared" ref="AW67" si="350">AI67/SUM(AI66:AI77)*AP77</f>
        <v>795.43602188129807</v>
      </c>
      <c r="AX67" s="252">
        <f t="shared" ref="AX67" si="351">AJ67/SUM(AJ66:AJ77)*AQ77</f>
        <v>2512.758553841647</v>
      </c>
      <c r="AY67" s="252">
        <f t="shared" ref="AY67" si="352">AK67/SUM(AK66:AK77)*AR77</f>
        <v>12108.319271569124</v>
      </c>
    </row>
    <row r="68" spans="31:59">
      <c r="AE68" s="165">
        <v>30834</v>
      </c>
      <c r="AF68" s="277">
        <v>1338484</v>
      </c>
      <c r="AG68" s="277">
        <v>796876</v>
      </c>
      <c r="AH68" s="277">
        <v>440433</v>
      </c>
      <c r="AI68" s="277">
        <v>51141</v>
      </c>
      <c r="AJ68" s="277">
        <v>194939</v>
      </c>
      <c r="AK68" s="277">
        <v>1012519</v>
      </c>
      <c r="AT68" s="252">
        <f t="shared" ref="AT68" si="353">AF68/SUM(AF66:AF77)*AM77</f>
        <v>16204.620768266963</v>
      </c>
      <c r="AU68" s="252">
        <f t="shared" ref="AU68" si="354">AG68/SUM(AG66:AG77)*AN77</f>
        <v>10919.137297180701</v>
      </c>
      <c r="AV68" s="252">
        <f t="shared" ref="AV68" si="355">AH68/SUM(AH66:AH77)*AO77</f>
        <v>4815.3051788912735</v>
      </c>
      <c r="AW68" s="252">
        <f t="shared" ref="AW68" si="356">AI68/SUM(AI66:AI77)*AP77</f>
        <v>773.22550076090988</v>
      </c>
      <c r="AX68" s="252">
        <f t="shared" ref="AX68" si="357">AJ68/SUM(AJ66:AJ77)*AQ77</f>
        <v>2558.8586757737244</v>
      </c>
      <c r="AY68" s="252">
        <f t="shared" ref="AY68" si="358">AK68/SUM(AK66:AK77)*AR77</f>
        <v>13441.88894075753</v>
      </c>
    </row>
    <row r="69" spans="31:59">
      <c r="AE69" s="165">
        <v>30864</v>
      </c>
      <c r="AF69" s="277">
        <v>1392154</v>
      </c>
      <c r="AG69" s="277">
        <v>841884</v>
      </c>
      <c r="AH69" s="277">
        <v>448407</v>
      </c>
      <c r="AI69" s="277">
        <v>54024</v>
      </c>
      <c r="AJ69" s="277">
        <v>217935</v>
      </c>
      <c r="AK69" s="277">
        <v>1163595</v>
      </c>
      <c r="AT69" s="252">
        <f t="shared" ref="AT69" si="359">AF69/SUM(AF66:AF77)*AM77</f>
        <v>16854.387217946514</v>
      </c>
      <c r="AU69" s="252">
        <f t="shared" ref="AU69" si="360">AG69/SUM(AG66:AG77)*AN77</f>
        <v>11535.856249027047</v>
      </c>
      <c r="AV69" s="252">
        <f t="shared" ref="AV69" si="361">AH69/SUM(AH66:AH77)*AO77</f>
        <v>4902.485847679668</v>
      </c>
      <c r="AW69" s="252">
        <f t="shared" ref="AW69" si="362">AI69/SUM(AI66:AI77)*AP77</f>
        <v>816.8149714144696</v>
      </c>
      <c r="AX69" s="252">
        <f t="shared" ref="AX69" si="363">AJ69/SUM(AJ66:AJ77)*AQ77</f>
        <v>2860.7147133449271</v>
      </c>
      <c r="AY69" s="252">
        <f t="shared" ref="AY69" si="364">AK69/SUM(AK66:AK77)*AR77</f>
        <v>15447.527169387198</v>
      </c>
    </row>
    <row r="70" spans="31:59">
      <c r="AE70" s="165">
        <v>30895</v>
      </c>
      <c r="AF70" s="277">
        <v>1397281</v>
      </c>
      <c r="AG70" s="277">
        <v>873126</v>
      </c>
      <c r="AH70" s="277">
        <v>451840</v>
      </c>
      <c r="AI70" s="277">
        <v>60786</v>
      </c>
      <c r="AJ70" s="277">
        <v>248983</v>
      </c>
      <c r="AK70" s="277">
        <v>1287935</v>
      </c>
      <c r="AT70" s="252">
        <f t="shared" ref="AT70" si="365">AF70/SUM(AF66:AF77)*AM77</f>
        <v>16916.45825553748</v>
      </c>
      <c r="AU70" s="252">
        <f t="shared" ref="AU70" si="366">AG70/SUM(AG66:AG77)*AN77</f>
        <v>11963.947554874532</v>
      </c>
      <c r="AV70" s="252">
        <f t="shared" ref="AV70" si="367">AH70/SUM(AH66:AH77)*AO77</f>
        <v>4940.0192356845037</v>
      </c>
      <c r="AW70" s="252">
        <f t="shared" ref="AW70" si="368">AI70/SUM(AI66:AI77)*AP77</f>
        <v>919.0529181919137</v>
      </c>
      <c r="AX70" s="252">
        <f t="shared" ref="AX70" si="369">AJ70/SUM(AJ66:AJ77)*AQ77</f>
        <v>3268.2649940246397</v>
      </c>
      <c r="AY70" s="252">
        <f t="shared" ref="AY70" si="370">AK70/SUM(AK66:AK77)*AR77</f>
        <v>17098.226534923837</v>
      </c>
    </row>
    <row r="71" spans="31:59">
      <c r="AE71" s="165">
        <v>30926</v>
      </c>
      <c r="AF71" s="277">
        <v>1369710</v>
      </c>
      <c r="AG71" s="277">
        <v>900118</v>
      </c>
      <c r="AH71" s="277">
        <v>460078</v>
      </c>
      <c r="AI71" s="277">
        <v>65726</v>
      </c>
      <c r="AJ71" s="277">
        <v>280704</v>
      </c>
      <c r="AK71" s="277">
        <v>1426832</v>
      </c>
      <c r="AT71" s="252">
        <f t="shared" ref="AT71" si="371">AF71/SUM(AF66:AF77)*AM77</f>
        <v>16582.664501408268</v>
      </c>
      <c r="AU71" s="252">
        <f t="shared" ref="AU71" si="372">AG71/SUM(AG66:AG77)*AN77</f>
        <v>12333.803534883342</v>
      </c>
      <c r="AV71" s="252">
        <f t="shared" ref="AV71" si="373">AH71/SUM(AH66:AH77)*AO77</f>
        <v>5030.0862471566379</v>
      </c>
      <c r="AW71" s="252">
        <f t="shared" ref="AW71" si="374">AI71/SUM(AI66:AI77)*AP77</f>
        <v>993.74316620737875</v>
      </c>
      <c r="AX71" s="252">
        <f t="shared" ref="AX71" si="375">AJ71/SUM(AJ66:AJ77)*AQ77</f>
        <v>3684.6493812135468</v>
      </c>
      <c r="AY71" s="252">
        <f t="shared" ref="AY71" si="376">AK71/SUM(AK66:AK77)*AR77</f>
        <v>18942.180128095322</v>
      </c>
    </row>
    <row r="72" spans="31:59">
      <c r="AE72" s="165">
        <v>30956</v>
      </c>
      <c r="AF72" s="277">
        <v>1370981</v>
      </c>
      <c r="AG72" s="277">
        <v>918583</v>
      </c>
      <c r="AH72" s="277">
        <v>441126</v>
      </c>
      <c r="AI72" s="277">
        <v>70103</v>
      </c>
      <c r="AJ72" s="277">
        <v>313106</v>
      </c>
      <c r="AK72" s="277">
        <v>1588907</v>
      </c>
      <c r="AT72" s="252">
        <f t="shared" ref="AT72" si="377">AF72/SUM(AF66:AF77)*AM77</f>
        <v>16598.052113808913</v>
      </c>
      <c r="AU72" s="252">
        <f t="shared" ref="AU72" si="378">AG72/SUM(AG66:AG77)*AN77</f>
        <v>12586.818897615361</v>
      </c>
      <c r="AV72" s="252">
        <f t="shared" ref="AV72" si="379">AH72/SUM(AH66:AH77)*AO77</f>
        <v>4822.8818284360896</v>
      </c>
      <c r="AW72" s="252">
        <f t="shared" ref="AW72" si="380">AI72/SUM(AI66:AI77)*AP77</f>
        <v>1059.9211450664254</v>
      </c>
      <c r="AX72" s="252">
        <f t="shared" ref="AX72" si="381">AJ72/SUM(AJ66:AJ77)*AQ77</f>
        <v>4109.9728865789184</v>
      </c>
      <c r="AY72" s="252">
        <f t="shared" ref="AY72" si="382">AK72/SUM(AK66:AK77)*AR77</f>
        <v>21093.837677309977</v>
      </c>
    </row>
    <row r="73" spans="31:59">
      <c r="AE73" s="165">
        <v>30987</v>
      </c>
      <c r="AF73" s="277">
        <v>1305033</v>
      </c>
      <c r="AG73" s="277">
        <v>899054</v>
      </c>
      <c r="AH73" s="277">
        <v>436237</v>
      </c>
      <c r="AI73" s="277">
        <v>70177</v>
      </c>
      <c r="AJ73" s="277">
        <v>320381</v>
      </c>
      <c r="AK73" s="277">
        <v>1612003</v>
      </c>
      <c r="AT73" s="252">
        <f t="shared" ref="AT73" si="383">AF73/SUM(AF66:AF77)*AM77</f>
        <v>15799.639633401475</v>
      </c>
      <c r="AU73" s="252">
        <f t="shared" ref="AU73" si="384">AG73/SUM(AG66:AG77)*AN77</f>
        <v>12319.22414977926</v>
      </c>
      <c r="AV73" s="252">
        <f t="shared" ref="AV73" si="385">AH73/SUM(AH66:AH77)*AO77</f>
        <v>4769.4298232057827</v>
      </c>
      <c r="AW73" s="252">
        <f t="shared" ref="AW73" si="386">AI73/SUM(AI66:AI77)*AP77</f>
        <v>1061.039986838317</v>
      </c>
      <c r="AX73" s="252">
        <f t="shared" ref="AX73" si="387">AJ73/SUM(AJ66:AJ77)*AQ77</f>
        <v>4205.4678715037098</v>
      </c>
      <c r="AY73" s="252">
        <f t="shared" ref="AY73" si="388">AK73/SUM(AK66:AK77)*AR77</f>
        <v>21400.453026726373</v>
      </c>
    </row>
    <row r="74" spans="31:59">
      <c r="AE74" s="165">
        <v>31017</v>
      </c>
      <c r="AF74" s="277">
        <v>1282039</v>
      </c>
      <c r="AG74" s="277">
        <v>884962</v>
      </c>
      <c r="AH74" s="277">
        <v>422368</v>
      </c>
      <c r="AI74" s="277">
        <v>71416</v>
      </c>
      <c r="AJ74" s="277">
        <v>327099</v>
      </c>
      <c r="AK74" s="277">
        <v>1660130</v>
      </c>
      <c r="AT74" s="252">
        <f t="shared" ref="AT74" si="389">AF74/SUM(AF66:AF77)*AM77</f>
        <v>15521.258233290953</v>
      </c>
      <c r="AU74" s="252">
        <f t="shared" ref="AU74" si="390">AG74/SUM(AG66:AG77)*AN77</f>
        <v>12126.129511727831</v>
      </c>
      <c r="AV74" s="252">
        <f t="shared" ref="AV74" si="391">AH74/SUM(AH66:AH77)*AO77</f>
        <v>4617.798434263439</v>
      </c>
      <c r="AW74" s="252">
        <f t="shared" ref="AW74" si="392">AI74/SUM(AI66:AI77)*AP77</f>
        <v>1079.7730267757991</v>
      </c>
      <c r="AX74" s="252">
        <f t="shared" ref="AX74" si="393">AJ74/SUM(AJ66:AJ77)*AQ77</f>
        <v>4293.65141909474</v>
      </c>
      <c r="AY74" s="252">
        <f t="shared" ref="AY74" si="394">AK74/SUM(AK66:AK77)*AR77</f>
        <v>22039.372186813085</v>
      </c>
      <c r="BA74" s="252">
        <f t="shared" ref="BA74" si="395">SUM(AT63:AT74)</f>
        <v>183316.46164974963</v>
      </c>
      <c r="BB74" s="252">
        <f t="shared" ref="BB74" si="396">SUM(AU63:AU74)</f>
        <v>132872.6220074202</v>
      </c>
      <c r="BC74" s="252">
        <f t="shared" ref="BC74" si="397">SUM(AV63:AV74)</f>
        <v>56797.668049522254</v>
      </c>
      <c r="BD74" s="252">
        <f t="shared" ref="BD74" si="398">SUM(AW63:AW74)</f>
        <v>10878.346928778528</v>
      </c>
      <c r="BE74" s="252">
        <f t="shared" ref="BE74" si="399">SUM(AX63:AX74)</f>
        <v>41202.14601206415</v>
      </c>
      <c r="BF74" s="252">
        <f t="shared" ref="BF74" si="400">SUM(AY63:AY74)</f>
        <v>205529.40862902641</v>
      </c>
      <c r="BG74" s="252">
        <f t="shared" ref="BG74" si="401">SUM(BA74:BF74)</f>
        <v>630596.65327656118</v>
      </c>
    </row>
    <row r="75" spans="31:59">
      <c r="AE75" s="165">
        <v>31048</v>
      </c>
      <c r="AF75" s="277">
        <v>906050</v>
      </c>
      <c r="AG75" s="277">
        <v>625140</v>
      </c>
      <c r="AH75" s="277">
        <v>290249</v>
      </c>
      <c r="AI75" s="277">
        <v>51197</v>
      </c>
      <c r="AJ75" s="277">
        <v>227959</v>
      </c>
      <c r="AK75" s="277">
        <v>1140305</v>
      </c>
      <c r="AT75" s="252">
        <f t="shared" ref="AT75" si="402">AF75/SUM(AF66:AF77)*AM77</f>
        <v>10969.273183010244</v>
      </c>
      <c r="AU75" s="252">
        <f t="shared" ref="AU75" si="403">AG75/SUM(AG66:AG77)*AN77</f>
        <v>8565.9368458324043</v>
      </c>
      <c r="AV75" s="252">
        <f t="shared" ref="AV75" si="404">AH75/SUM(AH66:AH77)*AO77</f>
        <v>3173.326051562924</v>
      </c>
      <c r="AW75" s="252">
        <f t="shared" ref="AW75" si="405">AI75/SUM(AI66:AI77)*AP77</f>
        <v>774.0721918315304</v>
      </c>
      <c r="AX75" s="252">
        <f t="shared" ref="AX75" si="406">AJ75/SUM(AJ66:AJ77)*AQ77</f>
        <v>2992.2943324358007</v>
      </c>
      <c r="AY75" s="252">
        <f t="shared" ref="AY75" si="407">AK75/SUM(AK66:AK77)*AR77</f>
        <v>15138.336336000129</v>
      </c>
    </row>
    <row r="76" spans="31:59">
      <c r="AE76" s="165">
        <v>31079</v>
      </c>
      <c r="AF76" s="277">
        <v>1059290</v>
      </c>
      <c r="AG76" s="277">
        <v>739452</v>
      </c>
      <c r="AH76" s="277">
        <v>357237</v>
      </c>
      <c r="AI76" s="277">
        <v>60358</v>
      </c>
      <c r="AJ76" s="277">
        <v>252213</v>
      </c>
      <c r="AK76" s="277">
        <v>1275492</v>
      </c>
      <c r="AT76" s="252">
        <f t="shared" ref="AT76" si="408">AF76/SUM(AF66:AF77)*AM77</f>
        <v>12824.503493218828</v>
      </c>
      <c r="AU76" s="252">
        <f t="shared" ref="AU76" si="409">AG76/SUM(AG66:AG77)*AN77</f>
        <v>10132.288979307776</v>
      </c>
      <c r="AV76" s="252">
        <f t="shared" ref="AV76" si="410">AH76/SUM(AH66:AH77)*AO77</f>
        <v>3905.7136413292874</v>
      </c>
      <c r="AW76" s="252">
        <f t="shared" ref="AW76" si="411">AI76/SUM(AI66:AI77)*AP77</f>
        <v>912.58177929502745</v>
      </c>
      <c r="AX76" s="252">
        <f t="shared" ref="AX76" si="412">AJ76/SUM(AJ66:AJ77)*AQ77</f>
        <v>3310.6634546854061</v>
      </c>
      <c r="AY76" s="252">
        <f t="shared" ref="AY76" si="413">AK76/SUM(AK66:AK77)*AR77</f>
        <v>16933.03711715504</v>
      </c>
    </row>
    <row r="77" spans="31:59">
      <c r="AE77" s="165">
        <v>31107</v>
      </c>
      <c r="AF77" s="277">
        <v>1227037</v>
      </c>
      <c r="AG77" s="277">
        <v>838174</v>
      </c>
      <c r="AH77" s="277">
        <v>410719</v>
      </c>
      <c r="AI77" s="277">
        <v>67001</v>
      </c>
      <c r="AJ77" s="277">
        <v>250305</v>
      </c>
      <c r="AK77" s="277">
        <v>1185332</v>
      </c>
      <c r="AM77" s="277">
        <v>183724</v>
      </c>
      <c r="AN77" s="277">
        <v>134672</v>
      </c>
      <c r="AO77" s="277">
        <v>55394</v>
      </c>
      <c r="AP77" s="277">
        <v>11028</v>
      </c>
      <c r="AQ77" s="277">
        <v>40058</v>
      </c>
      <c r="AR77" s="277">
        <v>201346</v>
      </c>
      <c r="AT77" s="252">
        <f t="shared" ref="AT77" si="414">AF77/SUM(AF66:AF77)*AM77</f>
        <v>14855.365662669101</v>
      </c>
      <c r="AU77" s="252">
        <f t="shared" ref="AU77" si="415">AG77/SUM(AG66:AG77)*AN77</f>
        <v>11485.02023517729</v>
      </c>
      <c r="AV77" s="252">
        <f t="shared" ref="AV77" si="416">AH77/SUM(AH66:AH77)*AO77</f>
        <v>4490.4385633434485</v>
      </c>
      <c r="AW77" s="252">
        <f t="shared" ref="AW77" si="417">AI77/SUM(AI66:AI77)*AP77</f>
        <v>1013.0205075474026</v>
      </c>
      <c r="AX77" s="252">
        <f t="shared" ref="AX77" si="418">AJ77/SUM(AJ66:AJ77)*AQ77</f>
        <v>3285.6181720412137</v>
      </c>
      <c r="AY77" s="252">
        <f t="shared" ref="AY77" si="419">AK77/SUM(AK66:AK77)*AR77</f>
        <v>15736.100855318273</v>
      </c>
      <c r="AZ77" s="25">
        <f t="shared" ref="AZ77" si="420">SUM(AT66:AY77)-SUM(AM77:AR77)</f>
        <v>0</v>
      </c>
    </row>
    <row r="78" spans="31:59">
      <c r="AE78" s="165">
        <v>31138</v>
      </c>
      <c r="AF78" s="277">
        <v>1295443</v>
      </c>
      <c r="AG78" s="277">
        <v>820399</v>
      </c>
      <c r="AH78" s="277">
        <v>413933</v>
      </c>
      <c r="AI78" s="277">
        <v>64002</v>
      </c>
      <c r="AJ78" s="277">
        <v>205403</v>
      </c>
      <c r="AK78" s="277">
        <v>743973</v>
      </c>
      <c r="AT78" s="252">
        <f t="shared" ref="AT78" si="421">AF78/SUM(AF78:AF89)*AM89</f>
        <v>15759.542378034683</v>
      </c>
      <c r="AU78" s="252">
        <f t="shared" ref="AU78" si="422">AG78/SUM(AG78:AG89)*AN89</f>
        <v>11455.425252065514</v>
      </c>
      <c r="AV78" s="252">
        <f t="shared" ref="AV78" si="423">AH78/SUM(AH78:AH89)*AO89</f>
        <v>4645.7096725428837</v>
      </c>
      <c r="AW78" s="252">
        <f t="shared" ref="AW78" si="424">AI78/SUM(AI78:AI89)*AP89</f>
        <v>891.82993009589575</v>
      </c>
      <c r="AX78" s="252">
        <f t="shared" ref="AX78" si="425">AJ78/SUM(AJ78:AJ89)*AQ89</f>
        <v>2595.7222089937504</v>
      </c>
      <c r="AY78" s="252">
        <f t="shared" ref="AY78" si="426">AK78/SUM(AK78:AK89)*AR89</f>
        <v>10306.921860961598</v>
      </c>
    </row>
    <row r="79" spans="31:59">
      <c r="AE79" s="165">
        <v>31168</v>
      </c>
      <c r="AF79" s="277">
        <v>1334904</v>
      </c>
      <c r="AG79" s="277">
        <v>816327</v>
      </c>
      <c r="AH79" s="277">
        <v>458348</v>
      </c>
      <c r="AI79" s="277">
        <v>59126</v>
      </c>
      <c r="AJ79" s="277">
        <v>176179</v>
      </c>
      <c r="AK79" s="277">
        <v>737005</v>
      </c>
      <c r="AT79" s="252">
        <f t="shared" ref="AT79" si="427">AF79/SUM(AF78:AF89)*AM89</f>
        <v>16239.600012202784</v>
      </c>
      <c r="AU79" s="252">
        <f t="shared" ref="AU79" si="428">AG79/SUM(AG78:AG89)*AN89</f>
        <v>11398.566953083664</v>
      </c>
      <c r="AV79" s="252">
        <f t="shared" ref="AV79" si="429">AH79/SUM(AH78:AH89)*AO89</f>
        <v>5144.1941980723586</v>
      </c>
      <c r="AW79" s="252">
        <f t="shared" ref="AW79" si="430">AI79/SUM(AI78:AI89)*AP89</f>
        <v>823.88576055201293</v>
      </c>
      <c r="AX79" s="252">
        <f t="shared" ref="AX79" si="431">AJ79/SUM(AJ78:AJ89)*AQ89</f>
        <v>2226.4121899792599</v>
      </c>
      <c r="AY79" s="252">
        <f t="shared" ref="AY79" si="432">AK79/SUM(AK78:AK89)*AR89</f>
        <v>10210.387938995102</v>
      </c>
    </row>
    <row r="80" spans="31:59">
      <c r="AE80" s="165">
        <v>31199</v>
      </c>
      <c r="AF80" s="277">
        <v>1384367</v>
      </c>
      <c r="AG80" s="277">
        <v>842779</v>
      </c>
      <c r="AH80" s="277">
        <v>444168</v>
      </c>
      <c r="AI80" s="277">
        <v>56627</v>
      </c>
      <c r="AJ80" s="277">
        <v>181825</v>
      </c>
      <c r="AK80" s="277">
        <v>907266</v>
      </c>
      <c r="AT80" s="252">
        <f t="shared" ref="AT80" si="433">AF80/SUM(AF78:AF89)*AM89</f>
        <v>16841.335669151587</v>
      </c>
      <c r="AU80" s="252">
        <f t="shared" ref="AU80" si="434">AG80/SUM(AG78:AG89)*AN89</f>
        <v>11767.922484681871</v>
      </c>
      <c r="AV80" s="252">
        <f t="shared" ref="AV80" si="435">AH80/SUM(AH78:AH89)*AO89</f>
        <v>4985.0472753658869</v>
      </c>
      <c r="AW80" s="252">
        <f t="shared" ref="AW80" si="436">AI80/SUM(AI78:AI89)*AP89</f>
        <v>789.06367694041262</v>
      </c>
      <c r="AX80" s="252">
        <f t="shared" ref="AX80" si="437">AJ80/SUM(AJ78:AJ89)*AQ89</f>
        <v>2297.7619151146218</v>
      </c>
      <c r="AY80" s="252">
        <f t="shared" ref="AY80" si="438">AK80/SUM(AK78:AK89)*AR89</f>
        <v>12569.165506150337</v>
      </c>
    </row>
    <row r="81" spans="31:59">
      <c r="AE81" s="165">
        <v>31229</v>
      </c>
      <c r="AF81" s="277">
        <v>1429188</v>
      </c>
      <c r="AG81" s="277">
        <v>880910</v>
      </c>
      <c r="AH81" s="277">
        <v>477515</v>
      </c>
      <c r="AI81" s="277">
        <v>57118</v>
      </c>
      <c r="AJ81" s="277">
        <v>204762</v>
      </c>
      <c r="AK81" s="277">
        <v>1055826</v>
      </c>
      <c r="AT81" s="252">
        <f t="shared" ref="AT81" si="439">AF81/SUM(AF78:AF89)*AM89</f>
        <v>17386.59968225436</v>
      </c>
      <c r="AU81" s="252">
        <f t="shared" ref="AU81" si="440">AG81/SUM(AG78:AG89)*AN89</f>
        <v>12300.354655231215</v>
      </c>
      <c r="AV81" s="252">
        <f t="shared" ref="AV81" si="441">AH81/SUM(AH78:AH89)*AO89</f>
        <v>5359.3119038209443</v>
      </c>
      <c r="AW81" s="252">
        <f t="shared" ref="AW81" si="442">AI81/SUM(AI78:AI89)*AP89</f>
        <v>795.90547087930645</v>
      </c>
      <c r="AX81" s="252">
        <f t="shared" ref="AX81" si="443">AJ81/SUM(AJ78:AJ89)*AQ89</f>
        <v>2587.6217531291086</v>
      </c>
      <c r="AY81" s="252">
        <f t="shared" ref="AY81" si="444">AK81/SUM(AK78:AK89)*AR89</f>
        <v>14627.299755194932</v>
      </c>
    </row>
    <row r="82" spans="31:59">
      <c r="AE82" s="165">
        <v>31260</v>
      </c>
      <c r="AF82" s="277">
        <v>1414254</v>
      </c>
      <c r="AG82" s="277">
        <v>905537</v>
      </c>
      <c r="AH82" s="277">
        <v>486529</v>
      </c>
      <c r="AI82" s="277">
        <v>58563</v>
      </c>
      <c r="AJ82" s="277">
        <v>240648</v>
      </c>
      <c r="AK82" s="277">
        <v>1256612</v>
      </c>
      <c r="AT82" s="252">
        <f t="shared" ref="AT82" si="445">AF82/SUM(AF78:AF89)*AM89</f>
        <v>17204.922058558397</v>
      </c>
      <c r="AU82" s="252">
        <f t="shared" ref="AU82" si="446">AG82/SUM(AG78:AG89)*AN89</f>
        <v>12644.227280237605</v>
      </c>
      <c r="AV82" s="252">
        <f t="shared" ref="AV82" si="447">AH82/SUM(AH78:AH89)*AO89</f>
        <v>5460.479066111222</v>
      </c>
      <c r="AW82" s="252">
        <f t="shared" ref="AW82" si="448">AI82/SUM(AI78:AI89)*AP89</f>
        <v>816.04068929417735</v>
      </c>
      <c r="AX82" s="252">
        <f t="shared" ref="AX82" si="449">AJ82/SUM(AJ78:AJ89)*AQ89</f>
        <v>3041.1209093826674</v>
      </c>
      <c r="AY82" s="252">
        <f t="shared" ref="AY82" si="450">AK82/SUM(AK78:AK89)*AR89</f>
        <v>17408.967386648004</v>
      </c>
    </row>
    <row r="83" spans="31:59">
      <c r="AE83" s="165">
        <v>31291</v>
      </c>
      <c r="AF83" s="277">
        <v>1370137</v>
      </c>
      <c r="AG83" s="277">
        <v>912854</v>
      </c>
      <c r="AH83" s="277">
        <v>504034</v>
      </c>
      <c r="AI83" s="277">
        <v>62344</v>
      </c>
      <c r="AJ83" s="277">
        <v>273177</v>
      </c>
      <c r="AK83" s="277">
        <v>1418202</v>
      </c>
      <c r="AT83" s="252">
        <f t="shared" ref="AT83" si="451">AF83/SUM(AF78:AF89)*AM89</f>
        <v>16668.222465375402</v>
      </c>
      <c r="AU83" s="252">
        <f t="shared" ref="AU83" si="452">AG83/SUM(AG78:AG89)*AN89</f>
        <v>12746.396281625177</v>
      </c>
      <c r="AV83" s="252">
        <f t="shared" ref="AV83" si="453">AH83/SUM(AH78:AH89)*AO89</f>
        <v>5656.9435852915321</v>
      </c>
      <c r="AW83" s="252">
        <f t="shared" ref="AW83" si="454">AI83/SUM(AI78:AI89)*AP89</f>
        <v>868.7266829458224</v>
      </c>
      <c r="AX83" s="252">
        <f t="shared" ref="AX83" si="455">AJ83/SUM(AJ78:AJ89)*AQ89</f>
        <v>3452.1969293841171</v>
      </c>
      <c r="AY83" s="252">
        <f t="shared" ref="AY83" si="456">AK83/SUM(AK78:AK89)*AR89</f>
        <v>19647.617853147171</v>
      </c>
    </row>
    <row r="84" spans="31:59">
      <c r="AE84" s="165">
        <v>31321</v>
      </c>
      <c r="AF84" s="277">
        <v>1379044</v>
      </c>
      <c r="AG84" s="277">
        <v>929165</v>
      </c>
      <c r="AH84" s="277">
        <v>498874</v>
      </c>
      <c r="AI84" s="277">
        <v>68732</v>
      </c>
      <c r="AJ84" s="277">
        <v>307388</v>
      </c>
      <c r="AK84" s="277">
        <v>1607194</v>
      </c>
      <c r="AT84" s="252">
        <f t="shared" ref="AT84" si="457">AF84/SUM(AF78:AF89)*AM89</f>
        <v>16776.579408877475</v>
      </c>
      <c r="AU84" s="252">
        <f t="shared" ref="AU84" si="458">AG84/SUM(AG78:AG89)*AN89</f>
        <v>12974.150631991815</v>
      </c>
      <c r="AV84" s="252">
        <f t="shared" ref="AV84" si="459">AH84/SUM(AH78:AH89)*AO89</f>
        <v>5599.0311648990501</v>
      </c>
      <c r="AW84" s="252">
        <f t="shared" ref="AW84" si="460">AI84/SUM(AI78:AI89)*AP89</f>
        <v>957.73967618748009</v>
      </c>
      <c r="AX84" s="252">
        <f t="shared" ref="AX84" si="461">AJ84/SUM(AJ78:AJ89)*AQ89</f>
        <v>3884.5287477698521</v>
      </c>
      <c r="AY84" s="252">
        <f t="shared" ref="AY84" si="462">AK84/SUM(AK78:AK89)*AR89</f>
        <v>22265.892678102988</v>
      </c>
    </row>
    <row r="85" spans="31:59">
      <c r="AE85" s="165">
        <v>31352</v>
      </c>
      <c r="AF85" s="277">
        <v>1338210</v>
      </c>
      <c r="AG85" s="277">
        <v>904950</v>
      </c>
      <c r="AH85" s="277">
        <v>499753</v>
      </c>
      <c r="AI85" s="277">
        <v>70701</v>
      </c>
      <c r="AJ85" s="277">
        <v>314238</v>
      </c>
      <c r="AK85" s="277">
        <v>1603976</v>
      </c>
      <c r="AT85" s="252">
        <f t="shared" ref="AT85" si="463">AF85/SUM(AF78:AF89)*AM89</f>
        <v>16279.818722791966</v>
      </c>
      <c r="AU85" s="252">
        <f t="shared" ref="AU85" si="464">AG85/SUM(AG78:AG89)*AN89</f>
        <v>12636.030860418756</v>
      </c>
      <c r="AV85" s="252">
        <f t="shared" ref="AV85" si="465">AH85/SUM(AH78:AH89)*AO89</f>
        <v>5608.8964783728861</v>
      </c>
      <c r="AW85" s="252">
        <f t="shared" ref="AW85" si="466">AI85/SUM(AI78:AI89)*AP89</f>
        <v>985.17652397909319</v>
      </c>
      <c r="AX85" s="252">
        <f t="shared" ref="AX85" si="467">AJ85/SUM(AJ78:AJ89)*AQ89</f>
        <v>3971.0936817367719</v>
      </c>
      <c r="AY85" s="252">
        <f t="shared" ref="AY85" si="468">AK85/SUM(AK78:AK89)*AR89</f>
        <v>22221.310852487575</v>
      </c>
    </row>
    <row r="86" spans="31:59">
      <c r="AE86" s="165">
        <v>31382</v>
      </c>
      <c r="AF86" s="277">
        <v>1331899</v>
      </c>
      <c r="AG86" s="277">
        <v>885382</v>
      </c>
      <c r="AH86" s="277">
        <v>497814</v>
      </c>
      <c r="AI86" s="277">
        <v>76154</v>
      </c>
      <c r="AJ86" s="277">
        <v>314491</v>
      </c>
      <c r="AK86" s="277">
        <v>1687019</v>
      </c>
      <c r="AT86" s="252">
        <f t="shared" ref="AT86" si="469">AF86/SUM(AF78:AF89)*AM89</f>
        <v>16203.043077744072</v>
      </c>
      <c r="AU86" s="252">
        <f t="shared" ref="AU86" si="470">AG86/SUM(AG78:AG89)*AN89</f>
        <v>12362.798248808529</v>
      </c>
      <c r="AV86" s="252">
        <f t="shared" ref="AV86" si="471">AH86/SUM(AH78:AH89)*AO89</f>
        <v>5587.1344273765635</v>
      </c>
      <c r="AW86" s="252">
        <f t="shared" ref="AW86" si="472">AI86/SUM(AI78:AI89)*AP89</f>
        <v>1061.1608464817168</v>
      </c>
      <c r="AX86" s="252">
        <f t="shared" ref="AX86" si="473">AJ86/SUM(AJ78:AJ89)*AQ89</f>
        <v>3974.2908975460609</v>
      </c>
      <c r="AY86" s="252">
        <f t="shared" ref="AY86" si="474">AK86/SUM(AK78:AK89)*AR89</f>
        <v>23371.77963576309</v>
      </c>
      <c r="BA86" s="252">
        <f t="shared" ref="BA86" si="475">SUM(AT75:AT86)</f>
        <v>188008.8058138889</v>
      </c>
      <c r="BB86" s="252">
        <f t="shared" ref="BB86" si="476">SUM(AU75:AU86)</f>
        <v>140469.11870846161</v>
      </c>
      <c r="BC86" s="252">
        <f t="shared" ref="BC86" si="477">SUM(AV75:AV86)</f>
        <v>59616.226028088997</v>
      </c>
      <c r="BD86" s="252">
        <f t="shared" ref="BD86" si="478">SUM(AW75:AW86)</f>
        <v>10689.203736029876</v>
      </c>
      <c r="BE86" s="252">
        <f t="shared" ref="BE86" si="479">SUM(AX75:AX86)</f>
        <v>37619.325192198623</v>
      </c>
      <c r="BF86" s="252">
        <f t="shared" ref="BF86" si="480">SUM(AY75:AY86)</f>
        <v>200436.81777592422</v>
      </c>
      <c r="BG86" s="252">
        <f t="shared" ref="BG86" si="481">SUM(BA86:BF86)</f>
        <v>636839.49725459225</v>
      </c>
    </row>
    <row r="87" spans="31:59">
      <c r="AE87" s="165">
        <v>31413</v>
      </c>
      <c r="AF87" s="277">
        <v>952325</v>
      </c>
      <c r="AG87" s="277">
        <v>625263</v>
      </c>
      <c r="AH87" s="277">
        <v>341802</v>
      </c>
      <c r="AI87" s="277">
        <v>56989</v>
      </c>
      <c r="AJ87" s="277">
        <v>217494</v>
      </c>
      <c r="AK87" s="277">
        <v>1182916</v>
      </c>
      <c r="AT87" s="252">
        <f t="shared" ref="AT87" si="482">AF87/SUM(AF78:AF89)*AM89</f>
        <v>11585.385227417863</v>
      </c>
      <c r="AU87" s="252">
        <f t="shared" ref="AU87" si="483">AG87/SUM(AG78:AG89)*AN89</f>
        <v>8730.695136613087</v>
      </c>
      <c r="AV87" s="252">
        <f t="shared" ref="AV87" si="484">AH87/SUM(AH78:AH89)*AO89</f>
        <v>3836.1591308122397</v>
      </c>
      <c r="AW87" s="252">
        <f t="shared" ref="AW87" si="485">AI87/SUM(AI78:AI89)*AP89</f>
        <v>794.10793234953599</v>
      </c>
      <c r="AX87" s="252">
        <f t="shared" ref="AX87" si="486">AJ87/SUM(AJ78:AJ89)*AQ89</f>
        <v>2748.5187953578416</v>
      </c>
      <c r="AY87" s="252">
        <f t="shared" ref="AY87" si="487">AK87/SUM(AK78:AK89)*AR89</f>
        <v>16387.990935264115</v>
      </c>
    </row>
    <row r="88" spans="31:59">
      <c r="AE88" s="165">
        <v>31444</v>
      </c>
      <c r="AF88" s="277">
        <v>1121012</v>
      </c>
      <c r="AG88" s="277">
        <v>748080</v>
      </c>
      <c r="AH88" s="277">
        <v>452562</v>
      </c>
      <c r="AI88" s="277">
        <v>68253</v>
      </c>
      <c r="AJ88" s="277">
        <v>234691</v>
      </c>
      <c r="AK88" s="277">
        <v>1386544</v>
      </c>
      <c r="AT88" s="252">
        <f t="shared" ref="AT88" si="488">AF88/SUM(AF78:AF89)*AM89</f>
        <v>13637.524862371725</v>
      </c>
      <c r="AU88" s="252">
        <f t="shared" ref="AU88" si="489">AG88/SUM(AG78:AG89)*AN89</f>
        <v>10445.617952441642</v>
      </c>
      <c r="AV88" s="252">
        <f t="shared" ref="AV88" si="490">AH88/SUM(AH78:AH89)*AO89</f>
        <v>5079.2559685392389</v>
      </c>
      <c r="AW88" s="252">
        <f t="shared" ref="AW88" si="491">AI88/SUM(AI78:AI89)*AP89</f>
        <v>951.0650951350766</v>
      </c>
      <c r="AX88" s="252">
        <f t="shared" ref="AX88" si="492">AJ88/SUM(AJ78:AJ89)*AQ89</f>
        <v>2965.8410098730415</v>
      </c>
      <c r="AY88" s="252">
        <f t="shared" ref="AY88" si="493">AK88/SUM(AK78:AK89)*AR89</f>
        <v>19209.031328805129</v>
      </c>
    </row>
    <row r="89" spans="31:59">
      <c r="AE89" s="165">
        <v>31472</v>
      </c>
      <c r="AF89" s="277">
        <v>1284994</v>
      </c>
      <c r="AG89" s="277">
        <v>841697</v>
      </c>
      <c r="AH89" s="277">
        <v>481304</v>
      </c>
      <c r="AI89" s="277">
        <v>77025</v>
      </c>
      <c r="AJ89" s="277">
        <v>227494</v>
      </c>
      <c r="AK89" s="277">
        <v>1308992</v>
      </c>
      <c r="AM89" s="277">
        <v>190215</v>
      </c>
      <c r="AN89" s="277">
        <v>141215</v>
      </c>
      <c r="AO89" s="277">
        <v>62364</v>
      </c>
      <c r="AP89" s="277">
        <v>10808</v>
      </c>
      <c r="AQ89" s="277">
        <v>36620</v>
      </c>
      <c r="AR89" s="277">
        <v>206361</v>
      </c>
      <c r="AT89" s="252">
        <f t="shared" ref="AT89" si="494">AF89/SUM(AF78:AF89)*AM89</f>
        <v>15632.426435219688</v>
      </c>
      <c r="AU89" s="252">
        <f t="shared" ref="AU89" si="495">AG89/SUM(AG78:AG89)*AN89</f>
        <v>11752.814262801132</v>
      </c>
      <c r="AV89" s="252">
        <f t="shared" ref="AV89" si="496">AH89/SUM(AH78:AH89)*AO89</f>
        <v>5401.8371287951923</v>
      </c>
      <c r="AW89" s="252">
        <f t="shared" ref="AW89" si="497">AI89/SUM(AI78:AI89)*AP89</f>
        <v>1073.2977151594696</v>
      </c>
      <c r="AX89" s="252">
        <f t="shared" ref="AX89" si="498">AJ89/SUM(AJ78:AJ89)*AQ89</f>
        <v>2874.8909617329068</v>
      </c>
      <c r="AY89" s="252">
        <f t="shared" ref="AY89" si="499">AK89/SUM(AK78:AK89)*AR89</f>
        <v>18134.634268479964</v>
      </c>
      <c r="AZ89" s="25">
        <f t="shared" ref="AZ89" si="500">SUM(AT78:AY89)-SUM(AM89:AR89)</f>
        <v>0</v>
      </c>
    </row>
    <row r="90" spans="31:59">
      <c r="AE90" s="165">
        <v>31503</v>
      </c>
      <c r="AF90" s="277">
        <v>1332053</v>
      </c>
      <c r="AG90" s="277">
        <v>823658</v>
      </c>
      <c r="AH90" s="277">
        <v>333491</v>
      </c>
      <c r="AI90" s="277">
        <v>76139</v>
      </c>
      <c r="AJ90" s="277">
        <v>187076</v>
      </c>
      <c r="AK90" s="277">
        <v>841457</v>
      </c>
      <c r="AT90" s="252">
        <f t="shared" ref="AT90" si="501">AF90/SUM(AF90:AF101)*AM101</f>
        <v>16227.935973435828</v>
      </c>
      <c r="AU90" s="252">
        <f t="shared" ref="AU90" si="502">AG90/SUM(AG90:AG101)*AN101</f>
        <v>11738.741255677027</v>
      </c>
      <c r="AV90" s="252">
        <f t="shared" ref="AV90" si="503">AH90/SUM(AH90:AH101)*AO101</f>
        <v>4518.1928191401685</v>
      </c>
      <c r="AW90" s="252">
        <f t="shared" ref="AW90" si="504">AI90/SUM(AI90:AI101)*AP101</f>
        <v>916.76955540589506</v>
      </c>
      <c r="AX90" s="252">
        <f t="shared" ref="AX90" si="505">AJ90/SUM(AJ90:AJ101)*AQ101</f>
        <v>2457.5044394454744</v>
      </c>
      <c r="AY90" s="252">
        <f t="shared" ref="AY90" si="506">AK90/SUM(AK90:AK101)*AR101</f>
        <v>11552.322267984917</v>
      </c>
    </row>
    <row r="91" spans="31:59">
      <c r="AE91" s="165">
        <v>31533</v>
      </c>
      <c r="AF91" s="277">
        <v>1366239</v>
      </c>
      <c r="AG91" s="277">
        <v>818974</v>
      </c>
      <c r="AH91" s="277">
        <v>363091</v>
      </c>
      <c r="AI91" s="277">
        <v>70718</v>
      </c>
      <c r="AJ91" s="277">
        <v>164649</v>
      </c>
      <c r="AK91" s="277">
        <v>818915</v>
      </c>
      <c r="AT91" s="252">
        <f t="shared" ref="AT91" si="507">AF91/SUM(AF90:AF101)*AM101</f>
        <v>16644.412058987888</v>
      </c>
      <c r="AU91" s="252">
        <f t="shared" ref="AU91" si="508">AG91/SUM(AG90:AG101)*AN101</f>
        <v>11671.985072841928</v>
      </c>
      <c r="AV91" s="252">
        <f t="shared" ref="AV91" si="509">AH91/SUM(AH90:AH101)*AO101</f>
        <v>4919.2186562588586</v>
      </c>
      <c r="AW91" s="252">
        <f t="shared" ref="AW91" si="510">AI91/SUM(AI90:AI101)*AP101</f>
        <v>851.49672860418559</v>
      </c>
      <c r="AX91" s="252">
        <f t="shared" ref="AX91" si="511">AJ91/SUM(AJ90:AJ101)*AQ101</f>
        <v>2162.8944837940617</v>
      </c>
      <c r="AY91" s="252">
        <f t="shared" ref="AY91" si="512">AK91/SUM(AK90:AK101)*AR101</f>
        <v>11242.844245263714</v>
      </c>
    </row>
    <row r="92" spans="31:59">
      <c r="AE92" s="165">
        <v>31564</v>
      </c>
      <c r="AF92" s="277">
        <v>1427966</v>
      </c>
      <c r="AG92" s="277">
        <v>866076</v>
      </c>
      <c r="AH92" s="277">
        <v>362004</v>
      </c>
      <c r="AI92" s="277">
        <v>66266</v>
      </c>
      <c r="AJ92" s="277">
        <v>172991</v>
      </c>
      <c r="AK92" s="277">
        <v>942895</v>
      </c>
      <c r="AT92" s="252">
        <f t="shared" ref="AT92" si="513">AF92/SUM(AF90:AF101)*AM101</f>
        <v>17396.410518382727</v>
      </c>
      <c r="AU92" s="252">
        <f t="shared" ref="AU92" si="514">AG92/SUM(AG90:AG101)*AN101</f>
        <v>12343.280914835692</v>
      </c>
      <c r="AV92" s="252">
        <f t="shared" ref="AV92" si="515">AH92/SUM(AH90:AH101)*AO101</f>
        <v>4904.4917952808855</v>
      </c>
      <c r="AW92" s="252">
        <f t="shared" ref="AW92" si="516">AI92/SUM(AI90:AI101)*AP101</f>
        <v>797.8913744405238</v>
      </c>
      <c r="AX92" s="252">
        <f t="shared" ref="AX92" si="517">AJ92/SUM(AJ90:AJ101)*AQ101</f>
        <v>2272.478300178067</v>
      </c>
      <c r="AY92" s="252">
        <f t="shared" ref="AY92" si="518">AK92/SUM(AK90:AK101)*AR101</f>
        <v>12944.959641278923</v>
      </c>
    </row>
    <row r="93" spans="31:59">
      <c r="AE93" s="165">
        <v>31594</v>
      </c>
      <c r="AF93" s="277">
        <v>1505201</v>
      </c>
      <c r="AG93" s="277">
        <v>913469</v>
      </c>
      <c r="AH93" s="277">
        <v>358618</v>
      </c>
      <c r="AI93" s="277">
        <v>65670</v>
      </c>
      <c r="AJ93" s="277">
        <v>201974</v>
      </c>
      <c r="AK93" s="277">
        <v>1152550</v>
      </c>
      <c r="AT93" s="252">
        <f t="shared" ref="AT93" si="519">AF93/SUM(AF90:AF101)*AM101</f>
        <v>18337.337519716995</v>
      </c>
      <c r="AU93" s="252">
        <f t="shared" ref="AU93" si="520">AG93/SUM(AG90:AG101)*AN101</f>
        <v>13018.724077325829</v>
      </c>
      <c r="AV93" s="252">
        <f t="shared" ref="AV93" si="521">AH93/SUM(AH90:AH101)*AO101</f>
        <v>4858.6176910753493</v>
      </c>
      <c r="AW93" s="252">
        <f t="shared" ref="AW93" si="522">AI93/SUM(AI90:AI101)*AP101</f>
        <v>790.71509612032105</v>
      </c>
      <c r="AX93" s="252">
        <f t="shared" ref="AX93" si="523">AJ93/SUM(AJ90:AJ101)*AQ101</f>
        <v>2653.210468753663</v>
      </c>
      <c r="AY93" s="252">
        <f t="shared" ref="AY93" si="524">AK93/SUM(AK90:AK101)*AR101</f>
        <v>15823.302949486448</v>
      </c>
    </row>
    <row r="94" spans="31:59">
      <c r="AE94" s="165">
        <v>31625</v>
      </c>
      <c r="AF94" s="277">
        <v>1538780</v>
      </c>
      <c r="AG94" s="277">
        <v>947823</v>
      </c>
      <c r="AH94" s="277">
        <v>381096</v>
      </c>
      <c r="AI94" s="277">
        <v>68074</v>
      </c>
      <c r="AJ94" s="277">
        <v>238630</v>
      </c>
      <c r="AK94" s="277">
        <v>1348845</v>
      </c>
      <c r="AT94" s="252">
        <f t="shared" ref="AT94" si="525">AF94/SUM(AF90:AF101)*AM101</f>
        <v>18746.418736494408</v>
      </c>
      <c r="AU94" s="252">
        <f t="shared" ref="AU94" si="526">AG94/SUM(AG90:AG101)*AN101</f>
        <v>13508.335927265402</v>
      </c>
      <c r="AV94" s="252">
        <f t="shared" ref="AV94" si="527">AH94/SUM(AH90:AH101)*AO101</f>
        <v>5163.1534602224401</v>
      </c>
      <c r="AW94" s="252">
        <f t="shared" ref="AW94" si="528">AI94/SUM(AI90:AI101)*AP101</f>
        <v>819.66102410986355</v>
      </c>
      <c r="AX94" s="252">
        <f t="shared" ref="AX94" si="529">AJ94/SUM(AJ90:AJ101)*AQ101</f>
        <v>3134.7382047129167</v>
      </c>
      <c r="AY94" s="252">
        <f t="shared" ref="AY94" si="530">AK94/SUM(AK90:AK101)*AR101</f>
        <v>18518.227466834451</v>
      </c>
    </row>
    <row r="95" spans="31:59">
      <c r="AE95" s="165">
        <v>31656</v>
      </c>
      <c r="AF95" s="277">
        <v>1545353</v>
      </c>
      <c r="AG95" s="277">
        <v>972193</v>
      </c>
      <c r="AH95" s="277">
        <v>416288</v>
      </c>
      <c r="AI95" s="277">
        <v>74559</v>
      </c>
      <c r="AJ95" s="277">
        <v>279328</v>
      </c>
      <c r="AK95" s="277">
        <v>1563551</v>
      </c>
      <c r="AT95" s="252">
        <f t="shared" ref="AT95" si="531">AF95/SUM(AF90:AF101)*AM101</f>
        <v>18826.495297377041</v>
      </c>
      <c r="AU95" s="252">
        <f t="shared" ref="AU95" si="532">AG95/SUM(AG90:AG101)*AN101</f>
        <v>13855.656203886098</v>
      </c>
      <c r="AV95" s="252">
        <f t="shared" ref="AV95" si="533">AH95/SUM(AH90:AH101)*AO101</f>
        <v>5639.9406649481471</v>
      </c>
      <c r="AW95" s="252">
        <f t="shared" ref="AW95" si="534">AI95/SUM(AI90:AI101)*AP101</f>
        <v>897.74519341609584</v>
      </c>
      <c r="AX95" s="252">
        <f t="shared" ref="AX95" si="535">AJ95/SUM(AJ90:AJ101)*AQ101</f>
        <v>3669.3632537654512</v>
      </c>
      <c r="AY95" s="252">
        <f t="shared" ref="AY95" si="536">AK95/SUM(AK90:AK101)*AR101</f>
        <v>21465.915708622171</v>
      </c>
    </row>
    <row r="96" spans="31:59">
      <c r="AE96" s="165">
        <v>31686</v>
      </c>
      <c r="AF96" s="277">
        <v>1571715</v>
      </c>
      <c r="AG96" s="277">
        <v>993706</v>
      </c>
      <c r="AH96" s="277">
        <v>421952</v>
      </c>
      <c r="AI96" s="277">
        <v>80445</v>
      </c>
      <c r="AJ96" s="277">
        <v>322468</v>
      </c>
      <c r="AK96" s="277">
        <v>1768927</v>
      </c>
      <c r="AT96" s="252">
        <f t="shared" ref="AT96" si="537">AF96/SUM(AF90:AF101)*AM101</f>
        <v>19147.65432643348</v>
      </c>
      <c r="AU96" s="252">
        <f t="shared" ref="AU96" si="538">AG96/SUM(AG90:AG101)*AN101</f>
        <v>14162.258629447897</v>
      </c>
      <c r="AV96" s="252">
        <f t="shared" ref="AV96" si="539">AH96/SUM(AH90:AH101)*AO101</f>
        <v>5716.6775008076156</v>
      </c>
      <c r="AW96" s="252">
        <f t="shared" ref="AW96" si="540">AI96/SUM(AI90:AI101)*AP101</f>
        <v>968.61696219581574</v>
      </c>
      <c r="AX96" s="252">
        <f t="shared" ref="AX96" si="541">AJ96/SUM(AJ90:AJ101)*AQ101</f>
        <v>4236.0673821286709</v>
      </c>
      <c r="AY96" s="252">
        <f t="shared" ref="AY96" si="542">AK96/SUM(AK90:AK101)*AR101</f>
        <v>24285.512833739285</v>
      </c>
    </row>
    <row r="97" spans="31:59">
      <c r="AE97" s="165">
        <v>31717</v>
      </c>
      <c r="AF97" s="277">
        <v>1534174</v>
      </c>
      <c r="AG97" s="277">
        <v>966755</v>
      </c>
      <c r="AH97" s="277">
        <v>443843</v>
      </c>
      <c r="AI97" s="277">
        <v>79128</v>
      </c>
      <c r="AJ97" s="277">
        <v>323290</v>
      </c>
      <c r="AK97" s="277">
        <v>1786918</v>
      </c>
      <c r="AT97" s="252">
        <f t="shared" ref="AT97" si="543">AF97/SUM(AF90:AF101)*AM101</f>
        <v>18690.305448889751</v>
      </c>
      <c r="AU97" s="252">
        <f t="shared" ref="AU97" si="544">AG97/SUM(AG90:AG101)*AN101</f>
        <v>13778.154042857648</v>
      </c>
      <c r="AV97" s="252">
        <f t="shared" ref="AV97" si="545">AH97/SUM(AH90:AH101)*AO101</f>
        <v>6013.2604940631991</v>
      </c>
      <c r="AW97" s="252">
        <f t="shared" ref="AW97" si="546">AI97/SUM(AI90:AI101)*AP101</f>
        <v>952.75931362583776</v>
      </c>
      <c r="AX97" s="252">
        <f t="shared" ref="AX97" si="547">AJ97/SUM(AJ90:AJ101)*AQ101</f>
        <v>4246.8654997344793</v>
      </c>
      <c r="AY97" s="252">
        <f t="shared" ref="AY97" si="548">AK97/SUM(AK90:AK101)*AR101</f>
        <v>24532.51039858611</v>
      </c>
    </row>
    <row r="98" spans="31:59">
      <c r="AE98" s="165">
        <v>31747</v>
      </c>
      <c r="AF98" s="277">
        <v>1542930</v>
      </c>
      <c r="AG98" s="277">
        <v>942172</v>
      </c>
      <c r="AH98" s="277">
        <v>468845</v>
      </c>
      <c r="AI98" s="277">
        <v>82226</v>
      </c>
      <c r="AJ98" s="277">
        <v>327682</v>
      </c>
      <c r="AK98" s="277">
        <v>1878267</v>
      </c>
      <c r="AT98" s="252">
        <f t="shared" ref="AT98" si="549">AF98/SUM(AF90:AF101)*AM101</f>
        <v>18796.976735530301</v>
      </c>
      <c r="AU98" s="252">
        <f t="shared" ref="AU98" si="550">AG98/SUM(AG90:AG101)*AN101</f>
        <v>13427.798098657131</v>
      </c>
      <c r="AV98" s="252">
        <f t="shared" ref="AV98" si="551">AH98/SUM(AH90:AH101)*AO101</f>
        <v>6351.9918447267619</v>
      </c>
      <c r="AW98" s="252">
        <f t="shared" ref="AW98" si="552">AI98/SUM(AI90:AI101)*AP101</f>
        <v>990.0615120083678</v>
      </c>
      <c r="AX98" s="252">
        <f t="shared" ref="AX98" si="553">AJ98/SUM(AJ90:AJ101)*AQ101</f>
        <v>4304.5605514677027</v>
      </c>
      <c r="AY98" s="252">
        <f t="shared" ref="AY98" si="554">AK98/SUM(AK90:AK101)*AR101</f>
        <v>25786.636381088072</v>
      </c>
      <c r="BA98" s="252">
        <f t="shared" ref="BA98" si="555">SUM(AT87:AT98)</f>
        <v>203669.28314025773</v>
      </c>
      <c r="BB98" s="252">
        <f t="shared" ref="BB98" si="556">SUM(AU87:AU98)</f>
        <v>148434.06157465052</v>
      </c>
      <c r="BC98" s="252">
        <f t="shared" ref="BC98" si="557">SUM(AV87:AV98)</f>
        <v>62402.797154670094</v>
      </c>
      <c r="BD98" s="252">
        <f t="shared" ref="BD98" si="558">SUM(AW87:AW98)</f>
        <v>10804.187502570989</v>
      </c>
      <c r="BE98" s="252">
        <f t="shared" ref="BE98" si="559">SUM(AX87:AX98)</f>
        <v>37726.933350944273</v>
      </c>
      <c r="BF98" s="252">
        <f t="shared" ref="BF98" si="560">SUM(AY87:AY98)</f>
        <v>219883.88842543331</v>
      </c>
      <c r="BG98" s="252">
        <f t="shared" ref="BG98" si="561">SUM(BA98:BF98)</f>
        <v>682921.15114852693</v>
      </c>
    </row>
    <row r="99" spans="31:59">
      <c r="AE99" s="165">
        <v>31778</v>
      </c>
      <c r="AF99" s="277">
        <v>1099517</v>
      </c>
      <c r="AG99" s="277">
        <v>664047</v>
      </c>
      <c r="AH99" s="277">
        <v>313914</v>
      </c>
      <c r="AI99" s="277">
        <v>62225</v>
      </c>
      <c r="AJ99" s="277">
        <v>230745</v>
      </c>
      <c r="AK99" s="277">
        <v>1340673</v>
      </c>
      <c r="AT99" s="252">
        <f t="shared" ref="AT99" si="562">AF99/SUM(AF90:AF101)*AM101</f>
        <v>13395.031186975475</v>
      </c>
      <c r="AU99" s="252">
        <f t="shared" ref="AU99" si="563">AG99/SUM(AG90:AG101)*AN101</f>
        <v>9463.9715933173266</v>
      </c>
      <c r="AV99" s="252">
        <f t="shared" ref="AV99" si="564">AH99/SUM(AH90:AH101)*AO101</f>
        <v>4252.9602916647436</v>
      </c>
      <c r="AW99" s="252">
        <f t="shared" ref="AW99" si="565">AI99/SUM(AI90:AI101)*AP101</f>
        <v>749.23476254129707</v>
      </c>
      <c r="AX99" s="252">
        <f t="shared" ref="AX99" si="566">AJ99/SUM(AJ90:AJ101)*AQ101</f>
        <v>3031.157721353065</v>
      </c>
      <c r="AY99" s="252">
        <f t="shared" ref="AY99" si="567">AK99/SUM(AK90:AK101)*AR101</f>
        <v>18406.034475898523</v>
      </c>
    </row>
    <row r="100" spans="31:59">
      <c r="AE100" s="165">
        <v>31809</v>
      </c>
      <c r="AF100" s="277">
        <v>1281260</v>
      </c>
      <c r="AG100" s="277">
        <v>793185</v>
      </c>
      <c r="AH100" s="277">
        <v>390117</v>
      </c>
      <c r="AI100" s="277">
        <v>71800</v>
      </c>
      <c r="AJ100" s="277">
        <v>250548</v>
      </c>
      <c r="AK100" s="277">
        <v>1524594</v>
      </c>
      <c r="AT100" s="252">
        <f t="shared" ref="AT100" si="568">AF100/SUM(AF90:AF101)*AM101</f>
        <v>15609.142613187607</v>
      </c>
      <c r="AU100" s="252">
        <f t="shared" ref="AU100" si="569">AG100/SUM(AG90:AG101)*AN101</f>
        <v>11304.441264316236</v>
      </c>
      <c r="AV100" s="252">
        <f t="shared" ref="AV100" si="570">AH100/SUM(AH90:AH101)*AO101</f>
        <v>5285.3715033524304</v>
      </c>
      <c r="AW100" s="252">
        <f t="shared" ref="AW100" si="571">AI100/SUM(AI90:AI101)*AP101</f>
        <v>864.52480434656684</v>
      </c>
      <c r="AX100" s="252">
        <f t="shared" ref="AX100" si="572">AJ100/SUM(AJ90:AJ101)*AQ101</f>
        <v>3291.2977736010221</v>
      </c>
      <c r="AY100" s="252">
        <f t="shared" ref="AY100" si="573">AK100/SUM(AK90:AK101)*AR101</f>
        <v>20931.076948478883</v>
      </c>
    </row>
    <row r="101" spans="31:59">
      <c r="AE101" s="165">
        <v>31837</v>
      </c>
      <c r="AF101" s="277">
        <v>1450003</v>
      </c>
      <c r="AG101" s="277">
        <v>900764</v>
      </c>
      <c r="AH101" s="277">
        <v>448852</v>
      </c>
      <c r="AI101" s="277">
        <v>83261</v>
      </c>
      <c r="AJ101" s="277">
        <v>243892</v>
      </c>
      <c r="AK101" s="277">
        <v>1378813</v>
      </c>
      <c r="AM101" s="277">
        <v>209483</v>
      </c>
      <c r="AN101" s="277">
        <v>151111</v>
      </c>
      <c r="AO101" s="277">
        <v>63705</v>
      </c>
      <c r="AP101" s="277">
        <v>10602</v>
      </c>
      <c r="AQ101" s="277">
        <v>38664</v>
      </c>
      <c r="AR101" s="277">
        <v>224419</v>
      </c>
      <c r="AT101" s="252">
        <f t="shared" ref="AT101" si="574">AF101/SUM(AF90:AF101)*AM101</f>
        <v>17664.879584588503</v>
      </c>
      <c r="AU101" s="252">
        <f t="shared" ref="AU101" si="575">AG101/SUM(AG90:AG101)*AN101</f>
        <v>12837.652919571789</v>
      </c>
      <c r="AV101" s="252">
        <f t="shared" ref="AV101" si="576">AH101/SUM(AH90:AH101)*AO101</f>
        <v>6081.1232784593985</v>
      </c>
      <c r="AW101" s="252">
        <f t="shared" ref="AW101" si="577">AI101/SUM(AI90:AI101)*AP101</f>
        <v>1002.5236731852299</v>
      </c>
      <c r="AX101" s="252">
        <f t="shared" ref="AX101" si="578">AJ101/SUM(AJ90:AJ101)*AQ101</f>
        <v>3203.8619210654265</v>
      </c>
      <c r="AY101" s="252">
        <f t="shared" ref="AY101" si="579">AK101/SUM(AK90:AK101)*AR101</f>
        <v>18929.6566827385</v>
      </c>
      <c r="AZ101" s="25">
        <f t="shared" ref="AZ101" si="580">SUM(AT90:AY101)-SUM(AM101:AR101)</f>
        <v>0</v>
      </c>
    </row>
    <row r="102" spans="31:59">
      <c r="AE102" s="165">
        <v>31868</v>
      </c>
      <c r="AF102" s="277">
        <v>1503289</v>
      </c>
      <c r="AG102" s="277">
        <v>896822</v>
      </c>
      <c r="AH102" s="277">
        <v>417612</v>
      </c>
      <c r="AI102" s="277">
        <v>79771</v>
      </c>
      <c r="AJ102" s="277">
        <v>195988</v>
      </c>
      <c r="AK102" s="277">
        <v>872357</v>
      </c>
      <c r="AT102" s="252">
        <f t="shared" ref="AT102" si="581">AF102/SUM(AF102:AF113)*AM113</f>
        <v>18391.548269182182</v>
      </c>
      <c r="AU102" s="252">
        <f t="shared" ref="AU102" si="582">AG102/SUM(AG102:AG113)*AN113</f>
        <v>12295.645372262563</v>
      </c>
      <c r="AV102" s="252">
        <f t="shared" ref="AV102" si="583">AH102/SUM(AH102:AH113)*AO113</f>
        <v>4702.1248347376331</v>
      </c>
      <c r="AW102" s="252">
        <f t="shared" ref="AW102" si="584">AI102/SUM(AI102:AI113)*AP113</f>
        <v>965.22735826334758</v>
      </c>
      <c r="AX102" s="252">
        <f t="shared" ref="AX102" si="585">AJ102/SUM(AJ102:AJ113)*AQ113</f>
        <v>2501.489248643285</v>
      </c>
      <c r="AY102" s="252">
        <f t="shared" ref="AY102" si="586">AK102/SUM(AK102:AK113)*AR113</f>
        <v>11467.804215204973</v>
      </c>
    </row>
    <row r="103" spans="31:59">
      <c r="AE103" s="165">
        <v>31898</v>
      </c>
      <c r="AF103" s="277">
        <v>1565299</v>
      </c>
      <c r="AG103" s="277">
        <v>893578</v>
      </c>
      <c r="AH103" s="277">
        <v>463087</v>
      </c>
      <c r="AI103" s="277">
        <v>74103</v>
      </c>
      <c r="AJ103" s="277">
        <v>171136</v>
      </c>
      <c r="AK103" s="277">
        <v>839312</v>
      </c>
      <c r="AT103" s="252">
        <f t="shared" ref="AT103" si="587">AF103/SUM(AF102:AF113)*AM113</f>
        <v>19150.191423074735</v>
      </c>
      <c r="AU103" s="252">
        <f t="shared" ref="AU103" si="588">AG103/SUM(AG102:AG113)*AN113</f>
        <v>12251.169351839761</v>
      </c>
      <c r="AV103" s="252">
        <f t="shared" ref="AV103" si="589">AH103/SUM(AH102:AH113)*AO113</f>
        <v>5214.1530495870493</v>
      </c>
      <c r="AW103" s="252">
        <f t="shared" ref="AW103" si="590">AI103/SUM(AI102:AI113)*AP113</f>
        <v>896.64468201964178</v>
      </c>
      <c r="AX103" s="252">
        <f t="shared" ref="AX103" si="591">AJ103/SUM(AJ102:AJ113)*AQ113</f>
        <v>2184.2912017869321</v>
      </c>
      <c r="AY103" s="252">
        <f t="shared" ref="AY103" si="592">AK103/SUM(AK102:AK113)*AR113</f>
        <v>11033.402255581279</v>
      </c>
    </row>
    <row r="104" spans="31:59">
      <c r="AE104" s="165">
        <v>31929</v>
      </c>
      <c r="AF104" s="277">
        <v>1669167</v>
      </c>
      <c r="AG104" s="277">
        <v>939472</v>
      </c>
      <c r="AH104" s="277">
        <v>447804</v>
      </c>
      <c r="AI104" s="277">
        <v>70006</v>
      </c>
      <c r="AJ104" s="277">
        <v>178312</v>
      </c>
      <c r="AK104" s="277">
        <v>947574</v>
      </c>
      <c r="AT104" s="252">
        <f t="shared" ref="AT104" si="593">AF104/SUM(AF102:AF113)*AM113</f>
        <v>20420.933998603068</v>
      </c>
      <c r="AU104" s="252">
        <f t="shared" ref="AU104" si="594">AG104/SUM(AG102:AG113)*AN113</f>
        <v>12880.387132753496</v>
      </c>
      <c r="AV104" s="252">
        <f t="shared" ref="AV104" si="595">AH104/SUM(AH102:AH113)*AO113</f>
        <v>5042.0732869142921</v>
      </c>
      <c r="AW104" s="252">
        <f t="shared" ref="AW104" si="596">AI104/SUM(AI102:AI113)*AP113</f>
        <v>847.07107147439433</v>
      </c>
      <c r="AX104" s="252">
        <f t="shared" ref="AX104" si="597">AJ104/SUM(AJ102:AJ113)*AQ113</f>
        <v>2275.8819463644791</v>
      </c>
      <c r="AY104" s="252">
        <f t="shared" ref="AY104" si="598">AK104/SUM(AK102:AK113)*AR113</f>
        <v>12456.589574473108</v>
      </c>
    </row>
    <row r="105" spans="31:59">
      <c r="AE105" s="165">
        <v>31959</v>
      </c>
      <c r="AF105" s="277">
        <v>1792133</v>
      </c>
      <c r="AG105" s="277">
        <v>997492</v>
      </c>
      <c r="AH105" s="277">
        <v>453410</v>
      </c>
      <c r="AI105" s="277">
        <v>66918</v>
      </c>
      <c r="AJ105" s="277">
        <v>202952</v>
      </c>
      <c r="AK105" s="277">
        <v>1193108</v>
      </c>
      <c r="AT105" s="252">
        <f t="shared" ref="AT105" si="599">AF105/SUM(AF102:AF113)*AM113</f>
        <v>21925.325452587138</v>
      </c>
      <c r="AU105" s="252">
        <f t="shared" ref="AU105" si="600">AG105/SUM(AG102:AG113)*AN113</f>
        <v>13675.85529087035</v>
      </c>
      <c r="AV105" s="252">
        <f t="shared" ref="AV105" si="601">AH105/SUM(AH102:AH113)*AO113</f>
        <v>5105.1943462314066</v>
      </c>
      <c r="AW105" s="252">
        <f t="shared" ref="AW105" si="602">AI105/SUM(AI102:AI113)*AP113</f>
        <v>809.70633889843043</v>
      </c>
      <c r="AX105" s="252">
        <f t="shared" ref="AX105" si="603">AJ105/SUM(AJ102:AJ113)*AQ113</f>
        <v>2590.3741351034355</v>
      </c>
      <c r="AY105" s="252">
        <f t="shared" ref="AY105" si="604">AK105/SUM(AK102:AK113)*AR113</f>
        <v>15684.322991154741</v>
      </c>
    </row>
    <row r="106" spans="31:59">
      <c r="AE106" s="165">
        <v>31990</v>
      </c>
      <c r="AF106" s="277">
        <v>1873622</v>
      </c>
      <c r="AG106" s="277">
        <v>1035167</v>
      </c>
      <c r="AH106" s="277">
        <v>490062</v>
      </c>
      <c r="AI106" s="277">
        <v>68933</v>
      </c>
      <c r="AJ106" s="277">
        <v>244580</v>
      </c>
      <c r="AK106" s="277">
        <v>1433694</v>
      </c>
      <c r="AT106" s="252">
        <f t="shared" ref="AT106" si="605">AF106/SUM(AF102:AF113)*AM113</f>
        <v>22922.278717666166</v>
      </c>
      <c r="AU106" s="252">
        <f t="shared" ref="AU106" si="606">AG106/SUM(AG102:AG113)*AN113</f>
        <v>14192.388604504486</v>
      </c>
      <c r="AV106" s="252">
        <f t="shared" ref="AV106" si="607">AH106/SUM(AH102:AH113)*AO113</f>
        <v>5517.8795167791968</v>
      </c>
      <c r="AW106" s="252">
        <f t="shared" ref="AW106" si="608">AI106/SUM(AI102:AI113)*AP113</f>
        <v>834.08779490250015</v>
      </c>
      <c r="AX106" s="252">
        <f t="shared" ref="AX106" si="609">AJ106/SUM(AJ102:AJ113)*AQ113</f>
        <v>3121.6923507213437</v>
      </c>
      <c r="AY106" s="252">
        <f t="shared" ref="AY106" si="610">AK106/SUM(AK102:AK113)*AR113</f>
        <v>18847.011139377661</v>
      </c>
    </row>
    <row r="107" spans="31:59">
      <c r="AE107" s="165">
        <v>32021</v>
      </c>
      <c r="AF107" s="277">
        <v>1934198</v>
      </c>
      <c r="AG107" s="277">
        <v>1075326</v>
      </c>
      <c r="AH107" s="277">
        <v>536427</v>
      </c>
      <c r="AI107" s="277">
        <v>70963</v>
      </c>
      <c r="AJ107" s="277">
        <v>287230</v>
      </c>
      <c r="AK107" s="277">
        <v>1684389</v>
      </c>
      <c r="AT107" s="252">
        <f t="shared" ref="AT107" si="611">AF107/SUM(AF102:AF113)*AM113</f>
        <v>23663.378019233583</v>
      </c>
      <c r="AU107" s="252">
        <f t="shared" ref="AU107" si="612">AG107/SUM(AG102:AG113)*AN113</f>
        <v>14742.978155725008</v>
      </c>
      <c r="AV107" s="252">
        <f t="shared" ref="AV107" si="613">AH107/SUM(AH102:AH113)*AO113</f>
        <v>6039.9287346240162</v>
      </c>
      <c r="AW107" s="252">
        <f t="shared" ref="AW107" si="614">AI107/SUM(AI102:AI113)*AP113</f>
        <v>858.65075057905676</v>
      </c>
      <c r="AX107" s="252">
        <f t="shared" ref="AX107" si="615">AJ107/SUM(AJ102:AJ113)*AQ113</f>
        <v>3666.0548446221751</v>
      </c>
      <c r="AY107" s="252">
        <f t="shared" ref="AY107" si="616">AK107/SUM(AK102:AK113)*AR113</f>
        <v>22142.589873463377</v>
      </c>
    </row>
    <row r="108" spans="31:59">
      <c r="AE108" s="165">
        <v>32051</v>
      </c>
      <c r="AF108" s="277">
        <v>2014913</v>
      </c>
      <c r="AG108" s="277">
        <v>1118079</v>
      </c>
      <c r="AH108" s="277">
        <v>550766</v>
      </c>
      <c r="AI108" s="277">
        <v>77264</v>
      </c>
      <c r="AJ108" s="277">
        <v>326040</v>
      </c>
      <c r="AK108" s="277">
        <v>2018023</v>
      </c>
      <c r="AT108" s="252">
        <f t="shared" ref="AT108" si="617">AF108/SUM(AF102:AF113)*AM113</f>
        <v>24650.862008371423</v>
      </c>
      <c r="AU108" s="252">
        <f t="shared" ref="AU108" si="618">AG108/SUM(AG102:AG113)*AN113</f>
        <v>15329.132070995087</v>
      </c>
      <c r="AV108" s="252">
        <f t="shared" ref="AV108" si="619">AH108/SUM(AH102:AH113)*AO113</f>
        <v>6201.3794783892881</v>
      </c>
      <c r="AW108" s="252">
        <f t="shared" ref="AW108" si="620">AI108/SUM(AI102:AI113)*AP113</f>
        <v>934.89271300170856</v>
      </c>
      <c r="AX108" s="252">
        <f t="shared" ref="AX108" si="621">AJ108/SUM(AJ102:AJ113)*AQ113</f>
        <v>4161.4055688494027</v>
      </c>
      <c r="AY108" s="252">
        <f t="shared" ref="AY108" si="622">AK108/SUM(AK102:AK113)*AR113</f>
        <v>26528.465600414263</v>
      </c>
    </row>
    <row r="109" spans="31:59">
      <c r="AE109" s="165">
        <v>32082</v>
      </c>
      <c r="AF109" s="277">
        <v>2012771</v>
      </c>
      <c r="AG109" s="277">
        <v>1102142</v>
      </c>
      <c r="AH109" s="277">
        <v>568102</v>
      </c>
      <c r="AI109" s="277">
        <v>79436</v>
      </c>
      <c r="AJ109" s="277">
        <v>338824</v>
      </c>
      <c r="AK109" s="277">
        <v>2086444</v>
      </c>
      <c r="AT109" s="252">
        <f t="shared" ref="AT109" si="623">AF109/SUM(AF102:AF113)*AM113</f>
        <v>24624.656337743494</v>
      </c>
      <c r="AU109" s="252">
        <f t="shared" ref="AU109" si="624">AG109/SUM(AG102:AG113)*AN113</f>
        <v>15110.631966963574</v>
      </c>
      <c r="AV109" s="252">
        <f t="shared" ref="AV109" si="625">AH109/SUM(AH102:AH113)*AO113</f>
        <v>6396.5751052750375</v>
      </c>
      <c r="AW109" s="252">
        <f t="shared" ref="AW109" si="626">AI109/SUM(AI102:AI113)*AP113</f>
        <v>961.17386557780742</v>
      </c>
      <c r="AX109" s="252">
        <f t="shared" ref="AX109" si="627">AJ109/SUM(AJ102:AJ113)*AQ113</f>
        <v>4324.5739187211084</v>
      </c>
      <c r="AY109" s="252">
        <f t="shared" ref="AY109" si="628">AK109/SUM(AK102:AK113)*AR113</f>
        <v>27427.912308824398</v>
      </c>
    </row>
    <row r="110" spans="31:59">
      <c r="AE110" s="165">
        <v>32112</v>
      </c>
      <c r="AF110" s="277">
        <v>2052413</v>
      </c>
      <c r="AG110" s="277">
        <v>1086535</v>
      </c>
      <c r="AH110" s="277">
        <v>577818</v>
      </c>
      <c r="AI110" s="277">
        <v>83614</v>
      </c>
      <c r="AJ110" s="277">
        <v>353656</v>
      </c>
      <c r="AK110" s="277">
        <v>2239350</v>
      </c>
      <c r="AT110" s="252">
        <f t="shared" ref="AT110" si="629">AF110/SUM(AF102:AF113)*AM113</f>
        <v>25109.644757459813</v>
      </c>
      <c r="AU110" s="252">
        <f t="shared" ref="AU110" si="630">AG110/SUM(AG102:AG113)*AN113</f>
        <v>14896.656242321558</v>
      </c>
      <c r="AV110" s="252">
        <f t="shared" ref="AV110" si="631">AH110/SUM(AH102:AH113)*AO113</f>
        <v>6505.9729312338486</v>
      </c>
      <c r="AW110" s="252">
        <f t="shared" ref="AW110" si="632">AI110/SUM(AI102:AI113)*AP113</f>
        <v>1011.727574354484</v>
      </c>
      <c r="AX110" s="252">
        <f t="shared" ref="AX110" si="633">AJ110/SUM(AJ102:AJ113)*AQ113</f>
        <v>4513.881879085402</v>
      </c>
      <c r="AY110" s="252">
        <f t="shared" ref="AY110" si="634">AK110/SUM(AK102:AK113)*AR113</f>
        <v>29437.979370050631</v>
      </c>
      <c r="BA110" s="252">
        <f t="shared" ref="BA110" si="635">SUM(AT99:AT110)</f>
        <v>247527.87236867321</v>
      </c>
      <c r="BB110" s="252">
        <f t="shared" ref="BB110" si="636">SUM(AU99:AU110)</f>
        <v>158980.90996544124</v>
      </c>
      <c r="BC110" s="252">
        <f t="shared" ref="BC110" si="637">SUM(AV99:AV110)</f>
        <v>66344.736357248345</v>
      </c>
      <c r="BD110" s="252">
        <f t="shared" ref="BD110" si="638">SUM(AW99:AW110)</f>
        <v>10735.465389144465</v>
      </c>
      <c r="BE110" s="252">
        <f t="shared" ref="BE110" si="639">SUM(AX99:AX110)</f>
        <v>38865.962509917081</v>
      </c>
      <c r="BF110" s="252">
        <f t="shared" ref="BF110" si="640">SUM(AY99:AY110)</f>
        <v>233292.84543566033</v>
      </c>
      <c r="BG110" s="252">
        <f t="shared" ref="BG110" si="641">SUM(BA110:BF110)</f>
        <v>755747.79202608461</v>
      </c>
    </row>
    <row r="111" spans="31:59">
      <c r="AE111" s="165">
        <v>32143</v>
      </c>
      <c r="AF111" s="277">
        <v>1468471</v>
      </c>
      <c r="AG111" s="277">
        <v>781359</v>
      </c>
      <c r="AH111" s="277">
        <v>410775</v>
      </c>
      <c r="AI111" s="277">
        <v>62908</v>
      </c>
      <c r="AJ111" s="277">
        <v>254658</v>
      </c>
      <c r="AK111" s="277">
        <v>1595739</v>
      </c>
      <c r="AT111" s="252">
        <f t="shared" ref="AT111" si="642">AF111/SUM(AF102:AF113)*AM113</f>
        <v>17965.577662308595</v>
      </c>
      <c r="AU111" s="252">
        <f t="shared" ref="AU111" si="643">AG111/SUM(AG102:AG113)*AN113</f>
        <v>10712.619864840186</v>
      </c>
      <c r="AV111" s="252">
        <f t="shared" ref="AV111" si="644">AH111/SUM(AH102:AH113)*AO113</f>
        <v>4625.1432645358645</v>
      </c>
      <c r="AW111" s="252">
        <f t="shared" ref="AW111" si="645">AI111/SUM(AI102:AI113)*AP113</f>
        <v>761.18542645360674</v>
      </c>
      <c r="AX111" s="252">
        <f t="shared" ref="AX111" si="646">AJ111/SUM(AJ102:AJ113)*AQ113</f>
        <v>3250.3227191511819</v>
      </c>
      <c r="AY111" s="252">
        <f t="shared" ref="AY111" si="647">AK111/SUM(AK102:AK113)*AR113</f>
        <v>20977.217389860998</v>
      </c>
    </row>
    <row r="112" spans="31:59">
      <c r="AE112" s="165">
        <v>32174</v>
      </c>
      <c r="AF112" s="277">
        <v>1692581</v>
      </c>
      <c r="AG112" s="277">
        <v>944310</v>
      </c>
      <c r="AH112" s="277">
        <v>528236</v>
      </c>
      <c r="AI112" s="277">
        <v>73738</v>
      </c>
      <c r="AJ112" s="277">
        <v>284752</v>
      </c>
      <c r="AK112" s="277">
        <v>1868587</v>
      </c>
      <c r="AT112" s="252">
        <f t="shared" ref="AT112" si="648">AF112/SUM(AF102:AF113)*AM113</f>
        <v>20707.385712927215</v>
      </c>
      <c r="AU112" s="252">
        <f t="shared" ref="AU112" si="649">AG112/SUM(AG102:AG113)*AN113</f>
        <v>12946.717276651623</v>
      </c>
      <c r="AV112" s="252">
        <f t="shared" ref="AV112" si="650">AH112/SUM(AH102:AH113)*AO113</f>
        <v>5947.7017284045205</v>
      </c>
      <c r="AW112" s="252">
        <f t="shared" ref="AW112" si="651">AI112/SUM(AI102:AI113)*AP113</f>
        <v>892.22818998912794</v>
      </c>
      <c r="AX112" s="252">
        <f t="shared" ref="AX112" si="652">AJ112/SUM(AJ102:AJ113)*AQ113</f>
        <v>3634.4269370046777</v>
      </c>
      <c r="AY112" s="252">
        <f t="shared" ref="AY112" si="653">AK112/SUM(AK102:AK113)*AR113</f>
        <v>24564.014360035188</v>
      </c>
    </row>
    <row r="113" spans="31:59">
      <c r="AE113" s="165">
        <v>32203</v>
      </c>
      <c r="AF113" s="277">
        <v>1883916</v>
      </c>
      <c r="AG113" s="277">
        <v>1082827</v>
      </c>
      <c r="AH113" s="277">
        <v>612180</v>
      </c>
      <c r="AI113" s="277">
        <v>80860</v>
      </c>
      <c r="AJ113" s="277">
        <v>283199</v>
      </c>
      <c r="AK113" s="277">
        <v>1686907</v>
      </c>
      <c r="AM113" s="277">
        <v>262580</v>
      </c>
      <c r="AN113" s="277">
        <v>163880</v>
      </c>
      <c r="AO113" s="277">
        <v>68191</v>
      </c>
      <c r="AP113" s="277">
        <v>10751</v>
      </c>
      <c r="AQ113" s="277">
        <v>39839</v>
      </c>
      <c r="AR113" s="277">
        <v>242743</v>
      </c>
      <c r="AT113" s="252">
        <f t="shared" ref="AT113" si="654">AF113/SUM(AF102:AF113)*AM113</f>
        <v>23048.217640842588</v>
      </c>
      <c r="AU113" s="252">
        <f t="shared" ref="AU113" si="655">AG113/SUM(AG102:AG113)*AN113</f>
        <v>14845.818670272311</v>
      </c>
      <c r="AV113" s="252">
        <f t="shared" ref="AV113" si="656">AH113/SUM(AH102:AH113)*AO113</f>
        <v>6892.8737232878475</v>
      </c>
      <c r="AW113" s="252">
        <f t="shared" ref="AW113" si="657">AI113/SUM(AI102:AI113)*AP113</f>
        <v>978.40423448589445</v>
      </c>
      <c r="AX113" s="252">
        <f t="shared" ref="AX113" si="658">AJ113/SUM(AJ102:AJ113)*AQ113</f>
        <v>3614.6052499465773</v>
      </c>
      <c r="AY113" s="252">
        <f t="shared" ref="AY113" si="659">AK113/SUM(AK102:AK113)*AR113</f>
        <v>22175.690921559381</v>
      </c>
      <c r="AZ113" s="25">
        <f t="shared" ref="AZ113" si="660">SUM(AT102:AY113)-SUM(AM113:AR113)</f>
        <v>0</v>
      </c>
    </row>
    <row r="114" spans="31:59">
      <c r="AE114" s="165">
        <v>32234</v>
      </c>
      <c r="AF114" s="277">
        <v>1882985</v>
      </c>
      <c r="AG114" s="277">
        <v>1082397</v>
      </c>
      <c r="AH114" s="277">
        <v>512678</v>
      </c>
      <c r="AI114" s="277">
        <v>79109</v>
      </c>
      <c r="AJ114" s="277">
        <v>241233</v>
      </c>
      <c r="AK114" s="277">
        <v>964711</v>
      </c>
      <c r="AT114" s="252">
        <f t="shared" ref="AT114" si="661">AF114/SUM(AF114:AF125)*AM125</f>
        <v>22120.195465993867</v>
      </c>
      <c r="AU114" s="252">
        <f t="shared" ref="AU114" si="662">AG114/SUM(AG114:AG125)*AN125</f>
        <v>14367.864235152998</v>
      </c>
      <c r="AV114" s="252">
        <f t="shared" ref="AV114" si="663">AH114/SUM(AH114:AH125)*AO125</f>
        <v>4875.7384990150404</v>
      </c>
      <c r="AW114" s="252">
        <f t="shared" ref="AW114" si="664">AI114/SUM(AI114:AI125)*AP125</f>
        <v>927.36695496591005</v>
      </c>
      <c r="AX114" s="252">
        <f t="shared" ref="AX114" si="665">AJ114/SUM(AJ114:AJ125)*AQ125</f>
        <v>2744.7080104438878</v>
      </c>
      <c r="AY114" s="252">
        <f t="shared" ref="AY114" si="666">AK114/SUM(AK114:AK125)*AR125</f>
        <v>13669.890176063182</v>
      </c>
    </row>
    <row r="115" spans="31:59">
      <c r="AE115" s="165">
        <v>32264</v>
      </c>
      <c r="AF115" s="277">
        <v>1848564</v>
      </c>
      <c r="AG115" s="277">
        <v>1095167</v>
      </c>
      <c r="AH115" s="277">
        <v>507730</v>
      </c>
      <c r="AI115" s="277">
        <v>74412</v>
      </c>
      <c r="AJ115" s="277">
        <v>216666</v>
      </c>
      <c r="AK115" s="277">
        <v>849255</v>
      </c>
      <c r="AT115" s="252">
        <f t="shared" ref="AT115" si="667">AF115/SUM(AF114:AF125)*AM125</f>
        <v>21715.837891114101</v>
      </c>
      <c r="AU115" s="252">
        <f t="shared" ref="AU115" si="668">AG115/SUM(AG114:AG125)*AN125</f>
        <v>14537.374707080491</v>
      </c>
      <c r="AV115" s="252">
        <f t="shared" ref="AV115" si="669">AH115/SUM(AH114:AH125)*AO125</f>
        <v>4828.6813713576676</v>
      </c>
      <c r="AW115" s="252">
        <f t="shared" ref="AW115" si="670">AI115/SUM(AI114:AI125)*AP125</f>
        <v>872.30567764632713</v>
      </c>
      <c r="AX115" s="252">
        <f t="shared" ref="AX115" si="671">AJ115/SUM(AJ114:AJ125)*AQ125</f>
        <v>2465.1888663277223</v>
      </c>
      <c r="AY115" s="252">
        <f t="shared" ref="AY115" si="672">AK115/SUM(AK114:AK125)*AR125</f>
        <v>12033.886398592467</v>
      </c>
    </row>
    <row r="116" spans="31:59">
      <c r="AE116" s="165">
        <v>32295</v>
      </c>
      <c r="AF116" s="277">
        <v>1887761</v>
      </c>
      <c r="AG116" s="277">
        <v>1152430</v>
      </c>
      <c r="AH116" s="277">
        <v>543150</v>
      </c>
      <c r="AI116" s="277">
        <v>72335</v>
      </c>
      <c r="AJ116" s="277">
        <v>226359</v>
      </c>
      <c r="AK116" s="277">
        <v>931432</v>
      </c>
      <c r="AT116" s="252">
        <f t="shared" ref="AT116" si="673">AF116/SUM(AF114:AF125)*AM125</f>
        <v>22176.301092722486</v>
      </c>
      <c r="AU116" s="252">
        <f t="shared" ref="AU116" si="674">AG116/SUM(AG114:AG125)*AN125</f>
        <v>15297.490459154422</v>
      </c>
      <c r="AV116" s="252">
        <f t="shared" ref="AV116" si="675">AH116/SUM(AH114:AH125)*AO125</f>
        <v>5165.5373660270561</v>
      </c>
      <c r="AW116" s="252">
        <f t="shared" ref="AW116" si="676">AI116/SUM(AI114:AI125)*AP125</f>
        <v>847.95773789908992</v>
      </c>
      <c r="AX116" s="252">
        <f t="shared" ref="AX116" si="677">AJ116/SUM(AJ114:AJ125)*AQ125</f>
        <v>2575.4741703501095</v>
      </c>
      <c r="AY116" s="252">
        <f t="shared" ref="AY116" si="678">AK116/SUM(AK114:AK125)*AR125</f>
        <v>13198.328977767313</v>
      </c>
    </row>
    <row r="117" spans="31:59">
      <c r="AE117" s="165">
        <v>32325</v>
      </c>
      <c r="AF117" s="277">
        <v>1976936</v>
      </c>
      <c r="AG117" s="277">
        <v>1219578</v>
      </c>
      <c r="AH117" s="277">
        <v>588132</v>
      </c>
      <c r="AI117" s="277">
        <v>72131</v>
      </c>
      <c r="AJ117" s="277">
        <v>257443</v>
      </c>
      <c r="AK117" s="277">
        <v>1178502</v>
      </c>
      <c r="AT117" s="252">
        <f t="shared" ref="AT117" si="679">AF117/SUM(AF114:AF125)*AM125</f>
        <v>23223.876315403497</v>
      </c>
      <c r="AU117" s="252">
        <f t="shared" ref="AU117" si="680">AG117/SUM(AG114:AG125)*AN125</f>
        <v>16188.820856099399</v>
      </c>
      <c r="AV117" s="252">
        <f t="shared" ref="AV117" si="681">AH117/SUM(AH114:AH125)*AO125</f>
        <v>5593.3311647909877</v>
      </c>
      <c r="AW117" s="252">
        <f t="shared" ref="AW117" si="682">AI117/SUM(AI114:AI125)*AP125</f>
        <v>845.56631772170113</v>
      </c>
      <c r="AX117" s="252">
        <f t="shared" ref="AX117" si="683">AJ117/SUM(AJ114:AJ125)*AQ125</f>
        <v>2929.1426311189007</v>
      </c>
      <c r="AY117" s="252">
        <f t="shared" ref="AY117" si="684">AK117/SUM(AK114:AK125)*AR125</f>
        <v>16699.294309146277</v>
      </c>
    </row>
    <row r="118" spans="31:59">
      <c r="AE118" s="165">
        <v>32356</v>
      </c>
      <c r="AF118" s="277">
        <v>2058994</v>
      </c>
      <c r="AG118" s="277">
        <v>1269168</v>
      </c>
      <c r="AH118" s="277">
        <v>614138</v>
      </c>
      <c r="AI118" s="277">
        <v>74195</v>
      </c>
      <c r="AJ118" s="277">
        <v>291051</v>
      </c>
      <c r="AK118" s="277">
        <v>1404011</v>
      </c>
      <c r="AT118" s="252">
        <f t="shared" ref="AT118" si="685">AF118/SUM(AF114:AF125)*AM125</f>
        <v>24187.845226227812</v>
      </c>
      <c r="AU118" s="252">
        <f t="shared" ref="AU118" si="686">AG118/SUM(AG114:AG125)*AN125</f>
        <v>16847.084309731697</v>
      </c>
      <c r="AV118" s="252">
        <f t="shared" ref="AV118" si="687">AH118/SUM(AH114:AH125)*AO125</f>
        <v>5840.6568846490372</v>
      </c>
      <c r="AW118" s="252">
        <f t="shared" ref="AW118" si="688">AI118/SUM(AI114:AI125)*AP125</f>
        <v>869.76186304586952</v>
      </c>
      <c r="AX118" s="252">
        <f t="shared" ref="AX118" si="689">AJ118/SUM(AJ114:AJ125)*AQ125</f>
        <v>3311.5287342432584</v>
      </c>
      <c r="AY118" s="252">
        <f t="shared" ref="AY118" si="690">AK118/SUM(AK114:AK125)*AR125</f>
        <v>19894.741716415221</v>
      </c>
    </row>
    <row r="119" spans="31:59">
      <c r="AE119" s="165">
        <v>32387</v>
      </c>
      <c r="AF119" s="277">
        <v>2118681</v>
      </c>
      <c r="AG119" s="277">
        <v>1310465</v>
      </c>
      <c r="AH119" s="277">
        <v>658221</v>
      </c>
      <c r="AI119" s="277">
        <v>74088</v>
      </c>
      <c r="AJ119" s="277">
        <v>325404</v>
      </c>
      <c r="AK119" s="277">
        <v>1619181</v>
      </c>
      <c r="AT119" s="252">
        <f t="shared" ref="AT119" si="691">AF119/SUM(AF114:AF125)*AM125</f>
        <v>24889.012844014876</v>
      </c>
      <c r="AU119" s="252">
        <f t="shared" ref="AU119" si="692">AG119/SUM(AG114:AG125)*AN125</f>
        <v>17395.265512487353</v>
      </c>
      <c r="AV119" s="252">
        <f t="shared" ref="AV119" si="693">AH119/SUM(AH114:AH125)*AO125</f>
        <v>6259.9008940508056</v>
      </c>
      <c r="AW119" s="252">
        <f t="shared" ref="AW119" si="694">AI119/SUM(AI114:AI125)*AP125</f>
        <v>868.50753971753329</v>
      </c>
      <c r="AX119" s="252">
        <f t="shared" ref="AX119" si="695">AJ119/SUM(AJ114:AJ125)*AQ125</f>
        <v>3702.3913205510144</v>
      </c>
      <c r="AY119" s="252">
        <f t="shared" ref="AY119" si="696">AK119/SUM(AK114:AK125)*AR125</f>
        <v>22943.68618702198</v>
      </c>
    </row>
    <row r="120" spans="31:59">
      <c r="AE120" s="165">
        <v>32417</v>
      </c>
      <c r="AF120" s="277">
        <v>2178443</v>
      </c>
      <c r="AG120" s="277">
        <v>1359771</v>
      </c>
      <c r="AH120" s="277">
        <v>648893</v>
      </c>
      <c r="AI120" s="277">
        <v>77040</v>
      </c>
      <c r="AJ120" s="277">
        <v>366158</v>
      </c>
      <c r="AK120" s="277">
        <v>1818150</v>
      </c>
      <c r="AT120" s="252">
        <f t="shared" ref="AT120" si="697">AF120/SUM(AF114:AF125)*AM125</f>
        <v>25591.061517498059</v>
      </c>
      <c r="AU120" s="252">
        <f t="shared" ref="AU120" si="698">AG120/SUM(AG114:AG125)*AN125</f>
        <v>18049.759116939742</v>
      </c>
      <c r="AV120" s="252">
        <f t="shared" ref="AV120" si="699">AH120/SUM(AH114:AH125)*AO125</f>
        <v>6171.1885078770038</v>
      </c>
      <c r="AW120" s="252">
        <f t="shared" ref="AW120" si="700">AI120/SUM(AI114:AI125)*AP125</f>
        <v>903.11279640209978</v>
      </c>
      <c r="AX120" s="252">
        <f t="shared" ref="AX120" si="701">AJ120/SUM(AJ114:AJ125)*AQ125</f>
        <v>4166.0833952573366</v>
      </c>
      <c r="AY120" s="252">
        <f t="shared" ref="AY120" si="702">AK120/SUM(AK114:AK125)*AR125</f>
        <v>25763.0635740748</v>
      </c>
    </row>
    <row r="121" spans="31:59">
      <c r="AE121" s="165">
        <v>32448</v>
      </c>
      <c r="AF121" s="277">
        <v>2144800</v>
      </c>
      <c r="AG121" s="277">
        <v>1349939</v>
      </c>
      <c r="AH121" s="277">
        <v>660912</v>
      </c>
      <c r="AI121" s="277">
        <v>76089</v>
      </c>
      <c r="AJ121" s="277">
        <v>370767</v>
      </c>
      <c r="AK121" s="277">
        <v>1879028</v>
      </c>
      <c r="AT121" s="252">
        <f t="shared" ref="AT121" si="703">AF121/SUM(AF114:AF125)*AM125</f>
        <v>25195.843427039326</v>
      </c>
      <c r="AU121" s="252">
        <f t="shared" ref="AU121" si="704">AG121/SUM(AG114:AG125)*AN125</f>
        <v>17919.248000260719</v>
      </c>
      <c r="AV121" s="252">
        <f t="shared" ref="AV121" si="705">AH121/SUM(AH114:AH125)*AO125</f>
        <v>6285.4932001393245</v>
      </c>
      <c r="AW121" s="252">
        <f t="shared" ref="AW121" si="706">AI121/SUM(AI114:AI125)*AP125</f>
        <v>891.96455822221401</v>
      </c>
      <c r="AX121" s="252">
        <f t="shared" ref="AX121" si="707">AJ121/SUM(AJ114:AJ125)*AQ125</f>
        <v>4218.5238126966415</v>
      </c>
      <c r="AY121" s="252">
        <f t="shared" ref="AY121" si="708">AK121/SUM(AK114:AK125)*AR125</f>
        <v>26625.700751569795</v>
      </c>
    </row>
    <row r="122" spans="31:59">
      <c r="AE122" s="165">
        <v>32478</v>
      </c>
      <c r="AF122" s="277">
        <v>2144179</v>
      </c>
      <c r="AG122" s="277">
        <v>1358340</v>
      </c>
      <c r="AH122" s="277">
        <v>669538</v>
      </c>
      <c r="AI122" s="277">
        <v>78129</v>
      </c>
      <c r="AJ122" s="277">
        <v>375630</v>
      </c>
      <c r="AK122" s="277">
        <v>2032772</v>
      </c>
      <c r="AT122" s="252">
        <f t="shared" ref="AT122" si="709">AF122/SUM(AF114:AF125)*AM125</f>
        <v>25188.548285875491</v>
      </c>
      <c r="AU122" s="252">
        <f t="shared" ref="AU122" si="710">AG122/SUM(AG114:AG125)*AN125</f>
        <v>18030.763855755071</v>
      </c>
      <c r="AV122" s="252">
        <f t="shared" ref="AV122" si="711">AH122/SUM(AH114:AH125)*AO125</f>
        <v>6367.5293325509037</v>
      </c>
      <c r="AW122" s="252">
        <f t="shared" ref="AW122" si="712">AI122/SUM(AI114:AI125)*AP125</f>
        <v>915.87875999610128</v>
      </c>
      <c r="AX122" s="252">
        <f t="shared" ref="AX122" si="713">AJ122/SUM(AJ114:AJ125)*AQ125</f>
        <v>4273.8541988991456</v>
      </c>
      <c r="AY122" s="252">
        <f t="shared" ref="AY122" si="714">AK122/SUM(AK114:AK125)*AR125</f>
        <v>28804.242921430676</v>
      </c>
      <c r="BA122" s="252">
        <f t="shared" ref="BA122" si="715">SUM(AT111:AT122)</f>
        <v>276009.70308196789</v>
      </c>
      <c r="BB122" s="252">
        <f t="shared" ref="BB122" si="716">SUM(AU111:AU122)</f>
        <v>187138.826864426</v>
      </c>
      <c r="BC122" s="252">
        <f t="shared" ref="BC122" si="717">SUM(AV111:AV122)</f>
        <v>68853.775936686056</v>
      </c>
      <c r="BD122" s="252">
        <f t="shared" ref="BD122" si="718">SUM(AW111:AW122)</f>
        <v>10574.240056545475</v>
      </c>
      <c r="BE122" s="252">
        <f t="shared" ref="BE122" si="719">SUM(AX111:AX122)</f>
        <v>40886.250045990455</v>
      </c>
      <c r="BF122" s="252">
        <f t="shared" ref="BF122" si="720">SUM(AY111:AY122)</f>
        <v>247349.75768353729</v>
      </c>
      <c r="BG122" s="252">
        <f t="shared" ref="BG122" si="721">SUM(BA122:BF122)</f>
        <v>830812.55366915325</v>
      </c>
    </row>
    <row r="123" spans="31:59">
      <c r="AE123" s="165">
        <v>32509</v>
      </c>
      <c r="AF123" s="277">
        <v>1523271</v>
      </c>
      <c r="AG123" s="277">
        <v>988533</v>
      </c>
      <c r="AH123" s="277">
        <v>486782</v>
      </c>
      <c r="AI123" s="277">
        <v>55223</v>
      </c>
      <c r="AJ123" s="277">
        <v>269195</v>
      </c>
      <c r="AK123" s="277">
        <v>1490656</v>
      </c>
      <c r="AT123" s="252">
        <f t="shared" ref="AT123" si="722">AF123/SUM(AF114:AF125)*AM125</f>
        <v>17894.487883695274</v>
      </c>
      <c r="AU123" s="252">
        <f t="shared" ref="AU123" si="723">AG123/SUM(AG114:AG125)*AN125</f>
        <v>13121.902532960177</v>
      </c>
      <c r="AV123" s="252">
        <f t="shared" ref="AV123" si="724">AH123/SUM(AH114:AH125)*AO125</f>
        <v>4629.4589157863984</v>
      </c>
      <c r="AW123" s="252">
        <f t="shared" ref="AW123" si="725">AI123/SUM(AI114:AI125)*AP125</f>
        <v>647.3597865487169</v>
      </c>
      <c r="AX123" s="252">
        <f t="shared" ref="AX123" si="726">AJ123/SUM(AJ114:AJ125)*AQ125</f>
        <v>3062.8548866508413</v>
      </c>
      <c r="AY123" s="252">
        <f t="shared" ref="AY123" si="727">AK123/SUM(AK114:AK125)*AR125</f>
        <v>21122.495555964055</v>
      </c>
    </row>
    <row r="124" spans="31:59">
      <c r="AE124" s="165">
        <v>32540</v>
      </c>
      <c r="AF124" s="277">
        <v>1745703</v>
      </c>
      <c r="AG124" s="277">
        <v>1194703</v>
      </c>
      <c r="AH124" s="277">
        <v>664405</v>
      </c>
      <c r="AI124" s="277">
        <v>62983</v>
      </c>
      <c r="AJ124" s="277">
        <v>299517</v>
      </c>
      <c r="AK124" s="277">
        <v>1691525</v>
      </c>
      <c r="AT124" s="252">
        <f t="shared" ref="AT124" si="728">AF124/SUM(AF114:AF125)*AM125</f>
        <v>20507.487625005982</v>
      </c>
      <c r="AU124" s="252">
        <f t="shared" ref="AU124" si="729">AG124/SUM(AG114:AG125)*AN125</f>
        <v>15858.627199936798</v>
      </c>
      <c r="AV124" s="252">
        <f t="shared" ref="AV124" si="730">AH124/SUM(AH114:AH125)*AO125</f>
        <v>6318.7127932895264</v>
      </c>
      <c r="AW124" s="252">
        <f t="shared" ref="AW124" si="731">AI124/SUM(AI114:AI125)*AP125</f>
        <v>738.32753447291589</v>
      </c>
      <c r="AX124" s="252">
        <f t="shared" ref="AX124" si="732">AJ124/SUM(AJ114:AJ125)*AQ125</f>
        <v>3407.8534411300361</v>
      </c>
      <c r="AY124" s="252">
        <f t="shared" ref="AY124" si="733">AK124/SUM(AK114:AK125)*AR125</f>
        <v>23968.795815602058</v>
      </c>
    </row>
    <row r="125" spans="31:59">
      <c r="AE125" s="165">
        <v>32568</v>
      </c>
      <c r="AF125" s="277">
        <v>1950260</v>
      </c>
      <c r="AG125" s="277">
        <v>1378683</v>
      </c>
      <c r="AH125" s="277">
        <v>740644</v>
      </c>
      <c r="AI125" s="277">
        <v>66102</v>
      </c>
      <c r="AJ125" s="277">
        <v>302553</v>
      </c>
      <c r="AK125" s="277">
        <v>1570429</v>
      </c>
      <c r="AM125" s="277">
        <v>275601</v>
      </c>
      <c r="AN125" s="277">
        <v>195915</v>
      </c>
      <c r="AO125" s="277">
        <v>69380</v>
      </c>
      <c r="AP125" s="277">
        <v>10103</v>
      </c>
      <c r="AQ125" s="277">
        <v>40300</v>
      </c>
      <c r="AR125" s="277">
        <v>246977</v>
      </c>
      <c r="AT125" s="252">
        <f t="shared" ref="AT125" si="734">AF125/SUM(AF114:AF125)*AM125</f>
        <v>22910.502425409231</v>
      </c>
      <c r="AU125" s="252">
        <f t="shared" ref="AU125" si="735">AG125/SUM(AG114:AG125)*AN125</f>
        <v>18300.799214441133</v>
      </c>
      <c r="AV125" s="252">
        <f t="shared" ref="AV125" si="736">AH125/SUM(AH114:AH125)*AO125</f>
        <v>7043.7710704662486</v>
      </c>
      <c r="AW125" s="252">
        <f t="shared" ref="AW125" si="737">AI125/SUM(AI114:AI125)*AP125</f>
        <v>774.89047336152123</v>
      </c>
      <c r="AX125" s="252">
        <f t="shared" ref="AX125" si="738">AJ125/SUM(AJ114:AJ125)*AQ125</f>
        <v>3442.3965323311054</v>
      </c>
      <c r="AY125" s="252">
        <f t="shared" ref="AY125" si="739">AK125/SUM(AK114:AK125)*AR125</f>
        <v>22252.873616352179</v>
      </c>
      <c r="AZ125" s="25">
        <f t="shared" ref="AZ125" si="740">SUM(AT114:AY125)-SUM(AM125:AR125)</f>
        <v>0</v>
      </c>
    </row>
    <row r="126" spans="31:59">
      <c r="AE126" s="165">
        <v>32599</v>
      </c>
      <c r="AF126" s="277">
        <v>2008460</v>
      </c>
      <c r="AG126" s="277">
        <v>1367658</v>
      </c>
      <c r="AH126" s="277">
        <v>556337</v>
      </c>
      <c r="AI126" s="277">
        <v>63956</v>
      </c>
      <c r="AJ126" s="277">
        <v>256101</v>
      </c>
      <c r="AK126" s="277">
        <v>911130</v>
      </c>
      <c r="AT126" s="252">
        <f t="shared" ref="AT126" si="741">AF126/SUM(AF126:AF137)*AM137</f>
        <v>21586.231304653327</v>
      </c>
      <c r="AU126" s="252">
        <f t="shared" ref="AU126" si="742">AG126/SUM(AG126:AG137)*AN137</f>
        <v>16789.171744494612</v>
      </c>
      <c r="AV126" s="252">
        <f t="shared" ref="AV126" si="743">AH126/SUM(AH126:AH137)*AO137</f>
        <v>5879.0142342357694</v>
      </c>
      <c r="AW126" s="252">
        <f t="shared" ref="AW126" si="744">AI126/SUM(AI126:AI137)*AP137</f>
        <v>910.00519734772115</v>
      </c>
      <c r="AX126" s="252">
        <f t="shared" ref="AX126" si="745">AJ126/SUM(AJ126:AJ137)*AQ137</f>
        <v>2592.8229528464321</v>
      </c>
      <c r="AY126" s="252">
        <f t="shared" ref="AY126" si="746">AK126/SUM(AK126:AK137)*AR137</f>
        <v>11952.277194233577</v>
      </c>
    </row>
    <row r="127" spans="31:59">
      <c r="AE127" s="165">
        <v>32629</v>
      </c>
      <c r="AF127" s="277">
        <v>2048238</v>
      </c>
      <c r="AG127" s="277">
        <v>1365814</v>
      </c>
      <c r="AH127" s="277">
        <v>586655</v>
      </c>
      <c r="AI127" s="277">
        <v>61366</v>
      </c>
      <c r="AJ127" s="277">
        <v>232088</v>
      </c>
      <c r="AK127" s="277">
        <v>854037</v>
      </c>
      <c r="AT127" s="252">
        <f t="shared" ref="AT127" si="747">AF127/SUM(AF126:AF137)*AM137</f>
        <v>22013.751448861574</v>
      </c>
      <c r="AU127" s="252">
        <f t="shared" ref="AU127" si="748">AG127/SUM(AG126:AG137)*AN137</f>
        <v>16766.535067272056</v>
      </c>
      <c r="AV127" s="252">
        <f t="shared" ref="AV127" si="749">AH127/SUM(AH126:AH137)*AO137</f>
        <v>6199.3955023404624</v>
      </c>
      <c r="AW127" s="252">
        <f t="shared" ref="AW127" si="750">AI127/SUM(AI126:AI137)*AP137</f>
        <v>873.15308869285536</v>
      </c>
      <c r="AX127" s="252">
        <f t="shared" ref="AX127" si="751">AJ127/SUM(AJ126:AJ137)*AQ137</f>
        <v>2349.7100498640093</v>
      </c>
      <c r="AY127" s="252">
        <f t="shared" ref="AY127" si="752">AK127/SUM(AK126:AK137)*AR137</f>
        <v>11203.326592398078</v>
      </c>
    </row>
    <row r="128" spans="31:59">
      <c r="AE128" s="165">
        <v>32660</v>
      </c>
      <c r="AF128" s="277">
        <v>2124750</v>
      </c>
      <c r="AG128" s="277">
        <v>1420636</v>
      </c>
      <c r="AH128" s="277">
        <v>593382</v>
      </c>
      <c r="AI128" s="277">
        <v>60490</v>
      </c>
      <c r="AJ128" s="277">
        <v>233633</v>
      </c>
      <c r="AK128" s="277">
        <v>960683</v>
      </c>
      <c r="AT128" s="252">
        <f t="shared" ref="AT128" si="753">AF128/SUM(AF126:AF137)*AM137</f>
        <v>22836.075881303164</v>
      </c>
      <c r="AU128" s="252">
        <f t="shared" ref="AU128" si="754">AG128/SUM(AG126:AG137)*AN137</f>
        <v>17439.522007996038</v>
      </c>
      <c r="AV128" s="252">
        <f t="shared" ref="AV128" si="755">AH128/SUM(AH126:AH137)*AO137</f>
        <v>6270.4821436274942</v>
      </c>
      <c r="AW128" s="252">
        <f t="shared" ref="AW128" si="756">AI128/SUM(AI126:AI137)*AP137</f>
        <v>860.68882337175023</v>
      </c>
      <c r="AX128" s="252">
        <f t="shared" ref="AX128" si="757">AJ128/SUM(AJ126:AJ137)*AQ137</f>
        <v>2365.3519702866074</v>
      </c>
      <c r="AY128" s="252">
        <f t="shared" ref="AY128" si="758">AK128/SUM(AK126:AK137)*AR137</f>
        <v>12602.317464892931</v>
      </c>
    </row>
    <row r="129" spans="31:59">
      <c r="AE129" s="165">
        <v>32690</v>
      </c>
      <c r="AF129" s="277">
        <v>2218563</v>
      </c>
      <c r="AG129" s="277">
        <v>1493909</v>
      </c>
      <c r="AH129" s="277">
        <v>634669</v>
      </c>
      <c r="AI129" s="277">
        <v>60575</v>
      </c>
      <c r="AJ129" s="277">
        <v>259015</v>
      </c>
      <c r="AK129" s="277">
        <v>1197629</v>
      </c>
      <c r="AT129" s="252">
        <f t="shared" ref="AT129" si="759">AF129/SUM(AF126:AF137)*AM137</f>
        <v>23844.345459678356</v>
      </c>
      <c r="AU129" s="252">
        <f t="shared" ref="AU129" si="760">AG129/SUM(AG126:AG137)*AN137</f>
        <v>18339.010755354189</v>
      </c>
      <c r="AV129" s="252">
        <f t="shared" ref="AV129" si="761">AH129/SUM(AH126:AH137)*AO137</f>
        <v>6706.7768008027169</v>
      </c>
      <c r="AW129" s="252">
        <f t="shared" ref="AW129" si="762">AI129/SUM(AI126:AI137)*AP137</f>
        <v>861.8982555090721</v>
      </c>
      <c r="AX129" s="252">
        <f t="shared" ref="AX129" si="763">AJ129/SUM(AJ126:AJ137)*AQ137</f>
        <v>2622.3249309120961</v>
      </c>
      <c r="AY129" s="252">
        <f t="shared" ref="AY129" si="764">AK129/SUM(AK126:AK137)*AR137</f>
        <v>15710.59429922488</v>
      </c>
    </row>
    <row r="130" spans="31:59">
      <c r="AE130" s="165">
        <v>32721</v>
      </c>
      <c r="AF130" s="277">
        <v>2282982</v>
      </c>
      <c r="AG130" s="277">
        <v>1554158</v>
      </c>
      <c r="AH130" s="277">
        <v>641099</v>
      </c>
      <c r="AI130" s="277">
        <v>62465</v>
      </c>
      <c r="AJ130" s="277">
        <v>298474</v>
      </c>
      <c r="AK130" s="277">
        <v>1453145</v>
      </c>
      <c r="AT130" s="252">
        <f t="shared" ref="AT130" si="765">AF130/SUM(AF126:AF137)*AM137</f>
        <v>24536.698523425934</v>
      </c>
      <c r="AU130" s="252">
        <f t="shared" ref="AU130" si="766">AG130/SUM(AG126:AG137)*AN137</f>
        <v>19078.618762936534</v>
      </c>
      <c r="AV130" s="252">
        <f t="shared" ref="AV130" si="767">AH130/SUM(AH126:AH137)*AO137</f>
        <v>6774.7249357032124</v>
      </c>
      <c r="AW130" s="252">
        <f t="shared" ref="AW130" si="768">AI130/SUM(AI126:AI137)*AP137</f>
        <v>888.79033479775785</v>
      </c>
      <c r="AX130" s="252">
        <f t="shared" ref="AX130" si="769">AJ130/SUM(AJ126:AJ137)*AQ137</f>
        <v>3021.8165412391436</v>
      </c>
      <c r="AY130" s="252">
        <f t="shared" ref="AY130" si="770">AK130/SUM(AK126:AK137)*AR137</f>
        <v>19062.473898800996</v>
      </c>
    </row>
    <row r="131" spans="31:59">
      <c r="AE131" s="165">
        <v>32752</v>
      </c>
      <c r="AF131" s="277">
        <v>2325549</v>
      </c>
      <c r="AG131" s="277">
        <v>1614372</v>
      </c>
      <c r="AH131" s="277">
        <v>652367</v>
      </c>
      <c r="AI131" s="277">
        <v>65176</v>
      </c>
      <c r="AJ131" s="277">
        <v>343652</v>
      </c>
      <c r="AK131" s="277">
        <v>1713631</v>
      </c>
      <c r="AT131" s="252">
        <f t="shared" ref="AT131" si="771">AF131/SUM(AF126:AF137)*AM137</f>
        <v>24994.193872073745</v>
      </c>
      <c r="AU131" s="252">
        <f t="shared" ref="AU131" si="772">AG131/SUM(AG126:AG137)*AN137</f>
        <v>19817.797115582442</v>
      </c>
      <c r="AV131" s="252">
        <f t="shared" ref="AV131" si="773">AH131/SUM(AH126:AH137)*AO137</f>
        <v>6893.7979658834238</v>
      </c>
      <c r="AW131" s="252">
        <f t="shared" ref="AW131" si="774">AI131/SUM(AI126:AI137)*AP137</f>
        <v>927.36410567163489</v>
      </c>
      <c r="AX131" s="252">
        <f t="shared" ref="AX131" si="775">AJ131/SUM(AJ126:AJ137)*AQ137</f>
        <v>3479.20856768065</v>
      </c>
      <c r="AY131" s="252">
        <f t="shared" ref="AY131" si="776">AK131/SUM(AK126:AK137)*AR137</f>
        <v>22479.550361234596</v>
      </c>
    </row>
    <row r="132" spans="31:59">
      <c r="AE132" s="165">
        <v>32782</v>
      </c>
      <c r="AF132" s="277">
        <v>2368168</v>
      </c>
      <c r="AG132" s="277">
        <v>1667511</v>
      </c>
      <c r="AH132" s="277">
        <v>659937</v>
      </c>
      <c r="AI132" s="277">
        <v>69912</v>
      </c>
      <c r="AJ132" s="277">
        <v>394932</v>
      </c>
      <c r="AK132" s="277">
        <v>1964178</v>
      </c>
      <c r="AT132" s="252">
        <f t="shared" ref="AT132" si="777">AF132/SUM(AF126:AF137)*AM137</f>
        <v>25452.248098681703</v>
      </c>
      <c r="AU132" s="252">
        <f t="shared" ref="AU132" si="778">AG132/SUM(AG126:AG137)*AN137</f>
        <v>20470.12379179148</v>
      </c>
      <c r="AV132" s="252">
        <f t="shared" ref="AV132" si="779">AH132/SUM(AH126:AH137)*AO137</f>
        <v>6973.792892974674</v>
      </c>
      <c r="AW132" s="252">
        <f t="shared" ref="AW132" si="780">AI132/SUM(AI126:AI137)*AP137</f>
        <v>994.75081864053232</v>
      </c>
      <c r="AX132" s="252">
        <f t="shared" ref="AX132" si="781">AJ132/SUM(AJ126:AJ137)*AQ137</f>
        <v>3998.3785866261637</v>
      </c>
      <c r="AY132" s="252">
        <f t="shared" ref="AY132" si="782">AK132/SUM(AK126:AK137)*AR137</f>
        <v>25766.246216034284</v>
      </c>
    </row>
    <row r="133" spans="31:59">
      <c r="AE133" s="165">
        <v>32813</v>
      </c>
      <c r="AF133" s="277">
        <v>2316669</v>
      </c>
      <c r="AG133" s="277">
        <v>1653331</v>
      </c>
      <c r="AH133" s="277">
        <v>678794</v>
      </c>
      <c r="AI133" s="277">
        <v>70915</v>
      </c>
      <c r="AJ133" s="277">
        <v>409394</v>
      </c>
      <c r="AK133" s="277">
        <v>2046248</v>
      </c>
      <c r="AT133" s="252">
        <f t="shared" ref="AT133" si="783">AF133/SUM(AF126:AF137)*AM137</f>
        <v>24898.754712725131</v>
      </c>
      <c r="AU133" s="252">
        <f t="shared" ref="AU133" si="784">AG133/SUM(AG126:AG137)*AN137</f>
        <v>20296.052163257933</v>
      </c>
      <c r="AV133" s="252">
        <f t="shared" ref="AV133" si="785">AH133/SUM(AH126:AH137)*AO137</f>
        <v>7173.0616301159816</v>
      </c>
      <c r="AW133" s="252">
        <f t="shared" ref="AW133" si="786">AI133/SUM(AI126:AI137)*AP137</f>
        <v>1009.0221178609302</v>
      </c>
      <c r="AX133" s="252">
        <f t="shared" ref="AX133" si="787">AJ133/SUM(AJ126:AJ137)*AQ137</f>
        <v>4144.7950611579499</v>
      </c>
      <c r="AY133" s="252">
        <f t="shared" ref="AY133" si="788">AK133/SUM(AK126:AK137)*AR137</f>
        <v>26842.847128451554</v>
      </c>
    </row>
    <row r="134" spans="31:59">
      <c r="AE134" s="165">
        <v>32843</v>
      </c>
      <c r="AF134" s="277">
        <v>2326159</v>
      </c>
      <c r="AG134" s="277">
        <v>1655505</v>
      </c>
      <c r="AH134" s="277">
        <v>685853</v>
      </c>
      <c r="AI134" s="277">
        <v>73277</v>
      </c>
      <c r="AJ134" s="277">
        <v>421632</v>
      </c>
      <c r="AK134" s="277">
        <v>2218413</v>
      </c>
      <c r="AT134" s="252">
        <f t="shared" ref="AT134" si="789">AF134/SUM(AF126:AF137)*AM137</f>
        <v>25000.749940452424</v>
      </c>
      <c r="AU134" s="252">
        <f t="shared" ref="AU134" si="790">AG134/SUM(AG126:AG137)*AN137</f>
        <v>20322.739872738326</v>
      </c>
      <c r="AV134" s="252">
        <f t="shared" ref="AV134" si="791">AH134/SUM(AH126:AH137)*AO137</f>
        <v>7247.656635444534</v>
      </c>
      <c r="AW134" s="252">
        <f t="shared" ref="AW134" si="792">AI134/SUM(AI126:AI137)*AP137</f>
        <v>1042.6301026650972</v>
      </c>
      <c r="AX134" s="252">
        <f t="shared" ref="AX134" si="793">AJ134/SUM(AJ126:AJ137)*AQ137</f>
        <v>4268.6952696574663</v>
      </c>
      <c r="AY134" s="252">
        <f t="shared" ref="AY134" si="794">AK134/SUM(AK126:AK137)*AR137</f>
        <v>29101.321553775302</v>
      </c>
      <c r="BA134" s="252">
        <f t="shared" ref="BA134" si="795">SUM(AT123:AT134)</f>
        <v>276475.52717596584</v>
      </c>
      <c r="BB134" s="252">
        <f t="shared" ref="BB134" si="796">SUM(AU123:AU134)</f>
        <v>216600.90022876172</v>
      </c>
      <c r="BC134" s="252">
        <f t="shared" ref="BC134" si="797">SUM(AV123:AV134)</f>
        <v>78110.645520670441</v>
      </c>
      <c r="BD134" s="252">
        <f t="shared" ref="BD134" si="798">SUM(AW123:AW134)</f>
        <v>10528.880638940507</v>
      </c>
      <c r="BE134" s="252">
        <f t="shared" ref="BE134" si="799">SUM(AX123:AX134)</f>
        <v>38756.208790382501</v>
      </c>
      <c r="BF134" s="252">
        <f t="shared" ref="BF134" si="800">SUM(AY123:AY134)</f>
        <v>242065.11969696454</v>
      </c>
      <c r="BG134" s="252">
        <f t="shared" ref="BG134" si="801">SUM(BA134:BF134)</f>
        <v>862537.2820516855</v>
      </c>
    </row>
    <row r="135" spans="31:59">
      <c r="AE135" s="165">
        <v>32874</v>
      </c>
      <c r="AF135" s="277">
        <v>1663609</v>
      </c>
      <c r="AG135" s="277">
        <v>1210850</v>
      </c>
      <c r="AH135" s="277">
        <v>502228</v>
      </c>
      <c r="AI135" s="277">
        <v>54200</v>
      </c>
      <c r="AJ135" s="277">
        <v>302769</v>
      </c>
      <c r="AK135" s="277">
        <v>1622701</v>
      </c>
      <c r="AT135" s="252">
        <f t="shared" ref="AT135" si="802">AF135/SUM(AF126:AF137)*AM137</f>
        <v>17879.89239243152</v>
      </c>
      <c r="AU135" s="252">
        <f t="shared" ref="AU135" si="803">AG135/SUM(AG126:AG137)*AN137</f>
        <v>14864.219422415032</v>
      </c>
      <c r="AV135" s="252">
        <f t="shared" ref="AV135" si="804">AH135/SUM(AH126:AH137)*AO137</f>
        <v>5307.2248669992505</v>
      </c>
      <c r="AW135" s="252">
        <f t="shared" ref="AW135" si="805">AI135/SUM(AI126:AI137)*AP137</f>
        <v>771.19084520993317</v>
      </c>
      <c r="AX135" s="252">
        <f t="shared" ref="AX135" si="806">AJ135/SUM(AJ126:AJ137)*AQ137</f>
        <v>3065.300067591932</v>
      </c>
      <c r="AY135" s="252">
        <f t="shared" ref="AY135" si="807">AK135/SUM(AK126:AK137)*AR137</f>
        <v>21286.723250644824</v>
      </c>
    </row>
    <row r="136" spans="31:59">
      <c r="AE136" s="165">
        <v>32905</v>
      </c>
      <c r="AF136" s="277">
        <v>1920653</v>
      </c>
      <c r="AG136" s="277">
        <v>1454504</v>
      </c>
      <c r="AH136" s="277">
        <v>627134</v>
      </c>
      <c r="AI136" s="277">
        <v>62640</v>
      </c>
      <c r="AJ136" s="277">
        <v>343568</v>
      </c>
      <c r="AK136" s="277">
        <v>1915743</v>
      </c>
      <c r="AT136" s="252">
        <f t="shared" ref="AT136" si="808">AF136/SUM(AF126:AF137)*AM137</f>
        <v>20642.512130675404</v>
      </c>
      <c r="AU136" s="252">
        <f t="shared" ref="AU136" si="809">AG136/SUM(AG126:AG137)*AN137</f>
        <v>17855.280676202961</v>
      </c>
      <c r="AV136" s="252">
        <f t="shared" ref="AV136" si="810">AH136/SUM(AH126:AH137)*AO137</f>
        <v>6627.1517313664472</v>
      </c>
      <c r="AW136" s="252">
        <f t="shared" ref="AW136" si="811">AI136/SUM(AI126:AI137)*AP137</f>
        <v>891.28034213930289</v>
      </c>
      <c r="AX136" s="252">
        <f t="shared" ref="AX136" si="812">AJ136/SUM(AJ126:AJ137)*AQ137</f>
        <v>3478.3581331722366</v>
      </c>
      <c r="AY136" s="252">
        <f t="shared" ref="AY136" si="813">AK136/SUM(AK126:AK137)*AR137</f>
        <v>25130.871959997599</v>
      </c>
    </row>
    <row r="137" spans="31:59">
      <c r="AE137" s="165">
        <v>32933</v>
      </c>
      <c r="AF137" s="277">
        <v>2144519</v>
      </c>
      <c r="AG137" s="277">
        <v>1646967</v>
      </c>
      <c r="AH137" s="277">
        <v>692029</v>
      </c>
      <c r="AI137" s="277">
        <v>67345</v>
      </c>
      <c r="AJ137" s="277">
        <v>348396</v>
      </c>
      <c r="AK137" s="277">
        <v>1747546</v>
      </c>
      <c r="AM137" s="277">
        <v>276734</v>
      </c>
      <c r="AN137" s="277">
        <v>222257</v>
      </c>
      <c r="AO137" s="277">
        <v>79366</v>
      </c>
      <c r="AP137" s="277">
        <v>10989</v>
      </c>
      <c r="AQ137" s="277">
        <v>38914</v>
      </c>
      <c r="AR137" s="277">
        <v>244063</v>
      </c>
      <c r="AT137" s="252">
        <f t="shared" ref="AT137" si="814">AF137/SUM(AF126:AF137)*AM137</f>
        <v>23048.546235037713</v>
      </c>
      <c r="AU137" s="252">
        <f t="shared" ref="AU137" si="815">AG137/SUM(AG126:AG137)*AN137</f>
        <v>20217.928619958395</v>
      </c>
      <c r="AV137" s="252">
        <f t="shared" ref="AV137" si="816">AH137/SUM(AH126:AH137)*AO137</f>
        <v>7312.9206605060344</v>
      </c>
      <c r="AW137" s="252">
        <f t="shared" ref="AW137" si="817">AI137/SUM(AI126:AI137)*AP137</f>
        <v>958.22596809341235</v>
      </c>
      <c r="AX137" s="252">
        <f t="shared" ref="AX137" si="818">AJ137/SUM(AJ126:AJ137)*AQ137</f>
        <v>3527.2378689653124</v>
      </c>
      <c r="AY137" s="252">
        <f t="shared" ref="AY137" si="819">AK137/SUM(AK126:AK137)*AR137</f>
        <v>22924.450080311384</v>
      </c>
      <c r="AZ137" s="25">
        <f t="shared" ref="AZ137" si="820">SUM(AT126:AY137)-SUM(AM137:AR137)</f>
        <v>0</v>
      </c>
    </row>
    <row r="138" spans="31:59">
      <c r="AE138" s="165">
        <v>32964</v>
      </c>
      <c r="AF138" s="277">
        <v>2185135</v>
      </c>
      <c r="AG138" s="277">
        <v>1652323</v>
      </c>
      <c r="AH138" s="277">
        <v>617606</v>
      </c>
      <c r="AI138" s="277">
        <v>65302</v>
      </c>
      <c r="AJ138" s="277">
        <v>297465</v>
      </c>
      <c r="AK138" s="277">
        <v>1025760</v>
      </c>
      <c r="AT138" s="252">
        <f t="shared" ref="AT138" si="821">AF138/SUM(AF138:AF149)*AM149</f>
        <v>22421.741381195687</v>
      </c>
      <c r="AU138" s="252">
        <f t="shared" ref="AU138" si="822">AG138/SUM(AG138:AG149)*AN149</f>
        <v>18983.889786139054</v>
      </c>
      <c r="AV138" s="252">
        <f t="shared" ref="AV138" si="823">AH138/SUM(AH138:AH149)*AO149</f>
        <v>7432.7006883110171</v>
      </c>
      <c r="AW138" s="252">
        <f t="shared" ref="AW138" si="824">AI138/SUM(AI138:AI149)*AP149</f>
        <v>894.84614837082495</v>
      </c>
      <c r="AX138" s="252">
        <f t="shared" ref="AX138" si="825">AJ138/SUM(AJ138:AJ149)*AQ149</f>
        <v>3041.7495429520868</v>
      </c>
      <c r="AY138" s="252">
        <f t="shared" ref="AY138" si="826">AK138/SUM(AK138:AK149)*AR149</f>
        <v>13166.924628411385</v>
      </c>
    </row>
    <row r="139" spans="31:59">
      <c r="AE139" s="165">
        <v>32994</v>
      </c>
      <c r="AF139" s="277">
        <v>2364809</v>
      </c>
      <c r="AG139" s="277">
        <v>1675383</v>
      </c>
      <c r="AH139" s="277">
        <v>640234</v>
      </c>
      <c r="AI139" s="277">
        <v>62519</v>
      </c>
      <c r="AJ139" s="277">
        <v>260608</v>
      </c>
      <c r="AK139" s="277">
        <v>943787</v>
      </c>
      <c r="AT139" s="252">
        <f t="shared" ref="AT139" si="827">AF139/SUM(AF138:AF149)*AM149</f>
        <v>24265.382145233129</v>
      </c>
      <c r="AU139" s="252">
        <f t="shared" ref="AU139" si="828">AG139/SUM(AG138:AG149)*AN149</f>
        <v>19248.831022488343</v>
      </c>
      <c r="AV139" s="252">
        <f t="shared" ref="AV139" si="829">AH139/SUM(AH138:AH149)*AO149</f>
        <v>7705.0217978454148</v>
      </c>
      <c r="AW139" s="252">
        <f t="shared" ref="AW139" si="830">AI139/SUM(AI138:AI149)*AP149</f>
        <v>856.71015206265679</v>
      </c>
      <c r="AX139" s="252">
        <f t="shared" ref="AX139" si="831">AJ139/SUM(AJ138:AJ149)*AQ149</f>
        <v>2664.8656644971929</v>
      </c>
      <c r="AY139" s="252">
        <f t="shared" ref="AY139" si="832">AK139/SUM(AK138:AK149)*AR149</f>
        <v>12114.697681986523</v>
      </c>
    </row>
    <row r="140" spans="31:59">
      <c r="AE140" s="165">
        <v>33025</v>
      </c>
      <c r="AF140" s="277">
        <v>2483299</v>
      </c>
      <c r="AG140" s="277">
        <v>1734800</v>
      </c>
      <c r="AH140" s="277">
        <v>635813</v>
      </c>
      <c r="AI140" s="277">
        <v>61524</v>
      </c>
      <c r="AJ140" s="277">
        <v>256387</v>
      </c>
      <c r="AK140" s="277">
        <v>1008701</v>
      </c>
      <c r="AT140" s="252">
        <f t="shared" ref="AT140" si="833">AF140/SUM(AF138:AF149)*AM149</f>
        <v>25481.211893169926</v>
      </c>
      <c r="AU140" s="252">
        <f t="shared" ref="AU140" si="834">AG140/SUM(AG138:AG149)*AN149</f>
        <v>19931.485551550169</v>
      </c>
      <c r="AV140" s="252">
        <f t="shared" ref="AV140" si="835">AH140/SUM(AH138:AH149)*AO149</f>
        <v>7651.8164051791791</v>
      </c>
      <c r="AW140" s="252">
        <f t="shared" ref="AW140" si="836">AI140/SUM(AI138:AI149)*AP149</f>
        <v>843.07547138474536</v>
      </c>
      <c r="AX140" s="252">
        <f t="shared" ref="AX140" si="837">AJ140/SUM(AJ138:AJ149)*AQ149</f>
        <v>2621.7035283776468</v>
      </c>
      <c r="AY140" s="252">
        <f t="shared" ref="AY140" si="838">AK140/SUM(AK138:AK149)*AR149</f>
        <v>12947.950826317263</v>
      </c>
    </row>
    <row r="141" spans="31:59">
      <c r="AE141" s="165">
        <v>33055</v>
      </c>
      <c r="AF141" s="277">
        <v>2559464</v>
      </c>
      <c r="AG141" s="277">
        <v>1833759</v>
      </c>
      <c r="AH141" s="277">
        <v>633057</v>
      </c>
      <c r="AI141" s="277">
        <v>63083</v>
      </c>
      <c r="AJ141" s="277">
        <v>270251</v>
      </c>
      <c r="AK141" s="277">
        <v>1238063</v>
      </c>
      <c r="AT141" s="252">
        <f t="shared" ref="AT141" si="839">AF141/SUM(AF138:AF149)*AM149</f>
        <v>26262.74343803959</v>
      </c>
      <c r="AU141" s="252">
        <f t="shared" ref="AU141" si="840">AG141/SUM(AG138:AG149)*AN149</f>
        <v>21068.446514598276</v>
      </c>
      <c r="AV141" s="252">
        <f t="shared" ref="AV141" si="841">AH141/SUM(AH138:AH149)*AO149</f>
        <v>7618.6487819744416</v>
      </c>
      <c r="AW141" s="252">
        <f t="shared" ref="AW141" si="842">AI141/SUM(AI138:AI149)*AP149</f>
        <v>864.43875497958345</v>
      </c>
      <c r="AX141" s="252">
        <f t="shared" ref="AX141" si="843">AJ141/SUM(AJ138:AJ149)*AQ149</f>
        <v>2763.4708477714835</v>
      </c>
      <c r="AY141" s="252">
        <f t="shared" ref="AY141" si="844">AK141/SUM(AK138:AK149)*AR149</f>
        <v>15892.10166727586</v>
      </c>
    </row>
    <row r="142" spans="31:59">
      <c r="AE142" s="165">
        <v>33086</v>
      </c>
      <c r="AF142" s="277">
        <v>2595855</v>
      </c>
      <c r="AG142" s="277">
        <v>1929627</v>
      </c>
      <c r="AH142" s="277">
        <v>655190</v>
      </c>
      <c r="AI142" s="277">
        <v>66776</v>
      </c>
      <c r="AJ142" s="277">
        <v>309931</v>
      </c>
      <c r="AK142" s="277">
        <v>1491517</v>
      </c>
      <c r="AT142" s="252">
        <f t="shared" ref="AT142" si="845">AF142/SUM(AF138:AF149)*AM149</f>
        <v>26636.152673900575</v>
      </c>
      <c r="AU142" s="252">
        <f t="shared" ref="AU142" si="846">AG142/SUM(AG138:AG149)*AN149</f>
        <v>22169.894322331736</v>
      </c>
      <c r="AV142" s="252">
        <f t="shared" ref="AV142" si="847">AH142/SUM(AH138:AH149)*AO149</f>
        <v>7885.0127168040699</v>
      </c>
      <c r="AW142" s="252">
        <f t="shared" ref="AW142" si="848">AI142/SUM(AI138:AI149)*AP149</f>
        <v>915.04466024945964</v>
      </c>
      <c r="AX142" s="252">
        <f t="shared" ref="AX142" si="849">AJ142/SUM(AJ138:AJ149)*AQ149</f>
        <v>3169.2215137803882</v>
      </c>
      <c r="AY142" s="252">
        <f t="shared" ref="AY142" si="850">AK142/SUM(AK138:AK149)*AR149</f>
        <v>19145.503744535043</v>
      </c>
    </row>
    <row r="143" spans="31:59">
      <c r="AE143" s="165">
        <v>33117</v>
      </c>
      <c r="AF143" s="277">
        <v>2597923</v>
      </c>
      <c r="AG143" s="277">
        <v>1991964</v>
      </c>
      <c r="AH143" s="277">
        <v>678794</v>
      </c>
      <c r="AI143" s="277">
        <v>70751</v>
      </c>
      <c r="AJ143" s="277">
        <v>367911</v>
      </c>
      <c r="AK143" s="277">
        <v>1714804</v>
      </c>
      <c r="AT143" s="252">
        <f t="shared" ref="AT143" si="851">AF143/SUM(AF138:AF149)*AM149</f>
        <v>26657.372489232956</v>
      </c>
      <c r="AU143" s="252">
        <f t="shared" ref="AU143" si="852">AG143/SUM(AG138:AG149)*AN149</f>
        <v>22886.097351399636</v>
      </c>
      <c r="AV143" s="252">
        <f t="shared" ref="AV143" si="853">AH143/SUM(AH138:AH149)*AO149</f>
        <v>8169.0796899987827</v>
      </c>
      <c r="AW143" s="252">
        <f t="shared" ref="AW143" si="854">AI143/SUM(AI138:AI149)*AP149</f>
        <v>969.51486697779922</v>
      </c>
      <c r="AX143" s="252">
        <f t="shared" ref="AX143" si="855">AJ143/SUM(AJ138:AJ149)*AQ149</f>
        <v>3762.1001331149719</v>
      </c>
      <c r="AY143" s="252">
        <f t="shared" ref="AY143" si="856">AK143/SUM(AK138:AK149)*AR149</f>
        <v>22011.674290768169</v>
      </c>
    </row>
    <row r="144" spans="31:59">
      <c r="AE144" s="165">
        <v>33147</v>
      </c>
      <c r="AF144" s="277">
        <v>2609552</v>
      </c>
      <c r="AG144" s="277">
        <v>2010337</v>
      </c>
      <c r="AH144" s="277">
        <v>704957</v>
      </c>
      <c r="AI144" s="277">
        <v>75592</v>
      </c>
      <c r="AJ144" s="277">
        <v>412633</v>
      </c>
      <c r="AK144" s="277">
        <v>1997350</v>
      </c>
      <c r="AT144" s="252">
        <f t="shared" ref="AT144" si="857">AF144/SUM(AF138:AF149)*AM149</f>
        <v>26776.69803686361</v>
      </c>
      <c r="AU144" s="252">
        <f t="shared" ref="AU144" si="858">AG144/SUM(AG138:AG149)*AN149</f>
        <v>23097.188649554253</v>
      </c>
      <c r="AV144" s="252">
        <f t="shared" ref="AV144" si="859">AH144/SUM(AH138:AH149)*AO149</f>
        <v>8483.9434512126973</v>
      </c>
      <c r="AW144" s="252">
        <f t="shared" ref="AW144" si="860">AI144/SUM(AI138:AI149)*AP149</f>
        <v>1035.8520420147531</v>
      </c>
      <c r="AX144" s="252">
        <f t="shared" ref="AX144" si="861">AJ144/SUM(AJ138:AJ149)*AQ149</f>
        <v>4219.4081292150286</v>
      </c>
      <c r="AY144" s="252">
        <f t="shared" ref="AY144" si="862">AK144/SUM(AK138:AK149)*AR149</f>
        <v>25638.508916859191</v>
      </c>
    </row>
    <row r="145" spans="31:59">
      <c r="AE145" s="165">
        <v>33178</v>
      </c>
      <c r="AF145" s="277">
        <v>2519303</v>
      </c>
      <c r="AG145" s="277">
        <v>1962067</v>
      </c>
      <c r="AH145" s="277">
        <v>709272</v>
      </c>
      <c r="AI145" s="277">
        <v>78826</v>
      </c>
      <c r="AJ145" s="277">
        <v>430424</v>
      </c>
      <c r="AK145" s="277">
        <v>2166010</v>
      </c>
      <c r="AT145" s="252">
        <f t="shared" ref="AT145" si="863">AF145/SUM(AF138:AF149)*AM149</f>
        <v>25850.650109430509</v>
      </c>
      <c r="AU145" s="252">
        <f t="shared" ref="AU145" si="864">AG145/SUM(AG138:AG149)*AN149</f>
        <v>22542.604370344357</v>
      </c>
      <c r="AV145" s="252">
        <f t="shared" ref="AV145" si="865">AH145/SUM(AH138:AH149)*AO149</f>
        <v>8535.8731660633657</v>
      </c>
      <c r="AW145" s="252">
        <f t="shared" ref="AW145" si="866">AI145/SUM(AI138:AI149)*AP149</f>
        <v>1080.1681800171305</v>
      </c>
      <c r="AX145" s="252">
        <f t="shared" ref="AX145" si="867">AJ145/SUM(AJ138:AJ149)*AQ149</f>
        <v>4401.3312667897362</v>
      </c>
      <c r="AY145" s="252">
        <f t="shared" ref="AY145" si="868">AK145/SUM(AK138:AK149)*AR149</f>
        <v>27803.472951163378</v>
      </c>
    </row>
    <row r="146" spans="31:59">
      <c r="AE146" s="165">
        <v>33208</v>
      </c>
      <c r="AF146" s="277">
        <v>2512706</v>
      </c>
      <c r="AG146" s="277">
        <v>1973452</v>
      </c>
      <c r="AH146" s="277">
        <v>693835</v>
      </c>
      <c r="AI146" s="277">
        <v>82565</v>
      </c>
      <c r="AJ146" s="277">
        <v>443034</v>
      </c>
      <c r="AK146" s="277">
        <v>2428621</v>
      </c>
      <c r="AT146" s="252">
        <f t="shared" ref="AT146" si="869">AF146/SUM(AF138:AF149)*AM149</f>
        <v>25782.958077637628</v>
      </c>
      <c r="AU146" s="252">
        <f t="shared" ref="AU146" si="870">AG146/SUM(AG138:AG149)*AN149</f>
        <v>22673.409052731029</v>
      </c>
      <c r="AV146" s="252">
        <f t="shared" ref="AV146" si="871">AH146/SUM(AH138:AH149)*AO149</f>
        <v>8350.0935581491667</v>
      </c>
      <c r="AW146" s="252">
        <f t="shared" ref="AW146" si="872">AI146/SUM(AI138:AI149)*AP149</f>
        <v>1131.4044323334228</v>
      </c>
      <c r="AX146" s="252">
        <f t="shared" ref="AX146" si="873">AJ146/SUM(AJ138:AJ149)*AQ149</f>
        <v>4530.2757198737154</v>
      </c>
      <c r="AY146" s="252">
        <f t="shared" ref="AY146" si="874">AK146/SUM(AK138:AK149)*AR149</f>
        <v>31174.416684192292</v>
      </c>
      <c r="BA146" s="252">
        <f t="shared" ref="BA146" si="875">SUM(AT135:AT146)</f>
        <v>291705.86100284825</v>
      </c>
      <c r="BB146" s="252">
        <f t="shared" ref="BB146" si="876">SUM(AU135:AU146)</f>
        <v>245539.27533971323</v>
      </c>
      <c r="BC146" s="252">
        <f t="shared" ref="BC146" si="877">SUM(AV135:AV146)</f>
        <v>91079.487514409862</v>
      </c>
      <c r="BD146" s="252">
        <f t="shared" ref="BD146" si="878">SUM(AW135:AW146)</f>
        <v>11211.751863833022</v>
      </c>
      <c r="BE146" s="252">
        <f t="shared" ref="BE146" si="879">SUM(AX135:AX146)</f>
        <v>41245.022416101732</v>
      </c>
      <c r="BF146" s="252">
        <f t="shared" ref="BF146" si="880">SUM(AY135:AY146)</f>
        <v>249237.29668246288</v>
      </c>
      <c r="BG146" s="252">
        <f t="shared" ref="BG146" si="881">SUM(BA146:BF146)</f>
        <v>930018.694819369</v>
      </c>
    </row>
    <row r="147" spans="31:59">
      <c r="AE147" s="165">
        <v>33239</v>
      </c>
      <c r="AF147" s="277">
        <v>1904360</v>
      </c>
      <c r="AG147" s="277">
        <v>1534288</v>
      </c>
      <c r="AH147" s="277">
        <v>536526</v>
      </c>
      <c r="AI147" s="277">
        <v>64764</v>
      </c>
      <c r="AJ147" s="277">
        <v>326704</v>
      </c>
      <c r="AK147" s="277">
        <v>1862608</v>
      </c>
      <c r="AT147" s="252">
        <f t="shared" ref="AT147" si="882">AF147/SUM(AF138:AF149)*AM149</f>
        <v>19540.699964392963</v>
      </c>
      <c r="AU147" s="252">
        <f t="shared" ref="AU147" si="883">AG147/SUM(AG138:AG149)*AN149</f>
        <v>17627.760608667748</v>
      </c>
      <c r="AV147" s="252">
        <f t="shared" ref="AV147" si="884">AH147/SUM(AH138:AH149)*AO149</f>
        <v>6456.9275063661244</v>
      </c>
      <c r="AW147" s="252">
        <f t="shared" ref="AW147" si="885">AI147/SUM(AI138:AI149)*AP149</f>
        <v>887.4738285670901</v>
      </c>
      <c r="AX147" s="252">
        <f t="shared" ref="AX147" si="886">AJ147/SUM(AJ138:AJ149)*AQ149</f>
        <v>3340.735019853154</v>
      </c>
      <c r="AY147" s="252">
        <f t="shared" ref="AY147" si="887">AK147/SUM(AK138:AK149)*AR149</f>
        <v>23908.925234242</v>
      </c>
    </row>
    <row r="148" spans="31:59">
      <c r="AE148" s="165">
        <v>33270</v>
      </c>
      <c r="AF148" s="277">
        <v>2026451</v>
      </c>
      <c r="AG148" s="277">
        <v>1720970</v>
      </c>
      <c r="AH148" s="277">
        <v>577978</v>
      </c>
      <c r="AI148" s="277">
        <v>71365</v>
      </c>
      <c r="AJ148" s="277">
        <v>328090</v>
      </c>
      <c r="AK148" s="277">
        <v>1689338</v>
      </c>
      <c r="AT148" s="252">
        <f t="shared" ref="AT148" si="888">AF148/SUM(AF138:AF149)*AM149</f>
        <v>20793.479690575357</v>
      </c>
      <c r="AU148" s="252">
        <f t="shared" ref="AU148" si="889">AG148/SUM(AG138:AG149)*AN149</f>
        <v>19772.589745014582</v>
      </c>
      <c r="AV148" s="252">
        <f t="shared" ref="AV148" si="890">AH148/SUM(AH138:AH149)*AO149</f>
        <v>6955.7897404309942</v>
      </c>
      <c r="AW148" s="252">
        <f t="shared" ref="AW148" si="891">AI148/SUM(AI138:AI149)*AP149</f>
        <v>977.92862972778676</v>
      </c>
      <c r="AX148" s="252">
        <f t="shared" ref="AX148" si="892">AJ148/SUM(AJ138:AJ149)*AQ149</f>
        <v>3354.9076615640502</v>
      </c>
      <c r="AY148" s="252">
        <f t="shared" ref="AY148" si="893">AK148/SUM(AK138:AK149)*AR149</f>
        <v>21684.786029783998</v>
      </c>
    </row>
    <row r="149" spans="31:59">
      <c r="AE149" s="165">
        <v>33298</v>
      </c>
      <c r="AF149" s="277">
        <v>2191681</v>
      </c>
      <c r="AG149" s="277">
        <v>1899852</v>
      </c>
      <c r="AH149" s="277">
        <v>686772</v>
      </c>
      <c r="AI149" s="277">
        <v>79875</v>
      </c>
      <c r="AJ149" s="277">
        <v>328415</v>
      </c>
      <c r="AK149" s="277">
        <v>1762276</v>
      </c>
      <c r="AM149" s="277">
        <v>292958</v>
      </c>
      <c r="AN149" s="277">
        <v>251830</v>
      </c>
      <c r="AO149" s="277">
        <v>93510</v>
      </c>
      <c r="AP149" s="277">
        <v>11551</v>
      </c>
      <c r="AQ149" s="277">
        <v>41228</v>
      </c>
      <c r="AR149" s="277">
        <v>248110</v>
      </c>
      <c r="AT149" s="252">
        <f t="shared" ref="AT149" si="894">AF149/SUM(AF138:AF149)*AM149</f>
        <v>22488.910100328056</v>
      </c>
      <c r="AU149" s="252">
        <f t="shared" ref="AU149" si="895">AG149/SUM(AG138:AG149)*AN149</f>
        <v>21827.803025180827</v>
      </c>
      <c r="AV149" s="252">
        <f t="shared" ref="AV149" si="896">AH149/SUM(AH138:AH149)*AO149</f>
        <v>8265.0924976647475</v>
      </c>
      <c r="AW149" s="252">
        <f t="shared" ref="AW149" si="897">AI149/SUM(AI138:AI149)*AP149</f>
        <v>1094.5428333147477</v>
      </c>
      <c r="AX149" s="252">
        <f t="shared" ref="AX149" si="898">AJ149/SUM(AJ138:AJ149)*AQ149</f>
        <v>3358.2309722105442</v>
      </c>
      <c r="AY149" s="252">
        <f t="shared" ref="AY149" si="899">AK149/SUM(AK138:AK149)*AR149</f>
        <v>22621.03734446489</v>
      </c>
      <c r="AZ149" s="25">
        <f t="shared" ref="AZ149" si="900">SUM(AT138:AY149)-SUM(AM149:AR149)</f>
        <v>0</v>
      </c>
    </row>
    <row r="150" spans="31:59">
      <c r="AE150" s="165">
        <v>33329</v>
      </c>
      <c r="AF150" s="277">
        <v>2235108</v>
      </c>
      <c r="AG150" s="277">
        <v>1913544</v>
      </c>
      <c r="AH150" s="277">
        <v>627021</v>
      </c>
      <c r="AI150" s="277">
        <v>85478</v>
      </c>
      <c r="AJ150" s="277">
        <v>309249</v>
      </c>
      <c r="AK150" s="277">
        <v>1198667</v>
      </c>
      <c r="AT150" s="252">
        <f t="shared" ref="AT150" si="901">AF150/SUM(AF150:AF161)*AM161</f>
        <v>21661.424146039604</v>
      </c>
      <c r="AU150" s="252">
        <f t="shared" ref="AU150" si="902">AG150/SUM(AG150:AG161)*AN161</f>
        <v>20444.435274887906</v>
      </c>
      <c r="AV150" s="252">
        <f t="shared" ref="AV150" si="903">AH150/SUM(AH150:AH161)*AO161</f>
        <v>6902.5210840607888</v>
      </c>
      <c r="AW150" s="252">
        <f t="shared" ref="AW150" si="904">AI150/SUM(AI150:AI161)*AP161</f>
        <v>965.74252075025004</v>
      </c>
      <c r="AX150" s="252">
        <f t="shared" ref="AX150" si="905">AJ150/SUM(AJ150:AJ161)*AQ161</f>
        <v>3420.3603275147311</v>
      </c>
      <c r="AY150" s="252">
        <f t="shared" ref="AY150" si="906">AK150/SUM(AK150:AK161)*AR161</f>
        <v>13401.666611449085</v>
      </c>
    </row>
    <row r="151" spans="31:59">
      <c r="AE151" s="165">
        <v>33359</v>
      </c>
      <c r="AF151" s="277">
        <v>2324218</v>
      </c>
      <c r="AG151" s="277">
        <v>1896227</v>
      </c>
      <c r="AH151" s="277">
        <v>737416</v>
      </c>
      <c r="AI151" s="277">
        <v>83251</v>
      </c>
      <c r="AJ151" s="277">
        <v>271168</v>
      </c>
      <c r="AK151" s="277">
        <v>1165375</v>
      </c>
      <c r="AT151" s="252">
        <f t="shared" ref="AT151" si="907">AF151/SUM(AF150:AF161)*AM161</f>
        <v>22525.028726065975</v>
      </c>
      <c r="AU151" s="252">
        <f t="shared" ref="AU151" si="908">AG151/SUM(AG150:AG161)*AN161</f>
        <v>20259.419259758266</v>
      </c>
      <c r="AV151" s="252">
        <f t="shared" ref="AV151" si="909">AH151/SUM(AH150:AH161)*AO161</f>
        <v>8117.7974704575618</v>
      </c>
      <c r="AW151" s="252">
        <f t="shared" ref="AW151" si="910">AI151/SUM(AI150:AI161)*AP161</f>
        <v>940.58156010878918</v>
      </c>
      <c r="AX151" s="252">
        <f t="shared" ref="AX151" si="911">AJ151/SUM(AJ150:AJ161)*AQ161</f>
        <v>2999.1762925393928</v>
      </c>
      <c r="AY151" s="252">
        <f t="shared" ref="AY151" si="912">AK151/SUM(AK150:AK161)*AR161</f>
        <v>13029.446232621302</v>
      </c>
    </row>
    <row r="152" spans="31:59">
      <c r="AE152" s="165">
        <v>33390</v>
      </c>
      <c r="AF152" s="277">
        <v>2376783</v>
      </c>
      <c r="AG152" s="277">
        <v>1903868</v>
      </c>
      <c r="AH152" s="277">
        <v>716458</v>
      </c>
      <c r="AI152" s="277">
        <v>82762</v>
      </c>
      <c r="AJ152" s="277">
        <v>271593</v>
      </c>
      <c r="AK152" s="277">
        <v>1250498</v>
      </c>
      <c r="AT152" s="252">
        <f t="shared" ref="AT152" si="913">AF152/SUM(AF150:AF161)*AM161</f>
        <v>23034.45948298536</v>
      </c>
      <c r="AU152" s="252">
        <f t="shared" ref="AU152" si="914">AG152/SUM(AG150:AG161)*AN161</f>
        <v>20341.056227570563</v>
      </c>
      <c r="AV152" s="252">
        <f t="shared" ref="AV152" si="915">AH152/SUM(AH150:AH161)*AO161</f>
        <v>7887.0826508905202</v>
      </c>
      <c r="AW152" s="252">
        <f t="shared" ref="AW152" si="916">AI152/SUM(AI150:AI161)*AP161</f>
        <v>935.05676902047549</v>
      </c>
      <c r="AX152" s="252">
        <f t="shared" ref="AX152" si="917">AJ152/SUM(AJ150:AJ161)*AQ161</f>
        <v>3003.8768837755611</v>
      </c>
      <c r="AY152" s="252">
        <f t="shared" ref="AY152" si="918">AK152/SUM(AK150:AK161)*AR161</f>
        <v>13981.161819157331</v>
      </c>
    </row>
    <row r="153" spans="31:59">
      <c r="AE153" s="165">
        <v>33420</v>
      </c>
      <c r="AF153" s="277">
        <v>2410777</v>
      </c>
      <c r="AG153" s="277">
        <v>1956318</v>
      </c>
      <c r="AH153" s="277">
        <v>733702</v>
      </c>
      <c r="AI153" s="277">
        <v>84319</v>
      </c>
      <c r="AJ153" s="277">
        <v>297691</v>
      </c>
      <c r="AK153" s="277">
        <v>1492860</v>
      </c>
      <c r="AT153" s="252">
        <f t="shared" ref="AT153" si="919">AF153/SUM(AF150:AF161)*AM161</f>
        <v>23363.910432299876</v>
      </c>
      <c r="AU153" s="252">
        <f t="shared" ref="AU153" si="920">AG153/SUM(AG150:AG161)*AN161</f>
        <v>20901.435623167359</v>
      </c>
      <c r="AV153" s="252">
        <f t="shared" ref="AV153" si="921">AH153/SUM(AH150:AH161)*AO161</f>
        <v>8076.9121359851879</v>
      </c>
      <c r="AW153" s="252">
        <f t="shared" ref="AW153" si="922">AI153/SUM(AI150:AI161)*AP161</f>
        <v>952.64797500105692</v>
      </c>
      <c r="AX153" s="252">
        <f t="shared" ref="AX153" si="923">AJ153/SUM(AJ150:AJ161)*AQ161</f>
        <v>3292.526366320305</v>
      </c>
      <c r="AY153" s="252">
        <f t="shared" ref="AY153" si="924">AK153/SUM(AK150:AK161)*AR161</f>
        <v>16690.884138437013</v>
      </c>
    </row>
    <row r="154" spans="31:59">
      <c r="AE154" s="165">
        <v>33451</v>
      </c>
      <c r="AF154" s="277">
        <v>2417748</v>
      </c>
      <c r="AG154" s="277">
        <v>2019104</v>
      </c>
      <c r="AH154" s="277">
        <v>766264</v>
      </c>
      <c r="AI154" s="277">
        <v>91102</v>
      </c>
      <c r="AJ154" s="277">
        <v>342044</v>
      </c>
      <c r="AK154" s="277">
        <v>1788441</v>
      </c>
      <c r="AT154" s="252">
        <f t="shared" ref="AT154" si="925">AF154/SUM(AF150:AF161)*AM161</f>
        <v>23431.469488829604</v>
      </c>
      <c r="AU154" s="252">
        <f t="shared" ref="AU154" si="926">AG154/SUM(AG150:AG161)*AN161</f>
        <v>21572.24555132637</v>
      </c>
      <c r="AV154" s="252">
        <f t="shared" ref="AV154" si="927">AH154/SUM(AH150:AH161)*AO161</f>
        <v>8435.3688567954759</v>
      </c>
      <c r="AW154" s="252">
        <f t="shared" ref="AW154" si="928">AI154/SUM(AI150:AI161)*AP161</f>
        <v>1029.2832673364994</v>
      </c>
      <c r="AX154" s="252">
        <f t="shared" ref="AX154" si="929">AJ154/SUM(AJ150:AJ161)*AQ161</f>
        <v>3783.0800677268121</v>
      </c>
      <c r="AY154" s="252">
        <f t="shared" ref="AY154" si="930">AK154/SUM(AK150:AK161)*AR161</f>
        <v>19995.620164938729</v>
      </c>
    </row>
    <row r="155" spans="31:59">
      <c r="AE155" s="165">
        <v>33482</v>
      </c>
      <c r="AF155" s="277">
        <v>2372514</v>
      </c>
      <c r="AG155" s="277">
        <v>2069012</v>
      </c>
      <c r="AH155" s="277">
        <v>780050</v>
      </c>
      <c r="AI155" s="277">
        <v>97929</v>
      </c>
      <c r="AJ155" s="277">
        <v>391491</v>
      </c>
      <c r="AK155" s="277">
        <v>2057541</v>
      </c>
      <c r="AT155" s="252">
        <f t="shared" ref="AT155" si="931">AF155/SUM(AF150:AF161)*AM161</f>
        <v>22993.086708300896</v>
      </c>
      <c r="AU155" s="252">
        <f t="shared" ref="AU155" si="932">AG155/SUM(AG150:AG161)*AN161</f>
        <v>22105.466044661829</v>
      </c>
      <c r="AV155" s="252">
        <f t="shared" ref="AV155" si="933">AH155/SUM(AH150:AH161)*AO161</f>
        <v>8587.1311672521624</v>
      </c>
      <c r="AW155" s="252">
        <f t="shared" ref="AW155" si="934">AI155/SUM(AI150:AI161)*AP161</f>
        <v>1106.4156778884771</v>
      </c>
      <c r="AX155" s="252">
        <f t="shared" ref="AX155" si="935">AJ155/SUM(AJ150:AJ161)*AQ161</f>
        <v>4329.9745026792962</v>
      </c>
      <c r="AY155" s="252">
        <f t="shared" ref="AY155" si="936">AK155/SUM(AK150:AK161)*AR161</f>
        <v>23004.286028886723</v>
      </c>
    </row>
    <row r="156" spans="31:59">
      <c r="AE156" s="165">
        <v>33512</v>
      </c>
      <c r="AF156" s="277">
        <v>2348724</v>
      </c>
      <c r="AG156" s="277">
        <v>2093437</v>
      </c>
      <c r="AH156" s="277">
        <v>799583</v>
      </c>
      <c r="AI156" s="277">
        <v>106848</v>
      </c>
      <c r="AJ156" s="277">
        <v>452033</v>
      </c>
      <c r="AK156" s="277">
        <v>2384369</v>
      </c>
      <c r="AT156" s="252">
        <f t="shared" ref="AT156" si="937">AF156/SUM(AF150:AF161)*AM161</f>
        <v>22762.52725415627</v>
      </c>
      <c r="AU156" s="252">
        <f t="shared" ref="AU156" si="938">AG156/SUM(AG150:AG161)*AN161</f>
        <v>22366.424419065101</v>
      </c>
      <c r="AV156" s="252">
        <f t="shared" ref="AV156" si="939">AH156/SUM(AH150:AH161)*AO161</f>
        <v>8802.1589643035513</v>
      </c>
      <c r="AW156" s="252">
        <f t="shared" ref="AW156" si="940">AI156/SUM(AI150:AI161)*AP161</f>
        <v>1207.1838000084551</v>
      </c>
      <c r="AX156" s="252">
        <f t="shared" ref="AX156" si="941">AJ156/SUM(AJ150:AJ161)*AQ161</f>
        <v>4999.5820194324524</v>
      </c>
      <c r="AY156" s="252">
        <f t="shared" ref="AY156" si="942">AK156/SUM(AK150:AK161)*AR161</f>
        <v>26658.378362526244</v>
      </c>
    </row>
    <row r="157" spans="31:59">
      <c r="AE157" s="165">
        <v>33543</v>
      </c>
      <c r="AF157" s="277">
        <v>2269565</v>
      </c>
      <c r="AG157" s="277">
        <v>2045286</v>
      </c>
      <c r="AH157" s="277">
        <v>813504</v>
      </c>
      <c r="AI157" s="277">
        <v>111298</v>
      </c>
      <c r="AJ157" s="277">
        <v>484510</v>
      </c>
      <c r="AK157" s="277">
        <v>2592290</v>
      </c>
      <c r="AT157" s="252">
        <f t="shared" ref="AT157" si="943">AF157/SUM(AF150:AF161)*AM161</f>
        <v>21995.362233953067</v>
      </c>
      <c r="AU157" s="252">
        <f t="shared" ref="AU157" si="944">AG157/SUM(AG150:AG161)*AN161</f>
        <v>21851.975834176996</v>
      </c>
      <c r="AV157" s="252">
        <f t="shared" ref="AV157" si="945">AH157/SUM(AH150:AH161)*AO161</f>
        <v>8955.4074137354055</v>
      </c>
      <c r="AW157" s="252">
        <f t="shared" ref="AW157" si="946">AI157/SUM(AI150:AI161)*AP161</f>
        <v>1257.4605287262377</v>
      </c>
      <c r="AX157" s="252">
        <f t="shared" ref="AX157" si="947">AJ157/SUM(AJ150:AJ161)*AQ161</f>
        <v>5358.7846113784126</v>
      </c>
      <c r="AY157" s="252">
        <f t="shared" ref="AY157" si="948">AK157/SUM(AK150:AK161)*AR161</f>
        <v>28983.033937026168</v>
      </c>
    </row>
    <row r="158" spans="31:59">
      <c r="AE158" s="165">
        <v>33573</v>
      </c>
      <c r="AF158" s="277">
        <v>2272857</v>
      </c>
      <c r="AG158" s="277">
        <v>2015817</v>
      </c>
      <c r="AH158" s="277">
        <v>801194</v>
      </c>
      <c r="AI158" s="277">
        <v>114704</v>
      </c>
      <c r="AJ158" s="277">
        <v>505802</v>
      </c>
      <c r="AK158" s="277">
        <v>2964242</v>
      </c>
      <c r="AT158" s="252">
        <f t="shared" ref="AT158" si="949">AF158/SUM(AF150:AF161)*AM161</f>
        <v>22027.266467792666</v>
      </c>
      <c r="AU158" s="252">
        <f t="shared" ref="AU158" si="950">AG158/SUM(AG150:AG161)*AN161</f>
        <v>21537.127017993167</v>
      </c>
      <c r="AV158" s="252">
        <f t="shared" ref="AV158" si="951">AH158/SUM(AH150:AH161)*AO161</f>
        <v>8819.8935560738792</v>
      </c>
      <c r="AW158" s="252">
        <f t="shared" ref="AW158" si="952">AI158/SUM(AI150:AI161)*AP161</f>
        <v>1295.9419979425898</v>
      </c>
      <c r="AX158" s="252">
        <f t="shared" ref="AX158" si="953">AJ158/SUM(AJ150:AJ161)*AQ161</f>
        <v>5594.2787022030989</v>
      </c>
      <c r="AY158" s="252">
        <f t="shared" ref="AY158" si="954">AK158/SUM(AK150:AK161)*AR161</f>
        <v>33141.634031515896</v>
      </c>
      <c r="BA158" s="252">
        <f t="shared" ref="BA158" si="955">SUM(AT147:AT158)</f>
        <v>266617.62469571969</v>
      </c>
      <c r="BB158" s="252">
        <f t="shared" ref="BB158" si="956">SUM(AU147:AU158)</f>
        <v>250607.73863147068</v>
      </c>
      <c r="BC158" s="252">
        <f t="shared" ref="BC158" si="957">SUM(AV147:AV158)</f>
        <v>96262.083044016399</v>
      </c>
      <c r="BD158" s="252">
        <f t="shared" ref="BD158" si="958">SUM(AW147:AW158)</f>
        <v>12650.259388392455</v>
      </c>
      <c r="BE158" s="252">
        <f t="shared" ref="BE158" si="959">SUM(AX147:AX158)</f>
        <v>46835.513427197802</v>
      </c>
      <c r="BF158" s="252">
        <f t="shared" ref="BF158" si="960">SUM(AY147:AY158)</f>
        <v>257100.85993504935</v>
      </c>
      <c r="BG158" s="252">
        <f t="shared" ref="BG158" si="961">SUM(BA158:BF158)</f>
        <v>930074.07912184636</v>
      </c>
    </row>
    <row r="159" spans="31:59">
      <c r="AE159" s="165">
        <v>33604</v>
      </c>
      <c r="AF159" s="277">
        <v>1705998</v>
      </c>
      <c r="AG159" s="277">
        <v>1537602</v>
      </c>
      <c r="AH159" s="277">
        <v>629721</v>
      </c>
      <c r="AI159" s="277">
        <v>86766</v>
      </c>
      <c r="AJ159" s="277">
        <v>385256</v>
      </c>
      <c r="AK159" s="277">
        <v>2289880</v>
      </c>
      <c r="AT159" s="252">
        <f t="shared" ref="AT159" si="962">AF159/SUM(AF150:AF161)*AM161</f>
        <v>16533.584180404378</v>
      </c>
      <c r="AU159" s="252">
        <f t="shared" ref="AU159" si="963">AG159/SUM(AG150:AG161)*AN161</f>
        <v>16427.845174993727</v>
      </c>
      <c r="AV159" s="252">
        <f t="shared" ref="AV159" si="964">AH159/SUM(AH150:AH161)*AO161</f>
        <v>6932.2438635641292</v>
      </c>
      <c r="AW159" s="252">
        <f t="shared" ref="AW159" si="965">AI159/SUM(AI150:AI161)*AP161</f>
        <v>980.29452672519494</v>
      </c>
      <c r="AX159" s="252">
        <f t="shared" ref="AX159" si="966">AJ159/SUM(AJ150:AJ161)*AQ161</f>
        <v>4261.0140641910411</v>
      </c>
      <c r="AY159" s="252">
        <f t="shared" ref="AY159" si="967">AK159/SUM(AK150:AK161)*AR161</f>
        <v>25601.94644569762</v>
      </c>
    </row>
    <row r="160" spans="31:59">
      <c r="AE160" s="165">
        <v>33635</v>
      </c>
      <c r="AF160" s="277">
        <v>1813002</v>
      </c>
      <c r="AG160" s="277">
        <v>1715247</v>
      </c>
      <c r="AH160" s="277">
        <v>728567</v>
      </c>
      <c r="AI160" s="277">
        <v>92354</v>
      </c>
      <c r="AJ160" s="277">
        <v>413723</v>
      </c>
      <c r="AK160" s="277">
        <v>2177954</v>
      </c>
      <c r="AT160" s="252">
        <f t="shared" ref="AT160" si="968">AF160/SUM(AF150:AF161)*AM161</f>
        <v>17570.607460408217</v>
      </c>
      <c r="AU160" s="252">
        <f t="shared" ref="AU160" si="969">AG160/SUM(AG150:AG161)*AN161</f>
        <v>18325.816533064124</v>
      </c>
      <c r="AV160" s="252">
        <f t="shared" ref="AV160" si="970">AH160/SUM(AH150:AH161)*AO161</f>
        <v>8020.3838127445752</v>
      </c>
      <c r="AW160" s="252">
        <f t="shared" ref="AW160" si="971">AI160/SUM(AI150:AI161)*AP161</f>
        <v>1043.4285402251878</v>
      </c>
      <c r="AX160" s="252">
        <f t="shared" ref="AX160" si="972">AJ160/SUM(AJ150:AJ161)*AQ161</f>
        <v>4575.8651952969203</v>
      </c>
      <c r="AY160" s="252">
        <f t="shared" ref="AY160" si="973">AK160/SUM(AK150:AK161)*AR161</f>
        <v>24350.560583608276</v>
      </c>
    </row>
    <row r="161" spans="31:59">
      <c r="AE161" s="165">
        <v>33664</v>
      </c>
      <c r="AF161" s="277">
        <v>1998492</v>
      </c>
      <c r="AG161" s="277">
        <v>1890736</v>
      </c>
      <c r="AH161" s="277">
        <v>786315</v>
      </c>
      <c r="AI161" s="277">
        <v>98597</v>
      </c>
      <c r="AJ161" s="277">
        <v>426075</v>
      </c>
      <c r="AK161" s="277">
        <v>2138852</v>
      </c>
      <c r="AM161" s="277">
        <v>257267</v>
      </c>
      <c r="AN161" s="277">
        <v>246334</v>
      </c>
      <c r="AO161" s="277">
        <v>98193</v>
      </c>
      <c r="AP161" s="277">
        <v>12828</v>
      </c>
      <c r="AQ161" s="277">
        <v>50331</v>
      </c>
      <c r="AR161" s="277">
        <v>262752</v>
      </c>
      <c r="AT161" s="252">
        <f t="shared" ref="AT161" si="974">AF161/SUM(AF150:AF161)*AM161</f>
        <v>19368.273418764093</v>
      </c>
      <c r="AU161" s="252">
        <f t="shared" ref="AU161" si="975">AG161/SUM(AG150:AG161)*AN161</f>
        <v>20200.753039334588</v>
      </c>
      <c r="AV161" s="252">
        <f t="shared" ref="AV161" si="976">AH161/SUM(AH150:AH161)*AO161</f>
        <v>8656.0990241367654</v>
      </c>
      <c r="AW161" s="252">
        <f t="shared" ref="AW161" si="977">AI161/SUM(AI150:AI161)*AP161</f>
        <v>1113.962836266787</v>
      </c>
      <c r="AX161" s="252">
        <f t="shared" ref="AX161" si="978">AJ161/SUM(AJ150:AJ161)*AQ161</f>
        <v>4712.4809669419765</v>
      </c>
      <c r="AY161" s="252">
        <f t="shared" ref="AY161" si="979">AK161/SUM(AK150:AK161)*AR161</f>
        <v>23913.38164413561</v>
      </c>
      <c r="AZ161" s="25">
        <f t="shared" ref="AZ161" si="980">SUM(AT150:AY161)-SUM(AM161:AR161)</f>
        <v>0</v>
      </c>
    </row>
    <row r="162" spans="31:59">
      <c r="AE162" s="165">
        <v>33695</v>
      </c>
      <c r="AF162" s="277">
        <v>2060035</v>
      </c>
      <c r="AG162" s="277">
        <v>1864825</v>
      </c>
      <c r="AH162" s="277">
        <v>701252</v>
      </c>
      <c r="AI162" s="277">
        <v>98684</v>
      </c>
      <c r="AJ162" s="277">
        <v>373824</v>
      </c>
      <c r="AK162" s="277">
        <v>1551731</v>
      </c>
      <c r="AT162" s="252">
        <f t="shared" ref="AT162" si="981">AF162/SUM(AF162:AF173)*AM173</f>
        <v>20489.282147360325</v>
      </c>
      <c r="AU162" s="252">
        <f t="shared" ref="AU162" si="982">AG162/SUM(AG162:AG173)*AN173</f>
        <v>20631.480046081906</v>
      </c>
      <c r="AV162" s="252">
        <f t="shared" ref="AV162" si="983">AH162/SUM(AH162:AH173)*AO173</f>
        <v>8074.3771842070901</v>
      </c>
      <c r="AW162" s="252">
        <f t="shared" ref="AW162" si="984">AI162/SUM(AI162:AI173)*AP173</f>
        <v>1183.7569075850845</v>
      </c>
      <c r="AX162" s="252">
        <f t="shared" ref="AX162" si="985">AJ162/SUM(AJ162:AJ173)*AQ173</f>
        <v>4088.7903659534663</v>
      </c>
      <c r="AY162" s="252">
        <f t="shared" ref="AY162" si="986">AK162/SUM(AK162:AK173)*AR173</f>
        <v>17924.070346850593</v>
      </c>
    </row>
    <row r="163" spans="31:59">
      <c r="AE163" s="165">
        <v>33725</v>
      </c>
      <c r="AF163" s="277">
        <v>2114232</v>
      </c>
      <c r="AG163" s="277">
        <v>1777570</v>
      </c>
      <c r="AH163" s="277">
        <v>718921</v>
      </c>
      <c r="AI163" s="277">
        <v>94631</v>
      </c>
      <c r="AJ163" s="277">
        <v>344269</v>
      </c>
      <c r="AK163" s="277">
        <v>1381428</v>
      </c>
      <c r="AT163" s="252">
        <f t="shared" ref="AT163" si="987">AF163/SUM(AF162:AF173)*AM173</f>
        <v>21028.33008807031</v>
      </c>
      <c r="AU163" s="252">
        <f t="shared" ref="AU163" si="988">AG163/SUM(AG162:AG173)*AN173</f>
        <v>19666.134884245872</v>
      </c>
      <c r="AV163" s="252">
        <f t="shared" ref="AV163" si="989">AH163/SUM(AH162:AH173)*AO173</f>
        <v>8277.822123355576</v>
      </c>
      <c r="AW163" s="252">
        <f t="shared" ref="AW163" si="990">AI163/SUM(AI162:AI173)*AP173</f>
        <v>1135.1394341705252</v>
      </c>
      <c r="AX163" s="252">
        <f t="shared" ref="AX163" si="991">AJ163/SUM(AJ162:AJ173)*AQ173</f>
        <v>3765.5254090064686</v>
      </c>
      <c r="AY163" s="252">
        <f t="shared" ref="AY163" si="992">AK163/SUM(AK162:AK173)*AR173</f>
        <v>15956.897587989875</v>
      </c>
    </row>
    <row r="164" spans="31:59">
      <c r="AE164" s="165">
        <v>33756</v>
      </c>
      <c r="AF164" s="277">
        <v>2149678</v>
      </c>
      <c r="AG164" s="277">
        <v>1765888</v>
      </c>
      <c r="AH164" s="277">
        <v>714424</v>
      </c>
      <c r="AI164" s="277">
        <v>96261</v>
      </c>
      <c r="AJ164" s="277">
        <v>341948</v>
      </c>
      <c r="AK164" s="277">
        <v>1432808</v>
      </c>
      <c r="AT164" s="252">
        <f t="shared" ref="AT164" si="993">AF164/SUM(AF162:AF173)*AM173</f>
        <v>21380.878998644806</v>
      </c>
      <c r="AU164" s="252">
        <f t="shared" ref="AU164" si="994">AG164/SUM(AG162:AG173)*AN173</f>
        <v>19536.891148292994</v>
      </c>
      <c r="AV164" s="252">
        <f t="shared" ref="AV164" si="995">AH164/SUM(AH162:AH173)*AO173</f>
        <v>8226.0426286840757</v>
      </c>
      <c r="AW164" s="252">
        <f t="shared" ref="AW164" si="996">AI164/SUM(AI162:AI173)*AP173</f>
        <v>1154.6919833108489</v>
      </c>
      <c r="AX164" s="252">
        <f t="shared" ref="AX164" si="997">AJ164/SUM(AJ162:AJ173)*AQ173</f>
        <v>3740.1389104419618</v>
      </c>
      <c r="AY164" s="252">
        <f t="shared" ref="AY164" si="998">AK164/SUM(AK162:AK173)*AR173</f>
        <v>16550.388814511214</v>
      </c>
    </row>
    <row r="165" spans="31:59">
      <c r="AE165" s="165">
        <v>33786</v>
      </c>
      <c r="AF165" s="277">
        <v>2227034</v>
      </c>
      <c r="AG165" s="277">
        <v>1800639</v>
      </c>
      <c r="AH165" s="277">
        <v>728810</v>
      </c>
      <c r="AI165" s="277">
        <v>100099</v>
      </c>
      <c r="AJ165" s="277">
        <v>355937</v>
      </c>
      <c r="AK165" s="277">
        <v>1654426</v>
      </c>
      <c r="AT165" s="252">
        <f t="shared" ref="AT165" si="999">AF165/SUM(AF162:AF173)*AM173</f>
        <v>22150.268309890107</v>
      </c>
      <c r="AU165" s="252">
        <f t="shared" ref="AU165" si="1000">AG165/SUM(AG162:AG173)*AN173</f>
        <v>19921.358625445751</v>
      </c>
      <c r="AV165" s="252">
        <f t="shared" ref="AV165" si="1001">AH165/SUM(AH162:AH173)*AO173</f>
        <v>8391.6863490185679</v>
      </c>
      <c r="AW165" s="252">
        <f t="shared" ref="AW165" si="1002">AI165/SUM(AI162:AI173)*AP173</f>
        <v>1200.7304395075125</v>
      </c>
      <c r="AX165" s="252">
        <f t="shared" ref="AX165" si="1003">AJ165/SUM(AJ162:AJ173)*AQ173</f>
        <v>3893.1469795582389</v>
      </c>
      <c r="AY165" s="252">
        <f t="shared" ref="AY165" si="1004">AK165/SUM(AK162:AK173)*AR173</f>
        <v>19110.301983822352</v>
      </c>
    </row>
    <row r="166" spans="31:59">
      <c r="AE166" s="165">
        <v>33817</v>
      </c>
      <c r="AF166" s="277">
        <v>2285823</v>
      </c>
      <c r="AG166" s="277">
        <v>1806695</v>
      </c>
      <c r="AH166" s="277">
        <v>749328</v>
      </c>
      <c r="AI166" s="277">
        <v>104717</v>
      </c>
      <c r="AJ166" s="277">
        <v>392756</v>
      </c>
      <c r="AK166" s="277">
        <v>1918666</v>
      </c>
      <c r="AT166" s="252">
        <f t="shared" ref="AT166" si="1005">AF166/SUM(AF162:AF173)*AM173</f>
        <v>22734.988670544735</v>
      </c>
      <c r="AU166" s="252">
        <f t="shared" ref="AU166" si="1006">AG166/SUM(AG162:AG173)*AN173</f>
        <v>19988.359144614613</v>
      </c>
      <c r="AV166" s="252">
        <f t="shared" ref="AV166" si="1007">AH166/SUM(AH162:AH173)*AO173</f>
        <v>8627.9353309331455</v>
      </c>
      <c r="AW166" s="252">
        <f t="shared" ref="AW166" si="1008">AI166/SUM(AI162:AI173)*AP173</f>
        <v>1256.1253302621224</v>
      </c>
      <c r="AX166" s="252">
        <f t="shared" ref="AX166" si="1009">AJ166/SUM(AJ162:AJ173)*AQ173</f>
        <v>4295.8636924606753</v>
      </c>
      <c r="AY166" s="252">
        <f t="shared" ref="AY166" si="1010">AK166/SUM(AK162:AK173)*AR173</f>
        <v>22162.542577360662</v>
      </c>
    </row>
    <row r="167" spans="31:59">
      <c r="AE167" s="165">
        <v>33848</v>
      </c>
      <c r="AF167" s="277">
        <v>2285908</v>
      </c>
      <c r="AG167" s="277">
        <v>1809900</v>
      </c>
      <c r="AH167" s="277">
        <v>749160</v>
      </c>
      <c r="AI167" s="277">
        <v>106319</v>
      </c>
      <c r="AJ167" s="277">
        <v>449437</v>
      </c>
      <c r="AK167" s="277">
        <v>2155122</v>
      </c>
      <c r="AT167" s="252">
        <f t="shared" ref="AT167" si="1011">AF167/SUM(AF162:AF173)*AM173</f>
        <v>22735.834087725769</v>
      </c>
      <c r="AU167" s="252">
        <f t="shared" ref="AU167" si="1012">AG167/SUM(AG162:AG173)*AN173</f>
        <v>20023.817642622573</v>
      </c>
      <c r="AV167" s="252">
        <f t="shared" ref="AV167" si="1013">AH167/SUM(AH162:AH173)*AO173</f>
        <v>8626.0009402049218</v>
      </c>
      <c r="AW167" s="252">
        <f t="shared" ref="AW167" si="1014">AI167/SUM(AI162:AI173)*AP173</f>
        <v>1275.3420073926734</v>
      </c>
      <c r="AX167" s="252">
        <f t="shared" ref="AX167" si="1015">AJ167/SUM(AJ162:AJ173)*AQ173</f>
        <v>4915.8258316828997</v>
      </c>
      <c r="AY167" s="252">
        <f t="shared" ref="AY167" si="1016">AK167/SUM(AK162:AK173)*AR173</f>
        <v>24893.849729138194</v>
      </c>
    </row>
    <row r="168" spans="31:59">
      <c r="AE168" s="165">
        <v>33878</v>
      </c>
      <c r="AF168" s="277">
        <v>2261087</v>
      </c>
      <c r="AG168" s="277">
        <v>1786509</v>
      </c>
      <c r="AH168" s="277">
        <v>781127</v>
      </c>
      <c r="AI168" s="277">
        <v>112165</v>
      </c>
      <c r="AJ168" s="277">
        <v>506090</v>
      </c>
      <c r="AK168" s="277">
        <v>2462059</v>
      </c>
      <c r="AT168" s="252">
        <f t="shared" ref="AT168" si="1017">AF168/SUM(AF162:AF173)*AM173</f>
        <v>22488.962324780172</v>
      </c>
      <c r="AU168" s="252">
        <f t="shared" ref="AU168" si="1018">AG168/SUM(AG162:AG173)*AN173</f>
        <v>19765.031456381021</v>
      </c>
      <c r="AV168" s="252">
        <f t="shared" ref="AV168" si="1019">AH168/SUM(AH162:AH173)*AO173</f>
        <v>8994.0763474016912</v>
      </c>
      <c r="AW168" s="252">
        <f t="shared" ref="AW168" si="1020">AI168/SUM(AI162:AI173)*AP173</f>
        <v>1345.4672848615883</v>
      </c>
      <c r="AX168" s="252">
        <f t="shared" ref="AX168" si="1021">AJ168/SUM(AJ162:AJ173)*AQ173</f>
        <v>5535.481714136572</v>
      </c>
      <c r="AY168" s="252">
        <f t="shared" ref="AY168" si="1022">AK168/SUM(AK162:AK173)*AR173</f>
        <v>28439.284073139366</v>
      </c>
    </row>
    <row r="169" spans="31:59">
      <c r="AE169" s="165">
        <v>33909</v>
      </c>
      <c r="AF169" s="277">
        <v>2165604</v>
      </c>
      <c r="AG169" s="277">
        <v>1706567</v>
      </c>
      <c r="AH169" s="277">
        <v>746154</v>
      </c>
      <c r="AI169" s="277">
        <v>112633</v>
      </c>
      <c r="AJ169" s="277">
        <v>529910</v>
      </c>
      <c r="AK169" s="277">
        <v>2658267</v>
      </c>
      <c r="AT169" s="252">
        <f t="shared" ref="AT169" si="1023">AF169/SUM(AF162:AF173)*AM173</f>
        <v>21539.280340116609</v>
      </c>
      <c r="AU169" s="252">
        <f t="shared" ref="AU169" si="1024">AG169/SUM(AG162:AG173)*AN173</f>
        <v>18880.593625569079</v>
      </c>
      <c r="AV169" s="252">
        <f t="shared" ref="AV169" si="1025">AH169/SUM(AH162:AH173)*AO173</f>
        <v>8591.3891632463892</v>
      </c>
      <c r="AW169" s="252">
        <f t="shared" ref="AW169" si="1026">AI169/SUM(AI162:AI173)*AP173</f>
        <v>1351.0811455963562</v>
      </c>
      <c r="AX169" s="252">
        <f t="shared" ref="AX169" si="1027">AJ169/SUM(AJ162:AJ173)*AQ173</f>
        <v>5796.0187222393461</v>
      </c>
      <c r="AY169" s="252">
        <f t="shared" ref="AY169" si="1028">AK169/SUM(AK162:AK173)*AR173</f>
        <v>30705.685913803023</v>
      </c>
    </row>
    <row r="170" spans="31:59">
      <c r="AE170" s="165">
        <v>33939</v>
      </c>
      <c r="AF170" s="277">
        <v>2179039</v>
      </c>
      <c r="AG170" s="277">
        <v>1656206</v>
      </c>
      <c r="AH170" s="277">
        <v>797818</v>
      </c>
      <c r="AI170" s="277">
        <v>113410</v>
      </c>
      <c r="AJ170" s="277">
        <v>525334</v>
      </c>
      <c r="AK170" s="277">
        <v>3023016</v>
      </c>
      <c r="AT170" s="252">
        <f t="shared" ref="AT170" si="1029">AF170/SUM(AF162:AF173)*AM173</f>
        <v>21672.905985141952</v>
      </c>
      <c r="AU170" s="252">
        <f t="shared" ref="AU170" si="1030">AG170/SUM(AG162:AG173)*AN173</f>
        <v>18323.425008352595</v>
      </c>
      <c r="AV170" s="252">
        <f t="shared" ref="AV170" si="1031">AH170/SUM(AH162:AH173)*AO173</f>
        <v>9186.2603690966025</v>
      </c>
      <c r="AW170" s="252">
        <f t="shared" ref="AW170" si="1032">AI170/SUM(AI162:AI173)*AP173</f>
        <v>1360.4015938675411</v>
      </c>
      <c r="AX170" s="252">
        <f t="shared" ref="AX170" si="1033">AJ170/SUM(AJ162:AJ173)*AQ173</f>
        <v>5745.967616064775</v>
      </c>
      <c r="AY170" s="252">
        <f t="shared" ref="AY170" si="1034">AK170/SUM(AK162:AK173)*AR173</f>
        <v>34918.907622297222</v>
      </c>
      <c r="BA170" s="252">
        <f t="shared" ref="BA170" si="1035">SUM(AT159:AT170)</f>
        <v>249693.19601185148</v>
      </c>
      <c r="BB170" s="252">
        <f t="shared" ref="BB170" si="1036">SUM(AU159:AU170)</f>
        <v>231691.50632899883</v>
      </c>
      <c r="BC170" s="252">
        <f t="shared" ref="BC170" si="1037">SUM(AV159:AV170)</f>
        <v>100604.31713659353</v>
      </c>
      <c r="BD170" s="252">
        <f t="shared" ref="BD170" si="1038">SUM(AW159:AW170)</f>
        <v>14400.42202977142</v>
      </c>
      <c r="BE170" s="252">
        <f t="shared" ref="BE170" si="1039">SUM(AX159:AX170)</f>
        <v>55326.119467974335</v>
      </c>
      <c r="BF170" s="252">
        <f t="shared" ref="BF170" si="1040">SUM(AY159:AY170)</f>
        <v>284527.81732235401</v>
      </c>
      <c r="BG170" s="252">
        <f t="shared" ref="BG170" si="1041">SUM(BA170:BF170)</f>
        <v>936243.37829754362</v>
      </c>
    </row>
    <row r="171" spans="31:59">
      <c r="AE171" s="165">
        <v>33970</v>
      </c>
      <c r="AF171" s="277">
        <v>1643858</v>
      </c>
      <c r="AG171" s="277">
        <v>1259844</v>
      </c>
      <c r="AH171" s="277">
        <v>626095</v>
      </c>
      <c r="AI171" s="277">
        <v>88595</v>
      </c>
      <c r="AJ171" s="277">
        <v>400280</v>
      </c>
      <c r="AK171" s="277">
        <v>2422211</v>
      </c>
      <c r="AT171" s="252">
        <f t="shared" ref="AT171" si="1042">AF171/SUM(AF162:AF173)*AM173</f>
        <v>16349.950545595319</v>
      </c>
      <c r="AU171" s="252">
        <f t="shared" ref="AU171" si="1043">AG171/SUM(AG162:AG173)*AN173</f>
        <v>13938.276431931152</v>
      </c>
      <c r="AV171" s="252">
        <f t="shared" ref="AV171" si="1044">AH171/SUM(AH162:AH173)*AO173</f>
        <v>7209.0021606300406</v>
      </c>
      <c r="AW171" s="252">
        <f t="shared" ref="AW171" si="1045">AI171/SUM(AI162:AI173)*AP173</f>
        <v>1062.735025206726</v>
      </c>
      <c r="AX171" s="252">
        <f t="shared" ref="AX171" si="1046">AJ171/SUM(AJ162:AJ173)*AQ173</f>
        <v>4378.1592612669428</v>
      </c>
      <c r="AY171" s="252">
        <f t="shared" ref="AY171" si="1047">AK171/SUM(AK162:AK173)*AR173</f>
        <v>27978.999168615774</v>
      </c>
    </row>
    <row r="172" spans="31:59">
      <c r="AE172" s="165">
        <v>34001</v>
      </c>
      <c r="AF172" s="277">
        <v>1715140</v>
      </c>
      <c r="AG172" s="277">
        <v>1356895</v>
      </c>
      <c r="AH172" s="277">
        <v>653879</v>
      </c>
      <c r="AI172" s="277">
        <v>97138</v>
      </c>
      <c r="AJ172" s="277">
        <v>424692</v>
      </c>
      <c r="AK172" s="277">
        <v>2306120</v>
      </c>
      <c r="AT172" s="252">
        <f t="shared" ref="AT172" si="1048">AF172/SUM(AF162:AF173)*AM173</f>
        <v>17058.927339692578</v>
      </c>
      <c r="AU172" s="252">
        <f t="shared" ref="AU172" si="1049">AG172/SUM(AG162:AG173)*AN173</f>
        <v>15011.999580190264</v>
      </c>
      <c r="AV172" s="252">
        <f t="shared" ref="AV172" si="1050">AH172/SUM(AH162:AH173)*AO173</f>
        <v>7528.9135415401988</v>
      </c>
      <c r="AW172" s="252">
        <f t="shared" ref="AW172" si="1051">AI172/SUM(AI162:AI173)*AP173</f>
        <v>1165.2119744740783</v>
      </c>
      <c r="AX172" s="252">
        <f t="shared" ref="AX172" si="1052">AJ172/SUM(AJ162:AJ173)*AQ173</f>
        <v>4645.1714124762175</v>
      </c>
      <c r="AY172" s="252">
        <f t="shared" ref="AY172" si="1053">AK172/SUM(AK162:AK173)*AR173</f>
        <v>26638.030114935569</v>
      </c>
    </row>
    <row r="173" spans="31:59">
      <c r="AE173" s="165">
        <v>34029</v>
      </c>
      <c r="AF173" s="277">
        <v>1896464</v>
      </c>
      <c r="AG173" s="277">
        <v>1477077</v>
      </c>
      <c r="AH173" s="277">
        <v>722627</v>
      </c>
      <c r="AI173" s="277">
        <v>106567</v>
      </c>
      <c r="AJ173" s="277">
        <v>436005</v>
      </c>
      <c r="AK173" s="277">
        <v>2338932</v>
      </c>
      <c r="AM173" s="277">
        <v>248492</v>
      </c>
      <c r="AN173" s="277">
        <v>222029</v>
      </c>
      <c r="AO173" s="277">
        <v>100054</v>
      </c>
      <c r="AP173" s="277">
        <v>14769</v>
      </c>
      <c r="AQ173" s="277">
        <v>55569</v>
      </c>
      <c r="AR173" s="277">
        <v>292296</v>
      </c>
      <c r="AT173" s="252">
        <f t="shared" ref="AT173" si="1054">AF173/SUM(AF162:AF173)*AM173</f>
        <v>18862.391162437318</v>
      </c>
      <c r="AU173" s="252">
        <f t="shared" ref="AU173" si="1055">AG173/SUM(AG162:AG173)*AN173</f>
        <v>16341.632406272181</v>
      </c>
      <c r="AV173" s="252">
        <f t="shared" ref="AV173" si="1056">AH173/SUM(AH162:AH173)*AO173</f>
        <v>8320.4938616816999</v>
      </c>
      <c r="AW173" s="252">
        <f t="shared" ref="AW173" si="1057">AI173/SUM(AI162:AI173)*AP173</f>
        <v>1278.3168737649435</v>
      </c>
      <c r="AX173" s="252">
        <f t="shared" ref="AX173" si="1058">AJ173/SUM(AJ162:AJ173)*AQ173</f>
        <v>4768.9100847124346</v>
      </c>
      <c r="AY173" s="252">
        <f t="shared" ref="AY173" si="1059">AK173/SUM(AK162:AK173)*AR173</f>
        <v>27017.042067536157</v>
      </c>
      <c r="AZ173" s="25">
        <f t="shared" ref="AZ173" si="1060">SUM(AT162:AY173)-SUM(AM173:AR173)</f>
        <v>0</v>
      </c>
    </row>
    <row r="174" spans="31:59">
      <c r="AE174" s="165">
        <v>34060</v>
      </c>
      <c r="AF174" s="277">
        <v>1960971</v>
      </c>
      <c r="AG174" s="277">
        <v>1427789</v>
      </c>
      <c r="AH174" s="277">
        <v>672500</v>
      </c>
      <c r="AI174" s="277">
        <v>105802</v>
      </c>
      <c r="AJ174" s="277">
        <v>403636</v>
      </c>
      <c r="AK174" s="277">
        <v>1835014</v>
      </c>
      <c r="AT174" s="252">
        <f t="shared" ref="AT174" si="1061">AF174/SUM(AF174:AF185)*AM185</f>
        <v>19930.80256791889</v>
      </c>
      <c r="AU174" s="252">
        <f t="shared" ref="AU174" si="1062">AG174/SUM(AG174:AG185)*AN185</f>
        <v>15125.225019567024</v>
      </c>
      <c r="AV174" s="252">
        <f t="shared" ref="AV174" si="1063">AH174/SUM(AH174:AH185)*AO185</f>
        <v>8381.0765743116335</v>
      </c>
      <c r="AW174" s="252">
        <f t="shared" ref="AW174" si="1064">AI174/SUM(AI174:AI185)*AP185</f>
        <v>1313.2691412739059</v>
      </c>
      <c r="AX174" s="252">
        <f t="shared" ref="AX174" si="1065">AJ174/SUM(AJ174:AJ185)*AQ185</f>
        <v>4521.2351954903434</v>
      </c>
      <c r="AY174" s="252">
        <f t="shared" ref="AY174" si="1066">AK174/SUM(AK174:AK185)*AR185</f>
        <v>19658.609882969486</v>
      </c>
    </row>
    <row r="175" spans="31:59">
      <c r="AE175" s="165">
        <v>34090</v>
      </c>
      <c r="AF175" s="277">
        <v>2002908</v>
      </c>
      <c r="AG175" s="277">
        <v>1381057</v>
      </c>
      <c r="AH175" s="277">
        <v>674575</v>
      </c>
      <c r="AI175" s="277">
        <v>105743</v>
      </c>
      <c r="AJ175" s="277">
        <v>374740</v>
      </c>
      <c r="AK175" s="277">
        <v>1507455</v>
      </c>
      <c r="AT175" s="252">
        <f t="shared" ref="AT175" si="1067">AF175/SUM(AF174:AF185)*AM185</f>
        <v>20357.039400228405</v>
      </c>
      <c r="AU175" s="252">
        <f t="shared" ref="AU175" si="1068">AG175/SUM(AG174:AG185)*AN185</f>
        <v>14630.171467806638</v>
      </c>
      <c r="AV175" s="252">
        <f t="shared" ref="AV175" si="1069">AH175/SUM(AH174:AH185)*AO185</f>
        <v>8406.9364016598829</v>
      </c>
      <c r="AW175" s="252">
        <f t="shared" ref="AW175" si="1070">AI175/SUM(AI174:AI185)*AP185</f>
        <v>1312.5368027610693</v>
      </c>
      <c r="AX175" s="252">
        <f t="shared" ref="AX175" si="1071">AJ175/SUM(AJ174:AJ185)*AQ185</f>
        <v>4197.5633421153007</v>
      </c>
      <c r="AY175" s="252">
        <f t="shared" ref="AY175" si="1072">AK175/SUM(AK174:AK185)*AR185</f>
        <v>16149.451590631877</v>
      </c>
    </row>
    <row r="176" spans="31:59">
      <c r="AE176" s="165">
        <v>34121</v>
      </c>
      <c r="AF176" s="277">
        <v>2065672</v>
      </c>
      <c r="AG176" s="277">
        <v>1359153</v>
      </c>
      <c r="AH176" s="277">
        <v>670994</v>
      </c>
      <c r="AI176" s="277">
        <v>103532</v>
      </c>
      <c r="AJ176" s="277">
        <v>370626</v>
      </c>
      <c r="AK176" s="277">
        <v>1605417</v>
      </c>
      <c r="AT176" s="252">
        <f t="shared" ref="AT176" si="1073">AF176/SUM(AF174:AF185)*AM185</f>
        <v>20994.956479253469</v>
      </c>
      <c r="AU176" s="252">
        <f t="shared" ref="AU176" si="1074">AG176/SUM(AG174:AG185)*AN185</f>
        <v>14398.132329790729</v>
      </c>
      <c r="AV176" s="252">
        <f t="shared" ref="AV176" si="1075">AH176/SUM(AH174:AH185)*AO185</f>
        <v>8362.3079478121344</v>
      </c>
      <c r="AW176" s="252">
        <f t="shared" ref="AW176" si="1076">AI176/SUM(AI174:AI185)*AP185</f>
        <v>1285.0927273054388</v>
      </c>
      <c r="AX176" s="252">
        <f t="shared" ref="AX176" si="1077">AJ176/SUM(AJ174:AJ185)*AQ185</f>
        <v>4151.4813236772834</v>
      </c>
      <c r="AY176" s="252">
        <f t="shared" ref="AY176" si="1078">AK176/SUM(AK174:AK185)*AR185</f>
        <v>17198.924096757422</v>
      </c>
    </row>
    <row r="177" spans="31:59">
      <c r="AE177" s="165">
        <v>34151</v>
      </c>
      <c r="AF177" s="277">
        <v>2207089</v>
      </c>
      <c r="AG177" s="277">
        <v>1380314</v>
      </c>
      <c r="AH177" s="277">
        <v>680956</v>
      </c>
      <c r="AI177" s="277">
        <v>105114</v>
      </c>
      <c r="AJ177" s="277">
        <v>384984</v>
      </c>
      <c r="AK177" s="277">
        <v>1904684</v>
      </c>
      <c r="AT177" s="252">
        <f t="shared" ref="AT177" si="1079">AF177/SUM(AF174:AF185)*AM185</f>
        <v>22432.28232790059</v>
      </c>
      <c r="AU177" s="252">
        <f t="shared" ref="AU177" si="1080">AG177/SUM(AG174:AG185)*AN185</f>
        <v>14622.300527359879</v>
      </c>
      <c r="AV177" s="252">
        <f t="shared" ref="AV177" si="1081">AH177/SUM(AH174:AH185)*AO185</f>
        <v>8486.4600442185183</v>
      </c>
      <c r="AW177" s="252">
        <f t="shared" ref="AW177" si="1082">AI177/SUM(AI174:AI185)*AP185</f>
        <v>1304.7293294631988</v>
      </c>
      <c r="AX177" s="252">
        <f t="shared" ref="AX177" si="1083">AJ177/SUM(AJ174:AJ185)*AQ185</f>
        <v>4312.3091362035457</v>
      </c>
      <c r="AY177" s="252">
        <f t="shared" ref="AY177" si="1084">AK177/SUM(AK174:AK185)*AR185</f>
        <v>20404.988575745934</v>
      </c>
    </row>
    <row r="178" spans="31:59">
      <c r="AE178" s="165">
        <v>34182</v>
      </c>
      <c r="AF178" s="277">
        <v>2346711</v>
      </c>
      <c r="AG178" s="277">
        <v>1367016</v>
      </c>
      <c r="AH178" s="277">
        <v>693420</v>
      </c>
      <c r="AI178" s="277">
        <v>109794</v>
      </c>
      <c r="AJ178" s="277">
        <v>418372</v>
      </c>
      <c r="AK178" s="277">
        <v>2179021</v>
      </c>
      <c r="AT178" s="252">
        <f t="shared" ref="AT178" si="1085">AF178/SUM(AF174:AF185)*AM185</f>
        <v>23851.364260340168</v>
      </c>
      <c r="AU178" s="252">
        <f t="shared" ref="AU178" si="1086">AG178/SUM(AG174:AG185)*AN185</f>
        <v>14481.428702244122</v>
      </c>
      <c r="AV178" s="252">
        <f t="shared" ref="AV178" si="1087">AH178/SUM(AH174:AH185)*AO185</f>
        <v>8641.7934842515588</v>
      </c>
      <c r="AW178" s="252">
        <f t="shared" ref="AW178" si="1088">AI178/SUM(AI174:AI185)*AP185</f>
        <v>1362.8199098034747</v>
      </c>
      <c r="AX178" s="252">
        <f t="shared" ref="AX178" si="1089">AJ178/SUM(AJ174:AJ185)*AQ185</f>
        <v>4686.2970874938956</v>
      </c>
      <c r="AY178" s="252">
        <f t="shared" ref="AY178" si="1090">AK178/SUM(AK174:AK185)*AR185</f>
        <v>23343.976539578474</v>
      </c>
    </row>
    <row r="179" spans="31:59">
      <c r="AE179" s="165">
        <v>34213</v>
      </c>
      <c r="AF179" s="277">
        <v>2433728</v>
      </c>
      <c r="AG179" s="277">
        <v>1342584</v>
      </c>
      <c r="AH179" s="277">
        <v>709219</v>
      </c>
      <c r="AI179" s="277">
        <v>115903</v>
      </c>
      <c r="AJ179" s="277">
        <v>459538</v>
      </c>
      <c r="AK179" s="277">
        <v>2512735</v>
      </c>
      <c r="AT179" s="252">
        <f t="shared" ref="AT179" si="1091">AF179/SUM(AF174:AF185)*AM185</f>
        <v>24735.782564870216</v>
      </c>
      <c r="AU179" s="252">
        <f t="shared" ref="AU179" si="1092">AG179/SUM(AG174:AG185)*AN185</f>
        <v>14222.609298482037</v>
      </c>
      <c r="AV179" s="252">
        <f t="shared" ref="AV179" si="1093">AH179/SUM(AH174:AH185)*AO185</f>
        <v>8838.6895865527476</v>
      </c>
      <c r="AW179" s="252">
        <f t="shared" ref="AW179" si="1094">AI179/SUM(AI174:AI185)*AP185</f>
        <v>1438.6479771750016</v>
      </c>
      <c r="AX179" s="252">
        <f t="shared" ref="AX179" si="1095">AJ179/SUM(AJ174:AJ185)*AQ185</f>
        <v>5147.408504853981</v>
      </c>
      <c r="AY179" s="252">
        <f t="shared" ref="AY179" si="1096">AK179/SUM(AK174:AK185)*AR185</f>
        <v>26919.073698774682</v>
      </c>
    </row>
    <row r="180" spans="31:59">
      <c r="AE180" s="165">
        <v>34243</v>
      </c>
      <c r="AF180" s="277">
        <v>2446094</v>
      </c>
      <c r="AG180" s="277">
        <v>1327647</v>
      </c>
      <c r="AH180" s="277">
        <v>708012</v>
      </c>
      <c r="AI180" s="277">
        <v>122003</v>
      </c>
      <c r="AJ180" s="277">
        <v>501832</v>
      </c>
      <c r="AK180" s="277">
        <v>2921251</v>
      </c>
      <c r="AT180" s="252">
        <f t="shared" ref="AT180" si="1097">AF180/SUM(AF174:AF185)*AM185</f>
        <v>24861.467393740648</v>
      </c>
      <c r="AU180" s="252">
        <f t="shared" ref="AU180" si="1098">AG180/SUM(AG174:AG185)*AN185</f>
        <v>14064.374793161383</v>
      </c>
      <c r="AV180" s="252">
        <f t="shared" ref="AV180" si="1099">AH180/SUM(AH174:AH185)*AO185</f>
        <v>8823.647267704875</v>
      </c>
      <c r="AW180" s="252">
        <f t="shared" ref="AW180" si="1100">AI180/SUM(AI174:AI185)*AP185</f>
        <v>1514.3643318920278</v>
      </c>
      <c r="AX180" s="252">
        <f t="shared" ref="AX180" si="1101">AJ180/SUM(AJ174:AJ185)*AQ185</f>
        <v>5621.1549530351849</v>
      </c>
      <c r="AY180" s="252">
        <f t="shared" ref="AY180" si="1102">AK180/SUM(AK174:AK185)*AR185</f>
        <v>31295.528960124822</v>
      </c>
    </row>
    <row r="181" spans="31:59">
      <c r="AE181" s="165">
        <v>34274</v>
      </c>
      <c r="AF181" s="277">
        <v>2342233</v>
      </c>
      <c r="AG181" s="277">
        <v>1263110</v>
      </c>
      <c r="AH181" s="277">
        <v>683609</v>
      </c>
      <c r="AI181" s="277">
        <v>125758</v>
      </c>
      <c r="AJ181" s="277">
        <v>506070</v>
      </c>
      <c r="AK181" s="277">
        <v>3135812</v>
      </c>
      <c r="AT181" s="252">
        <f t="shared" ref="AT181" si="1103">AF181/SUM(AF174:AF185)*AM185</f>
        <v>23805.851025366705</v>
      </c>
      <c r="AU181" s="252">
        <f t="shared" ref="AU181" si="1104">AG181/SUM(AG174:AG185)*AN185</f>
        <v>13380.704694086664</v>
      </c>
      <c r="AV181" s="252">
        <f t="shared" ref="AV181" si="1105">AH181/SUM(AH174:AH185)*AO185</f>
        <v>8519.5232355220851</v>
      </c>
      <c r="AW181" s="252">
        <f t="shared" ref="AW181" si="1106">AI181/SUM(AI174:AI185)*AP185</f>
        <v>1560.9733338530827</v>
      </c>
      <c r="AX181" s="252">
        <f t="shared" ref="AX181" si="1107">AJ181/SUM(AJ174:AJ185)*AQ185</f>
        <v>5668.6259287620487</v>
      </c>
      <c r="AY181" s="252">
        <f t="shared" ref="AY181" si="1108">AK181/SUM(AK174:AK185)*AR185</f>
        <v>33594.133218784329</v>
      </c>
    </row>
    <row r="182" spans="31:59">
      <c r="AE182" s="165">
        <v>34304</v>
      </c>
      <c r="AF182" s="277">
        <v>2329260</v>
      </c>
      <c r="AG182" s="277">
        <v>1222708</v>
      </c>
      <c r="AH182" s="277">
        <v>704041</v>
      </c>
      <c r="AI182" s="277">
        <v>129817</v>
      </c>
      <c r="AJ182" s="277">
        <v>508277</v>
      </c>
      <c r="AK182" s="277">
        <v>3448405</v>
      </c>
      <c r="AT182" s="252">
        <f t="shared" ref="AT182" si="1109">AF182/SUM(AF174:AF185)*AM185</f>
        <v>23673.996805333052</v>
      </c>
      <c r="AU182" s="252">
        <f t="shared" ref="AU182" si="1110">AG182/SUM(AG174:AG185)*AN185</f>
        <v>12952.707741287231</v>
      </c>
      <c r="AV182" s="252">
        <f t="shared" ref="AV182" si="1111">AH182/SUM(AH174:AH185)*AO185</f>
        <v>8774.1584125723966</v>
      </c>
      <c r="AW182" s="252">
        <f t="shared" ref="AW182" si="1112">AI182/SUM(AI174:AI185)*AP185</f>
        <v>1611.3557410328222</v>
      </c>
      <c r="AX182" s="252">
        <f t="shared" ref="AX182" si="1113">AJ182/SUM(AJ174:AJ185)*AQ185</f>
        <v>5693.3471282498231</v>
      </c>
      <c r="AY182" s="252">
        <f t="shared" ref="AY182" si="1114">AK182/SUM(AK174:AK185)*AR185</f>
        <v>36942.959897571018</v>
      </c>
      <c r="BA182" s="252">
        <f t="shared" ref="BA182" si="1115">SUM(AT171:AT182)</f>
        <v>256914.81187267735</v>
      </c>
      <c r="BB182" s="252">
        <f t="shared" ref="BB182" si="1116">SUM(AU171:AU182)</f>
        <v>173169.5629921793</v>
      </c>
      <c r="BC182" s="252">
        <f t="shared" ref="BC182" si="1117">SUM(AV171:AV182)</f>
        <v>100293.00251845777</v>
      </c>
      <c r="BD182" s="252">
        <f t="shared" ref="BD182" si="1118">SUM(AW171:AW182)</f>
        <v>16210.053168005768</v>
      </c>
      <c r="BE182" s="252">
        <f t="shared" ref="BE182" si="1119">SUM(AX171:AX182)</f>
        <v>57791.663358336991</v>
      </c>
      <c r="BF182" s="252">
        <f t="shared" ref="BF182" si="1120">SUM(AY171:AY182)</f>
        <v>307141.71781202551</v>
      </c>
      <c r="BG182" s="252">
        <f t="shared" ref="BG182" si="1121">SUM(BA182:BF182)</f>
        <v>911520.81172168278</v>
      </c>
    </row>
    <row r="183" spans="31:59">
      <c r="AE183" s="165">
        <v>34335</v>
      </c>
      <c r="AF183" s="277">
        <v>1728325</v>
      </c>
      <c r="AG183" s="277">
        <v>933274</v>
      </c>
      <c r="AH183" s="277">
        <v>561453</v>
      </c>
      <c r="AI183" s="277">
        <v>97814</v>
      </c>
      <c r="AJ183" s="277">
        <v>376574</v>
      </c>
      <c r="AK183" s="277">
        <v>2617315</v>
      </c>
      <c r="AT183" s="252">
        <f t="shared" ref="AT183" si="1122">AF183/SUM(AF174:AF185)*AM185</f>
        <v>17566.248735039135</v>
      </c>
      <c r="AU183" s="252">
        <f t="shared" ref="AU183" si="1123">AG183/SUM(AG174:AG185)*AN185</f>
        <v>9886.6003694603296</v>
      </c>
      <c r="AV183" s="252">
        <f t="shared" ref="AV183" si="1124">AH183/SUM(AH174:AH185)*AO185</f>
        <v>6997.1458526051902</v>
      </c>
      <c r="AW183" s="252">
        <f t="shared" ref="AW183" si="1125">AI183/SUM(AI174:AI185)*AP185</f>
        <v>1214.1179541461015</v>
      </c>
      <c r="AX183" s="252">
        <f t="shared" ref="AX183" si="1126">AJ183/SUM(AJ174:AJ185)*AQ185</f>
        <v>4218.1064684680769</v>
      </c>
      <c r="AY183" s="252">
        <f t="shared" ref="AY183" si="1127">AK183/SUM(AK174:AK185)*AR185</f>
        <v>28039.445217226832</v>
      </c>
    </row>
    <row r="184" spans="31:59">
      <c r="AE184" s="165">
        <v>34366</v>
      </c>
      <c r="AF184" s="277">
        <v>1792094</v>
      </c>
      <c r="AG184" s="277">
        <v>1016551</v>
      </c>
      <c r="AH184" s="277">
        <v>596180</v>
      </c>
      <c r="AI184" s="277">
        <v>102611</v>
      </c>
      <c r="AJ184" s="277">
        <v>389918</v>
      </c>
      <c r="AK184" s="277">
        <v>2488314</v>
      </c>
      <c r="AT184" s="252">
        <f t="shared" ref="AT184" si="1128">AF184/SUM(AF174:AF185)*AM185</f>
        <v>18214.380374392098</v>
      </c>
      <c r="AU184" s="252">
        <f t="shared" ref="AU184" si="1129">AG184/SUM(AG174:AG185)*AN185</f>
        <v>10768.791900530034</v>
      </c>
      <c r="AV184" s="252">
        <f t="shared" ref="AV184" si="1130">AH184/SUM(AH174:AH185)*AO185</f>
        <v>7429.9334305919856</v>
      </c>
      <c r="AW184" s="252">
        <f t="shared" ref="AW184" si="1131">AI184/SUM(AI174:AI185)*AP185</f>
        <v>1273.6607989948845</v>
      </c>
      <c r="AX184" s="252">
        <f t="shared" ref="AX184" si="1132">AJ184/SUM(AJ174:AJ185)*AQ185</f>
        <v>4367.5761947774818</v>
      </c>
      <c r="AY184" s="252">
        <f t="shared" ref="AY184" si="1133">AK184/SUM(AK174:AK185)*AR185</f>
        <v>26657.450129716355</v>
      </c>
    </row>
    <row r="185" spans="31:59">
      <c r="AE185" s="165">
        <v>34394</v>
      </c>
      <c r="AF185" s="277">
        <v>1949462</v>
      </c>
      <c r="AG185" s="277">
        <v>1088403</v>
      </c>
      <c r="AH185" s="277">
        <v>673804</v>
      </c>
      <c r="AI185" s="277">
        <v>110085</v>
      </c>
      <c r="AJ185" s="277">
        <v>410212</v>
      </c>
      <c r="AK185" s="277">
        <v>2711407</v>
      </c>
      <c r="AM185" s="277">
        <v>260238</v>
      </c>
      <c r="AN185" s="277">
        <v>160063</v>
      </c>
      <c r="AO185" s="277">
        <v>100059</v>
      </c>
      <c r="AP185" s="277">
        <v>16558</v>
      </c>
      <c r="AQ185" s="277">
        <v>57180</v>
      </c>
      <c r="AR185" s="277">
        <v>309252</v>
      </c>
      <c r="AT185" s="252">
        <f t="shared" ref="AT185" si="1134">AF185/SUM(AF174:AF185)*AM185</f>
        <v>19813.828065616624</v>
      </c>
      <c r="AU185" s="252">
        <f t="shared" ref="AU185" si="1135">AG185/SUM(AG174:AG185)*AN185</f>
        <v>11529.953156223928</v>
      </c>
      <c r="AV185" s="252">
        <f t="shared" ref="AV185" si="1136">AH185/SUM(AH174:AH185)*AO185</f>
        <v>8397.3277621969919</v>
      </c>
      <c r="AW185" s="252">
        <f t="shared" ref="AW185" si="1137">AI185/SUM(AI174:AI185)*AP185</f>
        <v>1366.4319522989917</v>
      </c>
      <c r="AX185" s="252">
        <f t="shared" ref="AX185" si="1138">AJ185/SUM(AJ174:AJ185)*AQ185</f>
        <v>4594.894736873036</v>
      </c>
      <c r="AY185" s="252">
        <f t="shared" ref="AY185" si="1139">AK185/SUM(AK174:AK185)*AR185</f>
        <v>29047.458192118775</v>
      </c>
      <c r="AZ185" s="25">
        <f t="shared" ref="AZ185" si="1140">SUM(AT174:AY185)-SUM(AM185:AR185)</f>
        <v>0</v>
      </c>
    </row>
    <row r="186" spans="31:59">
      <c r="AE186" s="165">
        <v>34425</v>
      </c>
      <c r="AF186" s="277">
        <v>2024792</v>
      </c>
      <c r="AG186" s="277">
        <v>1043389</v>
      </c>
      <c r="AH186" s="277">
        <v>568259</v>
      </c>
      <c r="AI186" s="277">
        <v>109437</v>
      </c>
      <c r="AJ186" s="277">
        <v>390253</v>
      </c>
      <c r="AK186" s="277">
        <v>2047499</v>
      </c>
      <c r="AT186" s="252">
        <f t="shared" ref="AT186" si="1141">AF186/SUM(AF186:AF197)*AM197</f>
        <v>20911.847833661614</v>
      </c>
      <c r="AU186" s="252">
        <f t="shared" ref="AU186" si="1142">AG186/SUM(AG186:AG197)*AN197</f>
        <v>11536.017647417633</v>
      </c>
      <c r="AV186" s="252">
        <f t="shared" ref="AV186" si="1143">AH186/SUM(AH186:AH197)*AO197</f>
        <v>7218.8486194060979</v>
      </c>
      <c r="AW186" s="252">
        <f t="shared" ref="AW186" si="1144">AI186/SUM(AI186:AI197)*AP197</f>
        <v>1579.337725825018</v>
      </c>
      <c r="AX186" s="252">
        <f t="shared" ref="AX186" si="1145">AJ186/SUM(AJ186:AJ197)*AQ197</f>
        <v>3780.4321030647811</v>
      </c>
      <c r="AY186" s="252">
        <f t="shared" ref="AY186" si="1146">AK186/SUM(AK186:AK197)*AR197</f>
        <v>22802.364207865772</v>
      </c>
    </row>
    <row r="187" spans="31:59">
      <c r="AE187" s="165">
        <v>34455</v>
      </c>
      <c r="AF187" s="277">
        <v>2144551</v>
      </c>
      <c r="AG187" s="277">
        <v>1002855</v>
      </c>
      <c r="AH187" s="277">
        <v>587155</v>
      </c>
      <c r="AI187" s="277">
        <v>110503</v>
      </c>
      <c r="AJ187" s="277">
        <v>370080</v>
      </c>
      <c r="AK187" s="277">
        <v>1782524</v>
      </c>
      <c r="AT187" s="252">
        <f t="shared" ref="AT187" si="1147">AF187/SUM(AF186:AF197)*AM197</f>
        <v>22148.706723222356</v>
      </c>
      <c r="AU187" s="252">
        <f t="shared" ref="AU187" si="1148">AG187/SUM(AG186:AG197)*AN197</f>
        <v>11087.861744566035</v>
      </c>
      <c r="AV187" s="252">
        <f t="shared" ref="AV187" si="1149">AH187/SUM(AH186:AH197)*AO197</f>
        <v>7458.8929715629447</v>
      </c>
      <c r="AW187" s="252">
        <f t="shared" ref="AW187" si="1150">AI187/SUM(AI186:AI197)*AP197</f>
        <v>1594.721682034796</v>
      </c>
      <c r="AX187" s="252">
        <f t="shared" ref="AX187" si="1151">AJ187/SUM(AJ186:AJ197)*AQ197</f>
        <v>3585.0136006698585</v>
      </c>
      <c r="AY187" s="252">
        <f t="shared" ref="AY187" si="1152">AK187/SUM(AK186:AK197)*AR197</f>
        <v>19851.419442579328</v>
      </c>
    </row>
    <row r="188" spans="31:59">
      <c r="AE188" s="165">
        <v>34486</v>
      </c>
      <c r="AF188" s="277">
        <v>2277288</v>
      </c>
      <c r="AG188" s="277">
        <v>1008778</v>
      </c>
      <c r="AH188" s="277">
        <v>588247</v>
      </c>
      <c r="AI188" s="277">
        <v>110269</v>
      </c>
      <c r="AJ188" s="277">
        <v>378871</v>
      </c>
      <c r="AK188" s="277">
        <v>1742666</v>
      </c>
      <c r="AT188" s="252">
        <f t="shared" ref="AT188" si="1153">AF188/SUM(AF186:AF197)*AM197</f>
        <v>23519.601089605047</v>
      </c>
      <c r="AU188" s="252">
        <f t="shared" ref="AU188" si="1154">AG188/SUM(AG186:AG197)*AN197</f>
        <v>11153.348185889121</v>
      </c>
      <c r="AV188" s="252">
        <f t="shared" ref="AV188" si="1155">AH188/SUM(AH186:AH197)*AO197</f>
        <v>7472.765136706641</v>
      </c>
      <c r="AW188" s="252">
        <f t="shared" ref="AW188" si="1156">AI188/SUM(AI186:AI197)*AP197</f>
        <v>1591.3447160375279</v>
      </c>
      <c r="AX188" s="252">
        <f t="shared" ref="AX188" si="1157">AJ188/SUM(AJ186:AJ197)*AQ197</f>
        <v>3670.1731730960601</v>
      </c>
      <c r="AY188" s="252">
        <f t="shared" ref="AY188" si="1158">AK188/SUM(AK186:AK197)*AR197</f>
        <v>19407.533202538616</v>
      </c>
    </row>
    <row r="189" spans="31:59">
      <c r="AE189" s="165">
        <v>34516</v>
      </c>
      <c r="AF189" s="277">
        <v>2432075</v>
      </c>
      <c r="AG189" s="277">
        <v>1042682</v>
      </c>
      <c r="AH189" s="277">
        <v>590088</v>
      </c>
      <c r="AI189" s="277">
        <v>112046</v>
      </c>
      <c r="AJ189" s="277">
        <v>397897</v>
      </c>
      <c r="AK189" s="277">
        <v>1838017</v>
      </c>
      <c r="AT189" s="252">
        <f t="shared" ref="AT189" si="1159">AF189/SUM(AF186:AF197)*AM197</f>
        <v>25118.22563505415</v>
      </c>
      <c r="AU189" s="252">
        <f t="shared" ref="AU189" si="1160">AG189/SUM(AG186:AG197)*AN197</f>
        <v>11528.200846131895</v>
      </c>
      <c r="AV189" s="252">
        <f t="shared" ref="AV189" si="1161">AH189/SUM(AH186:AH197)*AO197</f>
        <v>7496.1521843527435</v>
      </c>
      <c r="AW189" s="252">
        <f t="shared" ref="AW189" si="1162">AI189/SUM(AI186:AI197)*AP197</f>
        <v>1616.9894535466979</v>
      </c>
      <c r="AX189" s="252">
        <f t="shared" ref="AX189" si="1163">AJ189/SUM(AJ186:AJ197)*AQ197</f>
        <v>3854.4805357375021</v>
      </c>
      <c r="AY189" s="252">
        <f t="shared" ref="AY189" si="1164">AK189/SUM(AK186:AK197)*AR197</f>
        <v>20469.427850391538</v>
      </c>
    </row>
    <row r="190" spans="31:59">
      <c r="AE190" s="165">
        <v>34547</v>
      </c>
      <c r="AF190" s="277">
        <v>2525184</v>
      </c>
      <c r="AG190" s="277">
        <v>1055011</v>
      </c>
      <c r="AH190" s="277">
        <v>593502</v>
      </c>
      <c r="AI190" s="277">
        <v>115589</v>
      </c>
      <c r="AJ190" s="277">
        <v>431538</v>
      </c>
      <c r="AK190" s="277">
        <v>1989257</v>
      </c>
      <c r="AT190" s="252">
        <f t="shared" ref="AT190" si="1165">AF190/SUM(AF186:AF197)*AM197</f>
        <v>26079.846008872497</v>
      </c>
      <c r="AU190" s="252">
        <f t="shared" ref="AU190" si="1166">AG190/SUM(AG186:AG197)*AN197</f>
        <v>11664.513919755454</v>
      </c>
      <c r="AV190" s="252">
        <f t="shared" ref="AV190" si="1167">AH190/SUM(AH186:AH197)*AO197</f>
        <v>7539.5217555986937</v>
      </c>
      <c r="AW190" s="252">
        <f t="shared" ref="AW190" si="1168">AI190/SUM(AI186:AI197)*AP197</f>
        <v>1668.1201823002093</v>
      </c>
      <c r="AX190" s="252">
        <f t="shared" ref="AX190" si="1169">AJ190/SUM(AJ186:AJ197)*AQ197</f>
        <v>4180.3653242700757</v>
      </c>
      <c r="AY190" s="252">
        <f t="shared" ref="AY190" si="1170">AK190/SUM(AK186:AK197)*AR197</f>
        <v>22153.741035793646</v>
      </c>
    </row>
    <row r="191" spans="31:59">
      <c r="AE191" s="165">
        <v>34578</v>
      </c>
      <c r="AF191" s="277">
        <v>2514447</v>
      </c>
      <c r="AG191" s="277">
        <v>1064781</v>
      </c>
      <c r="AH191" s="277">
        <v>602679</v>
      </c>
      <c r="AI191" s="277">
        <v>118560</v>
      </c>
      <c r="AJ191" s="277">
        <v>475825</v>
      </c>
      <c r="AK191" s="277">
        <v>2211038</v>
      </c>
      <c r="AT191" s="252">
        <f t="shared" ref="AT191" si="1171">AF191/SUM(AF186:AF197)*AM197</f>
        <v>25968.955354331178</v>
      </c>
      <c r="AU191" s="252">
        <f t="shared" ref="AU191" si="1172">AG191/SUM(AG186:AG197)*AN197</f>
        <v>11772.533931865291</v>
      </c>
      <c r="AV191" s="252">
        <f t="shared" ref="AV191" si="1173">AH191/SUM(AH186:AH197)*AO197</f>
        <v>7656.1012972870603</v>
      </c>
      <c r="AW191" s="252">
        <f t="shared" ref="AW191" si="1174">AI191/SUM(AI186:AI197)*AP197</f>
        <v>1710.9961052826204</v>
      </c>
      <c r="AX191" s="252">
        <f t="shared" ref="AX191" si="1175">AJ191/SUM(AJ186:AJ197)*AQ197</f>
        <v>4609.3793140367907</v>
      </c>
      <c r="AY191" s="252">
        <f t="shared" ref="AY191" si="1176">AK191/SUM(AK186:AK197)*AR197</f>
        <v>24623.647559012788</v>
      </c>
    </row>
    <row r="192" spans="31:59">
      <c r="AE192" s="165">
        <v>34608</v>
      </c>
      <c r="AF192" s="277">
        <v>2419716</v>
      </c>
      <c r="AG192" s="277">
        <v>1047402</v>
      </c>
      <c r="AH192" s="277">
        <v>624262</v>
      </c>
      <c r="AI192" s="277">
        <v>121777</v>
      </c>
      <c r="AJ192" s="277">
        <v>522973</v>
      </c>
      <c r="AK192" s="277">
        <v>2563111</v>
      </c>
      <c r="AT192" s="252">
        <f t="shared" ref="AT192" si="1177">AF192/SUM(AF186:AF197)*AM197</f>
        <v>24990.583127884907</v>
      </c>
      <c r="AU192" s="252">
        <f t="shared" ref="AU192" si="1178">AG192/SUM(AG186:AG197)*AN197</f>
        <v>11580.386563343607</v>
      </c>
      <c r="AV192" s="252">
        <f t="shared" ref="AV192" si="1179">AH192/SUM(AH186:AH197)*AO197</f>
        <v>7930.2798140419936</v>
      </c>
      <c r="AW192" s="252">
        <f t="shared" ref="AW192" si="1180">AI192/SUM(AI186:AI197)*AP197</f>
        <v>1757.4221720057499</v>
      </c>
      <c r="AX192" s="252">
        <f t="shared" ref="AX192" si="1181">AJ192/SUM(AJ186:AJ197)*AQ197</f>
        <v>5066.1081868328956</v>
      </c>
      <c r="AY192" s="252">
        <f t="shared" ref="AY192" si="1182">AK192/SUM(AK186:AK197)*AR197</f>
        <v>28544.575859224868</v>
      </c>
    </row>
    <row r="193" spans="31:59">
      <c r="AE193" s="165">
        <v>34639</v>
      </c>
      <c r="AF193" s="277">
        <v>2324439</v>
      </c>
      <c r="AG193" s="277">
        <v>1004107</v>
      </c>
      <c r="AH193" s="277">
        <v>668065</v>
      </c>
      <c r="AI193" s="277">
        <v>120202</v>
      </c>
      <c r="AJ193" s="277">
        <v>544552</v>
      </c>
      <c r="AK193" s="277">
        <v>2823366</v>
      </c>
      <c r="AT193" s="252">
        <f t="shared" ref="AT193" si="1183">AF193/SUM(AF186:AF197)*AM197</f>
        <v>24006.571868433184</v>
      </c>
      <c r="AU193" s="252">
        <f t="shared" ref="AU193" si="1184">AG193/SUM(AG186:AG197)*AN197</f>
        <v>11101.704227182361</v>
      </c>
      <c r="AV193" s="252">
        <f t="shared" ref="AV193" si="1185">AH193/SUM(AH186:AH197)*AO197</f>
        <v>8486.7289438856824</v>
      </c>
      <c r="AW193" s="252">
        <f t="shared" ref="AW193" si="1186">AI193/SUM(AI186:AI197)*AP197</f>
        <v>1734.692593177982</v>
      </c>
      <c r="AX193" s="252">
        <f t="shared" ref="AX193" si="1187">AJ193/SUM(AJ186:AJ197)*AQ197</f>
        <v>5275.1467960224081</v>
      </c>
      <c r="AY193" s="252">
        <f t="shared" ref="AY193" si="1188">AK193/SUM(AK186:AK197)*AR197</f>
        <v>31442.955441787839</v>
      </c>
    </row>
    <row r="194" spans="31:59">
      <c r="AE194" s="165">
        <v>34669</v>
      </c>
      <c r="AF194" s="277">
        <v>2401317</v>
      </c>
      <c r="AG194" s="277">
        <v>998391</v>
      </c>
      <c r="AH194" s="277">
        <v>629707</v>
      </c>
      <c r="AI194" s="277">
        <v>121031</v>
      </c>
      <c r="AJ194" s="277">
        <v>567482</v>
      </c>
      <c r="AK194" s="277">
        <v>3125194</v>
      </c>
      <c r="AT194" s="252">
        <f t="shared" ref="AT194" si="1189">AF194/SUM(AF186:AF197)*AM197</f>
        <v>24800.560109080241</v>
      </c>
      <c r="AU194" s="252">
        <f t="shared" ref="AU194" si="1190">AG194/SUM(AG186:AG197)*AN197</f>
        <v>11038.506439135297</v>
      </c>
      <c r="AV194" s="252">
        <f t="shared" ref="AV194" si="1191">AH194/SUM(AH186:AH197)*AO197</f>
        <v>7999.4500880414662</v>
      </c>
      <c r="AW194" s="252">
        <f t="shared" ref="AW194" si="1192">AI194/SUM(AI186:AI197)*AP197</f>
        <v>1746.6562889546292</v>
      </c>
      <c r="AX194" s="252">
        <f t="shared" ref="AX194" si="1193">AJ194/SUM(AJ186:AJ197)*AQ197</f>
        <v>5497.272719777704</v>
      </c>
      <c r="AY194" s="252">
        <f t="shared" ref="AY194" si="1194">AK194/SUM(AK186:AK197)*AR197</f>
        <v>34804.320689893801</v>
      </c>
      <c r="BA194" s="252">
        <f t="shared" ref="BA194" si="1195">SUM(AT183:AT194)</f>
        <v>273139.35492519301</v>
      </c>
      <c r="BB194" s="252">
        <f t="shared" ref="BB194" si="1196">SUM(AU183:AU194)</f>
        <v>134648.41893150099</v>
      </c>
      <c r="BC194" s="252">
        <f t="shared" ref="BC194" si="1197">SUM(AV183:AV194)</f>
        <v>92083.147856277501</v>
      </c>
      <c r="BD194" s="252">
        <f t="shared" ref="BD194" si="1198">SUM(AW183:AW194)</f>
        <v>18854.491624605209</v>
      </c>
      <c r="BE194" s="252">
        <f t="shared" ref="BE194" si="1199">SUM(AX183:AX194)</f>
        <v>52698.94915362668</v>
      </c>
      <c r="BF194" s="252">
        <f t="shared" ref="BF194" si="1200">SUM(AY183:AY194)</f>
        <v>307844.33882815018</v>
      </c>
      <c r="BG194" s="252">
        <f t="shared" ref="BG194" si="1201">SUM(BA194:BF194)</f>
        <v>879268.70131935354</v>
      </c>
    </row>
    <row r="195" spans="31:59">
      <c r="AE195" s="165">
        <v>34700</v>
      </c>
      <c r="AF195" s="277">
        <v>1791838</v>
      </c>
      <c r="AG195" s="277">
        <v>768483</v>
      </c>
      <c r="AH195" s="277">
        <v>495891</v>
      </c>
      <c r="AI195" s="277">
        <v>94115</v>
      </c>
      <c r="AJ195" s="277">
        <v>419177</v>
      </c>
      <c r="AK195" s="277">
        <v>2389418</v>
      </c>
      <c r="AT195" s="252">
        <f t="shared" ref="AT195" si="1202">AF195/SUM(AF186:AF197)*AM197</f>
        <v>18505.922385396898</v>
      </c>
      <c r="AU195" s="252">
        <f t="shared" ref="AU195" si="1203">AG195/SUM(AG186:AG197)*AN197</f>
        <v>8496.5755339000552</v>
      </c>
      <c r="AV195" s="252">
        <f t="shared" ref="AV195" si="1204">AH195/SUM(AH186:AH197)*AO197</f>
        <v>6299.5254993337712</v>
      </c>
      <c r="AW195" s="252">
        <f t="shared" ref="AW195" si="1205">AI195/SUM(AI186:AI197)*AP197</f>
        <v>1358.2186103970464</v>
      </c>
      <c r="AX195" s="252">
        <f t="shared" ref="AX195" si="1206">AJ195/SUM(AJ186:AJ197)*AQ197</f>
        <v>4060.6226926285917</v>
      </c>
      <c r="AY195" s="252">
        <f t="shared" ref="AY195" si="1207">AK195/SUM(AK186:AK197)*AR197</f>
        <v>26610.21054507486</v>
      </c>
    </row>
    <row r="196" spans="31:59">
      <c r="AE196" s="165">
        <v>34731</v>
      </c>
      <c r="AF196" s="277">
        <v>1846426</v>
      </c>
      <c r="AG196" s="277">
        <v>850387</v>
      </c>
      <c r="AH196" s="277">
        <v>541112</v>
      </c>
      <c r="AI196" s="277">
        <v>99571</v>
      </c>
      <c r="AJ196" s="277">
        <v>424709</v>
      </c>
      <c r="AK196" s="277">
        <v>2139421</v>
      </c>
      <c r="AT196" s="252">
        <f t="shared" ref="AT196" si="1208">AF196/SUM(AF186:AF197)*AM197</f>
        <v>19069.701751150969</v>
      </c>
      <c r="AU196" s="252">
        <f t="shared" ref="AU196" si="1209">AG196/SUM(AG186:AG197)*AN197</f>
        <v>9402.1304030754964</v>
      </c>
      <c r="AV196" s="252">
        <f t="shared" ref="AV196" si="1210">AH196/SUM(AH186:AH197)*AO197</f>
        <v>6873.98811834757</v>
      </c>
      <c r="AW196" s="252">
        <f t="shared" ref="AW196" si="1211">AI196/SUM(AI186:AI197)*AP197</f>
        <v>1436.9567577521575</v>
      </c>
      <c r="AX196" s="252">
        <f t="shared" ref="AX196" si="1212">AJ196/SUM(AJ186:AJ197)*AQ197</f>
        <v>4114.2119037151288</v>
      </c>
      <c r="AY196" s="252">
        <f t="shared" ref="AY196" si="1213">AK196/SUM(AK186:AK197)*AR197</f>
        <v>23826.071141405395</v>
      </c>
    </row>
    <row r="197" spans="31:59">
      <c r="AE197" s="165">
        <v>34759</v>
      </c>
      <c r="AF197" s="277">
        <v>2023207</v>
      </c>
      <c r="AG197" s="277">
        <v>933877</v>
      </c>
      <c r="AH197" s="277">
        <v>607689</v>
      </c>
      <c r="AI197" s="277">
        <v>108204</v>
      </c>
      <c r="AJ197" s="277">
        <v>437776</v>
      </c>
      <c r="AK197" s="277">
        <v>2254775</v>
      </c>
      <c r="AM197" s="277">
        <v>276016</v>
      </c>
      <c r="AN197" s="277">
        <v>130687</v>
      </c>
      <c r="AO197" s="277">
        <v>90152</v>
      </c>
      <c r="AP197" s="277">
        <v>19357</v>
      </c>
      <c r="AQ197" s="277">
        <v>51934</v>
      </c>
      <c r="AR197" s="277">
        <v>299647</v>
      </c>
      <c r="AT197" s="252">
        <f t="shared" ref="AT197" si="1214">AF197/SUM(AF186:AF197)*AM197</f>
        <v>20895.478113306952</v>
      </c>
      <c r="AU197" s="252">
        <f t="shared" ref="AU197" si="1215">AG197/SUM(AG186:AG197)*AN197</f>
        <v>10325.220557737752</v>
      </c>
      <c r="AV197" s="252">
        <f t="shared" ref="AV197" si="1216">AH197/SUM(AH186:AH197)*AO197</f>
        <v>7719.7455714353355</v>
      </c>
      <c r="AW197" s="252">
        <f t="shared" ref="AW197" si="1217">AI197/SUM(AI186:AI197)*AP197</f>
        <v>1561.5437126855657</v>
      </c>
      <c r="AX197" s="252">
        <f t="shared" ref="AX197" si="1218">AJ197/SUM(AJ186:AJ197)*AQ197</f>
        <v>4240.7936501482054</v>
      </c>
      <c r="AY197" s="252">
        <f t="shared" ref="AY197" si="1219">AK197/SUM(AK186:AK197)*AR197</f>
        <v>25110.733024431542</v>
      </c>
      <c r="AZ197" s="25">
        <f t="shared" ref="AZ197" si="1220">SUM(AT186:AY197)-SUM(AM197:AR197)</f>
        <v>0</v>
      </c>
    </row>
    <row r="198" spans="31:59">
      <c r="AE198" s="165">
        <v>34790</v>
      </c>
      <c r="AF198" s="277">
        <v>2055595</v>
      </c>
      <c r="AG198" s="277">
        <v>913119</v>
      </c>
      <c r="AH198" s="277">
        <v>532422</v>
      </c>
      <c r="AI198" s="277">
        <v>110207</v>
      </c>
      <c r="AJ198" s="277">
        <v>396919</v>
      </c>
      <c r="AK198" s="277">
        <v>1634413</v>
      </c>
      <c r="AT198" s="252">
        <f t="shared" ref="AT198" si="1221">AF198/SUM(AF198:AF209)*AM209</f>
        <v>21254.736696599379</v>
      </c>
      <c r="AU198" s="252">
        <f t="shared" ref="AU198" si="1222">AG198/SUM(AG198:AG209)*AN209</f>
        <v>9812.4444871747201</v>
      </c>
      <c r="AV198" s="252">
        <f t="shared" ref="AV198" si="1223">AH198/SUM(AH198:AH209)*AO209</f>
        <v>7580.7126921806275</v>
      </c>
      <c r="AW198" s="252">
        <f t="shared" ref="AW198" si="1224">AI198/SUM(AI198:AI209)*AP209</f>
        <v>1459.7905863638682</v>
      </c>
      <c r="AX198" s="252">
        <f t="shared" ref="AX198" si="1225">AJ198/SUM(AJ198:AJ209)*AQ209</f>
        <v>3813.0192865265735</v>
      </c>
      <c r="AY198" s="252">
        <f t="shared" ref="AY198" si="1226">AK198/SUM(AK198:AK209)*AR209</f>
        <v>19512.811416721939</v>
      </c>
    </row>
    <row r="199" spans="31:59">
      <c r="AE199" s="165">
        <v>34820</v>
      </c>
      <c r="AF199" s="277">
        <v>2073554</v>
      </c>
      <c r="AG199" s="277">
        <v>915907</v>
      </c>
      <c r="AH199" s="277">
        <v>540580</v>
      </c>
      <c r="AI199" s="277">
        <v>106181</v>
      </c>
      <c r="AJ199" s="277">
        <v>365072</v>
      </c>
      <c r="AK199" s="277">
        <v>1375662</v>
      </c>
      <c r="AT199" s="252">
        <f t="shared" ref="AT199" si="1227">AF199/SUM(AF198:AF209)*AM209</f>
        <v>21440.431746613718</v>
      </c>
      <c r="AU199" s="252">
        <f t="shared" ref="AU199" si="1228">AG199/SUM(AG198:AG209)*AN209</f>
        <v>9842.4045419214108</v>
      </c>
      <c r="AV199" s="252">
        <f t="shared" ref="AV199" si="1229">AH199/SUM(AH198:AH209)*AO209</f>
        <v>7696.8676484799716</v>
      </c>
      <c r="AW199" s="252">
        <f t="shared" ref="AW199" si="1230">AI199/SUM(AI198:AI209)*AP209</f>
        <v>1406.4626044688803</v>
      </c>
      <c r="AX199" s="252">
        <f t="shared" ref="AX199" si="1231">AJ199/SUM(AJ198:AJ209)*AQ209</f>
        <v>3507.0797240011925</v>
      </c>
      <c r="AY199" s="252">
        <f t="shared" ref="AY199" si="1232">AK199/SUM(AK198:AK209)*AR209</f>
        <v>16423.653739385663</v>
      </c>
    </row>
    <row r="200" spans="31:59">
      <c r="AE200" s="165">
        <v>34851</v>
      </c>
      <c r="AF200" s="277">
        <v>2091211</v>
      </c>
      <c r="AG200" s="277">
        <v>951866</v>
      </c>
      <c r="AH200" s="277">
        <v>564613</v>
      </c>
      <c r="AI200" s="277">
        <v>102208</v>
      </c>
      <c r="AJ200" s="277">
        <v>348776</v>
      </c>
      <c r="AK200" s="277">
        <v>1489429</v>
      </c>
      <c r="AT200" s="252">
        <f t="shared" ref="AT200" si="1233">AF200/SUM(AF198:AF209)*AM209</f>
        <v>21623.004133612059</v>
      </c>
      <c r="AU200" s="252">
        <f t="shared" ref="AU200" si="1234">AG200/SUM(AG198:AG209)*AN209</f>
        <v>10228.82262249395</v>
      </c>
      <c r="AV200" s="252">
        <f t="shared" ref="AV200" si="1235">AH200/SUM(AH198:AH209)*AO209</f>
        <v>8039.0534862762643</v>
      </c>
      <c r="AW200" s="252">
        <f t="shared" ref="AW200" si="1236">AI200/SUM(AI198:AI209)*AP209</f>
        <v>1353.8366551224356</v>
      </c>
      <c r="AX200" s="252">
        <f t="shared" ref="AX200" si="1237">AJ200/SUM(AJ198:AJ209)*AQ209</f>
        <v>3350.531505615988</v>
      </c>
      <c r="AY200" s="252">
        <f t="shared" ref="AY200" si="1238">AK200/SUM(AK198:AK209)*AR209</f>
        <v>17781.886949991673</v>
      </c>
    </row>
    <row r="201" spans="31:59">
      <c r="AE201" s="165">
        <v>34881</v>
      </c>
      <c r="AF201" s="277">
        <v>2146121</v>
      </c>
      <c r="AG201" s="277">
        <v>983808</v>
      </c>
      <c r="AH201" s="277">
        <v>594693</v>
      </c>
      <c r="AI201" s="277">
        <v>102805</v>
      </c>
      <c r="AJ201" s="277">
        <v>364242</v>
      </c>
      <c r="AK201" s="277">
        <v>1794470</v>
      </c>
      <c r="AT201" s="252">
        <f t="shared" ref="AT201" si="1239">AF201/SUM(AF198:AF209)*AM209</f>
        <v>22190.7704455608</v>
      </c>
      <c r="AU201" s="252">
        <f t="shared" ref="AU201" si="1240">AG201/SUM(AG198:AG209)*AN209</f>
        <v>10572.073723182179</v>
      </c>
      <c r="AV201" s="252">
        <f t="shared" ref="AV201" si="1241">AH201/SUM(AH198:AH209)*AO209</f>
        <v>8467.3375124449667</v>
      </c>
      <c r="AW201" s="252">
        <f t="shared" ref="AW201" si="1242">AI201/SUM(AI198:AI209)*AP209</f>
        <v>1361.7444557164017</v>
      </c>
      <c r="AX201" s="252">
        <f t="shared" ref="AX201" si="1243">AJ201/SUM(AJ198:AJ209)*AQ209</f>
        <v>3499.1062936342487</v>
      </c>
      <c r="AY201" s="252">
        <f t="shared" ref="AY201" si="1244">AK201/SUM(AK198:AK209)*AR209</f>
        <v>21423.688322942253</v>
      </c>
    </row>
    <row r="202" spans="31:59">
      <c r="AE202" s="165">
        <v>34912</v>
      </c>
      <c r="AF202" s="277">
        <v>2209331</v>
      </c>
      <c r="AG202" s="277">
        <v>1004725</v>
      </c>
      <c r="AH202" s="277">
        <v>584877</v>
      </c>
      <c r="AI202" s="277">
        <v>103543</v>
      </c>
      <c r="AJ202" s="277">
        <v>390328</v>
      </c>
      <c r="AK202" s="277">
        <v>2063553</v>
      </c>
      <c r="AT202" s="252">
        <f t="shared" ref="AT202" si="1245">AF202/SUM(AF198:AF209)*AM209</f>
        <v>22844.358290730714</v>
      </c>
      <c r="AU202" s="252">
        <f t="shared" ref="AU202" si="1246">AG202/SUM(AG198:AG209)*AN209</f>
        <v>10796.849356301445</v>
      </c>
      <c r="AV202" s="252">
        <f t="shared" ref="AV202" si="1247">AH202/SUM(AH198:AH209)*AO209</f>
        <v>8327.5756773095945</v>
      </c>
      <c r="AW202" s="252">
        <f t="shared" ref="AW202" si="1248">AI202/SUM(AI198:AI209)*AP209</f>
        <v>1371.5199278074351</v>
      </c>
      <c r="AX202" s="252">
        <f t="shared" ref="AX202" si="1249">AJ202/SUM(AJ198:AJ209)*AQ209</f>
        <v>3749.7025641789496</v>
      </c>
      <c r="AY202" s="252">
        <f t="shared" ref="AY202" si="1250">AK202/SUM(AK198:AK209)*AR209</f>
        <v>24636.196932728024</v>
      </c>
    </row>
    <row r="203" spans="31:59">
      <c r="AE203" s="165">
        <v>34943</v>
      </c>
      <c r="AF203" s="277">
        <v>2215927</v>
      </c>
      <c r="AG203" s="277">
        <v>1016670</v>
      </c>
      <c r="AH203" s="277">
        <v>592450</v>
      </c>
      <c r="AI203" s="277">
        <v>105906</v>
      </c>
      <c r="AJ203" s="277">
        <v>434734</v>
      </c>
      <c r="AK203" s="277">
        <v>2356169</v>
      </c>
      <c r="AT203" s="252">
        <f t="shared" ref="AT203" si="1251">AF203/SUM(AF198:AF209)*AM209</f>
        <v>22912.560559782141</v>
      </c>
      <c r="AU203" s="252">
        <f t="shared" ref="AU203" si="1252">AG203/SUM(AG198:AG209)*AN209</f>
        <v>10925.211212093849</v>
      </c>
      <c r="AV203" s="252">
        <f t="shared" ref="AV203" si="1253">AH203/SUM(AH198:AH209)*AO209</f>
        <v>8435.4013066372409</v>
      </c>
      <c r="AW203" s="252">
        <f t="shared" ref="AW203" si="1254">AI203/SUM(AI198:AI209)*AP209</f>
        <v>1402.8199827547419</v>
      </c>
      <c r="AX203" s="252">
        <f t="shared" ref="AX203" si="1255">AJ203/SUM(AJ198:AJ209)*AQ209</f>
        <v>4176.2906953530655</v>
      </c>
      <c r="AY203" s="252">
        <f t="shared" ref="AY203" si="1256">AK203/SUM(AK198:AK209)*AR209</f>
        <v>28129.65961658792</v>
      </c>
    </row>
    <row r="204" spans="31:59">
      <c r="AE204" s="165">
        <v>34973</v>
      </c>
      <c r="AF204" s="277">
        <v>2232293</v>
      </c>
      <c r="AG204" s="277">
        <v>1037323</v>
      </c>
      <c r="AH204" s="277">
        <v>610019</v>
      </c>
      <c r="AI204" s="277">
        <v>105918</v>
      </c>
      <c r="AJ204" s="277">
        <v>475305</v>
      </c>
      <c r="AK204" s="277">
        <v>2701259</v>
      </c>
      <c r="AT204" s="252">
        <f t="shared" ref="AT204" si="1257">AF204/SUM(AF198:AF209)*AM209</f>
        <v>23081.784079384273</v>
      </c>
      <c r="AU204" s="252">
        <f t="shared" ref="AU204" si="1258">AG204/SUM(AG198:AG209)*AN209</f>
        <v>11147.149881635956</v>
      </c>
      <c r="AV204" s="252">
        <f t="shared" ref="AV204" si="1259">AH204/SUM(AH198:AH209)*AO209</f>
        <v>8685.5516409377051</v>
      </c>
      <c r="AW204" s="252">
        <f t="shared" ref="AW204" si="1260">AI204/SUM(AI198:AI209)*AP209</f>
        <v>1402.9789335204498</v>
      </c>
      <c r="AX204" s="252">
        <f t="shared" ref="AX204" si="1261">AJ204/SUM(AJ198:AJ209)*AQ209</f>
        <v>4566.0377356148565</v>
      </c>
      <c r="AY204" s="252">
        <f t="shared" ref="AY204" si="1262">AK204/SUM(AK198:AK209)*AR209</f>
        <v>32249.595086873938</v>
      </c>
    </row>
    <row r="205" spans="31:59">
      <c r="AE205" s="165">
        <v>35004</v>
      </c>
      <c r="AF205" s="277">
        <v>2222849</v>
      </c>
      <c r="AG205" s="277">
        <v>999161</v>
      </c>
      <c r="AH205" s="277">
        <v>580689</v>
      </c>
      <c r="AI205" s="277">
        <v>101204</v>
      </c>
      <c r="AJ205" s="277">
        <v>470946</v>
      </c>
      <c r="AK205" s="277">
        <v>2879720</v>
      </c>
      <c r="AT205" s="252">
        <f t="shared" ref="AT205" si="1263">AF205/SUM(AF198:AF209)*AM209</f>
        <v>22984.133650499851</v>
      </c>
      <c r="AU205" s="252">
        <f t="shared" ref="AU205" si="1264">AG205/SUM(AG198:AG209)*AN209</f>
        <v>10737.058199697936</v>
      </c>
      <c r="AV205" s="252">
        <f t="shared" ref="AV205" si="1265">AH205/SUM(AH198:AH209)*AO209</f>
        <v>8267.9462390916924</v>
      </c>
      <c r="AW205" s="252">
        <f t="shared" ref="AW205" si="1266">AI205/SUM(AI198:AI209)*AP209</f>
        <v>1340.5377743915442</v>
      </c>
      <c r="AX205" s="252">
        <f t="shared" ref="AX205" si="1267">AJ205/SUM(AJ198:AJ209)*AQ209</f>
        <v>4524.1628163744845</v>
      </c>
      <c r="AY205" s="252">
        <f t="shared" ref="AY205" si="1268">AK205/SUM(AK198:AK209)*AR209</f>
        <v>34380.192333860847</v>
      </c>
    </row>
    <row r="206" spans="31:59">
      <c r="AE206" s="165">
        <v>35034</v>
      </c>
      <c r="AF206" s="277">
        <v>2343334</v>
      </c>
      <c r="AG206" s="277">
        <v>982531</v>
      </c>
      <c r="AH206" s="277">
        <v>596191</v>
      </c>
      <c r="AI206" s="277">
        <v>99236</v>
      </c>
      <c r="AJ206" s="277">
        <v>463417</v>
      </c>
      <c r="AK206" s="277">
        <v>3287067</v>
      </c>
      <c r="AT206" s="252">
        <f t="shared" ref="AT206" si="1269">AF206/SUM(AF198:AF209)*AM209</f>
        <v>24229.941774614654</v>
      </c>
      <c r="AU206" s="252">
        <f t="shared" ref="AU206" si="1270">AG206/SUM(AG198:AG209)*AN209</f>
        <v>10558.350986485075</v>
      </c>
      <c r="AV206" s="252">
        <f t="shared" ref="AV206" si="1271">AH206/SUM(AH198:AH209)*AO209</f>
        <v>8488.6662847588213</v>
      </c>
      <c r="AW206" s="252">
        <f t="shared" ref="AW206" si="1272">AI206/SUM(AI198:AI209)*AP209</f>
        <v>1314.4698488154547</v>
      </c>
      <c r="AX206" s="252">
        <f t="shared" ref="AX206" si="1273">AJ206/SUM(AJ198:AJ209)*AQ209</f>
        <v>4451.8351570579516</v>
      </c>
      <c r="AY206" s="252">
        <f t="shared" ref="AY206" si="1274">AK206/SUM(AK198:AK209)*AR209</f>
        <v>39243.397161629247</v>
      </c>
      <c r="BA206" s="252">
        <f t="shared" ref="BA206" si="1275">SUM(AT195:AT206)</f>
        <v>261032.82362725239</v>
      </c>
      <c r="BB206" s="252">
        <f t="shared" ref="BB206" si="1276">SUM(AU195:AU206)</f>
        <v>122844.29150569983</v>
      </c>
      <c r="BC206" s="252">
        <f t="shared" ref="BC206" si="1277">SUM(AV195:AV206)</f>
        <v>94882.371677233547</v>
      </c>
      <c r="BD206" s="252">
        <f t="shared" ref="BD206" si="1278">SUM(AW195:AW206)</f>
        <v>16770.87984979598</v>
      </c>
      <c r="BE206" s="252">
        <f t="shared" ref="BE206" si="1279">SUM(AX195:AX206)</f>
        <v>48053.394024849236</v>
      </c>
      <c r="BF206" s="252">
        <f t="shared" ref="BF206" si="1280">SUM(AY195:AY206)</f>
        <v>309328.09627163329</v>
      </c>
      <c r="BG206" s="252">
        <f t="shared" ref="BG206" si="1281">SUM(BA206:BF206)</f>
        <v>852911.85695646435</v>
      </c>
    </row>
    <row r="207" spans="31:59">
      <c r="AE207" s="165">
        <v>35065</v>
      </c>
      <c r="AF207" s="277">
        <v>1798461</v>
      </c>
      <c r="AG207" s="277">
        <v>747404</v>
      </c>
      <c r="AH207" s="277">
        <v>447774</v>
      </c>
      <c r="AI207" s="277">
        <v>75457</v>
      </c>
      <c r="AJ207" s="277">
        <v>347727</v>
      </c>
      <c r="AK207" s="277">
        <v>2615034</v>
      </c>
      <c r="AT207" s="252">
        <f t="shared" ref="AT207" si="1282">AF207/SUM(AF198:AF209)*AM209</f>
        <v>18595.985597407474</v>
      </c>
      <c r="AU207" s="252">
        <f t="shared" ref="AU207" si="1283">AG207/SUM(AG198:AG209)*AN209</f>
        <v>8031.658808427308</v>
      </c>
      <c r="AV207" s="252">
        <f t="shared" ref="AV207" si="1284">AH207/SUM(AH198:AH209)*AO209</f>
        <v>6375.480436624498</v>
      </c>
      <c r="AW207" s="252">
        <f t="shared" ref="AW207" si="1285">AI207/SUM(AI198:AI209)*AP209</f>
        <v>999.49566066818261</v>
      </c>
      <c r="AX207" s="252">
        <f t="shared" ref="AX207" si="1286">AJ207/SUM(AJ198:AJ209)*AQ209</f>
        <v>3340.4542424172841</v>
      </c>
      <c r="AY207" s="252">
        <f t="shared" ref="AY207" si="1287">AK207/SUM(AK198:AK209)*AR209</f>
        <v>31220.178308858311</v>
      </c>
    </row>
    <row r="208" spans="31:59">
      <c r="AE208" s="165">
        <v>35096</v>
      </c>
      <c r="AF208" s="277">
        <v>1894235</v>
      </c>
      <c r="AG208" s="277">
        <v>829177</v>
      </c>
      <c r="AH208" s="277">
        <v>493140</v>
      </c>
      <c r="AI208" s="277">
        <v>84843</v>
      </c>
      <c r="AJ208" s="277">
        <v>375091</v>
      </c>
      <c r="AK208" s="277">
        <v>2571094</v>
      </c>
      <c r="AT208" s="252">
        <f t="shared" ref="AT208" si="1288">AF208/SUM(AF198:AF209)*AM209</f>
        <v>19586.283371229703</v>
      </c>
      <c r="AU208" s="252">
        <f t="shared" ref="AU208" si="1289">AG208/SUM(AG198:AG209)*AN209</f>
        <v>8910.3975303789248</v>
      </c>
      <c r="AV208" s="252">
        <f t="shared" ref="AV208" si="1290">AH208/SUM(AH198:AH209)*AO209</f>
        <v>7021.409064655395</v>
      </c>
      <c r="AW208" s="252">
        <f t="shared" ref="AW208" si="1291">AI208/SUM(AI198:AI209)*AP209</f>
        <v>1123.821651246016</v>
      </c>
      <c r="AX208" s="252">
        <f t="shared" ref="AX208" si="1292">AJ208/SUM(AJ198:AJ209)*AQ209</f>
        <v>3603.3276744185569</v>
      </c>
      <c r="AY208" s="252">
        <f t="shared" ref="AY208" si="1293">AK208/SUM(AK198:AK209)*AR209</f>
        <v>30695.590622850697</v>
      </c>
    </row>
    <row r="209" spans="31:59">
      <c r="AE209" s="165">
        <v>35125</v>
      </c>
      <c r="AF209" s="277">
        <v>2082314</v>
      </c>
      <c r="AG209" s="277">
        <v>913969</v>
      </c>
      <c r="AH209" s="277">
        <v>536937</v>
      </c>
      <c r="AI209" s="277">
        <v>98183</v>
      </c>
      <c r="AJ209" s="277">
        <v>401232</v>
      </c>
      <c r="AK209" s="277">
        <v>2819576</v>
      </c>
      <c r="AM209" s="277">
        <v>262275</v>
      </c>
      <c r="AN209" s="277">
        <v>121384</v>
      </c>
      <c r="AO209" s="277">
        <v>95031</v>
      </c>
      <c r="AP209" s="277">
        <v>15838</v>
      </c>
      <c r="AQ209" s="277">
        <v>46436</v>
      </c>
      <c r="AR209" s="277">
        <v>329359</v>
      </c>
      <c r="AT209" s="252">
        <f t="shared" ref="AT209" si="1294">AF209/SUM(AF198:AF209)*AM209</f>
        <v>21531.009653965222</v>
      </c>
      <c r="AU209" s="252">
        <f t="shared" ref="AU209" si="1295">AG209/SUM(AG198:AG209)*AN209</f>
        <v>9821.5786502072478</v>
      </c>
      <c r="AV209" s="252">
        <f t="shared" ref="AV209" si="1296">AH209/SUM(AH198:AH209)*AO209</f>
        <v>7644.9980106032244</v>
      </c>
      <c r="AW209" s="252">
        <f t="shared" ref="AW209" si="1297">AI209/SUM(AI198:AI209)*AP209</f>
        <v>1300.5219191245899</v>
      </c>
      <c r="AX209" s="252">
        <f t="shared" ref="AX209" si="1298">AJ209/SUM(AJ198:AJ209)*AQ209</f>
        <v>3854.4523048068504</v>
      </c>
      <c r="AY209" s="252">
        <f t="shared" ref="AY209" si="1299">AK209/SUM(AK198:AK209)*AR209</f>
        <v>33662.149507569491</v>
      </c>
      <c r="AZ209" s="25">
        <f t="shared" ref="AZ209" si="1300">SUM(AT198:AY209)-SUM(AM209:AR209)</f>
        <v>0</v>
      </c>
    </row>
    <row r="210" spans="31:59">
      <c r="AE210" s="165">
        <v>35156</v>
      </c>
      <c r="AF210" s="277">
        <v>2168265</v>
      </c>
      <c r="AG210" s="277">
        <v>892494</v>
      </c>
      <c r="AH210" s="277">
        <v>445759</v>
      </c>
      <c r="AI210" s="277">
        <v>103412</v>
      </c>
      <c r="AJ210" s="277">
        <v>367940</v>
      </c>
      <c r="AK210" s="277">
        <v>1999401</v>
      </c>
      <c r="AT210" s="252">
        <f t="shared" ref="AT210" si="1301">AF210/SUM(AF210:AF221)*AM221</f>
        <v>22756.345170013152</v>
      </c>
      <c r="AU210" s="252">
        <f t="shared" ref="AU210" si="1302">AG210/SUM(AG210:AG221)*AN221</f>
        <v>10522.478586368537</v>
      </c>
      <c r="AV210" s="252">
        <f t="shared" ref="AV210" si="1303">AH210/SUM(AH210:AH221)*AO221</f>
        <v>6790.028806121114</v>
      </c>
      <c r="AW210" s="252">
        <f t="shared" ref="AW210" si="1304">AI210/SUM(AI210:AI221)*AP221</f>
        <v>1323.3636232246677</v>
      </c>
      <c r="AX210" s="252">
        <f t="shared" ref="AX210" si="1305">AJ210/SUM(AJ210:AJ221)*AQ221</f>
        <v>3790.3830603101878</v>
      </c>
      <c r="AY210" s="252">
        <f t="shared" ref="AY210" si="1306">AK210/SUM(AK210:AK221)*AR221</f>
        <v>25089.52926087406</v>
      </c>
    </row>
    <row r="211" spans="31:59">
      <c r="AE211" s="165">
        <v>35186</v>
      </c>
      <c r="AF211" s="277">
        <v>2294627</v>
      </c>
      <c r="AG211" s="277">
        <v>905167</v>
      </c>
      <c r="AH211" s="277">
        <v>481409</v>
      </c>
      <c r="AI211" s="277">
        <v>103250</v>
      </c>
      <c r="AJ211" s="277">
        <v>341214</v>
      </c>
      <c r="AK211" s="277">
        <v>1676723</v>
      </c>
      <c r="AT211" s="252">
        <f t="shared" ref="AT211" si="1307">AF211/SUM(AF210:AF221)*AM221</f>
        <v>24082.537904007011</v>
      </c>
      <c r="AU211" s="252">
        <f t="shared" ref="AU211" si="1308">AG211/SUM(AG210:AG221)*AN221</f>
        <v>10671.892891814903</v>
      </c>
      <c r="AV211" s="252">
        <f t="shared" ref="AV211" si="1309">AH211/SUM(AH210:AH221)*AO221</f>
        <v>7333.0678180944387</v>
      </c>
      <c r="AW211" s="252">
        <f t="shared" ref="AW211" si="1310">AI211/SUM(AI210:AI221)*AP221</f>
        <v>1321.2905088185792</v>
      </c>
      <c r="AX211" s="252">
        <f t="shared" ref="AX211" si="1311">AJ211/SUM(AJ210:AJ221)*AQ221</f>
        <v>3515.0616011868256</v>
      </c>
      <c r="AY211" s="252">
        <f t="shared" ref="AY211" si="1312">AK211/SUM(AK210:AK221)*AR221</f>
        <v>21040.396984337076</v>
      </c>
    </row>
    <row r="212" spans="31:59">
      <c r="AE212" s="165">
        <v>35217</v>
      </c>
      <c r="AF212" s="277">
        <v>2371188</v>
      </c>
      <c r="AG212" s="277">
        <v>927597</v>
      </c>
      <c r="AH212" s="277">
        <v>506620</v>
      </c>
      <c r="AI212" s="277">
        <v>105482</v>
      </c>
      <c r="AJ212" s="277">
        <v>328896</v>
      </c>
      <c r="AK212" s="277">
        <v>1627712</v>
      </c>
      <c r="AT212" s="252">
        <f t="shared" ref="AT212" si="1313">AF212/SUM(AF210:AF221)*AM221</f>
        <v>24886.059863989478</v>
      </c>
      <c r="AU212" s="252">
        <f t="shared" ref="AU212" si="1314">AG212/SUM(AG210:AG221)*AN221</f>
        <v>10936.341946589779</v>
      </c>
      <c r="AV212" s="252">
        <f t="shared" ref="AV212" si="1315">AH212/SUM(AH210:AH221)*AO221</f>
        <v>7717.0946492545945</v>
      </c>
      <c r="AW212" s="252">
        <f t="shared" ref="AW212" si="1316">AI212/SUM(AI210:AI221)*AP221</f>
        <v>1349.8534184135729</v>
      </c>
      <c r="AX212" s="252">
        <f t="shared" ref="AX212" si="1317">AJ212/SUM(AJ210:AJ221)*AQ221</f>
        <v>3388.1660787187579</v>
      </c>
      <c r="AY212" s="252">
        <f t="shared" ref="AY212" si="1318">AK212/SUM(AK210:AK221)*AR221</f>
        <v>20425.381327845607</v>
      </c>
    </row>
    <row r="213" spans="31:59">
      <c r="AE213" s="165">
        <v>35247</v>
      </c>
      <c r="AF213" s="277">
        <v>2459434</v>
      </c>
      <c r="AG213" s="277">
        <v>962706</v>
      </c>
      <c r="AH213" s="277">
        <v>481890</v>
      </c>
      <c r="AI213" s="277">
        <v>107674</v>
      </c>
      <c r="AJ213" s="277">
        <v>335488</v>
      </c>
      <c r="AK213" s="277">
        <v>1752572</v>
      </c>
      <c r="AT213" s="252">
        <f t="shared" ref="AT213" si="1319">AF213/SUM(AF210:AF221)*AM221</f>
        <v>25812.218076142042</v>
      </c>
      <c r="AU213" s="252">
        <f t="shared" ref="AU213" si="1320">AG213/SUM(AG210:AG221)*AN221</f>
        <v>11350.276046638421</v>
      </c>
      <c r="AV213" s="252">
        <f t="shared" ref="AV213" si="1321">AH213/SUM(AH210:AH221)*AO221</f>
        <v>7340.394655815594</v>
      </c>
      <c r="AW213" s="252">
        <f t="shared" ref="AW213" si="1322">AI213/SUM(AI210:AI221)*AP221</f>
        <v>1377.9044479082972</v>
      </c>
      <c r="AX213" s="252">
        <f t="shared" ref="AX213" si="1323">AJ213/SUM(AJ210:AJ221)*AQ221</f>
        <v>3456.0744472939732</v>
      </c>
      <c r="AY213" s="252">
        <f t="shared" ref="AY213" si="1324">AK213/SUM(AK210:AK221)*AR221</f>
        <v>21992.189898768971</v>
      </c>
    </row>
    <row r="214" spans="31:59">
      <c r="AE214" s="165">
        <v>35278</v>
      </c>
      <c r="AF214" s="277">
        <v>2571844</v>
      </c>
      <c r="AG214" s="277">
        <v>994917</v>
      </c>
      <c r="AH214" s="277">
        <v>528153</v>
      </c>
      <c r="AI214" s="277">
        <v>109929</v>
      </c>
      <c r="AJ214" s="277">
        <v>346143</v>
      </c>
      <c r="AK214" s="277">
        <v>1947938</v>
      </c>
      <c r="AT214" s="252">
        <f t="shared" ref="AT214" si="1325">AF214/SUM(AF210:AF221)*AM221</f>
        <v>26991.981970574307</v>
      </c>
      <c r="AU214" s="252">
        <f t="shared" ref="AU214" si="1326">AG214/SUM(AG210:AG221)*AN221</f>
        <v>11730.042810051415</v>
      </c>
      <c r="AV214" s="252">
        <f t="shared" ref="AV214" si="1327">AH214/SUM(AH210:AH221)*AO221</f>
        <v>8045.0963054908243</v>
      </c>
      <c r="AW214" s="252">
        <f t="shared" ref="AW214" si="1328">AI214/SUM(AI210:AI221)*AP221</f>
        <v>1406.7616885609452</v>
      </c>
      <c r="AX214" s="252">
        <f t="shared" ref="AX214" si="1329">AJ214/SUM(AJ210:AJ221)*AQ221</f>
        <v>3565.8383531145009</v>
      </c>
      <c r="AY214" s="252">
        <f t="shared" ref="AY214" si="1330">AK214/SUM(AK210:AK221)*AR221</f>
        <v>24443.744626199794</v>
      </c>
    </row>
    <row r="215" spans="31:59">
      <c r="AE215" s="165">
        <v>35309</v>
      </c>
      <c r="AF215" s="277">
        <v>2584732</v>
      </c>
      <c r="AG215" s="277">
        <v>1014471</v>
      </c>
      <c r="AH215" s="277">
        <v>548532</v>
      </c>
      <c r="AI215" s="277">
        <v>112739</v>
      </c>
      <c r="AJ215" s="277">
        <v>381421</v>
      </c>
      <c r="AK215" s="277">
        <v>2180517</v>
      </c>
      <c r="AT215" s="252">
        <f t="shared" ref="AT215" si="1331">AF215/SUM(AF210:AF221)*AM221</f>
        <v>27127.243931889523</v>
      </c>
      <c r="AU215" s="252">
        <f t="shared" ref="AU215" si="1332">AG215/SUM(AG210:AG221)*AN221</f>
        <v>11960.583907557784</v>
      </c>
      <c r="AV215" s="252">
        <f t="shared" ref="AV215" si="1333">AH215/SUM(AH210:AH221)*AO221</f>
        <v>8355.5196442006254</v>
      </c>
      <c r="AW215" s="252">
        <f t="shared" ref="AW215" si="1334">AI215/SUM(AI210:AI221)*AP221</f>
        <v>1442.7212656048214</v>
      </c>
      <c r="AX215" s="252">
        <f t="shared" ref="AX215" si="1335">AJ215/SUM(AJ210:AJ221)*AQ221</f>
        <v>3929.2593826345928</v>
      </c>
      <c r="AY215" s="252">
        <f t="shared" ref="AY215" si="1336">AK215/SUM(AK210:AK221)*AR221</f>
        <v>27362.26753679393</v>
      </c>
    </row>
    <row r="216" spans="31:59">
      <c r="AE216" s="165">
        <v>35339</v>
      </c>
      <c r="AF216" s="277">
        <v>2602845</v>
      </c>
      <c r="AG216" s="277">
        <v>1039501</v>
      </c>
      <c r="AH216" s="277">
        <v>562597</v>
      </c>
      <c r="AI216" s="277">
        <v>115931</v>
      </c>
      <c r="AJ216" s="277">
        <v>429251</v>
      </c>
      <c r="AK216" s="277">
        <v>2476802</v>
      </c>
      <c r="AT216" s="252">
        <f t="shared" ref="AT216" si="1337">AF216/SUM(AF210:AF221)*AM221</f>
        <v>27317.343241736082</v>
      </c>
      <c r="AU216" s="252">
        <f t="shared" ref="AU216" si="1338">AG216/SUM(AG210:AG221)*AN221</f>
        <v>12255.686887540625</v>
      </c>
      <c r="AV216" s="252">
        <f t="shared" ref="AV216" si="1339">AH216/SUM(AH210:AH221)*AO221</f>
        <v>8569.7649093732707</v>
      </c>
      <c r="AW216" s="252">
        <f t="shared" ref="AW216" si="1340">AI216/SUM(AI210:AI221)*AP221</f>
        <v>1483.5692976062635</v>
      </c>
      <c r="AX216" s="252">
        <f t="shared" ref="AX216" si="1341">AJ216/SUM(AJ210:AJ221)*AQ221</f>
        <v>4421.9865168810366</v>
      </c>
      <c r="AY216" s="252">
        <f t="shared" ref="AY216" si="1342">AK216/SUM(AK210:AK221)*AR221</f>
        <v>31080.206648086802</v>
      </c>
    </row>
    <row r="217" spans="31:59">
      <c r="AE217" s="165">
        <v>35370</v>
      </c>
      <c r="AF217" s="277">
        <v>2579765</v>
      </c>
      <c r="AG217" s="277">
        <v>1008067</v>
      </c>
      <c r="AH217" s="277">
        <v>531383</v>
      </c>
      <c r="AI217" s="277">
        <v>114972</v>
      </c>
      <c r="AJ217" s="277">
        <v>445439</v>
      </c>
      <c r="AK217" s="277">
        <v>2612236</v>
      </c>
      <c r="AT217" s="252">
        <f t="shared" ref="AT217" si="1343">AF217/SUM(AF210:AF221)*AM221</f>
        <v>27075.114341429198</v>
      </c>
      <c r="AU217" s="252">
        <f t="shared" ref="AU217" si="1344">AG217/SUM(AG210:AG221)*AN221</f>
        <v>11885.080931776318</v>
      </c>
      <c r="AV217" s="252">
        <f t="shared" ref="AV217" si="1345">AH217/SUM(AH210:AH221)*AO221</f>
        <v>8094.2973155518021</v>
      </c>
      <c r="AW217" s="252">
        <f t="shared" ref="AW217" si="1346">AI217/SUM(AI210:AI221)*AP221</f>
        <v>1471.2969722023213</v>
      </c>
      <c r="AX217" s="252">
        <f t="shared" ref="AX217" si="1347">AJ217/SUM(AJ210:AJ221)*AQ221</f>
        <v>4588.7493613130127</v>
      </c>
      <c r="AY217" s="252">
        <f t="shared" ref="AY217" si="1348">AK217/SUM(AK210:AK221)*AR221</f>
        <v>32779.703300292742</v>
      </c>
    </row>
    <row r="218" spans="31:59">
      <c r="AE218" s="165">
        <v>35400</v>
      </c>
      <c r="AF218" s="277">
        <v>2694624</v>
      </c>
      <c r="AG218" s="277">
        <v>1021781</v>
      </c>
      <c r="AH218" s="277">
        <v>534542</v>
      </c>
      <c r="AI218" s="277">
        <v>114539</v>
      </c>
      <c r="AJ218" s="277">
        <v>454389</v>
      </c>
      <c r="AK218" s="277">
        <v>2885437</v>
      </c>
      <c r="AT218" s="252">
        <f t="shared" ref="AT218" si="1349">AF218/SUM(AF210:AF221)*AM221</f>
        <v>28280.580947163522</v>
      </c>
      <c r="AU218" s="252">
        <f t="shared" ref="AU218" si="1350">AG218/SUM(AG210:AG221)*AN221</f>
        <v>12046.768597277105</v>
      </c>
      <c r="AV218" s="252">
        <f t="shared" ref="AV218" si="1351">AH218/SUM(AH210:AH221)*AO221</f>
        <v>8142.4168173420894</v>
      </c>
      <c r="AW218" s="252">
        <f t="shared" ref="AW218" si="1352">AI218/SUM(AI210:AI221)*AP221</f>
        <v>1465.7558701169128</v>
      </c>
      <c r="AX218" s="252">
        <f t="shared" ref="AX218" si="1353">AJ218/SUM(AJ210:AJ221)*AQ221</f>
        <v>4680.9489818755401</v>
      </c>
      <c r="AY218" s="252">
        <f t="shared" ref="AY218" si="1354">AK218/SUM(AK210:AK221)*AR221</f>
        <v>36207.972308660777</v>
      </c>
      <c r="BA218" s="252">
        <f t="shared" ref="BA218" si="1355">SUM(AT207:AT218)</f>
        <v>294042.70406954671</v>
      </c>
      <c r="BB218" s="252">
        <f t="shared" ref="BB218" si="1356">SUM(AU207:AU218)</f>
        <v>130122.78759462836</v>
      </c>
      <c r="BC218" s="252">
        <f t="shared" ref="BC218" si="1357">SUM(AV207:AV218)</f>
        <v>91429.568433127468</v>
      </c>
      <c r="BD218" s="252">
        <f t="shared" ref="BD218" si="1358">SUM(AW207:AW218)</f>
        <v>16066.356323495169</v>
      </c>
      <c r="BE218" s="252">
        <f t="shared" ref="BE218" si="1359">SUM(AX207:AX218)</f>
        <v>46134.702004971121</v>
      </c>
      <c r="BF218" s="252">
        <f t="shared" ref="BF218" si="1360">SUM(AY207:AY218)</f>
        <v>335999.3103311382</v>
      </c>
      <c r="BG218" s="252">
        <f t="shared" ref="BG218" si="1361">SUM(BA218:BF218)</f>
        <v>913795.428756907</v>
      </c>
    </row>
    <row r="219" spans="31:59">
      <c r="AE219" s="165">
        <v>35431</v>
      </c>
      <c r="AF219" s="277">
        <v>2005080</v>
      </c>
      <c r="AG219" s="277">
        <v>781418</v>
      </c>
      <c r="AH219" s="277">
        <v>414367</v>
      </c>
      <c r="AI219" s="277">
        <v>89995</v>
      </c>
      <c r="AJ219" s="277">
        <v>333302</v>
      </c>
      <c r="AK219" s="277">
        <v>2187871</v>
      </c>
      <c r="AT219" s="252">
        <f t="shared" ref="AT219" si="1362">AF219/SUM(AF210:AF221)*AM221</f>
        <v>21043.688190092063</v>
      </c>
      <c r="AU219" s="252">
        <f t="shared" ref="AU219" si="1363">AG219/SUM(AG210:AG221)*AN221</f>
        <v>9212.8957415993063</v>
      </c>
      <c r="AV219" s="252">
        <f t="shared" ref="AV219" si="1364">AH219/SUM(AH210:AH221)*AO221</f>
        <v>6311.8498253674907</v>
      </c>
      <c r="AW219" s="252">
        <f t="shared" ref="AW219" si="1365">AI219/SUM(AI210:AI221)*AP221</f>
        <v>1151.6662405920392</v>
      </c>
      <c r="AX219" s="252">
        <f t="shared" ref="AX219" si="1366">AJ219/SUM(AJ210:AJ221)*AQ221</f>
        <v>3433.5550762828348</v>
      </c>
      <c r="AY219" s="252">
        <f t="shared" ref="AY219" si="1367">AK219/SUM(AK210:AK221)*AR221</f>
        <v>27454.549374296497</v>
      </c>
    </row>
    <row r="220" spans="31:59">
      <c r="AE220" s="165">
        <v>35462</v>
      </c>
      <c r="AF220" s="277">
        <v>2032882</v>
      </c>
      <c r="AG220" s="277">
        <v>851865</v>
      </c>
      <c r="AH220" s="277">
        <v>462295</v>
      </c>
      <c r="AI220" s="277">
        <v>98908</v>
      </c>
      <c r="AJ220" s="277">
        <v>349355</v>
      </c>
      <c r="AK220" s="277">
        <v>2027190</v>
      </c>
      <c r="AT220" s="252">
        <f t="shared" ref="AT220" si="1368">AF220/SUM(AF210:AF221)*AM221</f>
        <v>21335.475360210432</v>
      </c>
      <c r="AU220" s="252">
        <f t="shared" ref="AU220" si="1369">AG220/SUM(AG210:AG221)*AN221</f>
        <v>10043.463845109138</v>
      </c>
      <c r="AV220" s="252">
        <f t="shared" ref="AV220" si="1370">AH220/SUM(AH210:AH221)*AO221</f>
        <v>7041.9136056159496</v>
      </c>
      <c r="AW220" s="252">
        <f t="shared" ref="AW220" si="1371">AI220/SUM(AI210:AI221)*AP221</f>
        <v>1265.7259239344119</v>
      </c>
      <c r="AX220" s="252">
        <f t="shared" ref="AX220" si="1372">AJ220/SUM(AJ210:AJ221)*AQ221</f>
        <v>3598.9272001811864</v>
      </c>
      <c r="AY220" s="252">
        <f t="shared" ref="AY220" si="1373">AK220/SUM(AK210:AK221)*AR221</f>
        <v>25438.240164104795</v>
      </c>
    </row>
    <row r="221" spans="31:59">
      <c r="AE221" s="165">
        <v>35490</v>
      </c>
      <c r="AF221" s="277">
        <v>2147214</v>
      </c>
      <c r="AG221" s="277">
        <v>929645</v>
      </c>
      <c r="AH221" s="277">
        <v>507635</v>
      </c>
      <c r="AI221" s="277">
        <v>110111</v>
      </c>
      <c r="AJ221" s="277">
        <v>364316</v>
      </c>
      <c r="AK221" s="277">
        <v>2283840</v>
      </c>
      <c r="AM221" s="277">
        <v>299244</v>
      </c>
      <c r="AN221" s="277">
        <v>133576</v>
      </c>
      <c r="AO221" s="277">
        <v>91474</v>
      </c>
      <c r="AP221" s="277">
        <v>16469</v>
      </c>
      <c r="AQ221" s="277">
        <v>46122</v>
      </c>
      <c r="AR221" s="277">
        <v>321973</v>
      </c>
      <c r="AT221" s="252">
        <f t="shared" ref="AT221" si="1374">AF221/SUM(AF210:AF221)*AM221</f>
        <v>22535.411002753179</v>
      </c>
      <c r="AU221" s="252">
        <f t="shared" ref="AU221" si="1375">AG221/SUM(AG210:AG221)*AN221</f>
        <v>10960.487807676667</v>
      </c>
      <c r="AV221" s="252">
        <f t="shared" ref="AV221" si="1376">AH221/SUM(AH210:AH221)*AO221</f>
        <v>7732.5556477722075</v>
      </c>
      <c r="AW221" s="252">
        <f t="shared" ref="AW221" si="1377">AI221/SUM(AI210:AI221)*AP221</f>
        <v>1409.0907430171678</v>
      </c>
      <c r="AX221" s="252">
        <f t="shared" ref="AX221" si="1378">AJ221/SUM(AJ210:AJ221)*AQ221</f>
        <v>3753.0499402075516</v>
      </c>
      <c r="AY221" s="252">
        <f t="shared" ref="AY221" si="1379">AK221/SUM(AK210:AK221)*AR221</f>
        <v>28658.818569738945</v>
      </c>
      <c r="AZ221" s="25">
        <f t="shared" ref="AZ221" si="1380">SUM(AT210:AY221)-SUM(AM221:AR221)</f>
        <v>0</v>
      </c>
    </row>
    <row r="222" spans="31:59">
      <c r="AE222" s="165">
        <v>35521</v>
      </c>
      <c r="AF222" s="277">
        <v>2091892</v>
      </c>
      <c r="AG222" s="277">
        <v>903400</v>
      </c>
      <c r="AH222" s="277">
        <v>450638</v>
      </c>
      <c r="AI222" s="277">
        <v>111722</v>
      </c>
      <c r="AJ222" s="277">
        <v>335262</v>
      </c>
      <c r="AK222" s="277">
        <v>1661502</v>
      </c>
      <c r="AT222" s="252">
        <f t="shared" ref="AT222" si="1381">AF222/SUM(AF222:AF233)*AM233</f>
        <v>21591.821201714418</v>
      </c>
      <c r="AU222" s="252">
        <f t="shared" ref="AU222" si="1382">AG222/SUM(AG222:AG233)*AN233</f>
        <v>10638.297830137704</v>
      </c>
      <c r="AV222" s="252">
        <f t="shared" ref="AV222" si="1383">AH222/SUM(AH222:AH233)*AO233</f>
        <v>6863.291304624523</v>
      </c>
      <c r="AW222" s="252">
        <f t="shared" ref="AW222" si="1384">AI222/SUM(AI222:AI233)*AP233</f>
        <v>1327.0903790557677</v>
      </c>
      <c r="AX222" s="252">
        <f t="shared" ref="AX222" si="1385">AJ222/SUM(AJ222:AJ233)*AQ233</f>
        <v>3574.0610497447456</v>
      </c>
      <c r="AY222" s="252">
        <f t="shared" ref="AY222" si="1386">AK222/SUM(AK222:AK233)*AR233</f>
        <v>20162.354553999907</v>
      </c>
    </row>
    <row r="223" spans="31:59">
      <c r="AE223" s="165">
        <v>35551</v>
      </c>
      <c r="AF223" s="277">
        <v>2080192</v>
      </c>
      <c r="AG223" s="277">
        <v>893049</v>
      </c>
      <c r="AH223" s="277">
        <v>469410</v>
      </c>
      <c r="AI223" s="277">
        <v>113378</v>
      </c>
      <c r="AJ223" s="277">
        <v>316394</v>
      </c>
      <c r="AK223" s="277">
        <v>1511680</v>
      </c>
      <c r="AT223" s="252">
        <f t="shared" ref="AT223" si="1387">AF223/SUM(AF222:AF233)*AM233</f>
        <v>21471.057649838862</v>
      </c>
      <c r="AU223" s="252">
        <f t="shared" ref="AU223" si="1388">AG223/SUM(AG222:AG233)*AN233</f>
        <v>10516.406064762725</v>
      </c>
      <c r="AV223" s="252">
        <f t="shared" ref="AV223" si="1389">AH223/SUM(AH222:AH233)*AO233</f>
        <v>7149.1919707254992</v>
      </c>
      <c r="AW223" s="252">
        <f t="shared" ref="AW223" si="1390">AI223/SUM(AI222:AI233)*AP233</f>
        <v>1346.7611839797428</v>
      </c>
      <c r="AX223" s="252">
        <f t="shared" ref="AX223" si="1391">AJ223/SUM(AJ222:AJ233)*AQ233</f>
        <v>3372.9187076762028</v>
      </c>
      <c r="AY223" s="252">
        <f t="shared" ref="AY223" si="1392">AK223/SUM(AK222:AK233)*AR233</f>
        <v>18344.262078643646</v>
      </c>
    </row>
    <row r="224" spans="31:59">
      <c r="AE224" s="165">
        <v>35582</v>
      </c>
      <c r="AF224" s="277">
        <v>2116559</v>
      </c>
      <c r="AG224" s="277">
        <v>915558</v>
      </c>
      <c r="AH224" s="277">
        <v>444361</v>
      </c>
      <c r="AI224" s="277">
        <v>111600</v>
      </c>
      <c r="AJ224" s="277">
        <v>316689</v>
      </c>
      <c r="AK224" s="277">
        <v>1521362</v>
      </c>
      <c r="AT224" s="252">
        <f t="shared" ref="AT224" si="1393">AF224/SUM(AF222:AF233)*AM233</f>
        <v>21846.425862749828</v>
      </c>
      <c r="AU224" s="252">
        <f t="shared" ref="AU224" si="1394">AG224/SUM(AG222:AG233)*AN233</f>
        <v>10781.468546341839</v>
      </c>
      <c r="AV224" s="252">
        <f t="shared" ref="AV224" si="1395">AH224/SUM(AH222:AH233)*AO233</f>
        <v>6767.691556003394</v>
      </c>
      <c r="AW224" s="252">
        <f t="shared" ref="AW224" si="1396">AI224/SUM(AI222:AI233)*AP233</f>
        <v>1325.6412013983252</v>
      </c>
      <c r="AX224" s="252">
        <f t="shared" ref="AX224" si="1397">AJ224/SUM(AJ222:AJ233)*AQ233</f>
        <v>3376.0635556150528</v>
      </c>
      <c r="AY224" s="252">
        <f t="shared" ref="AY224" si="1398">AK224/SUM(AK222:AK233)*AR233</f>
        <v>18461.753310548171</v>
      </c>
    </row>
    <row r="225" spans="31:59">
      <c r="AE225" s="165">
        <v>35612</v>
      </c>
      <c r="AF225" s="277">
        <v>2107753</v>
      </c>
      <c r="AG225" s="277">
        <v>953843</v>
      </c>
      <c r="AH225" s="277">
        <v>441369</v>
      </c>
      <c r="AI225" s="277">
        <v>111462</v>
      </c>
      <c r="AJ225" s="277">
        <v>325274</v>
      </c>
      <c r="AK225" s="277">
        <v>1721067</v>
      </c>
      <c r="AT225" s="252">
        <f t="shared" ref="AT225" si="1399">AF225/SUM(AF222:AF233)*AM233</f>
        <v>21755.533227039046</v>
      </c>
      <c r="AU225" s="252">
        <f t="shared" ref="AU225" si="1400">AG225/SUM(AG222:AG233)*AN233</f>
        <v>11232.306749160991</v>
      </c>
      <c r="AV225" s="252">
        <f t="shared" ref="AV225" si="1401">AH225/SUM(AH222:AH233)*AO233</f>
        <v>6722.1229009333892</v>
      </c>
      <c r="AW225" s="252">
        <f t="shared" ref="AW225" si="1402">AI225/SUM(AI222:AI233)*AP233</f>
        <v>1324.0019676546603</v>
      </c>
      <c r="AX225" s="252">
        <f t="shared" ref="AX225" si="1403">AJ225/SUM(AJ222:AJ233)*AQ233</f>
        <v>3467.5839608863289</v>
      </c>
      <c r="AY225" s="252">
        <f t="shared" ref="AY225" si="1404">AK225/SUM(AK222:AK233)*AR233</f>
        <v>20885.176825058868</v>
      </c>
    </row>
    <row r="226" spans="31:59">
      <c r="AE226" s="165">
        <v>35643</v>
      </c>
      <c r="AF226" s="277">
        <v>2067409</v>
      </c>
      <c r="AG226" s="277">
        <v>983294</v>
      </c>
      <c r="AH226" s="277">
        <v>463868</v>
      </c>
      <c r="AI226" s="277">
        <v>111094</v>
      </c>
      <c r="AJ226" s="277">
        <v>343428</v>
      </c>
      <c r="AK226" s="277">
        <v>1952584</v>
      </c>
      <c r="AT226" s="252">
        <f t="shared" ref="AT226" si="1405">AF226/SUM(AF222:AF233)*AM233</f>
        <v>21339.115728161491</v>
      </c>
      <c r="AU226" s="252">
        <f t="shared" ref="AU226" si="1406">AG226/SUM(AG222:AG233)*AN233</f>
        <v>11579.117142558584</v>
      </c>
      <c r="AV226" s="252">
        <f t="shared" ref="AV226" si="1407">AH226/SUM(AH222:AH233)*AO233</f>
        <v>7064.7863937208313</v>
      </c>
      <c r="AW226" s="252">
        <f t="shared" ref="AW226" si="1408">AI226/SUM(AI222:AI233)*AP233</f>
        <v>1319.6306776715548</v>
      </c>
      <c r="AX226" s="252">
        <f t="shared" ref="AX226" si="1409">AJ226/SUM(AJ222:AJ233)*AQ233</f>
        <v>3661.1147048927064</v>
      </c>
      <c r="AY226" s="252">
        <f t="shared" ref="AY226" si="1410">AK226/SUM(AK222:AK233)*AR233</f>
        <v>23694.639491536785</v>
      </c>
    </row>
    <row r="227" spans="31:59">
      <c r="AE227" s="165">
        <v>35674</v>
      </c>
      <c r="AF227" s="277">
        <v>2021452</v>
      </c>
      <c r="AG227" s="277">
        <v>1005631</v>
      </c>
      <c r="AH227" s="277">
        <v>483675</v>
      </c>
      <c r="AI227" s="277">
        <v>109484</v>
      </c>
      <c r="AJ227" s="277">
        <v>376900</v>
      </c>
      <c r="AK227" s="277">
        <v>2193581</v>
      </c>
      <c r="AT227" s="252">
        <f t="shared" ref="AT227" si="1411">AF227/SUM(AF222:AF233)*AM233</f>
        <v>20864.762689396972</v>
      </c>
      <c r="AU227" s="252">
        <f t="shared" ref="AU227" si="1412">AG227/SUM(AG222:AG233)*AN233</f>
        <v>11842.154178901052</v>
      </c>
      <c r="AV227" s="252">
        <f t="shared" ref="AV227" si="1413">AH227/SUM(AH222:AH233)*AO233</f>
        <v>7366.4502810776412</v>
      </c>
      <c r="AW227" s="252">
        <f t="shared" ref="AW227" si="1414">AI227/SUM(AI222:AI233)*AP233</f>
        <v>1300.506283995468</v>
      </c>
      <c r="AX227" s="252">
        <f t="shared" ref="AX227" si="1415">AJ227/SUM(AJ222:AJ233)*AQ233</f>
        <v>4017.9430106865516</v>
      </c>
      <c r="AY227" s="252">
        <f t="shared" ref="AY227" si="1416">AK227/SUM(AK222:AK233)*AR233</f>
        <v>26619.142116541338</v>
      </c>
    </row>
    <row r="228" spans="31:59">
      <c r="AE228" s="165">
        <v>35704</v>
      </c>
      <c r="AF228" s="277">
        <v>1993198</v>
      </c>
      <c r="AG228" s="277">
        <v>1002321</v>
      </c>
      <c r="AH228" s="277">
        <v>572244</v>
      </c>
      <c r="AI228" s="277">
        <v>109839</v>
      </c>
      <c r="AJ228" s="277">
        <v>404939</v>
      </c>
      <c r="AK228" s="277">
        <v>2492555</v>
      </c>
      <c r="AT228" s="252">
        <f t="shared" ref="AT228" si="1417">AF228/SUM(AF222:AF233)*AM233</f>
        <v>20573.134194124159</v>
      </c>
      <c r="AU228" s="252">
        <f t="shared" ref="AU228" si="1418">AG228/SUM(AG222:AG233)*AN233</f>
        <v>11803.176133940064</v>
      </c>
      <c r="AV228" s="252">
        <f t="shared" ref="AV228" si="1419">AH228/SUM(AH222:AH233)*AO233</f>
        <v>8715.3708061094603</v>
      </c>
      <c r="AW228" s="252">
        <f t="shared" ref="AW228" si="1420">AI228/SUM(AI222:AI233)*AP233</f>
        <v>1304.7231534085181</v>
      </c>
      <c r="AX228" s="252">
        <f t="shared" ref="AX228" si="1421">AJ228/SUM(AJ222:AJ233)*AQ233</f>
        <v>4316.8528118981203</v>
      </c>
      <c r="AY228" s="252">
        <f t="shared" ref="AY228" si="1422">AK228/SUM(AK222:AK233)*AR233</f>
        <v>30247.196606049969</v>
      </c>
    </row>
    <row r="229" spans="31:59">
      <c r="AE229" s="165">
        <v>35735</v>
      </c>
      <c r="AF229" s="277">
        <v>1950420</v>
      </c>
      <c r="AG229" s="277">
        <v>971095</v>
      </c>
      <c r="AH229" s="277">
        <v>489497</v>
      </c>
      <c r="AI229" s="277">
        <v>105587</v>
      </c>
      <c r="AJ229" s="277">
        <v>398532</v>
      </c>
      <c r="AK229" s="277">
        <v>2662735</v>
      </c>
      <c r="AT229" s="252">
        <f t="shared" ref="AT229" si="1423">AF229/SUM(AF222:AF233)*AM233</f>
        <v>20131.593747788047</v>
      </c>
      <c r="AU229" s="252">
        <f t="shared" ref="AU229" si="1424">AG229/SUM(AG222:AG233)*AN233</f>
        <v>11435.463616734089</v>
      </c>
      <c r="AV229" s="252">
        <f t="shared" ref="AV229" si="1425">AH229/SUM(AH222:AH233)*AO233</f>
        <v>7455.1203044123886</v>
      </c>
      <c r="AW229" s="252">
        <f t="shared" ref="AW229" si="1426">AI229/SUM(AI222:AI233)*AP233</f>
        <v>1254.2157484950264</v>
      </c>
      <c r="AX229" s="252">
        <f t="shared" ref="AX229" si="1427">AJ229/SUM(AJ222:AJ233)*AQ233</f>
        <v>4248.5509788668951</v>
      </c>
      <c r="AY229" s="252">
        <f t="shared" ref="AY229" si="1428">AK229/SUM(AK222:AK233)*AR233</f>
        <v>32312.333751837155</v>
      </c>
    </row>
    <row r="230" spans="31:59">
      <c r="AE230" s="165">
        <v>35765</v>
      </c>
      <c r="AF230" s="277">
        <v>2013216</v>
      </c>
      <c r="AG230" s="277">
        <v>983168</v>
      </c>
      <c r="AH230" s="277">
        <v>511089</v>
      </c>
      <c r="AI230" s="277">
        <v>103973</v>
      </c>
      <c r="AJ230" s="277">
        <v>399550</v>
      </c>
      <c r="AK230" s="277">
        <v>2913857</v>
      </c>
      <c r="AT230" s="252">
        <f t="shared" ref="AT230" si="1429">AF230/SUM(AF222:AF233)*AM233</f>
        <v>20779.753406213462</v>
      </c>
      <c r="AU230" s="252">
        <f t="shared" ref="AU230" si="1430">AG230/SUM(AG222:AG233)*AN233</f>
        <v>11577.633386164298</v>
      </c>
      <c r="AV230" s="252">
        <f t="shared" ref="AV230" si="1431">AH230/SUM(AH222:AH233)*AO233</f>
        <v>7783.9700371234621</v>
      </c>
      <c r="AW230" s="252">
        <f t="shared" ref="AW230" si="1432">AI230/SUM(AI222:AI233)*AP233</f>
        <v>1235.0438407973841</v>
      </c>
      <c r="AX230" s="252">
        <f t="shared" ref="AX230" si="1433">AJ230/SUM(AJ222:AJ233)*AQ233</f>
        <v>4259.4033693812999</v>
      </c>
      <c r="AY230" s="252">
        <f t="shared" ref="AY230" si="1434">AK230/SUM(AK222:AK233)*AR233</f>
        <v>35359.703421154176</v>
      </c>
      <c r="BA230" s="252">
        <f t="shared" ref="BA230" si="1435">SUM(AT219:AT230)</f>
        <v>255267.77226008195</v>
      </c>
      <c r="BB230" s="252">
        <f t="shared" ref="BB230" si="1436">SUM(AU219:AU230)</f>
        <v>131622.87104308646</v>
      </c>
      <c r="BC230" s="252">
        <f t="shared" ref="BC230" si="1437">SUM(AV219:AV230)</f>
        <v>86974.314633486239</v>
      </c>
      <c r="BD230" s="252">
        <f t="shared" ref="BD230" si="1438">SUM(AW219:AW230)</f>
        <v>15564.097344000067</v>
      </c>
      <c r="BE230" s="252">
        <f t="shared" ref="BE230" si="1439">SUM(AX219:AX230)</f>
        <v>45080.024366319471</v>
      </c>
      <c r="BF230" s="252">
        <f t="shared" ref="BF230" si="1440">SUM(AY219:AY230)</f>
        <v>307638.1702635102</v>
      </c>
      <c r="BG230" s="252">
        <f t="shared" ref="BG230" si="1441">SUM(BA230:BF230)</f>
        <v>842147.24991048442</v>
      </c>
    </row>
    <row r="231" spans="31:59">
      <c r="AE231" s="165">
        <v>35796</v>
      </c>
      <c r="AF231" s="277">
        <v>1521017</v>
      </c>
      <c r="AG231" s="277">
        <v>763539</v>
      </c>
      <c r="AH231" s="277">
        <v>391075</v>
      </c>
      <c r="AI231" s="277">
        <v>77265</v>
      </c>
      <c r="AJ231" s="277">
        <v>289725</v>
      </c>
      <c r="AK231" s="277">
        <v>2190215</v>
      </c>
      <c r="AT231" s="252">
        <f t="shared" ref="AT231" si="1442">AF231/SUM(AF222:AF233)*AM233</f>
        <v>15699.437212230869</v>
      </c>
      <c r="AU231" s="252">
        <f t="shared" ref="AU231" si="1443">AG231/SUM(AG222:AG233)*AN233</f>
        <v>8991.3164566366104</v>
      </c>
      <c r="AV231" s="252">
        <f t="shared" ref="AV231" si="1444">AH231/SUM(AH222:AH233)*AO233</f>
        <v>5956.1369590581253</v>
      </c>
      <c r="AW231" s="252">
        <f t="shared" ref="AW231" si="1445">AI231/SUM(AI222:AI233)*AP233</f>
        <v>917.79271887134041</v>
      </c>
      <c r="AX231" s="252">
        <f t="shared" ref="AX231" si="1446">AJ231/SUM(AJ222:AJ233)*AQ233</f>
        <v>3088.6137935026827</v>
      </c>
      <c r="AY231" s="252">
        <f t="shared" ref="AY231" si="1447">AK231/SUM(AK222:AK233)*AR233</f>
        <v>26578.295650254349</v>
      </c>
    </row>
    <row r="232" spans="31:59">
      <c r="AE232" s="165">
        <v>35827</v>
      </c>
      <c r="AF232" s="277">
        <v>1572213</v>
      </c>
      <c r="AG232" s="277">
        <v>825148</v>
      </c>
      <c r="AH232" s="277">
        <v>438215</v>
      </c>
      <c r="AI232" s="277">
        <v>83259</v>
      </c>
      <c r="AJ232" s="277">
        <v>308689</v>
      </c>
      <c r="AK232" s="277">
        <v>2036455</v>
      </c>
      <c r="AT232" s="252">
        <f t="shared" ref="AT232" si="1448">AF232/SUM(AF222:AF233)*AM233</f>
        <v>16227.865485890776</v>
      </c>
      <c r="AU232" s="252">
        <f t="shared" ref="AU232" si="1449">AG232/SUM(AG222:AG233)*AN233</f>
        <v>9716.8144542201317</v>
      </c>
      <c r="AV232" s="252">
        <f t="shared" ref="AV232" si="1450">AH232/SUM(AH222:AH233)*AO233</f>
        <v>6674.0869590581251</v>
      </c>
      <c r="AW232" s="252">
        <f t="shared" ref="AW232" si="1451">AI232/SUM(AI222:AI233)*AP233</f>
        <v>988.99248017225045</v>
      </c>
      <c r="AX232" s="252">
        <f t="shared" ref="AX232" si="1452">AJ232/SUM(AJ222:AJ233)*AQ233</f>
        <v>3290.779543714038</v>
      </c>
      <c r="AY232" s="252">
        <f t="shared" ref="AY232" si="1453">AK232/SUM(AK222:AK233)*AR233</f>
        <v>24712.415479045994</v>
      </c>
    </row>
    <row r="233" spans="31:59">
      <c r="AE233" s="165">
        <v>35855</v>
      </c>
      <c r="AF233" s="277">
        <v>1690763</v>
      </c>
      <c r="AG233" s="277">
        <v>891303</v>
      </c>
      <c r="AH233" s="277">
        <v>501359</v>
      </c>
      <c r="AI233" s="277">
        <v>91392</v>
      </c>
      <c r="AJ233" s="277">
        <v>330483</v>
      </c>
      <c r="AK233" s="277">
        <v>2234173</v>
      </c>
      <c r="AM233" s="277">
        <v>239732</v>
      </c>
      <c r="AN233" s="277">
        <v>130610</v>
      </c>
      <c r="AO233" s="277">
        <v>86154</v>
      </c>
      <c r="AP233" s="277">
        <v>14730</v>
      </c>
      <c r="AQ233" s="277">
        <v>44197</v>
      </c>
      <c r="AR233" s="277">
        <v>304489</v>
      </c>
      <c r="AT233" s="252">
        <f t="shared" ref="AT233" si="1454">AF233/SUM(AF222:AF233)*AM233</f>
        <v>17451.499594852066</v>
      </c>
      <c r="AU233" s="252">
        <f t="shared" ref="AU233" si="1455">AG233/SUM(AG222:AG233)*AN233</f>
        <v>10495.845440441915</v>
      </c>
      <c r="AV233" s="252">
        <f t="shared" ref="AV233" si="1456">AH233/SUM(AH222:AH233)*AO233</f>
        <v>7635.7805271531606</v>
      </c>
      <c r="AW233" s="252">
        <f t="shared" ref="AW233" si="1457">AI233/SUM(AI222:AI233)*AP233</f>
        <v>1085.6003644999616</v>
      </c>
      <c r="AX233" s="252">
        <f t="shared" ref="AX233" si="1458">AJ233/SUM(AJ222:AJ233)*AQ233</f>
        <v>3523.1145131353774</v>
      </c>
      <c r="AY233" s="252">
        <f t="shared" ref="AY233" si="1459">AK233/SUM(AK222:AK233)*AR233</f>
        <v>27111.726715329642</v>
      </c>
      <c r="AZ233" s="25">
        <f t="shared" ref="AZ233" si="1460">SUM(AT222:AY233)-SUM(AM233:AR233)</f>
        <v>0</v>
      </c>
    </row>
    <row r="234" spans="31:59">
      <c r="AE234" s="165">
        <v>35886</v>
      </c>
      <c r="AF234" s="277">
        <v>1717467</v>
      </c>
      <c r="AG234" s="277">
        <v>846249</v>
      </c>
      <c r="AH234" s="277">
        <v>469422</v>
      </c>
      <c r="AI234" s="277">
        <v>94625</v>
      </c>
      <c r="AJ234" s="277">
        <v>307278</v>
      </c>
      <c r="AK234" s="277">
        <v>1639725</v>
      </c>
      <c r="AT234" s="252">
        <f t="shared" ref="AT234" si="1461">AF234/SUM(AF234:AF245)*AM245</f>
        <v>17955.266870603602</v>
      </c>
      <c r="AU234" s="252">
        <f t="shared" ref="AU234" si="1462">AG234/SUM(AG234:AG245)*AN245</f>
        <v>10032.951421541416</v>
      </c>
      <c r="AV234" s="252">
        <f t="shared" ref="AV234" si="1463">AH234/SUM(AH234:AH245)*AO245</f>
        <v>7057.0551979340144</v>
      </c>
      <c r="AW234" s="252">
        <f t="shared" ref="AW234" si="1464">AI234/SUM(AI234:AI245)*AP245</f>
        <v>1088.3586603334245</v>
      </c>
      <c r="AX234" s="252">
        <f t="shared" ref="AX234" si="1465">AJ234/SUM(AJ234:AJ245)*AQ245</f>
        <v>3211.5489367069695</v>
      </c>
      <c r="AY234" s="252">
        <f t="shared" ref="AY234" si="1466">AK234/SUM(AK234:AK245)*AR245</f>
        <v>20385.916554756714</v>
      </c>
    </row>
    <row r="235" spans="31:59">
      <c r="AE235" s="165">
        <v>35916</v>
      </c>
      <c r="AF235" s="277">
        <v>1755965</v>
      </c>
      <c r="AG235" s="277">
        <v>813104</v>
      </c>
      <c r="AH235" s="277">
        <v>425882</v>
      </c>
      <c r="AI235" s="277">
        <v>96911</v>
      </c>
      <c r="AJ235" s="277">
        <v>286563</v>
      </c>
      <c r="AK235" s="277">
        <v>1452388</v>
      </c>
      <c r="AT235" s="252">
        <f t="shared" ref="AT235" si="1467">AF235/SUM(AF234:AF245)*AM245</f>
        <v>18357.744393597928</v>
      </c>
      <c r="AU235" s="252">
        <f t="shared" ref="AU235" si="1468">AG235/SUM(AG234:AG245)*AN245</f>
        <v>9639.9912232227289</v>
      </c>
      <c r="AV235" s="252">
        <f t="shared" ref="AV235" si="1469">AH235/SUM(AH234:AH245)*AO245</f>
        <v>6402.4966486584226</v>
      </c>
      <c r="AW235" s="252">
        <f t="shared" ref="AW235" si="1470">AI235/SUM(AI234:AI245)*AP245</f>
        <v>1114.6517953138441</v>
      </c>
      <c r="AX235" s="252">
        <f t="shared" ref="AX235" si="1471">AJ235/SUM(AJ234:AJ245)*AQ245</f>
        <v>2995.0438949406057</v>
      </c>
      <c r="AY235" s="252">
        <f t="shared" ref="AY235" si="1472">AK235/SUM(AK234:AK245)*AR245</f>
        <v>18056.845247300611</v>
      </c>
    </row>
    <row r="236" spans="31:59">
      <c r="AE236" s="165">
        <v>35947</v>
      </c>
      <c r="AF236" s="277">
        <v>1810697</v>
      </c>
      <c r="AG236" s="277">
        <v>820835</v>
      </c>
      <c r="AH236" s="277">
        <v>434087</v>
      </c>
      <c r="AI236" s="277">
        <v>96943</v>
      </c>
      <c r="AJ236" s="277">
        <v>283432</v>
      </c>
      <c r="AK236" s="277">
        <v>1475539</v>
      </c>
      <c r="AT236" s="252">
        <f t="shared" ref="AT236" si="1473">AF236/SUM(AF234:AF245)*AM245</f>
        <v>18929.940346336392</v>
      </c>
      <c r="AU236" s="252">
        <f t="shared" ref="AU236" si="1474">AG236/SUM(AG234:AG245)*AN245</f>
        <v>9731.6483447554419</v>
      </c>
      <c r="AV236" s="252">
        <f t="shared" ref="AV236" si="1475">AH236/SUM(AH234:AH245)*AO245</f>
        <v>6525.8465084840136</v>
      </c>
      <c r="AW236" s="252">
        <f t="shared" ref="AW236" si="1476">AI236/SUM(AI234:AI245)*AP245</f>
        <v>1115.0198531963349</v>
      </c>
      <c r="AX236" s="252">
        <f t="shared" ref="AX236" si="1477">AJ236/SUM(AJ234:AJ245)*AQ245</f>
        <v>2962.3199130062349</v>
      </c>
      <c r="AY236" s="252">
        <f t="shared" ref="AY236" si="1478">AK236/SUM(AK234:AK245)*AR245</f>
        <v>18344.670555909779</v>
      </c>
    </row>
    <row r="237" spans="31:59">
      <c r="AE237" s="165">
        <v>35977</v>
      </c>
      <c r="AF237" s="277">
        <v>1867149</v>
      </c>
      <c r="AG237" s="277">
        <v>837176</v>
      </c>
      <c r="AH237" s="277">
        <v>451937</v>
      </c>
      <c r="AI237" s="277">
        <v>98432</v>
      </c>
      <c r="AJ237" s="277">
        <v>294002</v>
      </c>
      <c r="AK237" s="277">
        <v>1632432</v>
      </c>
      <c r="AT237" s="252">
        <f t="shared" ref="AT237" si="1479">AF237/SUM(AF234:AF245)*AM245</f>
        <v>19520.118047205939</v>
      </c>
      <c r="AU237" s="252">
        <f t="shared" ref="AU237" si="1480">AG237/SUM(AG234:AG245)*AN245</f>
        <v>9925.3838282590077</v>
      </c>
      <c r="AV237" s="252">
        <f t="shared" ref="AV237" si="1481">AH237/SUM(AH234:AH245)*AO245</f>
        <v>6794.1944667883163</v>
      </c>
      <c r="AW237" s="252">
        <f t="shared" ref="AW237" si="1482">AI237/SUM(AI234:AI245)*AP245</f>
        <v>1132.1460465409737</v>
      </c>
      <c r="AX237" s="252">
        <f t="shared" ref="AX237" si="1483">AJ237/SUM(AJ234:AJ245)*AQ245</f>
        <v>3072.793400405244</v>
      </c>
      <c r="AY237" s="252">
        <f t="shared" ref="AY237" si="1484">AK237/SUM(AK234:AK245)*AR245</f>
        <v>20295.246174397907</v>
      </c>
    </row>
    <row r="238" spans="31:59">
      <c r="AE238" s="165">
        <v>36008</v>
      </c>
      <c r="AF238" s="277">
        <v>1877677</v>
      </c>
      <c r="AG238" s="277">
        <v>848367</v>
      </c>
      <c r="AH238" s="277">
        <v>465065</v>
      </c>
      <c r="AI238" s="277">
        <v>100083</v>
      </c>
      <c r="AJ238" s="277">
        <v>311030</v>
      </c>
      <c r="AK238" s="277">
        <v>1875389</v>
      </c>
      <c r="AT238" s="252">
        <f t="shared" ref="AT238" si="1485">AF238/SUM(AF234:AF245)*AM245</f>
        <v>19630.183072975698</v>
      </c>
      <c r="AU238" s="252">
        <f t="shared" ref="AU238" si="1486">AG238/SUM(AG234:AG245)*AN245</f>
        <v>10058.061987238776</v>
      </c>
      <c r="AV238" s="252">
        <f t="shared" ref="AV238" si="1487">AH238/SUM(AH234:AH245)*AO245</f>
        <v>6991.5542425092626</v>
      </c>
      <c r="AW238" s="252">
        <f t="shared" ref="AW238" si="1488">AI238/SUM(AI234:AI245)*AP245</f>
        <v>1151.1355329157213</v>
      </c>
      <c r="AX238" s="252">
        <f t="shared" ref="AX238" si="1489">AJ238/SUM(AJ234:AJ245)*AQ245</f>
        <v>3250.7633666711213</v>
      </c>
      <c r="AY238" s="252">
        <f t="shared" ref="AY238" si="1490">AK238/SUM(AK234:AK245)*AR245</f>
        <v>23315.814335762789</v>
      </c>
    </row>
    <row r="239" spans="31:59">
      <c r="AE239" s="165">
        <v>36039</v>
      </c>
      <c r="AF239" s="277">
        <v>1833718</v>
      </c>
      <c r="AG239" s="277">
        <v>854543</v>
      </c>
      <c r="AH239" s="277">
        <v>473083</v>
      </c>
      <c r="AI239" s="277">
        <v>103554</v>
      </c>
      <c r="AJ239" s="277">
        <v>344859</v>
      </c>
      <c r="AK239" s="277">
        <v>2199512</v>
      </c>
      <c r="AT239" s="252">
        <f t="shared" ref="AT239" si="1491">AF239/SUM(AF234:AF245)*AM245</f>
        <v>19170.613499665204</v>
      </c>
      <c r="AU239" s="252">
        <f t="shared" ref="AU239" si="1492">AG239/SUM(AG234:AG245)*AN245</f>
        <v>10131.283353502653</v>
      </c>
      <c r="AV239" s="252">
        <f t="shared" ref="AV239" si="1493">AH239/SUM(AH234:AH245)*AO245</f>
        <v>7112.0928380097603</v>
      </c>
      <c r="AW239" s="252">
        <f t="shared" ref="AW239" si="1494">AI239/SUM(AI234:AI245)*AP245</f>
        <v>1191.0583113571197</v>
      </c>
      <c r="AX239" s="252">
        <f t="shared" ref="AX239" si="1495">AJ239/SUM(AJ234:AJ245)*AQ245</f>
        <v>3604.330784383616</v>
      </c>
      <c r="AY239" s="252">
        <f t="shared" ref="AY239" si="1496">AK239/SUM(AK234:AK245)*AR245</f>
        <v>27345.480548985986</v>
      </c>
    </row>
    <row r="240" spans="31:59">
      <c r="AE240" s="165">
        <v>36069</v>
      </c>
      <c r="AF240" s="277">
        <v>1804433</v>
      </c>
      <c r="AG240" s="277">
        <v>856557</v>
      </c>
      <c r="AH240" s="277">
        <v>501300</v>
      </c>
      <c r="AI240" s="277">
        <v>109186</v>
      </c>
      <c r="AJ240" s="277">
        <v>383064</v>
      </c>
      <c r="AK240" s="277">
        <v>2663550</v>
      </c>
      <c r="AT240" s="252">
        <f t="shared" ref="AT240" si="1497">AF240/SUM(AF234:AF245)*AM245</f>
        <v>18864.453328724143</v>
      </c>
      <c r="AU240" s="252">
        <f t="shared" ref="AU240" si="1498">AG240/SUM(AG234:AG245)*AN245</f>
        <v>10155.160916918367</v>
      </c>
      <c r="AV240" s="252">
        <f t="shared" ref="AV240" si="1499">AH240/SUM(AH234:AH245)*AO245</f>
        <v>7536.2930811174629</v>
      </c>
      <c r="AW240" s="252">
        <f t="shared" ref="AW240" si="1500">AI240/SUM(AI234:AI245)*AP245</f>
        <v>1255.8364986754589</v>
      </c>
      <c r="AX240" s="252">
        <f t="shared" ref="AX240" si="1501">AJ240/SUM(AJ234:AJ245)*AQ245</f>
        <v>4003.6344349114433</v>
      </c>
      <c r="AY240" s="252">
        <f t="shared" ref="AY240" si="1502">AK240/SUM(AK234:AK245)*AR245</f>
        <v>33114.643028204264</v>
      </c>
    </row>
    <row r="241" spans="31:59">
      <c r="AE241" s="165">
        <v>36100</v>
      </c>
      <c r="AF241" s="277">
        <v>1751629</v>
      </c>
      <c r="AG241" s="277">
        <v>820024</v>
      </c>
      <c r="AH241" s="277">
        <v>504935</v>
      </c>
      <c r="AI241" s="277">
        <v>106067</v>
      </c>
      <c r="AJ241" s="277">
        <v>387561</v>
      </c>
      <c r="AK241" s="277">
        <v>2955293</v>
      </c>
      <c r="AT241" s="252">
        <f t="shared" ref="AT241" si="1503">AF241/SUM(AF234:AF245)*AM245</f>
        <v>18312.413661100047</v>
      </c>
      <c r="AU241" s="252">
        <f t="shared" ref="AU241" si="1504">AG241/SUM(AG234:AG245)*AN245</f>
        <v>9722.0332981168394</v>
      </c>
      <c r="AV241" s="252">
        <f t="shared" ref="AV241" si="1505">AH241/SUM(AH234:AH245)*AO245</f>
        <v>7590.9398502175263</v>
      </c>
      <c r="AW241" s="252">
        <f t="shared" ref="AW241" si="1506">AI241/SUM(AI234:AI245)*AP245</f>
        <v>1219.9623569414568</v>
      </c>
      <c r="AX241" s="252">
        <f t="shared" ref="AX241" si="1507">AJ241/SUM(AJ234:AJ245)*AQ245</f>
        <v>4050.6353121899056</v>
      </c>
      <c r="AY241" s="252">
        <f t="shared" ref="AY241" si="1508">AK241/SUM(AK234:AK245)*AR245</f>
        <v>36741.744190554287</v>
      </c>
    </row>
    <row r="242" spans="31:59">
      <c r="AE242" s="165">
        <v>36130</v>
      </c>
      <c r="AF242" s="277">
        <v>1809637</v>
      </c>
      <c r="AG242" s="277">
        <v>831747</v>
      </c>
      <c r="AH242" s="277">
        <v>517159</v>
      </c>
      <c r="AI242" s="277">
        <v>104128</v>
      </c>
      <c r="AJ242" s="277">
        <v>385838</v>
      </c>
      <c r="AK242" s="277">
        <v>3219786</v>
      </c>
      <c r="AT242" s="252">
        <f t="shared" ref="AT242" si="1509">AF242/SUM(AF234:AF245)*AM245</f>
        <v>18918.858571325381</v>
      </c>
      <c r="AU242" s="252">
        <f t="shared" ref="AU242" si="1510">AG242/SUM(AG234:AG245)*AN245</f>
        <v>9861.0187379988729</v>
      </c>
      <c r="AV242" s="252">
        <f t="shared" ref="AV242" si="1511">AH242/SUM(AH234:AH245)*AO245</f>
        <v>7774.7093427840136</v>
      </c>
      <c r="AW242" s="252">
        <f t="shared" ref="AW242" si="1512">AI242/SUM(AI234:AI245)*AP245</f>
        <v>1197.6603496242942</v>
      </c>
      <c r="AX242" s="252">
        <f t="shared" ref="AX242" si="1513">AJ242/SUM(AJ234:AJ245)*AQ245</f>
        <v>4032.6271930992252</v>
      </c>
      <c r="AY242" s="252">
        <f t="shared" ref="AY242" si="1514">AK242/SUM(AK234:AK245)*AR245</f>
        <v>40030.059138071258</v>
      </c>
      <c r="BA242" s="252">
        <f t="shared" ref="BA242" si="1515">SUM(AT231:AT242)</f>
        <v>219038.39408450801</v>
      </c>
      <c r="BB242" s="252">
        <f t="shared" ref="BB242" si="1516">SUM(AU231:AU242)</f>
        <v>118461.50946285276</v>
      </c>
      <c r="BC242" s="252">
        <f t="shared" ref="BC242" si="1517">SUM(AV231:AV242)</f>
        <v>84051.186621772213</v>
      </c>
      <c r="BD242" s="252">
        <f t="shared" ref="BD242" si="1518">SUM(AW231:AW242)</f>
        <v>13458.214968442178</v>
      </c>
      <c r="BE242" s="252">
        <f t="shared" ref="BE242" si="1519">SUM(AX231:AX242)</f>
        <v>41086.205086666465</v>
      </c>
      <c r="BF242" s="252">
        <f t="shared" ref="BF242" si="1520">SUM(AY231:AY242)</f>
        <v>316032.85761857359</v>
      </c>
      <c r="BG242" s="252">
        <f t="shared" ref="BG242" si="1521">SUM(BA242:BF242)</f>
        <v>792128.36784281523</v>
      </c>
    </row>
    <row r="243" spans="31:59">
      <c r="AE243" s="165">
        <v>36161</v>
      </c>
      <c r="AF243" s="277">
        <v>1374618</v>
      </c>
      <c r="AG243" s="277">
        <v>633518</v>
      </c>
      <c r="AH243" s="277">
        <v>409851</v>
      </c>
      <c r="AI243" s="277">
        <v>80299</v>
      </c>
      <c r="AJ243" s="277">
        <v>280236</v>
      </c>
      <c r="AK243" s="277">
        <v>2336227</v>
      </c>
      <c r="AT243" s="252">
        <f t="shared" ref="AT243" si="1522">AF243/SUM(AF234:AF245)*AM245</f>
        <v>14370.950379329199</v>
      </c>
      <c r="AU243" s="252">
        <f t="shared" ref="AU243" si="1523">AG243/SUM(AG234:AG245)*AN245</f>
        <v>7510.8571102265114</v>
      </c>
      <c r="AV243" s="252">
        <f t="shared" ref="AV243" si="1524">AH243/SUM(AH234:AH245)*AO245</f>
        <v>6161.4946251527499</v>
      </c>
      <c r="AW243" s="252">
        <f t="shared" ref="AW243" si="1525">AI243/SUM(AI234:AI245)*AP245</f>
        <v>923.58374706593031</v>
      </c>
      <c r="AX243" s="252">
        <f t="shared" ref="AX243" si="1526">AJ243/SUM(AJ234:AJ245)*AQ245</f>
        <v>2928.9165766081996</v>
      </c>
      <c r="AY243" s="252">
        <f t="shared" ref="AY243" si="1527">AK243/SUM(AK234:AK245)*AR245</f>
        <v>29045.192745716271</v>
      </c>
    </row>
    <row r="244" spans="31:59">
      <c r="AE244" s="165">
        <v>36192</v>
      </c>
      <c r="AF244" s="277">
        <v>1423401</v>
      </c>
      <c r="AG244" s="277">
        <v>691081</v>
      </c>
      <c r="AH244" s="277">
        <v>438545</v>
      </c>
      <c r="AI244" s="277">
        <v>87085</v>
      </c>
      <c r="AJ244" s="277">
        <v>293582</v>
      </c>
      <c r="AK244" s="277">
        <v>2294764</v>
      </c>
      <c r="AT244" s="252">
        <f t="shared" ref="AT244" si="1528">AF244/SUM(AF234:AF245)*AM245</f>
        <v>14880.952483444535</v>
      </c>
      <c r="AU244" s="252">
        <f t="shared" ref="AU244" si="1529">AG244/SUM(AG234:AG245)*AN245</f>
        <v>8193.3120173261814</v>
      </c>
      <c r="AV244" s="252">
        <f t="shared" ref="AV244" si="1530">AH244/SUM(AH234:AH245)*AO245</f>
        <v>6592.8658473142987</v>
      </c>
      <c r="AW244" s="252">
        <f t="shared" ref="AW244" si="1531">AI244/SUM(AI234:AI245)*AP245</f>
        <v>1001.6350217715855</v>
      </c>
      <c r="AX244" s="252">
        <f t="shared" ref="AX244" si="1532">AJ244/SUM(AJ234:AJ245)*AQ245</f>
        <v>3068.4037254092568</v>
      </c>
      <c r="AY244" s="252">
        <f t="shared" ref="AY244" si="1533">AK244/SUM(AK234:AK245)*AR245</f>
        <v>28529.703100739291</v>
      </c>
    </row>
    <row r="245" spans="31:59">
      <c r="AE245" s="165">
        <v>36220</v>
      </c>
      <c r="AF245" s="277">
        <v>1587498</v>
      </c>
      <c r="AG245" s="277">
        <v>752147</v>
      </c>
      <c r="AH245" s="277">
        <v>483218</v>
      </c>
      <c r="AI245" s="277">
        <v>95546</v>
      </c>
      <c r="AJ245" s="277">
        <v>311338</v>
      </c>
      <c r="AK245" s="277">
        <v>2618108</v>
      </c>
      <c r="AM245" s="277">
        <v>215508</v>
      </c>
      <c r="AN245" s="277">
        <v>113879</v>
      </c>
      <c r="AO245" s="277">
        <v>83804</v>
      </c>
      <c r="AP245" s="277">
        <v>13490</v>
      </c>
      <c r="AQ245" s="277">
        <v>40435</v>
      </c>
      <c r="AR245" s="277">
        <v>327755</v>
      </c>
      <c r="AT245" s="252">
        <f t="shared" ref="AT245" si="1534">AF245/SUM(AF234:AF245)*AM245</f>
        <v>16596.505345691927</v>
      </c>
      <c r="AU245" s="252">
        <f t="shared" ref="AU245" si="1535">AG245/SUM(AG234:AG245)*AN245</f>
        <v>8917.2977608932015</v>
      </c>
      <c r="AV245" s="252">
        <f t="shared" ref="AV245" si="1536">AH245/SUM(AH234:AH245)*AO245</f>
        <v>7264.457351030158</v>
      </c>
      <c r="AW245" s="252">
        <f t="shared" ref="AW245" si="1537">AI245/SUM(AI234:AI245)*AP245</f>
        <v>1098.951826263856</v>
      </c>
      <c r="AX245" s="252">
        <f t="shared" ref="AX245" si="1538">AJ245/SUM(AJ234:AJ245)*AQ245</f>
        <v>3253.9824616681785</v>
      </c>
      <c r="AY245" s="252">
        <f t="shared" ref="AY245" si="1539">AK245/SUM(AK234:AK245)*AR245</f>
        <v>32549.68437960084</v>
      </c>
      <c r="AZ245" s="25">
        <f t="shared" ref="AZ245" si="1540">SUM(AT234:AY245)-SUM(AM245:AR245)</f>
        <v>0</v>
      </c>
    </row>
    <row r="246" spans="31:59">
      <c r="AE246" s="165">
        <v>36251</v>
      </c>
      <c r="AF246" s="277">
        <v>1696628</v>
      </c>
      <c r="AG246" s="277">
        <v>733730</v>
      </c>
      <c r="AH246" s="277">
        <v>449408</v>
      </c>
      <c r="AI246" s="277">
        <v>99350</v>
      </c>
      <c r="AJ246" s="277">
        <v>286619</v>
      </c>
      <c r="AK246" s="277">
        <v>1906174</v>
      </c>
      <c r="AT246" s="252">
        <f t="shared" ref="AT246" si="1541">AF246/SUM(AF246:AF257)*AM257</f>
        <v>18227.624164559107</v>
      </c>
      <c r="AU246" s="252">
        <f t="shared" ref="AU246" si="1542">AG246/SUM(AG246:AG257)*AN257</f>
        <v>8913.9167857943266</v>
      </c>
      <c r="AV246" s="252">
        <f t="shared" ref="AV246" si="1543">AH246/SUM(AH246:AH257)*AO257</f>
        <v>6170.7502765290601</v>
      </c>
      <c r="AW246" s="252">
        <f t="shared" ref="AW246" si="1544">AI246/SUM(AI246:AI257)*AP257</f>
        <v>1094.5605506009433</v>
      </c>
      <c r="AX246" s="252">
        <f t="shared" ref="AX246" si="1545">AJ246/SUM(AJ246:AJ257)*AQ257</f>
        <v>3050.1735474089719</v>
      </c>
      <c r="AY246" s="252">
        <f t="shared" ref="AY246" si="1546">AK246/SUM(AK246:AK257)*AR257</f>
        <v>22436.540782614553</v>
      </c>
    </row>
    <row r="247" spans="31:59">
      <c r="AE247" s="165">
        <v>36281</v>
      </c>
      <c r="AF247" s="277">
        <v>1786210</v>
      </c>
      <c r="AG247" s="277">
        <v>718627</v>
      </c>
      <c r="AH247" s="277">
        <v>429064</v>
      </c>
      <c r="AI247" s="277">
        <v>98416</v>
      </c>
      <c r="AJ247" s="277">
        <v>278005</v>
      </c>
      <c r="AK247" s="277">
        <v>1698866</v>
      </c>
      <c r="AT247" s="252">
        <f t="shared" ref="AT247" si="1547">AF247/SUM(AF246:AF257)*AM257</f>
        <v>19190.043167375006</v>
      </c>
      <c r="AU247" s="252">
        <f t="shared" ref="AU247" si="1548">AG247/SUM(AG246:AG257)*AN257</f>
        <v>8730.4339171425727</v>
      </c>
      <c r="AV247" s="252">
        <f t="shared" ref="AV247" si="1549">AH247/SUM(AH246:AH257)*AO257</f>
        <v>5891.4100252969783</v>
      </c>
      <c r="AW247" s="252">
        <f t="shared" ref="AW247" si="1550">AI247/SUM(AI246:AI257)*AP257</f>
        <v>1084.2704695313785</v>
      </c>
      <c r="AX247" s="252">
        <f t="shared" ref="AX247" si="1551">AJ247/SUM(AJ246:AJ257)*AQ257</f>
        <v>2958.5041363183568</v>
      </c>
      <c r="AY247" s="252">
        <f t="shared" ref="AY247" si="1552">AK247/SUM(AK246:AK257)*AR257</f>
        <v>19996.43070002909</v>
      </c>
    </row>
    <row r="248" spans="31:59">
      <c r="AE248" s="165">
        <v>36312</v>
      </c>
      <c r="AF248" s="277">
        <v>1872279</v>
      </c>
      <c r="AG248" s="277">
        <v>736199</v>
      </c>
      <c r="AH248" s="277">
        <v>427746</v>
      </c>
      <c r="AI248" s="277">
        <v>95382</v>
      </c>
      <c r="AJ248" s="277">
        <v>277018</v>
      </c>
      <c r="AK248" s="277">
        <v>1716661</v>
      </c>
      <c r="AT248" s="252">
        <f t="shared" ref="AT248" si="1553">AF248/SUM(AF246:AF257)*AM257</f>
        <v>20114.720459167569</v>
      </c>
      <c r="AU248" s="252">
        <f t="shared" ref="AU248" si="1554">AG248/SUM(AG246:AG257)*AN257</f>
        <v>8943.9120981628075</v>
      </c>
      <c r="AV248" s="252">
        <f t="shared" ref="AV248" si="1555">AH248/SUM(AH246:AH257)*AO257</f>
        <v>5873.3127754383531</v>
      </c>
      <c r="AW248" s="252">
        <f t="shared" ref="AW248" si="1556">AI248/SUM(AI246:AI257)*AP257</f>
        <v>1050.8442318814211</v>
      </c>
      <c r="AX248" s="252">
        <f t="shared" ref="AX248" si="1557">AJ248/SUM(AJ246:AJ257)*AQ257</f>
        <v>2948.0005713373448</v>
      </c>
      <c r="AY248" s="252">
        <f t="shared" ref="AY248" si="1558">AK248/SUM(AK246:AK257)*AR257</f>
        <v>20205.885998037895</v>
      </c>
    </row>
    <row r="249" spans="31:59">
      <c r="AE249" s="165">
        <v>36342</v>
      </c>
      <c r="AF249" s="277">
        <v>1958880</v>
      </c>
      <c r="AG249" s="277">
        <v>741205</v>
      </c>
      <c r="AH249" s="277">
        <v>425777</v>
      </c>
      <c r="AI249" s="277">
        <v>95368</v>
      </c>
      <c r="AJ249" s="277">
        <v>286635</v>
      </c>
      <c r="AK249" s="277">
        <v>1851736</v>
      </c>
      <c r="AT249" s="252">
        <f t="shared" ref="AT249" si="1559">AF249/SUM(AF246:AF257)*AM257</f>
        <v>21045.113261994698</v>
      </c>
      <c r="AU249" s="252">
        <f t="shared" ref="AU249" si="1560">AG249/SUM(AG246:AG257)*AN257</f>
        <v>9004.7288392387982</v>
      </c>
      <c r="AV249" s="252">
        <f t="shared" ref="AV249" si="1561">AH249/SUM(AH246:AH257)*AO257</f>
        <v>5846.2767473870372</v>
      </c>
      <c r="AW249" s="252">
        <f t="shared" ref="AW249" si="1562">AI249/SUM(AI246:AI257)*AP257</f>
        <v>1050.6899908375517</v>
      </c>
      <c r="AX249" s="252">
        <f t="shared" ref="AX249" si="1563">AJ249/SUM(AJ246:AJ257)*AQ257</f>
        <v>3050.3438179659079</v>
      </c>
      <c r="AY249" s="252">
        <f t="shared" ref="AY249" si="1564">AK249/SUM(AK246:AK257)*AR257</f>
        <v>21795.780596438486</v>
      </c>
    </row>
    <row r="250" spans="31:59">
      <c r="AE250" s="165">
        <v>36373</v>
      </c>
      <c r="AF250" s="277">
        <v>1935415</v>
      </c>
      <c r="AG250" s="277">
        <v>753852</v>
      </c>
      <c r="AH250" s="277">
        <v>448890</v>
      </c>
      <c r="AI250" s="277">
        <v>93660</v>
      </c>
      <c r="AJ250" s="277">
        <v>305617</v>
      </c>
      <c r="AK250" s="277">
        <v>2014745</v>
      </c>
      <c r="AT250" s="252">
        <f t="shared" ref="AT250" si="1565">AF250/SUM(AF246:AF257)*AM257</f>
        <v>20793.01840029173</v>
      </c>
      <c r="AU250" s="252">
        <f t="shared" ref="AU250" si="1566">AG250/SUM(AG246:AG257)*AN257</f>
        <v>9158.3743295280601</v>
      </c>
      <c r="AV250" s="252">
        <f t="shared" ref="AV250" si="1567">AH250/SUM(AH246:AH257)*AO257</f>
        <v>6163.6377003327252</v>
      </c>
      <c r="AW250" s="252">
        <f t="shared" ref="AW250" si="1568">AI250/SUM(AI246:AI257)*AP257</f>
        <v>1031.8725834854993</v>
      </c>
      <c r="AX250" s="252">
        <f t="shared" ref="AX250" si="1569">AJ250/SUM(AJ246:AJ257)*AQ257</f>
        <v>3252.3485499512863</v>
      </c>
      <c r="AY250" s="252">
        <f t="shared" ref="AY250" si="1570">AK250/SUM(AK246:AK257)*AR257</f>
        <v>23714.471165312691</v>
      </c>
    </row>
    <row r="251" spans="31:59">
      <c r="AE251" s="165">
        <v>36404</v>
      </c>
      <c r="AF251" s="277">
        <v>1889471</v>
      </c>
      <c r="AG251" s="277">
        <v>759113</v>
      </c>
      <c r="AH251" s="277">
        <v>467862</v>
      </c>
      <c r="AI251" s="277">
        <v>92383</v>
      </c>
      <c r="AJ251" s="277">
        <v>329318</v>
      </c>
      <c r="AK251" s="277">
        <v>2243017</v>
      </c>
      <c r="AT251" s="252">
        <f t="shared" ref="AT251" si="1571">AF251/SUM(AF246:AF257)*AM257</f>
        <v>20299.421710494968</v>
      </c>
      <c r="AU251" s="252">
        <f t="shared" ref="AU251" si="1572">AG251/SUM(AG246:AG257)*AN257</f>
        <v>9222.2890068754004</v>
      </c>
      <c r="AV251" s="252">
        <f t="shared" ref="AV251" si="1573">AH251/SUM(AH246:AH257)*AO257</f>
        <v>6424.1392362339766</v>
      </c>
      <c r="AW251" s="252">
        <f t="shared" ref="AW251" si="1574">AI251/SUM(AI246:AI257)*AP257</f>
        <v>1017.8035968411369</v>
      </c>
      <c r="AX251" s="252">
        <f t="shared" ref="AX251" si="1575">AJ251/SUM(AJ246:AJ257)*AQ257</f>
        <v>3504.5724543230826</v>
      </c>
      <c r="AY251" s="252">
        <f t="shared" ref="AY251" si="1576">AK251/SUM(AK246:AK257)*AR257</f>
        <v>26401.337126934763</v>
      </c>
    </row>
    <row r="252" spans="31:59">
      <c r="AE252" s="165">
        <v>36434</v>
      </c>
      <c r="AF252" s="277">
        <v>1853259</v>
      </c>
      <c r="AG252" s="277">
        <v>767344</v>
      </c>
      <c r="AH252" s="277">
        <v>470502</v>
      </c>
      <c r="AI252" s="277">
        <v>93199</v>
      </c>
      <c r="AJ252" s="277">
        <v>351532</v>
      </c>
      <c r="AK252" s="277">
        <v>2566576</v>
      </c>
      <c r="AT252" s="252">
        <f t="shared" ref="AT252" si="1577">AF252/SUM(AF246:AF257)*AM257</f>
        <v>19910.380196240218</v>
      </c>
      <c r="AU252" s="252">
        <f t="shared" ref="AU252" si="1578">AG252/SUM(AG246:AG257)*AN257</f>
        <v>9322.2855302066982</v>
      </c>
      <c r="AV252" s="252">
        <f t="shared" ref="AV252" si="1579">AH252/SUM(AH246:AH257)*AO257</f>
        <v>6460.3886593195402</v>
      </c>
      <c r="AW252" s="252">
        <f t="shared" ref="AW252" si="1580">AI252/SUM(AI246:AI257)*AP257</f>
        <v>1026.793646255232</v>
      </c>
      <c r="AX252" s="252">
        <f t="shared" ref="AX252" si="1581">AJ252/SUM(AJ246:AJ257)*AQ257</f>
        <v>3740.9718388096067</v>
      </c>
      <c r="AY252" s="252">
        <f t="shared" ref="AY252" si="1582">AK252/SUM(AK246:AK257)*AR257</f>
        <v>30209.774708751524</v>
      </c>
    </row>
    <row r="253" spans="31:59">
      <c r="AE253" s="165">
        <v>36465</v>
      </c>
      <c r="AF253" s="277">
        <v>1772419</v>
      </c>
      <c r="AG253" s="277">
        <v>749241</v>
      </c>
      <c r="AH253" s="277">
        <v>468461</v>
      </c>
      <c r="AI253" s="277">
        <v>88856</v>
      </c>
      <c r="AJ253" s="277">
        <v>348877</v>
      </c>
      <c r="AK253" s="277">
        <v>2723420</v>
      </c>
      <c r="AT253" s="252">
        <f t="shared" ref="AT253" si="1583">AF253/SUM(AF246:AF257)*AM257</f>
        <v>19041.880361589981</v>
      </c>
      <c r="AU253" s="252">
        <f t="shared" ref="AU253" si="1584">AG253/SUM(AG246:AG257)*AN257</f>
        <v>9102.3563524802394</v>
      </c>
      <c r="AV253" s="252">
        <f t="shared" ref="AV253" si="1585">AH253/SUM(AH246:AH257)*AO257</f>
        <v>6432.3640106386174</v>
      </c>
      <c r="AW253" s="252">
        <f t="shared" ref="AW253" si="1586">AI253/SUM(AI246:AI257)*AP257</f>
        <v>978.9458710034969</v>
      </c>
      <c r="AX253" s="252">
        <f t="shared" ref="AX253" si="1587">AJ253/SUM(AJ246:AJ257)*AQ257</f>
        <v>3712.7175682679785</v>
      </c>
      <c r="AY253" s="252">
        <f t="shared" ref="AY253" si="1588">AK253/SUM(AK246:AK257)*AR257</f>
        <v>32055.900404783679</v>
      </c>
    </row>
    <row r="254" spans="31:59">
      <c r="AE254" s="165">
        <v>36495</v>
      </c>
      <c r="AF254" s="277">
        <v>1825937</v>
      </c>
      <c r="AG254" s="277">
        <v>753287</v>
      </c>
      <c r="AH254" s="277">
        <v>497225</v>
      </c>
      <c r="AI254" s="277">
        <v>89580</v>
      </c>
      <c r="AJ254" s="277">
        <v>358042</v>
      </c>
      <c r="AK254" s="277">
        <v>2975365</v>
      </c>
      <c r="AT254" s="252">
        <f t="shared" ref="AT254" si="1589">AF254/SUM(AF246:AF257)*AM257</f>
        <v>19616.847879536683</v>
      </c>
      <c r="AU254" s="252">
        <f t="shared" ref="AU254" si="1590">AG254/SUM(AG246:AG257)*AN257</f>
        <v>9151.5102746523244</v>
      </c>
      <c r="AV254" s="252">
        <f t="shared" ref="AV254" si="1591">AH254/SUM(AH246:AH257)*AO257</f>
        <v>6827.3179521663205</v>
      </c>
      <c r="AW254" s="252">
        <f t="shared" ref="AW254" si="1592">AI254/SUM(AI246:AI257)*AP257</f>
        <v>986.92233641502264</v>
      </c>
      <c r="AX254" s="252">
        <f t="shared" ref="AX254" si="1593">AJ254/SUM(AJ246:AJ257)*AQ257</f>
        <v>3810.2506716630892</v>
      </c>
      <c r="AY254" s="252">
        <f t="shared" ref="AY254" si="1594">AK254/SUM(AK246:AK257)*AR257</f>
        <v>35021.408415844489</v>
      </c>
      <c r="BA254" s="252">
        <f t="shared" ref="BA254" si="1595">SUM(AT243:AT254)</f>
        <v>224087.45780971562</v>
      </c>
      <c r="BB254" s="252">
        <f t="shared" ref="BB254" si="1596">SUM(AU243:AU254)</f>
        <v>106171.27402252714</v>
      </c>
      <c r="BC254" s="252">
        <f t="shared" ref="BC254" si="1597">SUM(AV243:AV254)</f>
        <v>76108.415206839811</v>
      </c>
      <c r="BD254" s="252">
        <f t="shared" ref="BD254" si="1598">SUM(AW243:AW254)</f>
        <v>12346.873871953054</v>
      </c>
      <c r="BE254" s="252">
        <f t="shared" ref="BE254" si="1599">SUM(AX243:AX254)</f>
        <v>39279.185919731259</v>
      </c>
      <c r="BF254" s="252">
        <f t="shared" ref="BF254" si="1600">SUM(AY243:AY254)</f>
        <v>321962.11012480356</v>
      </c>
      <c r="BG254" s="252">
        <f t="shared" ref="BG254" si="1601">SUM(BA254:BF254)</f>
        <v>779955.31695557036</v>
      </c>
    </row>
    <row r="255" spans="31:59">
      <c r="AE255" s="165">
        <v>36526</v>
      </c>
      <c r="AF255" s="277">
        <v>1416283</v>
      </c>
      <c r="AG255" s="277">
        <v>585143</v>
      </c>
      <c r="AH255" s="277">
        <v>379837</v>
      </c>
      <c r="AI255" s="277">
        <v>70633</v>
      </c>
      <c r="AJ255" s="277">
        <v>266436</v>
      </c>
      <c r="AK255" s="277">
        <v>2170733</v>
      </c>
      <c r="AT255" s="252">
        <f t="shared" ref="AT255" si="1602">AF255/SUM(AF246:AF257)*AM257</f>
        <v>15215.753974739464</v>
      </c>
      <c r="AU255" s="252">
        <f t="shared" ref="AU255" si="1603">AG255/SUM(AG246:AG257)*AN257</f>
        <v>7108.7675436332829</v>
      </c>
      <c r="AV255" s="252">
        <f t="shared" ref="AV255" si="1604">AH255/SUM(AH246:AH257)*AO257</f>
        <v>5215.4818623299288</v>
      </c>
      <c r="AW255" s="252">
        <f t="shared" ref="AW255" si="1605">AI255/SUM(AI246:AI257)*AP257</f>
        <v>778.17911797278748</v>
      </c>
      <c r="AX255" s="252">
        <f t="shared" ref="AX255" si="1606">AJ255/SUM(AJ246:AJ257)*AQ257</f>
        <v>2835.3878817435575</v>
      </c>
      <c r="AY255" s="252">
        <f t="shared" ref="AY255" si="1607">AK255/SUM(AK246:AK257)*AR257</f>
        <v>25550.521349397924</v>
      </c>
    </row>
    <row r="256" spans="31:59">
      <c r="AE256" s="165">
        <v>36557</v>
      </c>
      <c r="AF256" s="277">
        <v>1526211</v>
      </c>
      <c r="AG256" s="277">
        <v>643330</v>
      </c>
      <c r="AH256" s="277">
        <v>429398</v>
      </c>
      <c r="AI256" s="277">
        <v>75460</v>
      </c>
      <c r="AJ256" s="277">
        <v>274682</v>
      </c>
      <c r="AK256" s="277">
        <v>2119808</v>
      </c>
      <c r="AT256" s="252">
        <f t="shared" ref="AT256" si="1608">AF256/SUM(AF246:AF257)*AM257</f>
        <v>16396.759044301944</v>
      </c>
      <c r="AU256" s="252">
        <f t="shared" ref="AU256" si="1609">AG256/SUM(AG246:AG257)*AN257</f>
        <v>7815.6680056765608</v>
      </c>
      <c r="AV256" s="252">
        <f t="shared" ref="AV256" si="1610">AH256/SUM(AH246:AH257)*AO257</f>
        <v>5895.9961265509855</v>
      </c>
      <c r="AW256" s="252">
        <f t="shared" ref="AW256" si="1611">AI256/SUM(AI246:AI257)*AP257</f>
        <v>831.35922645543212</v>
      </c>
      <c r="AX256" s="252">
        <f t="shared" ref="AX256" si="1612">AJ256/SUM(AJ246:AJ257)*AQ257</f>
        <v>2923.1410700246356</v>
      </c>
      <c r="AY256" s="252">
        <f t="shared" ref="AY256" si="1613">AK256/SUM(AK246:AK257)*AR257</f>
        <v>24951.11078176105</v>
      </c>
    </row>
    <row r="257" spans="31:59">
      <c r="AE257" s="165">
        <v>36586</v>
      </c>
      <c r="AF257" s="277">
        <v>1664498</v>
      </c>
      <c r="AG257" s="277">
        <v>719806</v>
      </c>
      <c r="AH257" s="277">
        <v>492244</v>
      </c>
      <c r="AI257" s="277">
        <v>84936</v>
      </c>
      <c r="AJ257" s="277">
        <v>295303</v>
      </c>
      <c r="AK257" s="277">
        <v>2456900</v>
      </c>
      <c r="AM257" s="277">
        <v>227734</v>
      </c>
      <c r="AN257" s="277">
        <v>105219</v>
      </c>
      <c r="AO257" s="277">
        <v>73960</v>
      </c>
      <c r="AP257" s="277">
        <v>11868</v>
      </c>
      <c r="AQ257" s="277">
        <v>38929</v>
      </c>
      <c r="AR257" s="277">
        <v>311258</v>
      </c>
      <c r="AT257" s="252">
        <f t="shared" ref="AT257" si="1614">AF257/SUM(AF246:AF257)*AM257</f>
        <v>17882.437379708634</v>
      </c>
      <c r="AU257" s="252">
        <f t="shared" ref="AU257" si="1615">AG257/SUM(AG246:AG257)*AN257</f>
        <v>8744.7573166089296</v>
      </c>
      <c r="AV257" s="252">
        <f t="shared" ref="AV257" si="1616">AH257/SUM(AH246:AH257)*AO257</f>
        <v>6758.9246277764769</v>
      </c>
      <c r="AW257" s="252">
        <f t="shared" ref="AW257" si="1617">AI257/SUM(AI246:AI257)*AP257</f>
        <v>935.75837872009788</v>
      </c>
      <c r="AX257" s="252">
        <f t="shared" ref="AX257" si="1618">AJ257/SUM(AJ246:AJ257)*AQ257</f>
        <v>3142.5878921861827</v>
      </c>
      <c r="AY257" s="252">
        <f t="shared" ref="AY257" si="1619">AK257/SUM(AK246:AK257)*AR257</f>
        <v>28918.83797009386</v>
      </c>
      <c r="AZ257" s="25">
        <f t="shared" ref="AZ257" si="1620">SUM(AT246:AY257)-SUM(AM257:AR257)</f>
        <v>0</v>
      </c>
    </row>
    <row r="258" spans="31:59">
      <c r="AE258" s="165">
        <v>36617</v>
      </c>
      <c r="AF258" s="277">
        <v>1710387</v>
      </c>
      <c r="AG258" s="277">
        <v>703413</v>
      </c>
      <c r="AH258" s="277">
        <v>445032</v>
      </c>
      <c r="AI258" s="277">
        <v>89489</v>
      </c>
      <c r="AJ258" s="277">
        <v>264553</v>
      </c>
      <c r="AK258" s="277">
        <v>1732915</v>
      </c>
      <c r="AT258" s="252">
        <f t="shared" ref="AT258" si="1621">AF258/SUM(AF258:AF269)*AM269</f>
        <v>18330.059425763971</v>
      </c>
      <c r="AU258" s="252">
        <f t="shared" ref="AU258" si="1622">AG258/SUM(AG258:AG269)*AN269</f>
        <v>8277.7459421788644</v>
      </c>
      <c r="AV258" s="252">
        <f t="shared" ref="AV258" si="1623">AH258/SUM(AH258:AH269)*AO269</f>
        <v>5323.1319413111323</v>
      </c>
      <c r="AW258" s="252">
        <f t="shared" ref="AW258" si="1624">AI258/SUM(AI258:AI269)*AP269</f>
        <v>998.03206375981847</v>
      </c>
      <c r="AX258" s="252">
        <f t="shared" ref="AX258" si="1625">AJ258/SUM(AJ258:AJ269)*AQ269</f>
        <v>2753.0093440776918</v>
      </c>
      <c r="AY258" s="252">
        <f t="shared" ref="AY258" si="1626">AK258/SUM(AK258:AK269)*AR269</f>
        <v>19463.145894258614</v>
      </c>
    </row>
    <row r="259" spans="31:59">
      <c r="AE259" s="165">
        <v>36647</v>
      </c>
      <c r="AF259" s="277">
        <v>1677137</v>
      </c>
      <c r="AG259" s="277">
        <v>704600</v>
      </c>
      <c r="AH259" s="277">
        <v>482582</v>
      </c>
      <c r="AI259" s="277">
        <v>85534</v>
      </c>
      <c r="AJ259" s="277">
        <v>241580</v>
      </c>
      <c r="AK259" s="277">
        <v>1598631</v>
      </c>
      <c r="AT259" s="252">
        <f t="shared" ref="AT259" si="1627">AF259/SUM(AF258:AF269)*AM269</f>
        <v>17973.722248325972</v>
      </c>
      <c r="AU259" s="252">
        <f t="shared" ref="AU259" si="1628">AG259/SUM(AG258:AG269)*AN269</f>
        <v>8291.7145273960359</v>
      </c>
      <c r="AV259" s="252">
        <f t="shared" ref="AV259" si="1629">AH259/SUM(AH258:AH269)*AO269</f>
        <v>5772.2762823837584</v>
      </c>
      <c r="AW259" s="252">
        <f t="shared" ref="AW259" si="1630">AI259/SUM(AI258:AI269)*AP269</f>
        <v>953.92366147383814</v>
      </c>
      <c r="AX259" s="252">
        <f t="shared" ref="AX259" si="1631">AJ259/SUM(AJ258:AJ269)*AQ269</f>
        <v>2513.9461557506011</v>
      </c>
      <c r="AY259" s="252">
        <f t="shared" ref="AY259" si="1632">AK259/SUM(AK258:AK269)*AR269</f>
        <v>17954.94203932942</v>
      </c>
    </row>
    <row r="260" spans="31:59">
      <c r="AE260" s="165">
        <v>36678</v>
      </c>
      <c r="AF260" s="277">
        <v>1716139</v>
      </c>
      <c r="AG260" s="277">
        <v>745913</v>
      </c>
      <c r="AH260" s="277">
        <v>516375</v>
      </c>
      <c r="AI260" s="277">
        <v>81896</v>
      </c>
      <c r="AJ260" s="277">
        <v>239005</v>
      </c>
      <c r="AK260" s="277">
        <v>1610599</v>
      </c>
      <c r="AT260" s="252">
        <f t="shared" ref="AT260" si="1633">AF260/SUM(AF258:AF269)*AM269</f>
        <v>18391.703078233848</v>
      </c>
      <c r="AU260" s="252">
        <f t="shared" ref="AU260" si="1634">AG260/SUM(AG258:AG269)*AN269</f>
        <v>8777.8848400135666</v>
      </c>
      <c r="AV260" s="252">
        <f t="shared" ref="AV260" si="1635">AH260/SUM(AH258:AH269)*AO269</f>
        <v>6176.4822668808893</v>
      </c>
      <c r="AW260" s="252">
        <f t="shared" ref="AW260" si="1636">AI260/SUM(AI258:AI269)*AP269</f>
        <v>913.35062291090617</v>
      </c>
      <c r="AX260" s="252">
        <f t="shared" ref="AX260" si="1637">AJ260/SUM(AJ258:AJ269)*AQ269</f>
        <v>2487.1500163721021</v>
      </c>
      <c r="AY260" s="252">
        <f t="shared" ref="AY260" si="1638">AK260/SUM(AK258:AK269)*AR269</f>
        <v>18089.360017165891</v>
      </c>
    </row>
    <row r="261" spans="31:59">
      <c r="AE261" s="165">
        <v>36708</v>
      </c>
      <c r="AF261" s="277">
        <v>1789031</v>
      </c>
      <c r="AG261" s="277">
        <v>796514</v>
      </c>
      <c r="AH261" s="277">
        <v>516428</v>
      </c>
      <c r="AI261" s="277">
        <v>81557</v>
      </c>
      <c r="AJ261" s="277">
        <v>247914</v>
      </c>
      <c r="AK261" s="277">
        <v>1746097</v>
      </c>
      <c r="AT261" s="252">
        <f t="shared" ref="AT261" si="1639">AF261/SUM(AF258:AF269)*AM269</f>
        <v>19172.879906438684</v>
      </c>
      <c r="AU261" s="252">
        <f t="shared" ref="AU261" si="1640">AG261/SUM(AG258:AG269)*AN269</f>
        <v>9373.3560957625959</v>
      </c>
      <c r="AV261" s="252">
        <f t="shared" ref="AV261" si="1641">AH261/SUM(AH258:AH269)*AO269</f>
        <v>6177.1162122890601</v>
      </c>
      <c r="AW261" s="252">
        <f t="shared" ref="AW261" si="1642">AI261/SUM(AI258:AI269)*AP269</f>
        <v>909.569902714965</v>
      </c>
      <c r="AX261" s="252">
        <f t="shared" ref="AX261" si="1643">AJ261/SUM(AJ258:AJ269)*AQ269</f>
        <v>2579.8594554878487</v>
      </c>
      <c r="AY261" s="252">
        <f t="shared" ref="AY261" si="1644">AK261/SUM(AK258:AK269)*AR269</f>
        <v>19611.198850796078</v>
      </c>
    </row>
    <row r="262" spans="31:59">
      <c r="AE262" s="165">
        <v>36739</v>
      </c>
      <c r="AF262" s="277">
        <v>1827311</v>
      </c>
      <c r="AG262" s="277">
        <v>827274</v>
      </c>
      <c r="AH262" s="277">
        <v>508697</v>
      </c>
      <c r="AI262" s="277">
        <v>81337</v>
      </c>
      <c r="AJ262" s="277">
        <v>265691</v>
      </c>
      <c r="AK262" s="277">
        <v>1895058</v>
      </c>
      <c r="AT262" s="252">
        <f t="shared" ref="AT262" si="1645">AF262/SUM(AF258:AF269)*AM269</f>
        <v>19583.123129065054</v>
      </c>
      <c r="AU262" s="252">
        <f t="shared" ref="AU262" si="1646">AG262/SUM(AG258:AG269)*AN269</f>
        <v>9735.3389780542548</v>
      </c>
      <c r="AV262" s="252">
        <f t="shared" ref="AV262" si="1647">AH262/SUM(AH258:AH269)*AO269</f>
        <v>6084.6439113348006</v>
      </c>
      <c r="AW262" s="252">
        <f t="shared" ref="AW262" si="1648">AI262/SUM(AI258:AI269)*AP269</f>
        <v>907.11633798603555</v>
      </c>
      <c r="AX262" s="252">
        <f t="shared" ref="AX262" si="1649">AJ262/SUM(AJ258:AJ269)*AQ269</f>
        <v>2764.85167674283</v>
      </c>
      <c r="AY262" s="252">
        <f t="shared" ref="AY262" si="1650">AK262/SUM(AK258:AK269)*AR269</f>
        <v>21284.246678043608</v>
      </c>
    </row>
    <row r="263" spans="31:59">
      <c r="AE263" s="165">
        <v>36770</v>
      </c>
      <c r="AF263" s="277">
        <v>1842461</v>
      </c>
      <c r="AG263" s="277">
        <v>834568</v>
      </c>
      <c r="AH263" s="277">
        <v>538349</v>
      </c>
      <c r="AI263" s="277">
        <v>82399</v>
      </c>
      <c r="AJ263" s="277">
        <v>279222</v>
      </c>
      <c r="AK263" s="277">
        <v>2164934</v>
      </c>
      <c r="AT263" s="252">
        <f t="shared" ref="AT263" si="1651">AF263/SUM(AF258:AF269)*AM269</f>
        <v>19745.484279085678</v>
      </c>
      <c r="AU263" s="252">
        <f t="shared" ref="AU263" si="1652">AG263/SUM(AG258:AG269)*AN269</f>
        <v>9821.1745808967571</v>
      </c>
      <c r="AV263" s="252">
        <f t="shared" ref="AV263" si="1653">AH263/SUM(AH258:AH269)*AO269</f>
        <v>6439.3184253557201</v>
      </c>
      <c r="AW263" s="252">
        <f t="shared" ref="AW263" si="1654">AI263/SUM(AI258:AI269)*AP269</f>
        <v>918.96036408659472</v>
      </c>
      <c r="AX263" s="252">
        <f t="shared" ref="AX263" si="1655">AJ263/SUM(AJ258:AJ269)*AQ269</f>
        <v>2905.6588852595178</v>
      </c>
      <c r="AY263" s="252">
        <f t="shared" ref="AY263" si="1656">AK263/SUM(AK258:AK269)*AR269</f>
        <v>24315.345122779177</v>
      </c>
    </row>
    <row r="264" spans="31:59">
      <c r="AE264" s="165">
        <v>36800</v>
      </c>
      <c r="AF264" s="277">
        <v>1860958</v>
      </c>
      <c r="AG264" s="277">
        <v>827960</v>
      </c>
      <c r="AH264" s="277">
        <v>526678</v>
      </c>
      <c r="AI264" s="277">
        <v>82625</v>
      </c>
      <c r="AJ264" s="277">
        <v>297497</v>
      </c>
      <c r="AK264" s="277">
        <v>2404322</v>
      </c>
      <c r="AT264" s="252">
        <f t="shared" ref="AT264" si="1657">AF264/SUM(AF258:AF269)*AM269</f>
        <v>19943.714918817128</v>
      </c>
      <c r="AU264" s="252">
        <f t="shared" ref="AU264" si="1658">AG264/SUM(AG258:AG269)*AN269</f>
        <v>9743.4118082640089</v>
      </c>
      <c r="AV264" s="252">
        <f t="shared" ref="AV264" si="1659">AH264/SUM(AH258:AH269)*AO269</f>
        <v>6299.7188619826529</v>
      </c>
      <c r="AW264" s="252">
        <f t="shared" ref="AW264" si="1660">AI264/SUM(AI258:AI269)*AP269</f>
        <v>921.48084421722206</v>
      </c>
      <c r="AX264" s="252">
        <f t="shared" ref="AX264" si="1661">AJ264/SUM(AJ258:AJ269)*AQ269</f>
        <v>3095.8334278389625</v>
      </c>
      <c r="AY264" s="252">
        <f t="shared" ref="AY264" si="1662">AK264/SUM(AK258:AK269)*AR269</f>
        <v>27004.019160071708</v>
      </c>
    </row>
    <row r="265" spans="31:59">
      <c r="AE265" s="165">
        <v>36831</v>
      </c>
      <c r="AF265" s="277">
        <v>1833047</v>
      </c>
      <c r="AG265" s="277">
        <v>785726</v>
      </c>
      <c r="AH265" s="277">
        <v>527858</v>
      </c>
      <c r="AI265" s="277">
        <v>81761</v>
      </c>
      <c r="AJ265" s="277">
        <v>306492</v>
      </c>
      <c r="AK265" s="277">
        <v>2593479</v>
      </c>
      <c r="AT265" s="252">
        <f t="shared" ref="AT265" si="1663">AF265/SUM(AF258:AF269)*AM269</f>
        <v>19644.595311013458</v>
      </c>
      <c r="AU265" s="252">
        <f t="shared" ref="AU265" si="1664">AG265/SUM(AG258:AG269)*AN269</f>
        <v>9246.4031915310497</v>
      </c>
      <c r="AV265" s="252">
        <f t="shared" ref="AV265" si="1665">AH265/SUM(AH258:AH269)*AO269</f>
        <v>6313.8331182400625</v>
      </c>
      <c r="AW265" s="252">
        <f t="shared" ref="AW265" si="1666">AI265/SUM(AI258:AI269)*AP269</f>
        <v>911.84502637269952</v>
      </c>
      <c r="AX265" s="252">
        <f t="shared" ref="AX265" si="1667">AJ265/SUM(AJ258:AJ269)*AQ269</f>
        <v>3189.4378059786122</v>
      </c>
      <c r="AY265" s="252">
        <f t="shared" ref="AY265" si="1668">AK265/SUM(AK258:AK269)*AR269</f>
        <v>29128.526298575485</v>
      </c>
    </row>
    <row r="266" spans="31:59">
      <c r="AE266" s="165">
        <v>36861</v>
      </c>
      <c r="AF266" s="277">
        <v>1880992</v>
      </c>
      <c r="AG266" s="277">
        <v>761376</v>
      </c>
      <c r="AH266" s="277">
        <v>571962</v>
      </c>
      <c r="AI266" s="277">
        <v>81900</v>
      </c>
      <c r="AJ266" s="277">
        <v>316726</v>
      </c>
      <c r="AK266" s="277">
        <v>2857506</v>
      </c>
      <c r="AT266" s="252">
        <f t="shared" ref="AT266" si="1669">AF266/SUM(AF258:AF269)*AM269</f>
        <v>20158.417445517665</v>
      </c>
      <c r="AU266" s="252">
        <f t="shared" ref="AU266" si="1670">AG266/SUM(AG258:AG269)*AN269</f>
        <v>8959.85302300693</v>
      </c>
      <c r="AV266" s="252">
        <f t="shared" ref="AV266" si="1671">AH266/SUM(AH258:AH269)*AO269</f>
        <v>6841.3713877118898</v>
      </c>
      <c r="AW266" s="252">
        <f t="shared" ref="AW266" si="1672">AI266/SUM(AI258:AI269)*AP269</f>
        <v>913.39523317870487</v>
      </c>
      <c r="AX266" s="252">
        <f t="shared" ref="AX266" si="1673">AJ266/SUM(AJ258:AJ269)*AQ269</f>
        <v>3295.9355498231016</v>
      </c>
      <c r="AY266" s="252">
        <f t="shared" ref="AY266" si="1674">AK266/SUM(AK258:AK269)*AR269</f>
        <v>32093.931999965007</v>
      </c>
      <c r="BA266" s="252">
        <f t="shared" ref="BA266" si="1675">SUM(AT255:AT266)</f>
        <v>222438.65014101149</v>
      </c>
      <c r="BB266" s="252">
        <f t="shared" ref="BB266" si="1676">SUM(AU255:AU266)</f>
        <v>105896.07585302283</v>
      </c>
      <c r="BC266" s="252">
        <f t="shared" ref="BC266" si="1677">SUM(AV255:AV266)</f>
        <v>73298.295024147359</v>
      </c>
      <c r="BD266" s="252">
        <f t="shared" ref="BD266" si="1678">SUM(AW255:AW266)</f>
        <v>10892.9707798491</v>
      </c>
      <c r="BE266" s="252">
        <f t="shared" ref="BE266" si="1679">SUM(AX255:AX266)</f>
        <v>34486.799161285642</v>
      </c>
      <c r="BF266" s="252">
        <f t="shared" ref="BF266" si="1680">SUM(AY255:AY266)</f>
        <v>288365.18616223783</v>
      </c>
      <c r="BG266" s="252">
        <f t="shared" ref="BG266" si="1681">SUM(BA266:BF266)</f>
        <v>735377.97712155432</v>
      </c>
    </row>
    <row r="267" spans="31:59">
      <c r="AE267" s="165">
        <v>36892</v>
      </c>
      <c r="AF267" s="277">
        <v>1462277</v>
      </c>
      <c r="AG267" s="277">
        <v>586535</v>
      </c>
      <c r="AH267" s="277">
        <v>450985</v>
      </c>
      <c r="AI267" s="277">
        <v>65278</v>
      </c>
      <c r="AJ267" s="277">
        <v>253987</v>
      </c>
      <c r="AK267" s="277">
        <v>2318632</v>
      </c>
      <c r="AT267" s="252">
        <f t="shared" ref="AT267" si="1682">AF267/SUM(AF258:AF269)*AM269</f>
        <v>15671.087483082989</v>
      </c>
      <c r="AU267" s="252">
        <f t="shared" ref="AU267" si="1683">AG267/SUM(AG258:AG269)*AN269</f>
        <v>6902.3286692112315</v>
      </c>
      <c r="AV267" s="252">
        <f t="shared" ref="AV267" si="1684">AH267/SUM(AH258:AH269)*AO269</f>
        <v>5394.3371680063474</v>
      </c>
      <c r="AW267" s="252">
        <f t="shared" ref="AW267" si="1685">AI267/SUM(AI258:AI269)*AP269</f>
        <v>728.01726534114152</v>
      </c>
      <c r="AX267" s="252">
        <f t="shared" ref="AX267" si="1686">AJ267/SUM(AJ258:AJ269)*AQ269</f>
        <v>2643.0567193502275</v>
      </c>
      <c r="AY267" s="252">
        <f t="shared" ref="AY267" si="1687">AK267/SUM(AK258:AK269)*AR269</f>
        <v>26041.596322437421</v>
      </c>
    </row>
    <row r="268" spans="31:59">
      <c r="AE268" s="165">
        <v>36923</v>
      </c>
      <c r="AF268" s="277">
        <v>1540146</v>
      </c>
      <c r="AG268" s="277">
        <v>632600</v>
      </c>
      <c r="AH268" s="277">
        <v>521167</v>
      </c>
      <c r="AI268" s="277">
        <v>70872</v>
      </c>
      <c r="AJ268" s="277">
        <v>266692</v>
      </c>
      <c r="AK268" s="277">
        <v>2399516</v>
      </c>
      <c r="AT268" s="252">
        <f t="shared" ref="AT268" si="1688">AF268/SUM(AF258:AF269)*AM269</f>
        <v>16505.60236037381</v>
      </c>
      <c r="AU268" s="252">
        <f t="shared" ref="AU268" si="1689">AG268/SUM(AG258:AG269)*AN269</f>
        <v>7444.4203945937152</v>
      </c>
      <c r="AV268" s="252">
        <f t="shared" ref="AV268" si="1690">AH268/SUM(AH258:AH269)*AO269</f>
        <v>6233.800500766908</v>
      </c>
      <c r="AW268" s="252">
        <f t="shared" ref="AW268" si="1691">AI268/SUM(AI258:AI269)*AP269</f>
        <v>790.40472485764553</v>
      </c>
      <c r="AX268" s="252">
        <f t="shared" ref="AX268" si="1692">AJ268/SUM(AJ258:AJ269)*AQ269</f>
        <v>2775.2683507303555</v>
      </c>
      <c r="AY268" s="252">
        <f t="shared" ref="AY268" si="1693">AK268/SUM(AK258:AK269)*AR269</f>
        <v>26950.040817701883</v>
      </c>
    </row>
    <row r="269" spans="31:59">
      <c r="AE269" s="165">
        <v>36951</v>
      </c>
      <c r="AF269" s="277">
        <v>1627672</v>
      </c>
      <c r="AG269" s="277">
        <v>674149</v>
      </c>
      <c r="AH269" s="277">
        <v>708202</v>
      </c>
      <c r="AI269" s="277">
        <v>78090</v>
      </c>
      <c r="AJ269" s="277">
        <v>276179</v>
      </c>
      <c r="AK269" s="277">
        <v>2853474</v>
      </c>
      <c r="AM269" s="277">
        <v>222564</v>
      </c>
      <c r="AN269" s="277">
        <v>104507</v>
      </c>
      <c r="AO269" s="277">
        <v>75527</v>
      </c>
      <c r="AP269" s="277">
        <v>10737</v>
      </c>
      <c r="AQ269" s="277">
        <v>33878</v>
      </c>
      <c r="AR269" s="277">
        <v>293985</v>
      </c>
      <c r="AT269" s="252">
        <f t="shared" ref="AT269" si="1694">AF269/SUM(AF258:AF269)*AM269</f>
        <v>17443.610414281738</v>
      </c>
      <c r="AU269" s="252">
        <f t="shared" ref="AU269" si="1695">AG269/SUM(AG258:AG269)*AN269</f>
        <v>7933.3679490909872</v>
      </c>
      <c r="AV269" s="252">
        <f t="shared" ref="AV269" si="1696">AH269/SUM(AH258:AH269)*AO269</f>
        <v>8470.9699237367786</v>
      </c>
      <c r="AW269" s="252">
        <f t="shared" ref="AW269" si="1697">AI269/SUM(AI258:AI269)*AP269</f>
        <v>870.90395310042811</v>
      </c>
      <c r="AX269" s="252">
        <f t="shared" ref="AX269" si="1698">AJ269/SUM(AJ258:AJ269)*AQ269</f>
        <v>2873.9926125881502</v>
      </c>
      <c r="AY269" s="252">
        <f t="shared" ref="AY269" si="1699">AK269/SUM(AK258:AK269)*AR269</f>
        <v>32048.646798875714</v>
      </c>
      <c r="AZ269" s="25">
        <f t="shared" ref="AZ269" si="1700">SUM(AT258:AY269)-SUM(AM269:AR269)</f>
        <v>0</v>
      </c>
    </row>
    <row r="270" spans="31:59">
      <c r="AE270" s="165">
        <v>36982</v>
      </c>
      <c r="AF270" s="277">
        <v>1592223</v>
      </c>
      <c r="AG270" s="277">
        <v>638875</v>
      </c>
      <c r="AH270" s="277">
        <v>494043</v>
      </c>
      <c r="AI270" s="277">
        <v>80378</v>
      </c>
      <c r="AJ270" s="277">
        <v>243409</v>
      </c>
      <c r="AK270" s="277">
        <v>1944359</v>
      </c>
      <c r="AT270" s="252">
        <f t="shared" ref="AT270" si="1701">AF270/SUM(AF270:AF281)*AM281</f>
        <v>17451.631554321051</v>
      </c>
      <c r="AU270" s="252">
        <f t="shared" ref="AU270" si="1702">AG270/SUM(AG270:AG281)*AN281</f>
        <v>8011.4019187526301</v>
      </c>
      <c r="AV270" s="252">
        <f t="shared" ref="AV270" si="1703">AH270/SUM(AH270:AH281)*AO281</f>
        <v>5286.9449217801121</v>
      </c>
      <c r="AW270" s="252">
        <f t="shared" ref="AW270" si="1704">AI270/SUM(AI270:AI281)*AP281</f>
        <v>897.48158286813714</v>
      </c>
      <c r="AX270" s="252">
        <f t="shared" ref="AX270" si="1705">AJ270/SUM(AJ270:AJ281)*AQ281</f>
        <v>2289.7804080929104</v>
      </c>
      <c r="AY270" s="252">
        <f t="shared" ref="AY270" si="1706">AK270/SUM(AK270:AK281)*AR281</f>
        <v>21893.464342409286</v>
      </c>
    </row>
    <row r="271" spans="31:59">
      <c r="AE271" s="165">
        <v>37012</v>
      </c>
      <c r="AF271" s="277">
        <v>1573581</v>
      </c>
      <c r="AG271" s="277">
        <v>632045</v>
      </c>
      <c r="AH271" s="277">
        <v>459181</v>
      </c>
      <c r="AI271" s="277">
        <v>79099</v>
      </c>
      <c r="AJ271" s="277">
        <v>228694</v>
      </c>
      <c r="AK271" s="277">
        <v>1365303</v>
      </c>
      <c r="AT271" s="252">
        <f t="shared" ref="AT271" si="1707">AF271/SUM(AF270:AF281)*AM281</f>
        <v>17247.305077793797</v>
      </c>
      <c r="AU271" s="252">
        <f t="shared" ref="AU271" si="1708">AG271/SUM(AG270:AG281)*AN281</f>
        <v>7925.7546871265995</v>
      </c>
      <c r="AV271" s="252">
        <f t="shared" ref="AV271" si="1709">AH271/SUM(AH270:AH281)*AO281</f>
        <v>4913.8731975312139</v>
      </c>
      <c r="AW271" s="252">
        <f t="shared" ref="AW271" si="1710">AI271/SUM(AI270:AI281)*AP281</f>
        <v>883.20057382973926</v>
      </c>
      <c r="AX271" s="252">
        <f t="shared" ref="AX271" si="1711">AJ271/SUM(AJ270:AJ281)*AQ281</f>
        <v>2151.3544718905223</v>
      </c>
      <c r="AY271" s="252">
        <f t="shared" ref="AY271" si="1712">AK271/SUM(AK270:AK281)*AR281</f>
        <v>15373.299142331447</v>
      </c>
    </row>
    <row r="272" spans="31:59">
      <c r="AE272" s="165">
        <v>37043</v>
      </c>
      <c r="AF272" s="277">
        <v>1601588</v>
      </c>
      <c r="AG272" s="277">
        <v>645631</v>
      </c>
      <c r="AH272" s="277">
        <v>486912</v>
      </c>
      <c r="AI272" s="277">
        <v>80258</v>
      </c>
      <c r="AJ272" s="277">
        <v>232408</v>
      </c>
      <c r="AK272" s="277">
        <v>1492491</v>
      </c>
      <c r="AT272" s="252">
        <f t="shared" ref="AT272" si="1713">AF272/SUM(AF270:AF281)*AM281</f>
        <v>17554.277056556741</v>
      </c>
      <c r="AU272" s="252">
        <f t="shared" ref="AU272" si="1714">AG272/SUM(AG270:AG281)*AN281</f>
        <v>8096.1212008705597</v>
      </c>
      <c r="AV272" s="252">
        <f t="shared" ref="AV272" si="1715">AH272/SUM(AH270:AH281)*AO281</f>
        <v>5210.6333370856337</v>
      </c>
      <c r="AW272" s="252">
        <f t="shared" ref="AW272" si="1716">AI272/SUM(AI270:AI281)*AP281</f>
        <v>896.14169148064082</v>
      </c>
      <c r="AX272" s="252">
        <f t="shared" ref="AX272" si="1717">AJ272/SUM(AJ270:AJ281)*AQ281</f>
        <v>2186.2925573173434</v>
      </c>
      <c r="AY272" s="252">
        <f t="shared" ref="AY272" si="1718">AK272/SUM(AK270:AK281)*AR281</f>
        <v>16805.434845039821</v>
      </c>
    </row>
    <row r="273" spans="31:59">
      <c r="AE273" s="165">
        <v>37073</v>
      </c>
      <c r="AF273" s="277">
        <v>1645292</v>
      </c>
      <c r="AG273" s="277">
        <v>662056</v>
      </c>
      <c r="AH273" s="277">
        <v>512972</v>
      </c>
      <c r="AI273" s="277">
        <v>81074</v>
      </c>
      <c r="AJ273" s="277">
        <v>242858</v>
      </c>
      <c r="AK273" s="277">
        <v>1665723</v>
      </c>
      <c r="AT273" s="252">
        <f t="shared" ref="AT273" si="1719">AF273/SUM(AF270:AF281)*AM281</f>
        <v>18033.296707353173</v>
      </c>
      <c r="AU273" s="252">
        <f t="shared" ref="AU273" si="1720">AG273/SUM(AG270:AG281)*AN281</f>
        <v>8302.0883720942147</v>
      </c>
      <c r="AV273" s="252">
        <f t="shared" ref="AV273" si="1721">AH273/SUM(AH270:AH281)*AO281</f>
        <v>5489.5114603696193</v>
      </c>
      <c r="AW273" s="252">
        <f t="shared" ref="AW273" si="1722">AI273/SUM(AI270:AI281)*AP281</f>
        <v>905.25295291561565</v>
      </c>
      <c r="AX273" s="252">
        <f t="shared" ref="AX273" si="1723">AJ273/SUM(AJ270:AJ281)*AQ281</f>
        <v>2284.597078779454</v>
      </c>
      <c r="AY273" s="252">
        <f t="shared" ref="AY273" si="1724">AK273/SUM(AK270:AK281)*AR281</f>
        <v>18756.025561550628</v>
      </c>
    </row>
    <row r="274" spans="31:59">
      <c r="AE274" s="165">
        <v>37104</v>
      </c>
      <c r="AF274" s="277">
        <v>1673760</v>
      </c>
      <c r="AG274" s="277">
        <v>681927</v>
      </c>
      <c r="AH274" s="277">
        <v>506507</v>
      </c>
      <c r="AI274" s="277">
        <v>82917</v>
      </c>
      <c r="AJ274" s="277">
        <v>258505</v>
      </c>
      <c r="AK274" s="277">
        <v>1888171</v>
      </c>
      <c r="AT274" s="252">
        <f t="shared" ref="AT274" si="1725">AF274/SUM(AF270:AF281)*AM281</f>
        <v>18345.321497277957</v>
      </c>
      <c r="AU274" s="252">
        <f t="shared" ref="AU274" si="1726">AG274/SUM(AG270:AG281)*AN281</f>
        <v>8551.2678947356289</v>
      </c>
      <c r="AV274" s="252">
        <f t="shared" ref="AV274" si="1727">AH274/SUM(AH270:AH281)*AO281</f>
        <v>5420.3269988565353</v>
      </c>
      <c r="AW274" s="252">
        <f t="shared" ref="AW274" si="1728">AI274/SUM(AI270:AI281)*AP281</f>
        <v>925.83145147524613</v>
      </c>
      <c r="AX274" s="252">
        <f t="shared" ref="AX274" si="1729">AJ274/SUM(AJ270:AJ281)*AQ281</f>
        <v>2431.7904612978891</v>
      </c>
      <c r="AY274" s="252">
        <f t="shared" ref="AY274" si="1730">AK274/SUM(AK270:AK281)*AR281</f>
        <v>21260.787982502865</v>
      </c>
    </row>
    <row r="275" spans="31:59">
      <c r="AE275" s="165">
        <v>37135</v>
      </c>
      <c r="AF275" s="277">
        <v>1673938</v>
      </c>
      <c r="AG275" s="277">
        <v>693229</v>
      </c>
      <c r="AH275" s="277">
        <v>595410</v>
      </c>
      <c r="AI275" s="277">
        <v>87031</v>
      </c>
      <c r="AJ275" s="277">
        <v>288600</v>
      </c>
      <c r="AK275" s="277">
        <v>2144614</v>
      </c>
      <c r="AT275" s="252">
        <f t="shared" ref="AT275" si="1731">AF275/SUM(AF270:AF281)*AM281</f>
        <v>18347.272474255849</v>
      </c>
      <c r="AU275" s="252">
        <f t="shared" ref="AU275" si="1732">AG275/SUM(AG270:AG281)*AN281</f>
        <v>8692.9933723106515</v>
      </c>
      <c r="AV275" s="252">
        <f t="shared" ref="AV275" si="1733">AH275/SUM(AH270:AH281)*AO281</f>
        <v>6371.712332483401</v>
      </c>
      <c r="AW275" s="252">
        <f t="shared" ref="AW275" si="1734">AI275/SUM(AI270:AI281)*AP281</f>
        <v>971.76739454324365</v>
      </c>
      <c r="AX275" s="252">
        <f t="shared" ref="AX275" si="1735">AJ275/SUM(AJ270:AJ281)*AQ281</f>
        <v>2714.8980759775277</v>
      </c>
      <c r="AY275" s="252">
        <f t="shared" ref="AY275" si="1736">AK275/SUM(AK270:AK281)*AR281</f>
        <v>24148.333788786822</v>
      </c>
    </row>
    <row r="276" spans="31:59">
      <c r="AE276" s="165">
        <v>37165</v>
      </c>
      <c r="AF276" s="277">
        <v>1672238</v>
      </c>
      <c r="AG276" s="277">
        <v>701925</v>
      </c>
      <c r="AH276" s="277">
        <v>550279</v>
      </c>
      <c r="AI276" s="277">
        <v>85917</v>
      </c>
      <c r="AJ276" s="277">
        <v>314822</v>
      </c>
      <c r="AK276" s="277">
        <v>2391676</v>
      </c>
      <c r="AT276" s="252">
        <f t="shared" ref="AT276" si="1737">AF276/SUM(AF270:AF281)*AM281</f>
        <v>18328.639548062503</v>
      </c>
      <c r="AU276" s="252">
        <f t="shared" ref="AU276" si="1738">AG276/SUM(AG270:AG281)*AN281</f>
        <v>8802.0399793706747</v>
      </c>
      <c r="AV276" s="252">
        <f t="shared" ref="AV276" si="1739">AH276/SUM(AH270:AH281)*AO281</f>
        <v>5888.7480737754377</v>
      </c>
      <c r="AW276" s="252">
        <f t="shared" ref="AW276" si="1740">AI276/SUM(AI270:AI281)*AP281</f>
        <v>959.32873616265329</v>
      </c>
      <c r="AX276" s="252">
        <f t="shared" ref="AX276" si="1741">AJ276/SUM(AJ270:AJ281)*AQ281</f>
        <v>2961.5718713631227</v>
      </c>
      <c r="AY276" s="252">
        <f t="shared" ref="AY276" si="1742">AK276/SUM(AK270:AK281)*AR281</f>
        <v>26930.249621904222</v>
      </c>
    </row>
    <row r="277" spans="31:59">
      <c r="AE277" s="165">
        <v>37196</v>
      </c>
      <c r="AF277" s="277">
        <v>1653540</v>
      </c>
      <c r="AG277" s="277">
        <v>692158</v>
      </c>
      <c r="AH277" s="277">
        <v>538965</v>
      </c>
      <c r="AI277" s="277">
        <v>82890</v>
      </c>
      <c r="AJ277" s="277">
        <v>317608</v>
      </c>
      <c r="AK277" s="277">
        <v>2529551</v>
      </c>
      <c r="AT277" s="252">
        <f t="shared" ref="AT277" si="1743">AF277/SUM(AF270:AF281)*AM281</f>
        <v>18123.699281025354</v>
      </c>
      <c r="AU277" s="252">
        <f t="shared" ref="AU277" si="1744">AG277/SUM(AG270:AG281)*AN281</f>
        <v>8679.5631841596296</v>
      </c>
      <c r="AV277" s="252">
        <f t="shared" ref="AV277" si="1745">AH277/SUM(AH270:AH281)*AO281</f>
        <v>5767.6725907810014</v>
      </c>
      <c r="AW277" s="252">
        <f t="shared" ref="AW277" si="1746">AI277/SUM(AI270:AI281)*AP281</f>
        <v>925.52997591305939</v>
      </c>
      <c r="AX277" s="252">
        <f t="shared" ref="AX277" si="1747">AJ277/SUM(AJ270:AJ281)*AQ281</f>
        <v>2987.7801389988585</v>
      </c>
      <c r="AY277" s="252">
        <f t="shared" ref="AY277" si="1748">AK277/SUM(AK270:AK281)*AR281</f>
        <v>28482.720845690408</v>
      </c>
    </row>
    <row r="278" spans="31:59">
      <c r="AE278" s="165">
        <v>37226</v>
      </c>
      <c r="AF278" s="277">
        <v>1692287</v>
      </c>
      <c r="AG278" s="277">
        <v>692941</v>
      </c>
      <c r="AH278" s="277">
        <v>615443</v>
      </c>
      <c r="AI278" s="277">
        <v>80741</v>
      </c>
      <c r="AJ278" s="277">
        <v>320469</v>
      </c>
      <c r="AK278" s="277">
        <v>2740701</v>
      </c>
      <c r="AT278" s="252">
        <f t="shared" ref="AT278" si="1749">AF278/SUM(AF270:AF281)*AM281</f>
        <v>18548.387511150955</v>
      </c>
      <c r="AU278" s="252">
        <f t="shared" ref="AU278" si="1750">AG278/SUM(AG270:AG281)*AN281</f>
        <v>8689.3818931439891</v>
      </c>
      <c r="AV278" s="252">
        <f t="shared" ref="AV278" si="1751">AH278/SUM(AH270:AH281)*AO281</f>
        <v>6586.0932013916154</v>
      </c>
      <c r="AW278" s="252">
        <f t="shared" ref="AW278" si="1752">AI278/SUM(AI270:AI281)*AP281</f>
        <v>901.53475431531342</v>
      </c>
      <c r="AX278" s="252">
        <f t="shared" ref="AX278" si="1753">AJ278/SUM(AJ270:AJ281)*AQ281</f>
        <v>3014.6939414776239</v>
      </c>
      <c r="AY278" s="252">
        <f t="shared" ref="AY278" si="1754">AK278/SUM(AK270:AK281)*AR281</f>
        <v>30860.267891220436</v>
      </c>
      <c r="BA278" s="252">
        <f t="shared" ref="BA278" si="1755">SUM(AT267:AT278)</f>
        <v>211600.13096553594</v>
      </c>
      <c r="BB278" s="252">
        <f t="shared" ref="BB278" si="1756">SUM(AU267:AU278)</f>
        <v>98030.729515460524</v>
      </c>
      <c r="BC278" s="252">
        <f t="shared" ref="BC278" si="1757">SUM(AV267:AV278)</f>
        <v>71034.623706564613</v>
      </c>
      <c r="BD278" s="252">
        <f t="shared" ref="BD278" si="1758">SUM(AW267:AW278)</f>
        <v>10655.395056802863</v>
      </c>
      <c r="BE278" s="252">
        <f t="shared" ref="BE278" si="1759">SUM(AX267:AX278)</f>
        <v>31315.076687863988</v>
      </c>
      <c r="BF278" s="252">
        <f t="shared" ref="BF278" si="1760">SUM(AY267:AY278)</f>
        <v>289550.86796045094</v>
      </c>
      <c r="BG278" s="252">
        <f t="shared" ref="BG278" si="1761">SUM(BA278:BF278)</f>
        <v>712186.82389267883</v>
      </c>
    </row>
    <row r="279" spans="31:59">
      <c r="AE279" s="165">
        <v>37257</v>
      </c>
      <c r="AF279" s="277">
        <v>1310147</v>
      </c>
      <c r="AG279" s="277">
        <v>551307</v>
      </c>
      <c r="AH279" s="277">
        <v>446841</v>
      </c>
      <c r="AI279" s="277">
        <v>65381</v>
      </c>
      <c r="AJ279" s="277">
        <v>254543</v>
      </c>
      <c r="AK279" s="277">
        <v>2214143</v>
      </c>
      <c r="AT279" s="252">
        <f t="shared" ref="AT279" si="1762">AF279/SUM(AF270:AF281)*AM281</f>
        <v>14359.924913783474</v>
      </c>
      <c r="AU279" s="252">
        <f t="shared" ref="AU279" si="1763">AG279/SUM(AG270:AG281)*AN281</f>
        <v>6913.3116143561037</v>
      </c>
      <c r="AV279" s="252">
        <f t="shared" ref="AV279" si="1764">AH279/SUM(AH270:AH281)*AO281</f>
        <v>4781.8180923384143</v>
      </c>
      <c r="AW279" s="252">
        <f t="shared" ref="AW279" si="1765">AI279/SUM(AI270:AI281)*AP281</f>
        <v>730.02865671578888</v>
      </c>
      <c r="AX279" s="252">
        <f t="shared" ref="AX279" si="1766">AJ279/SUM(AJ270:AJ281)*AQ281</f>
        <v>2394.5194073234502</v>
      </c>
      <c r="AY279" s="252">
        <f t="shared" ref="AY279" si="1767">AK279/SUM(AK270:AK281)*AR281</f>
        <v>24931.229685204802</v>
      </c>
    </row>
    <row r="280" spans="31:59">
      <c r="AE280" s="165">
        <v>37288</v>
      </c>
      <c r="AF280" s="277">
        <v>1375208</v>
      </c>
      <c r="AG280" s="277">
        <v>588422</v>
      </c>
      <c r="AH280" s="277">
        <v>521040</v>
      </c>
      <c r="AI280" s="277">
        <v>68241</v>
      </c>
      <c r="AJ280" s="277">
        <v>262056</v>
      </c>
      <c r="AK280" s="277">
        <v>2277560</v>
      </c>
      <c r="AT280" s="252">
        <f t="shared" ref="AT280" si="1768">AF280/SUM(AF270:AF281)*AM281</f>
        <v>15073.028920292412</v>
      </c>
      <c r="AU280" s="252">
        <f t="shared" ref="AU280" si="1769">AG280/SUM(AG270:AG281)*AN281</f>
        <v>7378.7284521013662</v>
      </c>
      <c r="AV280" s="252">
        <f t="shared" ref="AV280" si="1770">AH280/SUM(AH270:AH281)*AO281</f>
        <v>5575.8502438943769</v>
      </c>
      <c r="AW280" s="252">
        <f t="shared" ref="AW280" si="1771">AI280/SUM(AI270:AI281)*AP281</f>
        <v>761.96273478445039</v>
      </c>
      <c r="AX280" s="252">
        <f t="shared" ref="AX280" si="1772">AJ280/SUM(AJ270:AJ281)*AQ281</f>
        <v>2465.195184332526</v>
      </c>
      <c r="AY280" s="252">
        <f t="shared" ref="AY280" si="1773">AK280/SUM(AK270:AK281)*AR281</f>
        <v>25645.304518197358</v>
      </c>
    </row>
    <row r="281" spans="31:59">
      <c r="AE281" s="165">
        <v>37316</v>
      </c>
      <c r="AF281" s="277">
        <v>1450495</v>
      </c>
      <c r="AG281" s="277">
        <v>627786</v>
      </c>
      <c r="AH281" s="277">
        <v>686249</v>
      </c>
      <c r="AI281" s="277">
        <v>75135</v>
      </c>
      <c r="AJ281" s="277">
        <v>261666</v>
      </c>
      <c r="AK281" s="277">
        <v>2519885</v>
      </c>
      <c r="AM281" s="277">
        <v>207311</v>
      </c>
      <c r="AN281" s="277">
        <v>97915</v>
      </c>
      <c r="AO281" s="277">
        <v>68637</v>
      </c>
      <c r="AP281" s="277">
        <v>10597</v>
      </c>
      <c r="AQ281" s="277">
        <v>30344</v>
      </c>
      <c r="AR281" s="277">
        <v>283461</v>
      </c>
      <c r="AT281" s="252">
        <f t="shared" ref="AT281" si="1774">AF281/SUM(AF270:AF281)*AM281</f>
        <v>15898.215458126728</v>
      </c>
      <c r="AU281" s="252">
        <f t="shared" ref="AU281" si="1775">AG281/SUM(AG270:AG281)*AN281</f>
        <v>7872.3474309779513</v>
      </c>
      <c r="AV281" s="252">
        <f t="shared" ref="AV281" si="1776">AH281/SUM(AH270:AH281)*AO281</f>
        <v>7343.8155497126372</v>
      </c>
      <c r="AW281" s="252">
        <f t="shared" ref="AW281" si="1777">AI281/SUM(AI270:AI281)*AP281</f>
        <v>838.93949499611188</v>
      </c>
      <c r="AX281" s="252">
        <f t="shared" ref="AX281" si="1778">AJ281/SUM(AJ270:AJ281)*AQ281</f>
        <v>2461.5264031487723</v>
      </c>
      <c r="AY281" s="252">
        <f t="shared" ref="AY281" si="1779">AK281/SUM(AK270:AK281)*AR281</f>
        <v>28373.881775161906</v>
      </c>
      <c r="AZ281" s="25">
        <f t="shared" ref="AZ281" si="1780">SUM(AT270:AY281)-SUM(AM281:AR281)</f>
        <v>0</v>
      </c>
    </row>
    <row r="282" spans="31:59">
      <c r="AE282" s="165">
        <v>37347</v>
      </c>
      <c r="AF282" s="277">
        <v>1429640</v>
      </c>
      <c r="AG282" s="277">
        <v>593291</v>
      </c>
      <c r="AH282" s="277">
        <v>479726</v>
      </c>
      <c r="AI282" s="277">
        <v>74219</v>
      </c>
      <c r="AJ282" s="277">
        <v>229538</v>
      </c>
      <c r="AK282" s="277">
        <v>1859398</v>
      </c>
      <c r="AT282" s="252">
        <f t="shared" ref="AT282" si="1781">AF282/SUM(AF282:AF293)*AM293</f>
        <v>15844.390925802769</v>
      </c>
      <c r="AU282" s="252">
        <f t="shared" ref="AU282" si="1782">AG282/SUM(AG282:AG293)*AN293</f>
        <v>7094.6548270320482</v>
      </c>
      <c r="AV282" s="252">
        <f t="shared" ref="AV282" si="1783">AH282/SUM(AH282:AH293)*AO293</f>
        <v>4969.5915664449522</v>
      </c>
      <c r="AW282" s="252">
        <f t="shared" ref="AW282" si="1784">AI282/SUM(AI282:AI293)*AP293</f>
        <v>850.61746236676981</v>
      </c>
      <c r="AX282" s="252">
        <f t="shared" ref="AX282" si="1785">AJ282/SUM(AJ282:AJ293)*AQ293</f>
        <v>2215.4869236143004</v>
      </c>
      <c r="AY282" s="252">
        <f t="shared" ref="AY282" si="1786">AK282/SUM(AK282:AK293)*AR293</f>
        <v>20692.966377362678</v>
      </c>
    </row>
    <row r="283" spans="31:59">
      <c r="AE283" s="165">
        <v>37377</v>
      </c>
      <c r="AF283" s="277">
        <v>1482115</v>
      </c>
      <c r="AG283" s="277">
        <v>584551</v>
      </c>
      <c r="AH283" s="277">
        <v>429609</v>
      </c>
      <c r="AI283" s="277">
        <v>72519</v>
      </c>
      <c r="AJ283" s="277">
        <v>215157</v>
      </c>
      <c r="AK283" s="277">
        <v>1339348</v>
      </c>
      <c r="AT283" s="252">
        <f t="shared" ref="AT283" si="1787">AF283/SUM(AF282:AF293)*AM293</f>
        <v>16425.960001815962</v>
      </c>
      <c r="AU283" s="252">
        <f t="shared" ref="AU283" si="1788">AG283/SUM(AG282:AG293)*AN293</f>
        <v>6990.1407130672987</v>
      </c>
      <c r="AV283" s="252">
        <f t="shared" ref="AV283" si="1789">AH283/SUM(AH282:AH293)*AO293</f>
        <v>4450.4180787967489</v>
      </c>
      <c r="AW283" s="252">
        <f t="shared" ref="AW283" si="1790">AI283/SUM(AI282:AI293)*AP293</f>
        <v>831.13391117336232</v>
      </c>
      <c r="AX283" s="252">
        <f t="shared" ref="AX283" si="1791">AJ283/SUM(AJ282:AJ293)*AQ293</f>
        <v>2076.6823794930779</v>
      </c>
      <c r="AY283" s="252">
        <f t="shared" ref="AY283" si="1792">AK283/SUM(AK282:AK293)*AR293</f>
        <v>14905.406551791466</v>
      </c>
    </row>
    <row r="284" spans="31:59">
      <c r="AE284" s="165">
        <v>37408</v>
      </c>
      <c r="AF284" s="277">
        <v>1561540</v>
      </c>
      <c r="AG284" s="277">
        <v>591962</v>
      </c>
      <c r="AH284" s="277">
        <v>457460</v>
      </c>
      <c r="AI284" s="277">
        <v>72966</v>
      </c>
      <c r="AJ284" s="277">
        <v>216130</v>
      </c>
      <c r="AK284" s="277">
        <v>1431329</v>
      </c>
      <c r="AT284" s="252">
        <f t="shared" ref="AT284" si="1793">AF284/SUM(AF282:AF293)*AM293</f>
        <v>17306.210099240408</v>
      </c>
      <c r="AU284" s="252">
        <f t="shared" ref="AU284" si="1794">AG284/SUM(AG282:AG293)*AN293</f>
        <v>7078.7624634783697</v>
      </c>
      <c r="AV284" s="252">
        <f t="shared" ref="AV284" si="1795">AH284/SUM(AH282:AH293)*AO293</f>
        <v>4738.932970041039</v>
      </c>
      <c r="AW284" s="252">
        <f t="shared" ref="AW284" si="1796">AI284/SUM(AI282:AI293)*AP293</f>
        <v>836.25693904598177</v>
      </c>
      <c r="AX284" s="252">
        <f t="shared" ref="AX284" si="1797">AJ284/SUM(AJ282:AJ293)*AQ293</f>
        <v>2086.0737167735138</v>
      </c>
      <c r="AY284" s="252">
        <f t="shared" ref="AY284" si="1798">AK284/SUM(AK282:AK293)*AR293</f>
        <v>15929.049548264624</v>
      </c>
    </row>
    <row r="285" spans="31:59">
      <c r="AE285" s="165">
        <v>37438</v>
      </c>
      <c r="AF285" s="277">
        <v>1623770</v>
      </c>
      <c r="AG285" s="277">
        <v>616101</v>
      </c>
      <c r="AH285" s="277">
        <v>469955</v>
      </c>
      <c r="AI285" s="277">
        <v>73574</v>
      </c>
      <c r="AJ285" s="277">
        <v>227564</v>
      </c>
      <c r="AK285" s="277">
        <v>1588906</v>
      </c>
      <c r="AT285" s="252">
        <f t="shared" ref="AT285" si="1799">AF285/SUM(AF282:AF293)*AM293</f>
        <v>17995.891730499119</v>
      </c>
      <c r="AU285" s="252">
        <f t="shared" ref="AU285" si="1800">AG285/SUM(AG282:AG293)*AN293</f>
        <v>7367.4199230887916</v>
      </c>
      <c r="AV285" s="252">
        <f t="shared" ref="AV285" si="1801">AH285/SUM(AH282:AH293)*AO293</f>
        <v>4868.3715383544713</v>
      </c>
      <c r="AW285" s="252">
        <f t="shared" ref="AW285" si="1802">AI285/SUM(AI282:AI293)*AP293</f>
        <v>843.22517382574154</v>
      </c>
      <c r="AX285" s="252">
        <f t="shared" ref="AX285" si="1803">AJ285/SUM(AJ282:AJ293)*AQ293</f>
        <v>2196.4339947432004</v>
      </c>
      <c r="AY285" s="252">
        <f t="shared" ref="AY285" si="1804">AK285/SUM(AK282:AK293)*AR293</f>
        <v>17682.700763790122</v>
      </c>
    </row>
    <row r="286" spans="31:59">
      <c r="AE286" s="165">
        <v>37469</v>
      </c>
      <c r="AF286" s="277">
        <v>1644195</v>
      </c>
      <c r="AG286" s="277">
        <v>631417</v>
      </c>
      <c r="AH286" s="277">
        <v>464041</v>
      </c>
      <c r="AI286" s="277">
        <v>78590</v>
      </c>
      <c r="AJ286" s="277">
        <v>247823</v>
      </c>
      <c r="AK286" s="277">
        <v>1793685</v>
      </c>
      <c r="AT286" s="252">
        <f t="shared" ref="AT286" si="1805">AF286/SUM(AF282:AF293)*AM293</f>
        <v>18222.257588099299</v>
      </c>
      <c r="AU286" s="252">
        <f t="shared" ref="AU286" si="1806">AG286/SUM(AG282:AG293)*AN293</f>
        <v>7550.5707433958969</v>
      </c>
      <c r="AV286" s="252">
        <f t="shared" ref="AV286" si="1807">AH286/SUM(AH282:AH293)*AO293</f>
        <v>4807.1070571215278</v>
      </c>
      <c r="AW286" s="252">
        <f t="shared" ref="AW286" si="1808">AI286/SUM(AI282:AI293)*AP293</f>
        <v>900.71311075876031</v>
      </c>
      <c r="AX286" s="252">
        <f t="shared" ref="AX286" si="1809">AJ286/SUM(AJ282:AJ293)*AQ293</f>
        <v>2391.9726401330795</v>
      </c>
      <c r="AY286" s="252">
        <f t="shared" ref="AY286" si="1810">AK286/SUM(AK282:AK293)*AR293</f>
        <v>19961.656082549176</v>
      </c>
    </row>
    <row r="287" spans="31:59">
      <c r="AE287" s="165">
        <v>37500</v>
      </c>
      <c r="AF287" s="277">
        <v>1614301</v>
      </c>
      <c r="AG287" s="277">
        <v>650928</v>
      </c>
      <c r="AH287" s="277">
        <v>512129</v>
      </c>
      <c r="AI287" s="277">
        <v>79556</v>
      </c>
      <c r="AJ287" s="277">
        <v>272964</v>
      </c>
      <c r="AK287" s="277">
        <v>2056806</v>
      </c>
      <c r="AT287" s="252">
        <f t="shared" ref="AT287" si="1811">AF287/SUM(AF282:AF293)*AM293</f>
        <v>17890.948851399189</v>
      </c>
      <c r="AU287" s="252">
        <f t="shared" ref="AU287" si="1812">AG287/SUM(AG282:AG293)*AN293</f>
        <v>7783.8859467787606</v>
      </c>
      <c r="AV287" s="252">
        <f t="shared" ref="AV287" si="1813">AH287/SUM(AH282:AH293)*AO293</f>
        <v>5305.26166881071</v>
      </c>
      <c r="AW287" s="252">
        <f t="shared" ref="AW287" si="1814">AI287/SUM(AI282:AI293)*AP293</f>
        <v>911.78435220160236</v>
      </c>
      <c r="AX287" s="252">
        <f t="shared" ref="AX287" si="1815">AJ287/SUM(AJ282:AJ293)*AQ293</f>
        <v>2634.6320548992062</v>
      </c>
      <c r="AY287" s="252">
        <f t="shared" ref="AY287" si="1816">AK287/SUM(AK282:AK293)*AR293</f>
        <v>22889.890923168583</v>
      </c>
    </row>
    <row r="288" spans="31:59">
      <c r="AE288" s="165">
        <v>37530</v>
      </c>
      <c r="AF288" s="277">
        <v>1609752</v>
      </c>
      <c r="AG288" s="277">
        <v>668934</v>
      </c>
      <c r="AH288" s="277">
        <v>496160</v>
      </c>
      <c r="AI288" s="277">
        <v>81327</v>
      </c>
      <c r="AJ288" s="277">
        <v>295247</v>
      </c>
      <c r="AK288" s="277">
        <v>2268764</v>
      </c>
      <c r="AT288" s="252">
        <f t="shared" ref="AT288" si="1817">AF288/SUM(AF282:AF293)*AM293</f>
        <v>17840.533268230367</v>
      </c>
      <c r="AU288" s="252">
        <f t="shared" ref="AU288" si="1818">AG288/SUM(AG282:AG293)*AN293</f>
        <v>7999.2041545647189</v>
      </c>
      <c r="AV288" s="252">
        <f t="shared" ref="AV288" si="1819">AH288/SUM(AH282:AH293)*AO293</f>
        <v>5139.8351384067719</v>
      </c>
      <c r="AW288" s="252">
        <f t="shared" ref="AW288" si="1820">AI288/SUM(AI282:AI293)*AP293</f>
        <v>932.08162818014637</v>
      </c>
      <c r="AX288" s="252">
        <f t="shared" ref="AX288" si="1821">AJ288/SUM(AJ282:AJ293)*AQ293</f>
        <v>2849.7062261427363</v>
      </c>
      <c r="AY288" s="252">
        <f t="shared" ref="AY288" si="1822">AK288/SUM(AK282:AK293)*AR293</f>
        <v>25248.740275170167</v>
      </c>
    </row>
    <row r="289" spans="31:59">
      <c r="AE289" s="165">
        <v>37561</v>
      </c>
      <c r="AF289" s="277">
        <v>1596641</v>
      </c>
      <c r="AG289" s="277">
        <v>667997</v>
      </c>
      <c r="AH289" s="277">
        <v>504653</v>
      </c>
      <c r="AI289" s="277">
        <v>76558</v>
      </c>
      <c r="AJ289" s="277">
        <v>298409</v>
      </c>
      <c r="AK289" s="277">
        <v>2393980</v>
      </c>
      <c r="AT289" s="252">
        <f t="shared" ref="AT289" si="1823">AF289/SUM(AF282:AF293)*AM293</f>
        <v>17695.226890800943</v>
      </c>
      <c r="AU289" s="252">
        <f t="shared" ref="AU289" si="1824">AG289/SUM(AG282:AG293)*AN293</f>
        <v>7987.9993805618615</v>
      </c>
      <c r="AV289" s="252">
        <f t="shared" ref="AV289" si="1825">AH289/SUM(AH282:AH293)*AO293</f>
        <v>5227.8160716349421</v>
      </c>
      <c r="AW289" s="252">
        <f t="shared" ref="AW289" si="1826">AI289/SUM(AI282:AI293)*AP293</f>
        <v>877.42453662640514</v>
      </c>
      <c r="AX289" s="252">
        <f t="shared" ref="AX289" si="1827">AJ289/SUM(AJ282:AJ293)*AQ293</f>
        <v>2880.2256593192405</v>
      </c>
      <c r="AY289" s="252">
        <f t="shared" ref="AY289" si="1828">AK289/SUM(AK282:AK293)*AR293</f>
        <v>26642.250689781693</v>
      </c>
    </row>
    <row r="290" spans="31:59">
      <c r="AE290" s="165">
        <v>37591</v>
      </c>
      <c r="AF290" s="277">
        <v>1637679</v>
      </c>
      <c r="AG290" s="277">
        <v>669748</v>
      </c>
      <c r="AH290" s="277">
        <v>543822</v>
      </c>
      <c r="AI290" s="277">
        <v>74984</v>
      </c>
      <c r="AJ290" s="277">
        <v>314755</v>
      </c>
      <c r="AK290" s="277">
        <v>2520966</v>
      </c>
      <c r="AT290" s="252">
        <f t="shared" ref="AT290" si="1829">AF290/SUM(AF282:AF293)*AM293</f>
        <v>18150.042169341759</v>
      </c>
      <c r="AU290" s="252">
        <f t="shared" ref="AU290" si="1830">AG290/SUM(AG282:AG293)*AN293</f>
        <v>8008.9380777646393</v>
      </c>
      <c r="AV290" s="252">
        <f t="shared" ref="AV290" si="1831">AH290/SUM(AH282:AH293)*AO293</f>
        <v>5633.5767184751849</v>
      </c>
      <c r="AW290" s="252">
        <f t="shared" ref="AW290" si="1832">AI290/SUM(AI282:AI293)*AP293</f>
        <v>859.3850604038031</v>
      </c>
      <c r="AX290" s="252">
        <f t="shared" ref="AX290" si="1833">AJ290/SUM(AJ282:AJ293)*AQ293</f>
        <v>3037.9962648547048</v>
      </c>
      <c r="AY290" s="252">
        <f t="shared" ref="AY290" si="1834">AK290/SUM(AK282:AK293)*AR293</f>
        <v>28055.459173600531</v>
      </c>
      <c r="BA290" s="252">
        <f t="shared" ref="BA290" si="1835">SUM(AT279:AT290)</f>
        <v>202702.63081743242</v>
      </c>
      <c r="BB290" s="252">
        <f t="shared" ref="BB290" si="1836">SUM(AU279:AU290)</f>
        <v>90025.963727167808</v>
      </c>
      <c r="BC290" s="252">
        <f t="shared" ref="BC290" si="1837">SUM(AV279:AV290)</f>
        <v>62842.394694031776</v>
      </c>
      <c r="BD290" s="252">
        <f t="shared" ref="BD290" si="1838">SUM(AW279:AW290)</f>
        <v>10173.553061078926</v>
      </c>
      <c r="BE290" s="252">
        <f t="shared" ref="BE290" si="1839">SUM(AX279:AX290)</f>
        <v>29690.450854777802</v>
      </c>
      <c r="BF290" s="252">
        <f t="shared" ref="BF290" si="1840">SUM(AY279:AY290)</f>
        <v>270958.53636404313</v>
      </c>
      <c r="BG290" s="252">
        <f t="shared" ref="BG290" si="1841">SUM(BA290:BF290)</f>
        <v>666393.52951853187</v>
      </c>
    </row>
    <row r="291" spans="31:59">
      <c r="AE291" s="165">
        <v>37622</v>
      </c>
      <c r="AF291" s="277">
        <v>1278041</v>
      </c>
      <c r="AG291" s="277">
        <v>534604</v>
      </c>
      <c r="AH291" s="277">
        <v>444683</v>
      </c>
      <c r="AI291" s="277">
        <v>59265</v>
      </c>
      <c r="AJ291" s="277">
        <v>254284</v>
      </c>
      <c r="AK291" s="277">
        <v>1986705</v>
      </c>
      <c r="AT291" s="252">
        <f t="shared" ref="AT291" si="1842">AF291/SUM(AF282:AF293)*AM293</f>
        <v>14164.251995749908</v>
      </c>
      <c r="AU291" s="252">
        <f t="shared" ref="AU291" si="1843">AG291/SUM(AG282:AG293)*AN293</f>
        <v>6392.8676638456354</v>
      </c>
      <c r="AV291" s="252">
        <f t="shared" ref="AV291" si="1844">AH291/SUM(AH282:AH293)*AO293</f>
        <v>4606.573099105407</v>
      </c>
      <c r="AW291" s="252">
        <f t="shared" ref="AW291" si="1845">AI291/SUM(AI282:AI293)*AP293</f>
        <v>679.23097733958423</v>
      </c>
      <c r="AX291" s="252">
        <f t="shared" ref="AX291" si="1846">AJ291/SUM(AJ282:AJ293)*AQ293</f>
        <v>2454.333822218277</v>
      </c>
      <c r="AY291" s="252">
        <f t="shared" ref="AY291" si="1847">AK291/SUM(AK282:AK293)*AR293</f>
        <v>22109.747222885213</v>
      </c>
    </row>
    <row r="292" spans="31:59">
      <c r="AE292" s="165">
        <v>37653</v>
      </c>
      <c r="AF292" s="277">
        <v>1355927</v>
      </c>
      <c r="AG292" s="277">
        <v>586711</v>
      </c>
      <c r="AH292" s="277">
        <v>483929</v>
      </c>
      <c r="AI292" s="277">
        <v>65488</v>
      </c>
      <c r="AJ292" s="277">
        <v>265023</v>
      </c>
      <c r="AK292" s="277">
        <v>2014547</v>
      </c>
      <c r="AT292" s="252">
        <f t="shared" ref="AT292" si="1848">AF292/SUM(AF282:AF293)*AM293</f>
        <v>15027.445689020293</v>
      </c>
      <c r="AU292" s="252">
        <f t="shared" ref="AU292" si="1849">AG292/SUM(AG282:AG293)*AN293</f>
        <v>7015.9702881432549</v>
      </c>
      <c r="AV292" s="252">
        <f t="shared" ref="AV292" si="1850">AH292/SUM(AH282:AH293)*AO293</f>
        <v>5013.1314065907181</v>
      </c>
      <c r="AW292" s="252">
        <f t="shared" ref="AW292" si="1851">AI292/SUM(AI282:AI293)*AP293</f>
        <v>750.55223561992227</v>
      </c>
      <c r="AX292" s="252">
        <f t="shared" ref="AX292" si="1852">AJ292/SUM(AJ282:AJ293)*AQ293</f>
        <v>2557.986002130509</v>
      </c>
      <c r="AY292" s="252">
        <f t="shared" ref="AY292" si="1853">AK292/SUM(AK282:AK293)*AR293</f>
        <v>22419.596738630917</v>
      </c>
    </row>
    <row r="293" spans="31:59">
      <c r="AE293" s="165">
        <v>37681</v>
      </c>
      <c r="AF293" s="277">
        <v>1426703</v>
      </c>
      <c r="AG293" s="277">
        <v>618540</v>
      </c>
      <c r="AH293" s="277">
        <v>641108</v>
      </c>
      <c r="AI293" s="277">
        <v>66975</v>
      </c>
      <c r="AJ293" s="277">
        <v>272222</v>
      </c>
      <c r="AK293" s="277">
        <v>2233432</v>
      </c>
      <c r="AM293" s="277">
        <v>202375</v>
      </c>
      <c r="AN293" s="277">
        <v>88667</v>
      </c>
      <c r="AO293" s="277">
        <v>61402</v>
      </c>
      <c r="AP293" s="277">
        <v>10040</v>
      </c>
      <c r="AQ293" s="277">
        <v>30009</v>
      </c>
      <c r="AR293" s="277">
        <v>261393</v>
      </c>
      <c r="AT293" s="252">
        <f t="shared" ref="AT293" si="1854">AF293/SUM(AF282:AF293)*AM293</f>
        <v>15811.840789999991</v>
      </c>
      <c r="AU293" s="252">
        <f t="shared" ref="AU293" si="1855">AG293/SUM(AG282:AG293)*AN293</f>
        <v>7396.585818278726</v>
      </c>
      <c r="AV293" s="252">
        <f t="shared" ref="AV293" si="1856">AH293/SUM(AH282:AH293)*AO293</f>
        <v>6641.3846862175287</v>
      </c>
      <c r="AW293" s="252">
        <f t="shared" ref="AW293" si="1857">AI293/SUM(AI282:AI293)*AP293</f>
        <v>767.59461245792045</v>
      </c>
      <c r="AX293" s="252">
        <f t="shared" ref="AX293" si="1858">AJ293/SUM(AJ282:AJ293)*AQ293</f>
        <v>2627.4703156781543</v>
      </c>
      <c r="AY293" s="252">
        <f t="shared" ref="AY293" si="1859">AK293/SUM(AK282:AK293)*AR293</f>
        <v>24855.535653004834</v>
      </c>
      <c r="AZ293" s="25">
        <f t="shared" ref="AZ293" si="1860">SUM(AT282:AY293)-SUM(AM293:AR293)</f>
        <v>0</v>
      </c>
    </row>
    <row r="294" spans="31:59">
      <c r="AE294" s="165">
        <v>37712</v>
      </c>
      <c r="AF294" s="277">
        <v>1395468</v>
      </c>
      <c r="AG294" s="277">
        <v>584244</v>
      </c>
      <c r="AH294" s="277">
        <v>486725</v>
      </c>
      <c r="AI294" s="277">
        <v>63972</v>
      </c>
      <c r="AJ294" s="277">
        <v>237185</v>
      </c>
      <c r="AK294" s="277">
        <v>1623496</v>
      </c>
      <c r="AT294" s="252">
        <f t="shared" ref="AT294" si="1861">AF294/SUM(AF294:AF305)*AM305</f>
        <v>15362.307434515867</v>
      </c>
      <c r="AU294" s="252">
        <f t="shared" ref="AU294" si="1862">AG294/SUM(AG294:AG305)*AN305</f>
        <v>6784.6276281065975</v>
      </c>
      <c r="AV294" s="252">
        <f t="shared" ref="AV294" si="1863">AH294/SUM(AH294:AH305)*AO305</f>
        <v>4429.7679308132456</v>
      </c>
      <c r="AW294" s="252">
        <f t="shared" ref="AW294" si="1864">AI294/SUM(AI294:AI305)*AP305</f>
        <v>785.16174473569981</v>
      </c>
      <c r="AX294" s="252">
        <f t="shared" ref="AX294" si="1865">AJ294/SUM(AJ294:AJ305)*AQ305</f>
        <v>2170.9406627676549</v>
      </c>
      <c r="AY294" s="252">
        <f t="shared" ref="AY294" si="1866">AK294/SUM(AK294:AK305)*AR305</f>
        <v>19128.389621809318</v>
      </c>
    </row>
    <row r="295" spans="31:59">
      <c r="AE295" s="165">
        <v>37742</v>
      </c>
      <c r="AF295" s="277">
        <v>1431128</v>
      </c>
      <c r="AG295" s="277">
        <v>578067</v>
      </c>
      <c r="AH295" s="277">
        <v>459805</v>
      </c>
      <c r="AI295" s="277">
        <v>62316</v>
      </c>
      <c r="AJ295" s="277">
        <v>219423</v>
      </c>
      <c r="AK295" s="277">
        <v>1137336</v>
      </c>
      <c r="AT295" s="252">
        <f t="shared" ref="AT295" si="1867">AF295/SUM(AF294:AF305)*AM305</f>
        <v>15754.878158541667</v>
      </c>
      <c r="AU295" s="252">
        <f t="shared" ref="AU295" si="1868">AG295/SUM(AG294:AG305)*AN305</f>
        <v>6712.8962198956197</v>
      </c>
      <c r="AV295" s="252">
        <f t="shared" ref="AV295" si="1869">AH295/SUM(AH294:AH305)*AO305</f>
        <v>4184.7643811753742</v>
      </c>
      <c r="AW295" s="252">
        <f t="shared" ref="AW295" si="1870">AI295/SUM(AI294:AI305)*AP305</f>
        <v>764.83679242402729</v>
      </c>
      <c r="AX295" s="252">
        <f t="shared" ref="AX295" si="1871">AJ295/SUM(AJ294:AJ305)*AQ305</f>
        <v>2008.3660983893039</v>
      </c>
      <c r="AY295" s="252">
        <f t="shared" ref="AY295" si="1872">AK295/SUM(AK294:AK305)*AR305</f>
        <v>13400.344773815346</v>
      </c>
    </row>
    <row r="296" spans="31:59">
      <c r="AE296" s="165">
        <v>37773</v>
      </c>
      <c r="AF296" s="277">
        <v>1543445</v>
      </c>
      <c r="AG296" s="277">
        <v>605177</v>
      </c>
      <c r="AH296" s="277">
        <v>487862</v>
      </c>
      <c r="AI296" s="277">
        <v>62142</v>
      </c>
      <c r="AJ296" s="277">
        <v>221100</v>
      </c>
      <c r="AK296" s="277">
        <v>1229797</v>
      </c>
      <c r="AT296" s="252">
        <f t="shared" ref="AT296" si="1873">AF296/SUM(AF294:AF305)*AM305</f>
        <v>16991.343834660733</v>
      </c>
      <c r="AU296" s="252">
        <f t="shared" ref="AU296" si="1874">AG296/SUM(AG294:AG305)*AN305</f>
        <v>7027.7154649336007</v>
      </c>
      <c r="AV296" s="252">
        <f t="shared" ref="AV296" si="1875">AH296/SUM(AH294:AH305)*AO305</f>
        <v>4440.1159633518137</v>
      </c>
      <c r="AW296" s="252">
        <f t="shared" ref="AW296" si="1876">AI296/SUM(AI294:AI305)*AP305</f>
        <v>762.70119960867032</v>
      </c>
      <c r="AX296" s="252">
        <f t="shared" ref="AX296" si="1877">AJ296/SUM(AJ294:AJ305)*AQ305</f>
        <v>2023.7155829328517</v>
      </c>
      <c r="AY296" s="252">
        <f t="shared" ref="AY296" si="1878">AK296/SUM(AK294:AK305)*AR305</f>
        <v>14489.740764210219</v>
      </c>
    </row>
    <row r="297" spans="31:59">
      <c r="AE297" s="165">
        <v>37803</v>
      </c>
      <c r="AF297" s="277">
        <v>1638889</v>
      </c>
      <c r="AG297" s="277">
        <v>627863</v>
      </c>
      <c r="AH297" s="277">
        <v>509340</v>
      </c>
      <c r="AI297" s="277">
        <v>63286</v>
      </c>
      <c r="AJ297" s="277">
        <v>232619</v>
      </c>
      <c r="AK297" s="277">
        <v>1317160</v>
      </c>
      <c r="AT297" s="252">
        <f t="shared" ref="AT297" si="1879">AF297/SUM(AF294:AF305)*AM305</f>
        <v>18042.059487602924</v>
      </c>
      <c r="AU297" s="252">
        <f t="shared" ref="AU297" si="1880">AG297/SUM(AG294:AG305)*AN305</f>
        <v>7291.1602968381239</v>
      </c>
      <c r="AV297" s="252">
        <f t="shared" ref="AV297" si="1881">AH297/SUM(AH294:AH305)*AO305</f>
        <v>4635.5909350874072</v>
      </c>
      <c r="AW297" s="252">
        <f t="shared" ref="AW297" si="1882">AI297/SUM(AI294:AI305)*AP305</f>
        <v>776.74210869354556</v>
      </c>
      <c r="AX297" s="252">
        <f t="shared" ref="AX297" si="1883">AJ297/SUM(AJ294:AJ305)*AQ305</f>
        <v>2129.1483273914837</v>
      </c>
      <c r="AY297" s="252">
        <f t="shared" ref="AY297" si="1884">AK297/SUM(AK294:AK305)*AR305</f>
        <v>15519.070988941372</v>
      </c>
    </row>
    <row r="298" spans="31:59">
      <c r="AE298" s="165">
        <v>37834</v>
      </c>
      <c r="AF298" s="277">
        <v>1659681</v>
      </c>
      <c r="AG298" s="277">
        <v>647015</v>
      </c>
      <c r="AH298" s="277">
        <v>497838</v>
      </c>
      <c r="AI298" s="277">
        <v>64480</v>
      </c>
      <c r="AJ298" s="277">
        <v>246659</v>
      </c>
      <c r="AK298" s="277">
        <v>1487628</v>
      </c>
      <c r="AT298" s="252">
        <f t="shared" ref="AT298" si="1885">AF298/SUM(AF294:AF305)*AM305</f>
        <v>18270.952659053972</v>
      </c>
      <c r="AU298" s="252">
        <f t="shared" ref="AU298" si="1886">AG298/SUM(AG294:AG305)*AN305</f>
        <v>7513.5659840741027</v>
      </c>
      <c r="AV298" s="252">
        <f t="shared" ref="AV298" si="1887">AH298/SUM(AH294:AH305)*AO305</f>
        <v>4530.9092550006771</v>
      </c>
      <c r="AW298" s="252">
        <f t="shared" ref="AW298" si="1888">AI298/SUM(AI294:AI305)*AP305</f>
        <v>791.39669387478773</v>
      </c>
      <c r="AX298" s="252">
        <f t="shared" ref="AX298" si="1889">AJ298/SUM(AJ294:AJ305)*AQ305</f>
        <v>2257.655639849092</v>
      </c>
      <c r="AY298" s="252">
        <f t="shared" ref="AY298" si="1890">AK298/SUM(AK294:AK305)*AR305</f>
        <v>17527.562738875211</v>
      </c>
    </row>
    <row r="299" spans="31:59">
      <c r="AE299" s="165">
        <v>37865</v>
      </c>
      <c r="AF299" s="277">
        <v>1658679</v>
      </c>
      <c r="AG299" s="277">
        <v>663482</v>
      </c>
      <c r="AH299" s="277">
        <v>528232</v>
      </c>
      <c r="AI299" s="277">
        <v>65902</v>
      </c>
      <c r="AJ299" s="277">
        <v>262475</v>
      </c>
      <c r="AK299" s="277">
        <v>1675684</v>
      </c>
      <c r="AT299" s="252">
        <f t="shared" ref="AT299" si="1891">AF299/SUM(AF294:AF305)*AM305</f>
        <v>18259.92192810967</v>
      </c>
      <c r="AU299" s="252">
        <f t="shared" ref="AU299" si="1892">AG299/SUM(AG294:AG305)*AN305</f>
        <v>7704.7916759973941</v>
      </c>
      <c r="AV299" s="252">
        <f t="shared" ref="AV299" si="1893">AH299/SUM(AH294:AH305)*AO305</f>
        <v>4807.5302760888435</v>
      </c>
      <c r="AW299" s="252">
        <f t="shared" ref="AW299" si="1894">AI299/SUM(AI294:AI305)*AP305</f>
        <v>808.84964205546316</v>
      </c>
      <c r="AX299" s="252">
        <f t="shared" ref="AX299" si="1895">AJ299/SUM(AJ294:AJ305)*AQ305</f>
        <v>2402.4185781560391</v>
      </c>
      <c r="AY299" s="252">
        <f t="shared" ref="AY299" si="1896">AK299/SUM(AK294:AK305)*AR305</f>
        <v>19743.28020212672</v>
      </c>
    </row>
    <row r="300" spans="31:59">
      <c r="AE300" s="165">
        <v>37895</v>
      </c>
      <c r="AF300" s="277">
        <v>1673506</v>
      </c>
      <c r="AG300" s="277">
        <v>671520</v>
      </c>
      <c r="AH300" s="277">
        <v>524617</v>
      </c>
      <c r="AI300" s="277">
        <v>68504</v>
      </c>
      <c r="AJ300" s="277">
        <v>276838</v>
      </c>
      <c r="AK300" s="277">
        <v>1937643</v>
      </c>
      <c r="AT300" s="252">
        <f t="shared" ref="AT300" si="1897">AF300/SUM(AF294:AF305)*AM305</f>
        <v>18423.148123430215</v>
      </c>
      <c r="AU300" s="252">
        <f t="shared" ref="AU300" si="1898">AG300/SUM(AG294:AG305)*AN305</f>
        <v>7798.1342466951173</v>
      </c>
      <c r="AV300" s="252">
        <f t="shared" ref="AV300" si="1899">AH300/SUM(AH294:AH305)*AO305</f>
        <v>4774.6295393897008</v>
      </c>
      <c r="AW300" s="252">
        <f t="shared" ref="AW300" si="1900">AI300/SUM(AI294:AI305)*AP305</f>
        <v>840.785346110398</v>
      </c>
      <c r="AX300" s="252">
        <f t="shared" ref="AX300" si="1901">AJ300/SUM(AJ294:AJ305)*AQ305</f>
        <v>2533.8822910355716</v>
      </c>
      <c r="AY300" s="252">
        <f t="shared" ref="AY300" si="1902">AK300/SUM(AK294:AK305)*AR305</f>
        <v>22829.739187513533</v>
      </c>
    </row>
    <row r="301" spans="31:59">
      <c r="AE301" s="165">
        <v>37926</v>
      </c>
      <c r="AF301" s="277">
        <v>1620540</v>
      </c>
      <c r="AG301" s="277">
        <v>659995</v>
      </c>
      <c r="AH301" s="277">
        <v>512245</v>
      </c>
      <c r="AI301" s="277">
        <v>66732</v>
      </c>
      <c r="AJ301" s="277">
        <v>274880</v>
      </c>
      <c r="AK301" s="277">
        <v>2007565</v>
      </c>
      <c r="AT301" s="252">
        <f t="shared" ref="AT301" si="1903">AF301/SUM(AF294:AF305)*AM305</f>
        <v>17840.06060327456</v>
      </c>
      <c r="AU301" s="252">
        <f t="shared" ref="AU301" si="1904">AG301/SUM(AG294:AG305)*AN305</f>
        <v>7664.2983264050872</v>
      </c>
      <c r="AV301" s="252">
        <f t="shared" ref="AV301" si="1905">AH301/SUM(AH294:AH305)*AO305</f>
        <v>4662.0298396824301</v>
      </c>
      <c r="AW301" s="252">
        <f t="shared" ref="AW301" si="1906">AI301/SUM(AI294:AI305)*AP305</f>
        <v>819.03666525515405</v>
      </c>
      <c r="AX301" s="252">
        <f t="shared" ref="AX301" si="1907">AJ301/SUM(AJ294:AJ305)*AQ305</f>
        <v>2515.9608296543747</v>
      </c>
      <c r="AY301" s="252">
        <f t="shared" ref="AY301" si="1908">AK301/SUM(AK294:AK305)*AR305</f>
        <v>23653.575685500688</v>
      </c>
    </row>
    <row r="302" spans="31:59">
      <c r="AE302" s="165">
        <v>37956</v>
      </c>
      <c r="AF302" s="277">
        <v>1598131</v>
      </c>
      <c r="AG302" s="277">
        <v>657932</v>
      </c>
      <c r="AH302" s="277">
        <v>533672</v>
      </c>
      <c r="AI302" s="277">
        <v>66318</v>
      </c>
      <c r="AJ302" s="277">
        <v>271353</v>
      </c>
      <c r="AK302" s="277">
        <v>2150478</v>
      </c>
      <c r="AT302" s="252">
        <f t="shared" ref="AT302" si="1909">AF302/SUM(AF294:AF305)*AM305</f>
        <v>17593.366342066089</v>
      </c>
      <c r="AU302" s="252">
        <f t="shared" ref="AU302" si="1910">AG302/SUM(AG294:AG305)*AN305</f>
        <v>7640.3414063566415</v>
      </c>
      <c r="AV302" s="252">
        <f t="shared" ref="AV302" si="1911">AH302/SUM(AH294:AH305)*AO305</f>
        <v>4857.0406516471649</v>
      </c>
      <c r="AW302" s="252">
        <f t="shared" ref="AW302" si="1912">AI302/SUM(AI294:AI305)*AP305</f>
        <v>813.95542717723595</v>
      </c>
      <c r="AX302" s="252">
        <f t="shared" ref="AX302" si="1913">AJ302/SUM(AJ294:AJ305)*AQ305</f>
        <v>2483.6784015177664</v>
      </c>
      <c r="AY302" s="252">
        <f t="shared" ref="AY302" si="1914">AK302/SUM(AK294:AK305)*AR305</f>
        <v>25337.408319533439</v>
      </c>
      <c r="BA302" s="252">
        <f t="shared" ref="BA302" si="1915">SUM(AT291:AT302)</f>
        <v>201541.57704602586</v>
      </c>
      <c r="BB302" s="252">
        <f t="shared" ref="BB302" si="1916">SUM(AU291:AU302)</f>
        <v>86942.955019569912</v>
      </c>
      <c r="BC302" s="252">
        <f t="shared" ref="BC302" si="1917">SUM(AV291:AV302)</f>
        <v>57583.46796415031</v>
      </c>
      <c r="BD302" s="252">
        <f t="shared" ref="BD302" si="1918">SUM(AW291:AW302)</f>
        <v>9360.8434453524096</v>
      </c>
      <c r="BE302" s="252">
        <f t="shared" ref="BE302" si="1919">SUM(AX291:AX302)</f>
        <v>28165.556551721071</v>
      </c>
      <c r="BF302" s="252">
        <f t="shared" ref="BF302" si="1920">SUM(AY291:AY302)</f>
        <v>241013.9918968468</v>
      </c>
      <c r="BG302" s="252">
        <f t="shared" ref="BG302" si="1921">SUM(BA302:BF302)</f>
        <v>624608.39192366635</v>
      </c>
    </row>
    <row r="303" spans="31:59">
      <c r="AE303" s="165">
        <v>37987</v>
      </c>
      <c r="AF303" s="277">
        <v>1237630</v>
      </c>
      <c r="AG303" s="277">
        <v>534165</v>
      </c>
      <c r="AH303" s="277">
        <v>417686</v>
      </c>
      <c r="AI303" s="277">
        <v>52770</v>
      </c>
      <c r="AJ303" s="277">
        <v>213381</v>
      </c>
      <c r="AK303" s="277">
        <v>1732804</v>
      </c>
      <c r="AT303" s="252">
        <f t="shared" ref="AT303" si="1922">AF303/SUM(AF294:AF305)*AM305</f>
        <v>13624.714110377217</v>
      </c>
      <c r="AU303" s="252">
        <f t="shared" ref="AU303" si="1923">AG303/SUM(AG294:AG305)*AN305</f>
        <v>6203.0771680454754</v>
      </c>
      <c r="AV303" s="252">
        <f t="shared" ref="AV303" si="1924">AH303/SUM(AH294:AH305)*AO305</f>
        <v>3801.4321186494658</v>
      </c>
      <c r="AW303" s="252">
        <f t="shared" ref="AW303" si="1925">AI303/SUM(AI294:AI305)*AP305</f>
        <v>647.67375210565376</v>
      </c>
      <c r="AX303" s="252">
        <f t="shared" ref="AX303" si="1926">AJ303/SUM(AJ294:AJ305)*AQ305</f>
        <v>1953.0640199086154</v>
      </c>
      <c r="AY303" s="252">
        <f t="shared" ref="AY303" si="1927">AK303/SUM(AK294:AK305)*AR305</f>
        <v>20416.280699323972</v>
      </c>
    </row>
    <row r="304" spans="31:59">
      <c r="AE304" s="165">
        <v>38018</v>
      </c>
      <c r="AF304" s="277">
        <v>1336582</v>
      </c>
      <c r="AG304" s="277">
        <v>598347</v>
      </c>
      <c r="AH304" s="277">
        <v>475270</v>
      </c>
      <c r="AI304" s="277">
        <v>56832</v>
      </c>
      <c r="AJ304" s="277">
        <v>223670</v>
      </c>
      <c r="AK304" s="277">
        <v>1750753</v>
      </c>
      <c r="AT304" s="252">
        <f t="shared" ref="AT304" si="1928">AF304/SUM(AF294:AF305)*AM305</f>
        <v>14714.048330337984</v>
      </c>
      <c r="AU304" s="252">
        <f t="shared" ref="AU304" si="1929">AG304/SUM(AG294:AG305)*AN305</f>
        <v>6948.4009889612871</v>
      </c>
      <c r="AV304" s="252">
        <f t="shared" ref="AV304" si="1930">AH304/SUM(AH294:AH305)*AO305</f>
        <v>4325.5140058094639</v>
      </c>
      <c r="AW304" s="252">
        <f t="shared" ref="AW304" si="1931">AI304/SUM(AI294:AI305)*AP305</f>
        <v>697.52879817450275</v>
      </c>
      <c r="AX304" s="252">
        <f t="shared" ref="AX304" si="1932">AJ304/SUM(AJ294:AJ305)*AQ305</f>
        <v>2047.2386451134823</v>
      </c>
      <c r="AY304" s="252">
        <f t="shared" ref="AY304" si="1933">AK304/SUM(AK294:AK305)*AR305</f>
        <v>20627.75979463548</v>
      </c>
    </row>
    <row r="305" spans="31:59">
      <c r="AE305" s="165">
        <v>38047</v>
      </c>
      <c r="AF305" s="277">
        <v>1435699</v>
      </c>
      <c r="AG305" s="277">
        <v>651960</v>
      </c>
      <c r="AH305" s="277">
        <v>595492</v>
      </c>
      <c r="AI305" s="277">
        <v>60075</v>
      </c>
      <c r="AJ305" s="277">
        <v>220468</v>
      </c>
      <c r="AK305" s="277">
        <v>1901496</v>
      </c>
      <c r="AM305" s="277">
        <v>200682</v>
      </c>
      <c r="AN305" s="277">
        <v>86860</v>
      </c>
      <c r="AO305" s="277">
        <v>54869</v>
      </c>
      <c r="AP305" s="277">
        <v>9246</v>
      </c>
      <c r="AQ305" s="277">
        <v>26544</v>
      </c>
      <c r="AR305" s="277">
        <v>235077</v>
      </c>
      <c r="AT305" s="252">
        <f t="shared" ref="AT305" si="1934">AF305/SUM(AF294:AF305)*AM305</f>
        <v>15805.198988029102</v>
      </c>
      <c r="AU305" s="252">
        <f t="shared" ref="AU305" si="1935">AG305/SUM(AG294:AG305)*AN305</f>
        <v>7570.9905936909536</v>
      </c>
      <c r="AV305" s="252">
        <f t="shared" ref="AV305" si="1936">AH305/SUM(AH294:AH305)*AO305</f>
        <v>5419.6751033044147</v>
      </c>
      <c r="AW305" s="252">
        <f t="shared" ref="AW305" si="1937">AI305/SUM(AI294:AI305)*AP305</f>
        <v>737.33182978486161</v>
      </c>
      <c r="AX305" s="252">
        <f t="shared" ref="AX305" si="1938">AJ305/SUM(AJ294:AJ305)*AQ305</f>
        <v>2017.9309232837629</v>
      </c>
      <c r="AY305" s="252">
        <f t="shared" ref="AY305" si="1939">AK305/SUM(AK294:AK305)*AR305</f>
        <v>22403.847223714703</v>
      </c>
      <c r="AZ305" s="25">
        <f t="shared" ref="AZ305" si="1940">SUM(AT294:AY305)-SUM(AM305:AR305)</f>
        <v>0</v>
      </c>
    </row>
    <row r="306" spans="31:59">
      <c r="AE306" s="165">
        <v>38078</v>
      </c>
      <c r="AF306" s="277">
        <v>1410439</v>
      </c>
      <c r="AG306" s="277">
        <v>632909</v>
      </c>
      <c r="AH306" s="277">
        <v>489770</v>
      </c>
      <c r="AI306" s="277">
        <v>55870</v>
      </c>
      <c r="AJ306" s="277">
        <v>189563</v>
      </c>
      <c r="AK306" s="277">
        <v>1370622</v>
      </c>
      <c r="AT306" s="252">
        <f t="shared" ref="AT306" si="1941">AF306/SUM(AF306:AF317)*AM317</f>
        <v>15442.96286146061</v>
      </c>
      <c r="AU306" s="252">
        <f t="shared" ref="AU306" si="1942">AG306/SUM(AG306:AG317)*AN317</f>
        <v>7641.0488439052424</v>
      </c>
      <c r="AV306" s="252">
        <f t="shared" ref="AV306" si="1943">AH306/SUM(AH306:AH317)*AO317</f>
        <v>4653.5186723007755</v>
      </c>
      <c r="AW306" s="252">
        <f t="shared" ref="AW306" si="1944">AI306/SUM(AI306:AI317)*AP317</f>
        <v>614.96223765833361</v>
      </c>
      <c r="AX306" s="252">
        <f t="shared" ref="AX306" si="1945">AJ306/SUM(AJ306:AJ317)*AQ317</f>
        <v>1586.2810377490953</v>
      </c>
      <c r="AY306" s="252">
        <f t="shared" ref="AY306" si="1946">AK306/SUM(AK306:AK317)*AR317</f>
        <v>16705.632202250486</v>
      </c>
    </row>
    <row r="307" spans="31:59">
      <c r="AE307" s="165">
        <v>38108</v>
      </c>
      <c r="AF307" s="277">
        <v>1450222</v>
      </c>
      <c r="AG307" s="277">
        <v>633510</v>
      </c>
      <c r="AH307" s="277">
        <v>412766</v>
      </c>
      <c r="AI307" s="277">
        <v>53967</v>
      </c>
      <c r="AJ307" s="277">
        <v>173754</v>
      </c>
      <c r="AK307" s="277">
        <v>917496</v>
      </c>
      <c r="AT307" s="252">
        <f t="shared" ref="AT307" si="1947">AF307/SUM(AF306:AF317)*AM317</f>
        <v>15878.5487971285</v>
      </c>
      <c r="AU307" s="252">
        <f t="shared" ref="AU307" si="1948">AG307/SUM(AG306:AG317)*AN317</f>
        <v>7648.3046584934173</v>
      </c>
      <c r="AV307" s="252">
        <f t="shared" ref="AV307" si="1949">AH307/SUM(AH306:AH317)*AO317</f>
        <v>3921.8700375500785</v>
      </c>
      <c r="AW307" s="252">
        <f t="shared" ref="AW307" si="1950">AI307/SUM(AI306:AI317)*AP317</f>
        <v>594.01587756769811</v>
      </c>
      <c r="AX307" s="252">
        <f t="shared" ref="AX307" si="1951">AJ307/SUM(AJ306:AJ317)*AQ317</f>
        <v>1453.9898367986173</v>
      </c>
      <c r="AY307" s="252">
        <f t="shared" ref="AY307" si="1952">AK307/SUM(AK306:AK317)*AR317</f>
        <v>11182.770102213457</v>
      </c>
    </row>
    <row r="308" spans="31:59">
      <c r="AE308" s="165">
        <v>38139</v>
      </c>
      <c r="AF308" s="277">
        <v>1544235</v>
      </c>
      <c r="AG308" s="277">
        <v>662046</v>
      </c>
      <c r="AH308" s="277">
        <v>432709</v>
      </c>
      <c r="AI308" s="277">
        <v>53071</v>
      </c>
      <c r="AJ308" s="277">
        <v>174591</v>
      </c>
      <c r="AK308" s="277">
        <v>992384</v>
      </c>
      <c r="AT308" s="252">
        <f t="shared" ref="AT308" si="1953">AF308/SUM(AF306:AF317)*AM317</f>
        <v>16907.901550061804</v>
      </c>
      <c r="AU308" s="252">
        <f t="shared" ref="AU308" si="1954">AG308/SUM(AG306:AG317)*AN317</f>
        <v>7992.8170130494127</v>
      </c>
      <c r="AV308" s="252">
        <f t="shared" ref="AV308" si="1955">AH308/SUM(AH306:AH317)*AO317</f>
        <v>4111.3571904620458</v>
      </c>
      <c r="AW308" s="252">
        <f t="shared" ref="AW308" si="1956">AI308/SUM(AI306:AI317)*AP317</f>
        <v>584.15358716243816</v>
      </c>
      <c r="AX308" s="252">
        <f t="shared" ref="AX308" si="1957">AJ308/SUM(AJ306:AJ317)*AQ317</f>
        <v>1460.9939316303937</v>
      </c>
      <c r="AY308" s="252">
        <f t="shared" ref="AY308" si="1958">AK308/SUM(AK306:AK317)*AR317</f>
        <v>12095.531888002779</v>
      </c>
    </row>
    <row r="309" spans="31:59">
      <c r="AE309" s="165">
        <v>38169</v>
      </c>
      <c r="AF309" s="277">
        <v>1636542</v>
      </c>
      <c r="AG309" s="277">
        <v>699078</v>
      </c>
      <c r="AH309" s="277">
        <v>456114</v>
      </c>
      <c r="AI309" s="277">
        <v>55012</v>
      </c>
      <c r="AJ309" s="277">
        <v>181681</v>
      </c>
      <c r="AK309" s="277">
        <v>1088889</v>
      </c>
      <c r="AT309" s="252">
        <f t="shared" ref="AT309" si="1959">AF309/SUM(AF306:AF317)*AM317</f>
        <v>17918.5752288617</v>
      </c>
      <c r="AU309" s="252">
        <f t="shared" ref="AU309" si="1960">AG309/SUM(AG306:AG317)*AN317</f>
        <v>8439.9007498701849</v>
      </c>
      <c r="AV309" s="252">
        <f t="shared" ref="AV309" si="1961">AH309/SUM(AH306:AH317)*AO317</f>
        <v>4333.7383173689605</v>
      </c>
      <c r="AW309" s="252">
        <f t="shared" ref="AW309" si="1962">AI309/SUM(AI306:AI317)*AP317</f>
        <v>605.51821403365398</v>
      </c>
      <c r="AX309" s="252">
        <f t="shared" ref="AX309" si="1963">AJ309/SUM(AJ306:AJ317)*AQ317</f>
        <v>1520.3237193929904</v>
      </c>
      <c r="AY309" s="252">
        <f t="shared" ref="AY309" si="1964">AK309/SUM(AK306:AK317)*AR317</f>
        <v>13271.769417882049</v>
      </c>
    </row>
    <row r="310" spans="31:59">
      <c r="AE310" s="165">
        <v>38200</v>
      </c>
      <c r="AF310" s="277">
        <v>1696714</v>
      </c>
      <c r="AG310" s="277">
        <v>721391</v>
      </c>
      <c r="AH310" s="277">
        <v>449895</v>
      </c>
      <c r="AI310" s="277">
        <v>57924</v>
      </c>
      <c r="AJ310" s="277">
        <v>192244</v>
      </c>
      <c r="AK310" s="277">
        <v>1240298</v>
      </c>
      <c r="AT310" s="252">
        <f t="shared" ref="AT310" si="1965">AF310/SUM(AF306:AF317)*AM317</f>
        <v>18577.401283231869</v>
      </c>
      <c r="AU310" s="252">
        <f t="shared" ref="AU310" si="1966">AG310/SUM(AG306:AG317)*AN317</f>
        <v>8709.2834302461288</v>
      </c>
      <c r="AV310" s="252">
        <f t="shared" ref="AV310" si="1967">AH310/SUM(AH306:AH317)*AO317</f>
        <v>4274.6488822809833</v>
      </c>
      <c r="AW310" s="252">
        <f t="shared" ref="AW310" si="1968">AI310/SUM(AI306:AI317)*AP317</f>
        <v>637.57065785074849</v>
      </c>
      <c r="AX310" s="252">
        <f t="shared" ref="AX310" si="1969">AJ310/SUM(AJ306:AJ317)*AQ317</f>
        <v>1608.7158982556571</v>
      </c>
      <c r="AY310" s="252">
        <f t="shared" ref="AY310" si="1970">AK310/SUM(AK306:AK317)*AR317</f>
        <v>15117.196578769985</v>
      </c>
    </row>
    <row r="311" spans="31:59">
      <c r="AE311" s="165">
        <v>38231</v>
      </c>
      <c r="AF311" s="277">
        <v>1716314</v>
      </c>
      <c r="AG311" s="277">
        <v>734735</v>
      </c>
      <c r="AH311" s="277">
        <v>482278</v>
      </c>
      <c r="AI311" s="277">
        <v>60500</v>
      </c>
      <c r="AJ311" s="277">
        <v>202795</v>
      </c>
      <c r="AK311" s="277">
        <v>1455511</v>
      </c>
      <c r="AT311" s="252">
        <f t="shared" ref="AT311" si="1971">AF311/SUM(AF306:AF317)*AM317</f>
        <v>18792.002603873621</v>
      </c>
      <c r="AU311" s="252">
        <f t="shared" ref="AU311" si="1972">AG311/SUM(AG306:AG317)*AN317</f>
        <v>8870.3842453286634</v>
      </c>
      <c r="AV311" s="252">
        <f t="shared" ref="AV311" si="1973">AH311/SUM(AH306:AH317)*AO317</f>
        <v>4582.3339082423854</v>
      </c>
      <c r="AW311" s="252">
        <f t="shared" ref="AW311" si="1974">AI311/SUM(AI306:AI317)*AP317</f>
        <v>665.92474276587052</v>
      </c>
      <c r="AX311" s="252">
        <f t="shared" ref="AX311" si="1975">AJ311/SUM(AJ306:AJ317)*AQ317</f>
        <v>1697.007659988119</v>
      </c>
      <c r="AY311" s="252">
        <f t="shared" ref="AY311" si="1976">AK311/SUM(AK306:AK317)*AR317</f>
        <v>17740.289760655971</v>
      </c>
    </row>
    <row r="312" spans="31:59">
      <c r="AE312" s="165">
        <v>38261</v>
      </c>
      <c r="AF312" s="277">
        <v>1719200</v>
      </c>
      <c r="AG312" s="277">
        <v>754085</v>
      </c>
      <c r="AH312" s="277">
        <v>495831</v>
      </c>
      <c r="AI312" s="277">
        <v>62960</v>
      </c>
      <c r="AJ312" s="277">
        <v>217965</v>
      </c>
      <c r="AK312" s="277">
        <v>1675705</v>
      </c>
      <c r="AT312" s="252">
        <f t="shared" ref="AT312" si="1977">AF312/SUM(AF306:AF317)*AM317</f>
        <v>18823.601553433418</v>
      </c>
      <c r="AU312" s="252">
        <f t="shared" ref="AU312" si="1978">AG312/SUM(AG306:AG317)*AN317</f>
        <v>9103.9949146817071</v>
      </c>
      <c r="AV312" s="252">
        <f t="shared" ref="AV312" si="1979">AH312/SUM(AH306:AH317)*AO317</f>
        <v>4711.1068803837834</v>
      </c>
      <c r="AW312" s="252">
        <f t="shared" ref="AW312" si="1980">AI312/SUM(AI306:AI317)*AP317</f>
        <v>693.00201329816866</v>
      </c>
      <c r="AX312" s="252">
        <f t="shared" ref="AX312" si="1981">AJ312/SUM(AJ306:AJ317)*AQ317</f>
        <v>1823.951648755198</v>
      </c>
      <c r="AY312" s="252">
        <f t="shared" ref="AY312" si="1982">AK312/SUM(AK306:AK317)*AR317</f>
        <v>20424.093155860734</v>
      </c>
    </row>
    <row r="313" spans="31:59">
      <c r="AE313" s="165">
        <v>38292</v>
      </c>
      <c r="AF313" s="277">
        <v>1665987</v>
      </c>
      <c r="AG313" s="277">
        <v>747348</v>
      </c>
      <c r="AH313" s="277">
        <v>486633</v>
      </c>
      <c r="AI313" s="277">
        <v>60841</v>
      </c>
      <c r="AJ313" s="277">
        <v>223150</v>
      </c>
      <c r="AK313" s="277">
        <v>1802543</v>
      </c>
      <c r="AT313" s="252">
        <f t="shared" ref="AT313" si="1983">AF313/SUM(AF306:AF317)*AM317</f>
        <v>18240.969916938044</v>
      </c>
      <c r="AU313" s="252">
        <f t="shared" ref="AU313" si="1984">AG313/SUM(AG306:AG317)*AN317</f>
        <v>9022.659768457861</v>
      </c>
      <c r="AV313" s="252">
        <f t="shared" ref="AV313" si="1985">AH313/SUM(AH306:AH317)*AO317</f>
        <v>4623.7126652464285</v>
      </c>
      <c r="AW313" s="252">
        <f t="shared" ref="AW313" si="1986">AI313/SUM(AI306:AI317)*AP317</f>
        <v>669.67813677055085</v>
      </c>
      <c r="AX313" s="252">
        <f t="shared" ref="AX313" si="1987">AJ313/SUM(AJ306:AJ317)*AQ317</f>
        <v>1867.340217097802</v>
      </c>
      <c r="AY313" s="252">
        <f t="shared" ref="AY313" si="1988">AK313/SUM(AK306:AK317)*AR317</f>
        <v>21970.04016186899</v>
      </c>
    </row>
    <row r="314" spans="31:59">
      <c r="AE314" s="165">
        <v>38322</v>
      </c>
      <c r="AF314" s="277">
        <v>1659879</v>
      </c>
      <c r="AG314" s="277">
        <v>746365</v>
      </c>
      <c r="AH314" s="277">
        <v>522112</v>
      </c>
      <c r="AI314" s="277">
        <v>62205</v>
      </c>
      <c r="AJ314" s="277">
        <v>230063</v>
      </c>
      <c r="AK314" s="277">
        <v>1919688</v>
      </c>
      <c r="AT314" s="252">
        <f t="shared" ref="AT314" si="1989">AF314/SUM(AF306:AF317)*AM317</f>
        <v>18174.093138036013</v>
      </c>
      <c r="AU314" s="252">
        <f t="shared" ref="AU314" si="1990">AG314/SUM(AG306:AG317)*AN317</f>
        <v>9010.7921049966681</v>
      </c>
      <c r="AV314" s="252">
        <f t="shared" ref="AV314" si="1991">AH314/SUM(AH306:AH317)*AO317</f>
        <v>4960.8141393558253</v>
      </c>
      <c r="AW314" s="252">
        <f t="shared" ref="AW314" si="1992">AI314/SUM(AI306:AI317)*AP317</f>
        <v>684.69171278927229</v>
      </c>
      <c r="AX314" s="252">
        <f t="shared" ref="AX314" si="1993">AJ314/SUM(AJ306:AJ317)*AQ317</f>
        <v>1925.1888521898795</v>
      </c>
      <c r="AY314" s="252">
        <f t="shared" ref="AY314" si="1994">AK314/SUM(AK306:AK317)*AR317</f>
        <v>23397.845409656224</v>
      </c>
      <c r="BA314" s="252">
        <f t="shared" ref="BA314" si="1995">SUM(AT303:AT314)</f>
        <v>202900.01836176991</v>
      </c>
      <c r="BB314" s="252">
        <f t="shared" ref="BB314" si="1996">SUM(AU303:AU314)</f>
        <v>97161.654479727003</v>
      </c>
      <c r="BC314" s="252">
        <f t="shared" ref="BC314" si="1997">SUM(AV303:AV314)</f>
        <v>53719.721920954609</v>
      </c>
      <c r="BD314" s="252">
        <f t="shared" ref="BD314" si="1998">SUM(AW303:AW314)</f>
        <v>7832.0515599617529</v>
      </c>
      <c r="BE314" s="252">
        <f t="shared" ref="BE314" si="1999">SUM(AX303:AX314)</f>
        <v>20962.026390163614</v>
      </c>
      <c r="BF314" s="252">
        <f t="shared" ref="BF314" si="2000">SUM(AY303:AY314)</f>
        <v>215353.05639483486</v>
      </c>
      <c r="BG314" s="252">
        <f t="shared" ref="BG314" si="2001">SUM(BA314:BF314)</f>
        <v>597928.52910741174</v>
      </c>
    </row>
    <row r="315" spans="31:59">
      <c r="AE315" s="165">
        <v>38353</v>
      </c>
      <c r="AF315" s="277">
        <v>1288091</v>
      </c>
      <c r="AG315" s="277">
        <v>606293</v>
      </c>
      <c r="AH315" s="277">
        <v>386743</v>
      </c>
      <c r="AI315" s="277">
        <v>48109</v>
      </c>
      <c r="AJ315" s="277">
        <v>176998</v>
      </c>
      <c r="AK315" s="277">
        <v>1501934</v>
      </c>
      <c r="AT315" s="252">
        <f t="shared" ref="AT315" si="2002">AF315/SUM(AF306:AF317)*AM317</f>
        <v>14103.368862589346</v>
      </c>
      <c r="AU315" s="252">
        <f t="shared" ref="AU315" si="2003">AG315/SUM(AG306:AG317)*AN317</f>
        <v>7319.7164627424181</v>
      </c>
      <c r="AV315" s="252">
        <f t="shared" ref="AV315" si="2004">AH315/SUM(AH306:AH317)*AO317</f>
        <v>3674.6141492570364</v>
      </c>
      <c r="AW315" s="252">
        <f t="shared" ref="AW315" si="2005">AI315/SUM(AI306:AI317)*AP317</f>
        <v>529.53675123509527</v>
      </c>
      <c r="AX315" s="252">
        <f t="shared" ref="AX315" si="2006">AJ315/SUM(AJ306:AJ317)*AQ317</f>
        <v>1481.1359343306151</v>
      </c>
      <c r="AY315" s="252">
        <f t="shared" ref="AY315" si="2007">AK315/SUM(AK306:AK317)*AR317</f>
        <v>18306.109923855653</v>
      </c>
    </row>
    <row r="316" spans="31:59">
      <c r="AE316" s="165">
        <v>38384</v>
      </c>
      <c r="AF316" s="277">
        <v>1378529</v>
      </c>
      <c r="AG316" s="277">
        <v>683541</v>
      </c>
      <c r="AH316" s="277">
        <v>443084</v>
      </c>
      <c r="AI316" s="277">
        <v>51050</v>
      </c>
      <c r="AJ316" s="277">
        <v>179101</v>
      </c>
      <c r="AK316" s="277">
        <v>1536063</v>
      </c>
      <c r="AT316" s="252">
        <f t="shared" ref="AT316" si="2008">AF316/SUM(AF306:AF317)*AM317</f>
        <v>15093.578772599476</v>
      </c>
      <c r="AU316" s="252">
        <f t="shared" ref="AU316" si="2009">AG316/SUM(AG306:AG317)*AN317</f>
        <v>8252.3240589276393</v>
      </c>
      <c r="AV316" s="252">
        <f t="shared" ref="AV316" si="2010">AH316/SUM(AH306:AH317)*AO317</f>
        <v>4209.9345966427436</v>
      </c>
      <c r="AW316" s="252">
        <f t="shared" ref="AW316" si="2011">AI316/SUM(AI306:AI317)*AP317</f>
        <v>561.90839864789575</v>
      </c>
      <c r="AX316" s="252">
        <f t="shared" ref="AX316" si="2012">AJ316/SUM(AJ306:AJ317)*AQ317</f>
        <v>1498.7340363989847</v>
      </c>
      <c r="AY316" s="252">
        <f t="shared" ref="AY316" si="2013">AK316/SUM(AK306:AK317)*AR317</f>
        <v>18722.086408568877</v>
      </c>
    </row>
    <row r="317" spans="31:59">
      <c r="AE317" s="165">
        <v>38412</v>
      </c>
      <c r="AF317" s="277">
        <v>1459944</v>
      </c>
      <c r="AG317" s="277">
        <v>732945</v>
      </c>
      <c r="AH317" s="277">
        <v>577739</v>
      </c>
      <c r="AI317" s="277">
        <v>51516</v>
      </c>
      <c r="AJ317" s="277">
        <v>172720</v>
      </c>
      <c r="AK317" s="277">
        <v>1828190</v>
      </c>
      <c r="AM317" s="277">
        <v>203938</v>
      </c>
      <c r="AN317" s="277">
        <v>100860</v>
      </c>
      <c r="AO317" s="277">
        <v>53547</v>
      </c>
      <c r="AP317" s="277">
        <v>7408</v>
      </c>
      <c r="AQ317" s="277">
        <v>19369</v>
      </c>
      <c r="AR317" s="277">
        <v>211216</v>
      </c>
      <c r="AT317" s="252">
        <f t="shared" ref="AT317" si="2014">AF317/SUM(AF306:AF317)*AM317</f>
        <v>15984.995431785599</v>
      </c>
      <c r="AU317" s="252">
        <f t="shared" ref="AU317" si="2015">AG317/SUM(AG306:AG317)*AN317</f>
        <v>8848.7737493006553</v>
      </c>
      <c r="AV317" s="252">
        <f t="shared" ref="AV317" si="2016">AH317/SUM(AH306:AH317)*AO317</f>
        <v>5489.3505609089525</v>
      </c>
      <c r="AW317" s="252">
        <f t="shared" ref="AW317" si="2017">AI317/SUM(AI306:AI317)*AP317</f>
        <v>567.03767022027421</v>
      </c>
      <c r="AX317" s="252">
        <f t="shared" ref="AX317" si="2018">AJ317/SUM(AJ306:AJ317)*AQ317</f>
        <v>1445.3372274126477</v>
      </c>
      <c r="AY317" s="252">
        <f t="shared" ref="AY317" si="2019">AK317/SUM(AK306:AK317)*AR317</f>
        <v>22282.634990414801</v>
      </c>
      <c r="AZ317" s="25">
        <f t="shared" ref="AZ317" si="2020">SUM(AT306:AY317)-SUM(AM317:AR317)</f>
        <v>0</v>
      </c>
    </row>
    <row r="318" spans="31:59">
      <c r="AE318" s="165">
        <v>38443</v>
      </c>
      <c r="AF318" s="277">
        <v>1416869</v>
      </c>
      <c r="AG318" s="277">
        <v>703886</v>
      </c>
      <c r="AH318" s="277">
        <v>430665</v>
      </c>
      <c r="AI318" s="277">
        <v>50782</v>
      </c>
      <c r="AJ318" s="277">
        <v>148469</v>
      </c>
      <c r="AK318" s="277">
        <v>1281374</v>
      </c>
      <c r="AT318" s="252">
        <f t="shared" ref="AT318" si="2021">AF318/SUM(AF318:AF329)*AM329</f>
        <v>15250.811698412828</v>
      </c>
      <c r="AU318" s="252">
        <f t="shared" ref="AU318" si="2022">AG318/SUM(AG318:AG329)*AN329</f>
        <v>8048.9291622821747</v>
      </c>
      <c r="AV318" s="252">
        <f t="shared" ref="AV318" si="2023">AH318/SUM(AH318:AH329)*AO329</f>
        <v>3973.3147931829549</v>
      </c>
      <c r="AW318" s="252">
        <f t="shared" ref="AW318" si="2024">AI318/SUM(AI318:AI329)*AP329</f>
        <v>524.08551304704019</v>
      </c>
      <c r="AX318" s="252">
        <f t="shared" ref="AX318" si="2025">AJ318/SUM(AJ318:AJ329)*AQ329</f>
        <v>1238.4416217020084</v>
      </c>
      <c r="AY318" s="252">
        <f t="shared" ref="AY318" si="2026">AK318/SUM(AK318:AK329)*AR329</f>
        <v>14269.48064718139</v>
      </c>
    </row>
    <row r="319" spans="31:59">
      <c r="AE319" s="165">
        <v>38473</v>
      </c>
      <c r="AF319" s="277">
        <v>1446368</v>
      </c>
      <c r="AG319" s="277">
        <v>701110</v>
      </c>
      <c r="AH319" s="277">
        <v>406235</v>
      </c>
      <c r="AI319" s="277">
        <v>48304</v>
      </c>
      <c r="AJ319" s="277">
        <v>138038</v>
      </c>
      <c r="AK319" s="277">
        <v>913250</v>
      </c>
      <c r="AT319" s="252">
        <f t="shared" ref="AT319" si="2027">AF319/SUM(AF318:AF329)*AM329</f>
        <v>15568.33130981761</v>
      </c>
      <c r="AU319" s="252">
        <f t="shared" ref="AU319" si="2028">AG319/SUM(AG318:AG329)*AN329</f>
        <v>8017.1856308658726</v>
      </c>
      <c r="AV319" s="252">
        <f t="shared" ref="AV319" si="2029">AH319/SUM(AH318:AH329)*AO329</f>
        <v>3747.9236413655112</v>
      </c>
      <c r="AW319" s="252">
        <f t="shared" ref="AW319" si="2030">AI319/SUM(AI318:AI329)*AP329</f>
        <v>498.51180777094697</v>
      </c>
      <c r="AX319" s="252">
        <f t="shared" ref="AX319" si="2031">AJ319/SUM(AJ318:AJ329)*AQ329</f>
        <v>1151.4323163522477</v>
      </c>
      <c r="AY319" s="252">
        <f t="shared" ref="AY319" si="2032">AK319/SUM(AK318:AK329)*AR329</f>
        <v>10170.023116622004</v>
      </c>
    </row>
    <row r="320" spans="31:59">
      <c r="AE320" s="165">
        <v>38504</v>
      </c>
      <c r="AF320" s="277">
        <v>1538863</v>
      </c>
      <c r="AG320" s="277">
        <v>735545</v>
      </c>
      <c r="AH320" s="277">
        <v>445892</v>
      </c>
      <c r="AI320" s="277">
        <v>46381</v>
      </c>
      <c r="AJ320" s="277">
        <v>138086</v>
      </c>
      <c r="AK320" s="277">
        <v>1002844</v>
      </c>
      <c r="AT320" s="252">
        <f t="shared" ref="AT320" si="2033">AF320/SUM(AF318:AF329)*AM329</f>
        <v>16563.923582670424</v>
      </c>
      <c r="AU320" s="252">
        <f t="shared" ref="AU320" si="2034">AG320/SUM(AG318:AG329)*AN329</f>
        <v>8410.9495012982825</v>
      </c>
      <c r="AV320" s="252">
        <f t="shared" ref="AV320" si="2035">AH320/SUM(AH318:AH329)*AO329</f>
        <v>4113.7990776170209</v>
      </c>
      <c r="AW320" s="252">
        <f t="shared" ref="AW320" si="2036">AI320/SUM(AI318:AI329)*AP329</f>
        <v>478.66586941504409</v>
      </c>
      <c r="AX320" s="252">
        <f t="shared" ref="AX320" si="2037">AJ320/SUM(AJ318:AJ329)*AQ329</f>
        <v>1151.8327042974865</v>
      </c>
      <c r="AY320" s="252">
        <f t="shared" ref="AY320" si="2038">AK320/SUM(AK318:AK329)*AR329</f>
        <v>11167.748877487738</v>
      </c>
    </row>
    <row r="321" spans="31:59">
      <c r="AE321" s="165">
        <v>38534</v>
      </c>
      <c r="AF321" s="277">
        <v>1624372</v>
      </c>
      <c r="AG321" s="277">
        <v>757234</v>
      </c>
      <c r="AH321" s="277">
        <v>489725</v>
      </c>
      <c r="AI321" s="277">
        <v>47713</v>
      </c>
      <c r="AJ321" s="277">
        <v>147779</v>
      </c>
      <c r="AK321" s="277">
        <v>1108674</v>
      </c>
      <c r="AT321" s="252">
        <f t="shared" ref="AT321" si="2039">AF321/SUM(AF318:AF329)*AM329</f>
        <v>17484.320357191977</v>
      </c>
      <c r="AU321" s="252">
        <f t="shared" ref="AU321" si="2040">AG321/SUM(AG318:AG329)*AN329</f>
        <v>8658.962992972698</v>
      </c>
      <c r="AV321" s="252">
        <f t="shared" ref="AV321" si="2041">AH321/SUM(AH318:AH329)*AO329</f>
        <v>4518.2022850510784</v>
      </c>
      <c r="AW321" s="252">
        <f t="shared" ref="AW321" si="2042">AI321/SUM(AI318:AI329)*AP329</f>
        <v>492.412510023501</v>
      </c>
      <c r="AX321" s="252">
        <f t="shared" ref="AX321" si="2043">AJ321/SUM(AJ318:AJ329)*AQ329</f>
        <v>1232.6860449891972</v>
      </c>
      <c r="AY321" s="252">
        <f t="shared" ref="AY321" si="2044">AK321/SUM(AK318:AK329)*AR329</f>
        <v>12346.279998683585</v>
      </c>
    </row>
    <row r="322" spans="31:59">
      <c r="AE322" s="165">
        <v>38565</v>
      </c>
      <c r="AF322" s="277">
        <v>1672761</v>
      </c>
      <c r="AG322" s="277">
        <v>778163</v>
      </c>
      <c r="AH322" s="277">
        <v>478863</v>
      </c>
      <c r="AI322" s="277">
        <v>48397</v>
      </c>
      <c r="AJ322" s="277">
        <v>160364</v>
      </c>
      <c r="AK322" s="277">
        <v>1269781</v>
      </c>
      <c r="AT322" s="252">
        <f t="shared" ref="AT322" si="2045">AF322/SUM(AF318:AF329)*AM329</f>
        <v>18005.167046105704</v>
      </c>
      <c r="AU322" s="252">
        <f t="shared" ref="AU322" si="2046">AG322/SUM(AG318:AG329)*AN329</f>
        <v>8898.2858924726224</v>
      </c>
      <c r="AV322" s="252">
        <f t="shared" ref="AV322" si="2047">AH322/SUM(AH318:AH329)*AO329</f>
        <v>4417.9894855815301</v>
      </c>
      <c r="AW322" s="252">
        <f t="shared" ref="AW322" si="2048">AI322/SUM(AI318:AI329)*AP329</f>
        <v>499.47159574135719</v>
      </c>
      <c r="AX322" s="252">
        <f t="shared" ref="AX322" si="2049">AJ322/SUM(AJ318:AJ329)*AQ329</f>
        <v>1337.6627593815604</v>
      </c>
      <c r="AY322" s="252">
        <f t="shared" ref="AY322" si="2050">AK322/SUM(AK318:AK329)*AR329</f>
        <v>14140.380096411065</v>
      </c>
    </row>
    <row r="323" spans="31:59">
      <c r="AE323" s="165">
        <v>38596</v>
      </c>
      <c r="AF323" s="277">
        <v>1682097</v>
      </c>
      <c r="AG323" s="277">
        <v>792073</v>
      </c>
      <c r="AH323" s="277">
        <v>516567</v>
      </c>
      <c r="AI323" s="277">
        <v>49827</v>
      </c>
      <c r="AJ323" s="277">
        <v>183185</v>
      </c>
      <c r="AK323" s="277">
        <v>1488276</v>
      </c>
      <c r="AT323" s="252">
        <f t="shared" ref="AT323" si="2051">AF323/SUM(AF318:AF329)*AM329</f>
        <v>18105.657337033361</v>
      </c>
      <c r="AU323" s="252">
        <f t="shared" ref="AU323" si="2052">AG323/SUM(AG318:AG329)*AN329</f>
        <v>9057.3465992452311</v>
      </c>
      <c r="AV323" s="252">
        <f t="shared" ref="AV323" si="2053">AH323/SUM(AH318:AH329)*AO329</f>
        <v>4765.8465460860298</v>
      </c>
      <c r="AW323" s="252">
        <f t="shared" ref="AW323" si="2054">AI323/SUM(AI318:AI329)*AP329</f>
        <v>514.22962582400987</v>
      </c>
      <c r="AX323" s="252">
        <f t="shared" ref="AX323" si="2055">AJ323/SUM(AJ318:AJ329)*AQ329</f>
        <v>1528.0222030961509</v>
      </c>
      <c r="AY323" s="252">
        <f t="shared" ref="AY323" si="2056">AK323/SUM(AK318:AK329)*AR329</f>
        <v>16573.557431058012</v>
      </c>
    </row>
    <row r="324" spans="31:59">
      <c r="AE324" s="165">
        <v>38626</v>
      </c>
      <c r="AF324" s="277">
        <v>1698329</v>
      </c>
      <c r="AG324" s="277">
        <v>811972</v>
      </c>
      <c r="AH324" s="277">
        <v>527704</v>
      </c>
      <c r="AI324" s="277">
        <v>51920</v>
      </c>
      <c r="AJ324" s="277">
        <v>209203</v>
      </c>
      <c r="AK324" s="277">
        <v>1661297</v>
      </c>
      <c r="AT324" s="252">
        <f t="shared" ref="AT324" si="2057">AF324/SUM(AF318:AF329)*AM329</f>
        <v>18280.374389554545</v>
      </c>
      <c r="AU324" s="252">
        <f t="shared" ref="AU324" si="2058">AG324/SUM(AG318:AG329)*AN329</f>
        <v>9284.8914593507798</v>
      </c>
      <c r="AV324" s="252">
        <f t="shared" ref="AV324" si="2059">AH324/SUM(AH318:AH329)*AO329</f>
        <v>4868.5964952383374</v>
      </c>
      <c r="AW324" s="252">
        <f t="shared" ref="AW324" si="2060">AI324/SUM(AI318:AI329)*AP329</f>
        <v>535.83001530861975</v>
      </c>
      <c r="AX324" s="252">
        <f t="shared" ref="AX324" si="2061">AJ324/SUM(AJ318:AJ329)*AQ329</f>
        <v>1745.0491522467673</v>
      </c>
      <c r="AY324" s="252">
        <f t="shared" ref="AY324" si="2062">AK324/SUM(AK318:AK329)*AR329</f>
        <v>18500.332760552734</v>
      </c>
    </row>
    <row r="325" spans="31:59">
      <c r="AE325" s="165">
        <v>38657</v>
      </c>
      <c r="AF325" s="277">
        <v>1692301</v>
      </c>
      <c r="AG325" s="277">
        <v>806875</v>
      </c>
      <c r="AH325" s="277">
        <v>561851</v>
      </c>
      <c r="AI325" s="277">
        <v>51438</v>
      </c>
      <c r="AJ325" s="277">
        <v>211231</v>
      </c>
      <c r="AK325" s="277">
        <v>1744407</v>
      </c>
      <c r="AT325" s="252">
        <f t="shared" ref="AT325" si="2063">AF325/SUM(AF318:AF329)*AM329</f>
        <v>18215.490555609391</v>
      </c>
      <c r="AU325" s="252">
        <f t="shared" ref="AU325" si="2064">AG325/SUM(AG318:AG329)*AN329</f>
        <v>9226.6073168331659</v>
      </c>
      <c r="AV325" s="252">
        <f t="shared" ref="AV325" si="2065">AH325/SUM(AH318:AH329)*AO329</f>
        <v>5183.636677846207</v>
      </c>
      <c r="AW325" s="252">
        <f t="shared" ref="AW325" si="2066">AI325/SUM(AI318:AI329)*AP329</f>
        <v>530.85563034369761</v>
      </c>
      <c r="AX325" s="252">
        <f t="shared" ref="AX325" si="2067">AJ325/SUM(AJ318:AJ329)*AQ329</f>
        <v>1761.9655429331169</v>
      </c>
      <c r="AY325" s="252">
        <f t="shared" ref="AY325" si="2068">AK325/SUM(AK318:AK329)*AR329</f>
        <v>19425.852192496292</v>
      </c>
    </row>
    <row r="326" spans="31:59">
      <c r="AE326" s="165">
        <v>38687</v>
      </c>
      <c r="AF326" s="277">
        <v>1733601</v>
      </c>
      <c r="AG326" s="277">
        <v>811591</v>
      </c>
      <c r="AH326" s="277">
        <v>565634</v>
      </c>
      <c r="AI326" s="277">
        <v>50974</v>
      </c>
      <c r="AJ326" s="277">
        <v>207361</v>
      </c>
      <c r="AK326" s="277">
        <v>1861566</v>
      </c>
      <c r="AT326" s="252">
        <f t="shared" ref="AT326" si="2069">AF326/SUM(AF318:AF329)*AM329</f>
        <v>18660.033080814228</v>
      </c>
      <c r="AU326" s="252">
        <f t="shared" ref="AU326" si="2070">AG326/SUM(AG318:AG329)*AN329</f>
        <v>9280.5347282738312</v>
      </c>
      <c r="AV326" s="252">
        <f t="shared" ref="AV326" si="2071">AH326/SUM(AH318:AH329)*AO329</f>
        <v>5218.5386314821217</v>
      </c>
      <c r="AW326" s="252">
        <f t="shared" ref="AW326" si="2072">AI326/SUM(AI318:AI329)*AP329</f>
        <v>526.06701079240338</v>
      </c>
      <c r="AX326" s="252">
        <f t="shared" ref="AX326" si="2073">AJ326/SUM(AJ318:AJ329)*AQ329</f>
        <v>1729.6842648482186</v>
      </c>
      <c r="AY326" s="252">
        <f t="shared" ref="AY326" si="2074">AK326/SUM(AK318:AK329)*AR329</f>
        <v>20730.543939904252</v>
      </c>
      <c r="BA326" s="252">
        <f t="shared" ref="BA326" si="2075">SUM(AT315:AT326)</f>
        <v>201316.05242418451</v>
      </c>
      <c r="BB326" s="252">
        <f t="shared" ref="BB326" si="2076">SUM(AU315:AU326)</f>
        <v>103304.50755456537</v>
      </c>
      <c r="BC326" s="252">
        <f t="shared" ref="BC326" si="2077">SUM(AV315:AV326)</f>
        <v>54181.746940259531</v>
      </c>
      <c r="BD326" s="252">
        <f t="shared" ref="BD326" si="2078">SUM(AW315:AW326)</f>
        <v>6258.6123983698853</v>
      </c>
      <c r="BE326" s="252">
        <f t="shared" ref="BE326" si="2079">SUM(AX315:AX326)</f>
        <v>17301.983807989003</v>
      </c>
      <c r="BF326" s="252">
        <f t="shared" ref="BF326" si="2080">SUM(AY315:AY326)</f>
        <v>196635.03038323642</v>
      </c>
      <c r="BG326" s="252">
        <f t="shared" ref="BG326" si="2081">SUM(BA326:BF326)</f>
        <v>578997.93350860476</v>
      </c>
    </row>
    <row r="327" spans="31:59">
      <c r="AE327" s="165">
        <v>38718</v>
      </c>
      <c r="AF327" s="277">
        <v>1356504</v>
      </c>
      <c r="AG327" s="277">
        <v>645516</v>
      </c>
      <c r="AH327" s="277">
        <v>438928</v>
      </c>
      <c r="AI327" s="277">
        <v>41568</v>
      </c>
      <c r="AJ327" s="277">
        <v>158081</v>
      </c>
      <c r="AK327" s="277">
        <v>1491312</v>
      </c>
      <c r="AT327" s="252">
        <f t="shared" ref="AT327" si="2082">AF327/SUM(AF318:AF329)*AM329</f>
        <v>14601.058440931232</v>
      </c>
      <c r="AU327" s="252">
        <f t="shared" ref="AU327" si="2083">AG327/SUM(AG318:AG329)*AN329</f>
        <v>7381.4688133017853</v>
      </c>
      <c r="AV327" s="252">
        <f t="shared" ref="AV327" si="2084">AH327/SUM(AH318:AH329)*AO329</f>
        <v>4049.5492216507218</v>
      </c>
      <c r="AW327" s="252">
        <f t="shared" ref="AW327" si="2085">AI327/SUM(AI318:AI329)*AP329</f>
        <v>428.99426187112294</v>
      </c>
      <c r="AX327" s="252">
        <f t="shared" ref="AX327" si="2086">AJ327/SUM(AJ318:AJ329)*AQ329</f>
        <v>1318.6193077361281</v>
      </c>
      <c r="AY327" s="252">
        <f t="shared" ref="AY327" si="2087">AK327/SUM(AK318:AK329)*AR329</f>
        <v>16607.366563477466</v>
      </c>
    </row>
    <row r="328" spans="31:59">
      <c r="AE328" s="165">
        <v>38749</v>
      </c>
      <c r="AF328" s="277">
        <v>1454562</v>
      </c>
      <c r="AG328" s="277">
        <v>712073</v>
      </c>
      <c r="AH328" s="277">
        <v>502955</v>
      </c>
      <c r="AI328" s="277">
        <v>43065</v>
      </c>
      <c r="AJ328" s="277">
        <v>159185</v>
      </c>
      <c r="AK328" s="277">
        <v>1542237</v>
      </c>
      <c r="AT328" s="252">
        <f t="shared" ref="AT328" si="2088">AF328/SUM(AF318:AF329)*AM329</f>
        <v>15656.529407917569</v>
      </c>
      <c r="AU328" s="252">
        <f t="shared" ref="AU328" si="2089">AG328/SUM(AG318:AG329)*AN329</f>
        <v>8142.5474229829197</v>
      </c>
      <c r="AV328" s="252">
        <f t="shared" ref="AV328" si="2090">AH328/SUM(AH318:AH329)*AO329</f>
        <v>4640.2622497888924</v>
      </c>
      <c r="AW328" s="252">
        <f t="shared" ref="AW328" si="2091">AI328/SUM(AI318:AI329)*AP329</f>
        <v>444.4437521045013</v>
      </c>
      <c r="AX328" s="252">
        <f t="shared" ref="AX328" si="2092">AJ328/SUM(AJ318:AJ329)*AQ329</f>
        <v>1327.828230476626</v>
      </c>
      <c r="AY328" s="252">
        <f t="shared" ref="AY328" si="2093">AK328/SUM(AK318:AK329)*AR329</f>
        <v>17174.471329110071</v>
      </c>
    </row>
    <row r="329" spans="31:59">
      <c r="AE329" s="165">
        <v>38777</v>
      </c>
      <c r="AF329" s="277">
        <v>1536204</v>
      </c>
      <c r="AG329" s="277">
        <v>768194</v>
      </c>
      <c r="AH329" s="277">
        <v>628370</v>
      </c>
      <c r="AI329" s="277">
        <v>45777</v>
      </c>
      <c r="AJ329" s="277">
        <v>163015</v>
      </c>
      <c r="AK329" s="277">
        <v>1772434</v>
      </c>
      <c r="AM329" s="277">
        <v>202927</v>
      </c>
      <c r="AN329" s="277">
        <v>103192</v>
      </c>
      <c r="AO329" s="277">
        <v>55295</v>
      </c>
      <c r="AP329" s="277">
        <v>5946</v>
      </c>
      <c r="AQ329" s="277">
        <v>16883</v>
      </c>
      <c r="AR329" s="277">
        <v>190844</v>
      </c>
      <c r="AT329" s="252">
        <f t="shared" ref="AT329" si="2094">AF329/SUM(AF318:AF329)*AM329</f>
        <v>16535.302793941133</v>
      </c>
      <c r="AU329" s="252">
        <f t="shared" ref="AU329" si="2095">AG329/SUM(AG318:AG329)*AN329</f>
        <v>8784.290480120635</v>
      </c>
      <c r="AV329" s="252">
        <f t="shared" ref="AV329" si="2096">AH329/SUM(AH318:AH329)*AO329</f>
        <v>5797.3408951095944</v>
      </c>
      <c r="AW329" s="252">
        <f t="shared" ref="AW329" si="2097">AI329/SUM(AI318:AI329)*AP329</f>
        <v>472.43240775775587</v>
      </c>
      <c r="AX329" s="252">
        <f t="shared" ref="AX329" si="2098">AJ329/SUM(AJ318:AJ329)*AQ329</f>
        <v>1359.775851940492</v>
      </c>
      <c r="AY329" s="252">
        <f t="shared" ref="AY329" si="2099">AK329/SUM(AK318:AK329)*AR329</f>
        <v>19737.96304701539</v>
      </c>
      <c r="AZ329" s="25">
        <f t="shared" ref="AZ329" si="2100">SUM(AT318:AY329)-SUM(AM329:AR329)</f>
        <v>0</v>
      </c>
    </row>
    <row r="330" spans="31:59">
      <c r="AE330" s="165">
        <v>38808</v>
      </c>
      <c r="AF330" s="277">
        <v>1484022</v>
      </c>
      <c r="AG330" s="277">
        <v>734655</v>
      </c>
      <c r="AH330" s="277">
        <v>492556</v>
      </c>
      <c r="AI330" s="277">
        <v>43664</v>
      </c>
      <c r="AJ330" s="277">
        <v>146313</v>
      </c>
      <c r="AK330" s="277">
        <v>1230941</v>
      </c>
      <c r="AT330" s="252">
        <f t="shared" ref="AT330" si="2101">AF330/SUM(AF330:AF341)*AM341</f>
        <v>15374.903820311943</v>
      </c>
      <c r="AU330" s="252">
        <f t="shared" ref="AU330" si="2102">AG330/SUM(AG330:AG341)*AN341</f>
        <v>8368.9838326361332</v>
      </c>
      <c r="AV330" s="252">
        <f t="shared" ref="AV330" si="2103">AH330/SUM(AH330:AH341)*AO341</f>
        <v>4221.5078125085893</v>
      </c>
      <c r="AW330" s="252">
        <f t="shared" ref="AW330" si="2104">AI330/SUM(AI330:AI341)*AP341</f>
        <v>504.56699941701419</v>
      </c>
      <c r="AX330" s="252">
        <f t="shared" ref="AX330" si="2105">AJ330/SUM(AJ330:AJ341)*AQ341</f>
        <v>1224.2653800828718</v>
      </c>
      <c r="AY330" s="252">
        <f t="shared" ref="AY330" si="2106">AK330/SUM(AK330:AK341)*AR341</f>
        <v>14218.245956790541</v>
      </c>
    </row>
    <row r="331" spans="31:59">
      <c r="AE331" s="165">
        <v>38838</v>
      </c>
      <c r="AF331" s="277">
        <v>1507940</v>
      </c>
      <c r="AG331" s="277">
        <v>735941</v>
      </c>
      <c r="AH331" s="277">
        <v>483365</v>
      </c>
      <c r="AI331" s="277">
        <v>45471</v>
      </c>
      <c r="AJ331" s="277">
        <v>136838</v>
      </c>
      <c r="AK331" s="277">
        <v>816154</v>
      </c>
      <c r="AT331" s="252">
        <f t="shared" ref="AT331" si="2107">AF331/SUM(AF330:AF341)*AM341</f>
        <v>15622.70132572239</v>
      </c>
      <c r="AU331" s="252">
        <f t="shared" ref="AU331" si="2108">AG331/SUM(AG330:AG341)*AN341</f>
        <v>8383.6335841640885</v>
      </c>
      <c r="AV331" s="252">
        <f t="shared" ref="AV331" si="2109">AH331/SUM(AH330:AH341)*AO341</f>
        <v>4142.7352905927746</v>
      </c>
      <c r="AW331" s="252">
        <f t="shared" ref="AW331" si="2110">AI331/SUM(AI330:AI341)*AP341</f>
        <v>525.44810439930041</v>
      </c>
      <c r="AX331" s="252">
        <f t="shared" ref="AX331" si="2111">AJ331/SUM(AJ330:AJ341)*AQ341</f>
        <v>1144.9838775760186</v>
      </c>
      <c r="AY331" s="252">
        <f t="shared" ref="AY331" si="2112">AK331/SUM(AK330:AK341)*AR341</f>
        <v>9427.1604492972656</v>
      </c>
    </row>
    <row r="332" spans="31:59">
      <c r="AE332" s="165">
        <v>38869</v>
      </c>
      <c r="AF332" s="277">
        <v>1601955</v>
      </c>
      <c r="AG332" s="277">
        <v>764767</v>
      </c>
      <c r="AH332" s="277">
        <v>481358</v>
      </c>
      <c r="AI332" s="277">
        <v>45600</v>
      </c>
      <c r="AJ332" s="277">
        <v>140289</v>
      </c>
      <c r="AK332" s="277">
        <v>856075</v>
      </c>
      <c r="AT332" s="252">
        <f t="shared" ref="AT332" si="2113">AF332/SUM(AF330:AF341)*AM341</f>
        <v>16596.724340655204</v>
      </c>
      <c r="AU332" s="252">
        <f t="shared" ref="AU332" si="2114">AG332/SUM(AG330:AG341)*AN341</f>
        <v>8712.0112960963124</v>
      </c>
      <c r="AV332" s="252">
        <f t="shared" ref="AV332" si="2115">AH332/SUM(AH330:AH341)*AO341</f>
        <v>4125.5340664076975</v>
      </c>
      <c r="AW332" s="252">
        <f t="shared" ref="AW332" si="2116">AI332/SUM(AI330:AI341)*AP341</f>
        <v>526.93878649266787</v>
      </c>
      <c r="AX332" s="252">
        <f t="shared" ref="AX332" si="2117">AJ332/SUM(AJ330:AJ341)*AQ341</f>
        <v>1173.8599161143986</v>
      </c>
      <c r="AY332" s="252">
        <f t="shared" ref="AY332" si="2118">AK332/SUM(AK330:AK341)*AR341</f>
        <v>9888.2764547280985</v>
      </c>
    </row>
    <row r="333" spans="31:59">
      <c r="AE333" s="165">
        <v>38899</v>
      </c>
      <c r="AF333" s="277">
        <v>1688623</v>
      </c>
      <c r="AG333" s="277">
        <v>798470</v>
      </c>
      <c r="AH333" s="277">
        <v>503817</v>
      </c>
      <c r="AI333" s="277">
        <v>45739</v>
      </c>
      <c r="AJ333" s="277">
        <v>150015</v>
      </c>
      <c r="AK333" s="277">
        <v>899486</v>
      </c>
      <c r="AT333" s="252">
        <f t="shared" ref="AT333" si="2119">AF333/SUM(AF330:AF341)*AM341</f>
        <v>17494.630277560987</v>
      </c>
      <c r="AU333" s="252">
        <f t="shared" ref="AU333" si="2120">AG333/SUM(AG330:AG341)*AN341</f>
        <v>9095.9464249817574</v>
      </c>
      <c r="AV333" s="252">
        <f t="shared" ref="AV333" si="2121">AH333/SUM(AH330:AH341)*AO341</f>
        <v>4318.0215073507179</v>
      </c>
      <c r="AW333" s="252">
        <f t="shared" ref="AW333" si="2122">AI333/SUM(AI330:AI341)*AP341</f>
        <v>528.54502533745904</v>
      </c>
      <c r="AX333" s="252">
        <f t="shared" ref="AX333" si="2123">AJ333/SUM(AJ330:AJ341)*AQ341</f>
        <v>1255.2416462866049</v>
      </c>
      <c r="AY333" s="252">
        <f t="shared" ref="AY333" si="2124">AK333/SUM(AK330:AK341)*AR341</f>
        <v>10389.704447808381</v>
      </c>
    </row>
    <row r="334" spans="31:59">
      <c r="AE334" s="165">
        <v>38930</v>
      </c>
      <c r="AF334" s="277">
        <v>1737589</v>
      </c>
      <c r="AG334" s="277">
        <v>826797</v>
      </c>
      <c r="AH334" s="277">
        <v>501456</v>
      </c>
      <c r="AI334" s="277">
        <v>48099</v>
      </c>
      <c r="AJ334" s="277">
        <v>158482</v>
      </c>
      <c r="AK334" s="277">
        <v>1038732</v>
      </c>
      <c r="AT334" s="252">
        <f t="shared" ref="AT334" si="2125">AF334/SUM(AF330:AF341)*AM341</f>
        <v>18001.932420295663</v>
      </c>
      <c r="AU334" s="252">
        <f t="shared" ref="AU334" si="2126">AG334/SUM(AG330:AG341)*AN341</f>
        <v>9418.639668786107</v>
      </c>
      <c r="AV334" s="252">
        <f t="shared" ref="AV334" si="2127">AH334/SUM(AH330:AH341)*AO341</f>
        <v>4297.7862854767927</v>
      </c>
      <c r="AW334" s="252">
        <f t="shared" ref="AW334" si="2128">AI334/SUM(AI330:AI341)*AP341</f>
        <v>555.8164186734831</v>
      </c>
      <c r="AX334" s="252">
        <f t="shared" ref="AX334" si="2129">AJ334/SUM(AJ330:AJ341)*AQ341</f>
        <v>1326.0887683684548</v>
      </c>
      <c r="AY334" s="252">
        <f t="shared" ref="AY334" si="2130">AK334/SUM(AK330:AK341)*AR341</f>
        <v>11998.095001457381</v>
      </c>
    </row>
    <row r="335" spans="31:59">
      <c r="AE335" s="165">
        <v>38961</v>
      </c>
      <c r="AF335" s="277">
        <v>1760779</v>
      </c>
      <c r="AG335" s="277">
        <v>847217</v>
      </c>
      <c r="AH335" s="277">
        <v>537047</v>
      </c>
      <c r="AI335" s="277">
        <v>50496</v>
      </c>
      <c r="AJ335" s="277">
        <v>172593</v>
      </c>
      <c r="AK335" s="277">
        <v>1222453</v>
      </c>
      <c r="AT335" s="252">
        <f t="shared" ref="AT335" si="2131">AF335/SUM(AF330:AF341)*AM341</f>
        <v>18242.187631871388</v>
      </c>
      <c r="AU335" s="252">
        <f t="shared" ref="AU335" si="2132">AG335/SUM(AG330:AG341)*AN341</f>
        <v>9651.2585849609495</v>
      </c>
      <c r="AV335" s="252">
        <f t="shared" ref="AV335" si="2133">AH335/SUM(AH330:AH341)*AO341</f>
        <v>4602.8230418151452</v>
      </c>
      <c r="AW335" s="252">
        <f t="shared" ref="AW335" si="2134">AI335/SUM(AI330:AI341)*AP341</f>
        <v>583.5153719897753</v>
      </c>
      <c r="AX335" s="252">
        <f t="shared" ref="AX335" si="2135">AJ335/SUM(AJ330:AJ341)*AQ341</f>
        <v>1444.1617268776056</v>
      </c>
      <c r="AY335" s="252">
        <f t="shared" ref="AY335" si="2136">AK335/SUM(AK330:AK341)*AR341</f>
        <v>14120.203506598988</v>
      </c>
    </row>
    <row r="336" spans="31:59">
      <c r="AE336" s="165">
        <v>38991</v>
      </c>
      <c r="AF336" s="277">
        <v>1781105</v>
      </c>
      <c r="AG336" s="277">
        <v>860694</v>
      </c>
      <c r="AH336" s="277">
        <v>545845</v>
      </c>
      <c r="AI336" s="277">
        <v>54109</v>
      </c>
      <c r="AJ336" s="277">
        <v>183304</v>
      </c>
      <c r="AK336" s="277">
        <v>1431632</v>
      </c>
      <c r="AT336" s="252">
        <f t="shared" ref="AT336" si="2137">AF336/SUM(AF330:AF341)*AM341</f>
        <v>18452.770962207236</v>
      </c>
      <c r="AU336" s="252">
        <f t="shared" ref="AU336" si="2138">AG336/SUM(AG330:AG341)*AN341</f>
        <v>9804.7847912924062</v>
      </c>
      <c r="AV336" s="252">
        <f t="shared" ref="AV336" si="2139">AH336/SUM(AH330:AH341)*AO341</f>
        <v>4678.2273120594436</v>
      </c>
      <c r="AW336" s="252">
        <f t="shared" ref="AW336" si="2140">AI336/SUM(AI330:AI341)*AP341</f>
        <v>625.26602627920533</v>
      </c>
      <c r="AX336" s="252">
        <f t="shared" ref="AX336" si="2141">AJ336/SUM(AJ330:AJ341)*AQ341</f>
        <v>1533.7853863341654</v>
      </c>
      <c r="AY336" s="252">
        <f t="shared" ref="AY336" si="2142">AK336/SUM(AK330:AK341)*AR341</f>
        <v>16536.370058038487</v>
      </c>
    </row>
    <row r="337" spans="31:59">
      <c r="AE337" s="165">
        <v>39022</v>
      </c>
      <c r="AF337" s="277">
        <v>1755254</v>
      </c>
      <c r="AG337" s="277">
        <v>838097</v>
      </c>
      <c r="AH337" s="277">
        <v>554681</v>
      </c>
      <c r="AI337" s="277">
        <v>52487</v>
      </c>
      <c r="AJ337" s="277">
        <v>187107</v>
      </c>
      <c r="AK337" s="277">
        <v>1556353</v>
      </c>
      <c r="AT337" s="252">
        <f t="shared" ref="AT337" si="2143">AF337/SUM(AF330:AF341)*AM341</f>
        <v>18184.947009018611</v>
      </c>
      <c r="AU337" s="252">
        <f t="shared" ref="AU337" si="2144">AG337/SUM(AG330:AG341)*AN341</f>
        <v>9547.3661013412348</v>
      </c>
      <c r="AV337" s="252">
        <f t="shared" ref="AV337" si="2145">AH337/SUM(AH330:AH341)*AO341</f>
        <v>4753.9572656714709</v>
      </c>
      <c r="AW337" s="252">
        <f t="shared" ref="AW337" si="2146">AI337/SUM(AI330:AI341)*AP341</f>
        <v>606.52272119826</v>
      </c>
      <c r="AX337" s="252">
        <f t="shared" ref="AX337" si="2147">AJ337/SUM(AJ330:AJ341)*AQ341</f>
        <v>1565.6067640685785</v>
      </c>
      <c r="AY337" s="252">
        <f t="shared" ref="AY337" si="2148">AK337/SUM(AK330:AK341)*AR341</f>
        <v>17976.986508361348</v>
      </c>
    </row>
    <row r="338" spans="31:59">
      <c r="AE338" s="165">
        <v>39052</v>
      </c>
      <c r="AF338" s="277">
        <v>1775422</v>
      </c>
      <c r="AG338" s="277">
        <v>834465</v>
      </c>
      <c r="AH338" s="277">
        <v>587858</v>
      </c>
      <c r="AI338" s="277">
        <v>49273</v>
      </c>
      <c r="AJ338" s="277">
        <v>185267</v>
      </c>
      <c r="AK338" s="277">
        <v>1710438</v>
      </c>
      <c r="AT338" s="252">
        <f t="shared" ref="AT338" si="2149">AF338/SUM(AF330:AF341)*AM341</f>
        <v>18393.893412945275</v>
      </c>
      <c r="AU338" s="252">
        <f t="shared" ref="AU338" si="2150">AG338/SUM(AG330:AG341)*AN341</f>
        <v>9505.99137540847</v>
      </c>
      <c r="AV338" s="252">
        <f t="shared" ref="AV338" si="2151">AH338/SUM(AH330:AH341)*AO341</f>
        <v>5038.3045575440656</v>
      </c>
      <c r="AW338" s="252">
        <f t="shared" ref="AW338" si="2152">AI338/SUM(AI330:AI341)*AP341</f>
        <v>569.38278129064088</v>
      </c>
      <c r="AX338" s="252">
        <f t="shared" ref="AX338" si="2153">AJ338/SUM(AJ330:AJ341)*AQ341</f>
        <v>1550.2106728165879</v>
      </c>
      <c r="AY338" s="252">
        <f t="shared" ref="AY338" si="2154">AK338/SUM(AK330:AK341)*AR341</f>
        <v>19756.77808915366</v>
      </c>
      <c r="BA338" s="252">
        <f t="shared" ref="BA338" si="2155">SUM(AT327:AT338)</f>
        <v>203157.5818433786</v>
      </c>
      <c r="BB338" s="252">
        <f t="shared" ref="BB338" si="2156">SUM(AU327:AU338)</f>
        <v>106796.92237607279</v>
      </c>
      <c r="BC338" s="252">
        <f t="shared" ref="BC338" si="2157">SUM(AV327:AV338)</f>
        <v>54666.049505975912</v>
      </c>
      <c r="BD338" s="252">
        <f t="shared" ref="BD338" si="2158">SUM(AW327:AW338)</f>
        <v>6371.8726568111861</v>
      </c>
      <c r="BE338" s="252">
        <f t="shared" ref="BE338" si="2159">SUM(AX327:AX338)</f>
        <v>16224.427528678531</v>
      </c>
      <c r="BF338" s="252">
        <f t="shared" ref="BF338" si="2160">SUM(AY327:AY338)</f>
        <v>177831.62141183708</v>
      </c>
      <c r="BG338" s="252">
        <f t="shared" ref="BG338" si="2161">SUM(BA338:BF338)</f>
        <v>565048.47532275412</v>
      </c>
    </row>
    <row r="339" spans="31:59">
      <c r="AE339" s="165">
        <v>39083</v>
      </c>
      <c r="AF339" s="277">
        <v>1391000</v>
      </c>
      <c r="AG339" s="277">
        <v>665679</v>
      </c>
      <c r="AH339" s="277">
        <v>472091</v>
      </c>
      <c r="AI339" s="277">
        <v>37450</v>
      </c>
      <c r="AJ339" s="277">
        <v>143384</v>
      </c>
      <c r="AK339" s="277">
        <v>1364312</v>
      </c>
      <c r="AT339" s="252">
        <f t="shared" ref="AT339" si="2162">AF339/SUM(AF330:AF341)*AM341</f>
        <v>14411.168577052034</v>
      </c>
      <c r="AU339" s="252">
        <f t="shared" ref="AU339" si="2163">AG339/SUM(AG330:AG341)*AN341</f>
        <v>7583.2285749438697</v>
      </c>
      <c r="AV339" s="252">
        <f t="shared" ref="AV339" si="2164">AH339/SUM(AH330:AH341)*AO341</f>
        <v>4046.1101777564227</v>
      </c>
      <c r="AW339" s="252">
        <f t="shared" ref="AW339" si="2165">AI339/SUM(AI330:AI341)*AP341</f>
        <v>432.76003408224585</v>
      </c>
      <c r="AX339" s="252">
        <f t="shared" ref="AX339" si="2166">AJ339/SUM(AJ330:AJ341)*AQ341</f>
        <v>1199.7571456931544</v>
      </c>
      <c r="AY339" s="252">
        <f t="shared" ref="AY339" si="2167">AK339/SUM(AK330:AK341)*AR341</f>
        <v>15758.776072777506</v>
      </c>
    </row>
    <row r="340" spans="31:59">
      <c r="AE340" s="165">
        <v>39114</v>
      </c>
      <c r="AF340" s="277">
        <v>1490041</v>
      </c>
      <c r="AG340" s="277">
        <v>727374</v>
      </c>
      <c r="AH340" s="277">
        <v>524367</v>
      </c>
      <c r="AI340" s="277">
        <v>40401</v>
      </c>
      <c r="AJ340" s="277">
        <v>145391</v>
      </c>
      <c r="AK340" s="277">
        <v>1421336</v>
      </c>
      <c r="AT340" s="252">
        <f t="shared" ref="AT340" si="2168">AF340/SUM(AF330:AF341)*AM341</f>
        <v>15437.262428266851</v>
      </c>
      <c r="AU340" s="252">
        <f t="shared" ref="AU340" si="2169">AG340/SUM(AG330:AG341)*AN341</f>
        <v>8286.0407215357882</v>
      </c>
      <c r="AV340" s="252">
        <f t="shared" ref="AV340" si="2170">AH340/SUM(AH330:AH341)*AO341</f>
        <v>4494.1476443728061</v>
      </c>
      <c r="AW340" s="252">
        <f t="shared" ref="AW340" si="2171">AI340/SUM(AI330:AI341)*AP341</f>
        <v>466.86083142741825</v>
      </c>
      <c r="AX340" s="252">
        <f t="shared" ref="AX340" si="2172">AJ340/SUM(AJ330:AJ341)*AQ341</f>
        <v>1216.5505995750809</v>
      </c>
      <c r="AY340" s="252">
        <f t="shared" ref="AY340" si="2173">AK340/SUM(AK330:AK341)*AR341</f>
        <v>16417.44391911622</v>
      </c>
    </row>
    <row r="341" spans="31:59">
      <c r="AE341" s="165">
        <v>39142</v>
      </c>
      <c r="AF341" s="277">
        <v>1570407</v>
      </c>
      <c r="AG341" s="277">
        <v>777768</v>
      </c>
      <c r="AH341" s="277">
        <v>682080</v>
      </c>
      <c r="AI341" s="277">
        <v>44686</v>
      </c>
      <c r="AJ341" s="277">
        <v>145025</v>
      </c>
      <c r="AK341" s="277">
        <v>1561372</v>
      </c>
      <c r="AM341" s="277">
        <v>202483</v>
      </c>
      <c r="AN341" s="277">
        <v>107218</v>
      </c>
      <c r="AO341" s="277">
        <v>54565</v>
      </c>
      <c r="AP341" s="277">
        <v>6442</v>
      </c>
      <c r="AQ341" s="277">
        <v>15848</v>
      </c>
      <c r="AR341" s="277">
        <v>174523</v>
      </c>
      <c r="AT341" s="252">
        <f t="shared" ref="AT341" si="2174">AF341/SUM(AF330:AF341)*AM341</f>
        <v>16269.877794092416</v>
      </c>
      <c r="AU341" s="252">
        <f t="shared" ref="AU341" si="2175">AG341/SUM(AG330:AG341)*AN341</f>
        <v>8860.1150438528839</v>
      </c>
      <c r="AV341" s="252">
        <f t="shared" ref="AV341" si="2176">AH341/SUM(AH330:AH341)*AO341</f>
        <v>5845.845038444073</v>
      </c>
      <c r="AW341" s="252">
        <f t="shared" ref="AW341" si="2177">AI341/SUM(AI330:AI341)*AP341</f>
        <v>516.37689941252972</v>
      </c>
      <c r="AX341" s="252">
        <f t="shared" ref="AX341" si="2178">AJ341/SUM(AJ330:AJ341)*AQ341</f>
        <v>1213.4881162064787</v>
      </c>
      <c r="AY341" s="252">
        <f t="shared" ref="AY341" si="2179">AK341/SUM(AK330:AK341)*AR341</f>
        <v>18034.959535872116</v>
      </c>
      <c r="AZ341" s="25">
        <f t="shared" ref="AZ341" si="2180">SUM(AT330:AY341)-SUM(AM341:AR341)</f>
        <v>0</v>
      </c>
    </row>
    <row r="342" spans="31:59">
      <c r="AE342" s="165">
        <v>39173</v>
      </c>
      <c r="AF342" s="277">
        <v>1509910</v>
      </c>
      <c r="AG342" s="277">
        <v>735512</v>
      </c>
      <c r="AH342" s="277">
        <v>524634</v>
      </c>
      <c r="AI342" s="277">
        <v>45964</v>
      </c>
      <c r="AJ342" s="277">
        <v>125422</v>
      </c>
      <c r="AK342" s="277">
        <v>1150410</v>
      </c>
      <c r="AT342" s="252">
        <f t="shared" ref="AT342" si="2181">AF342/SUM(AF342:AF353)*AM353</f>
        <v>15020.586882552825</v>
      </c>
      <c r="AU342" s="252">
        <f t="shared" ref="AU342" si="2182">AG342/SUM(AG342:AG353)*AN353</f>
        <v>8408.3429786335982</v>
      </c>
      <c r="AV342" s="252">
        <f t="shared" ref="AV342" si="2183">AH342/SUM(AH342:AH353)*AO353</f>
        <v>4022.3365518873302</v>
      </c>
      <c r="AW342" s="252">
        <f t="shared" ref="AW342" si="2184">AI342/SUM(AI342:AI353)*AP353</f>
        <v>485.39721869005007</v>
      </c>
      <c r="AX342" s="252">
        <f t="shared" ref="AX342" si="2185">AJ342/SUM(AJ342:AJ353)*AQ353</f>
        <v>1101.9067671360137</v>
      </c>
      <c r="AY342" s="252">
        <f t="shared" ref="AY342" si="2186">AK342/SUM(AK342:AK353)*AR353</f>
        <v>12647.449332610207</v>
      </c>
    </row>
    <row r="343" spans="31:59">
      <c r="AE343" s="165">
        <v>39203</v>
      </c>
      <c r="AF343" s="277">
        <v>1505941</v>
      </c>
      <c r="AG343" s="277">
        <v>718701</v>
      </c>
      <c r="AH343" s="277">
        <v>488196</v>
      </c>
      <c r="AI343" s="277">
        <v>46799</v>
      </c>
      <c r="AJ343" s="277">
        <v>117529</v>
      </c>
      <c r="AK343" s="277">
        <v>806260</v>
      </c>
      <c r="AT343" s="252">
        <f t="shared" ref="AT343" si="2187">AF343/SUM(AF342:AF353)*AM353</f>
        <v>14981.103264763122</v>
      </c>
      <c r="AU343" s="252">
        <f t="shared" ref="AU343" si="2188">AG343/SUM(AG342:AG353)*AN353</f>
        <v>8216.1603170131093</v>
      </c>
      <c r="AV343" s="252">
        <f t="shared" ref="AV343" si="2189">AH343/SUM(AH342:AH353)*AO353</f>
        <v>3742.9686510694828</v>
      </c>
      <c r="AW343" s="252">
        <f t="shared" ref="AW343" si="2190">AI343/SUM(AI342:AI353)*AP353</f>
        <v>494.21513439813009</v>
      </c>
      <c r="AX343" s="252">
        <f t="shared" ref="AX343" si="2191">AJ343/SUM(AJ342:AJ353)*AQ353</f>
        <v>1032.5620739162871</v>
      </c>
      <c r="AY343" s="252">
        <f t="shared" ref="AY343" si="2192">AK343/SUM(AK342:AK353)*AR353</f>
        <v>8863.9115610176432</v>
      </c>
    </row>
    <row r="344" spans="31:59">
      <c r="AE344" s="165">
        <v>39234</v>
      </c>
      <c r="AF344" s="277">
        <v>1565874</v>
      </c>
      <c r="AG344" s="277">
        <v>762753</v>
      </c>
      <c r="AH344" s="277">
        <v>532502</v>
      </c>
      <c r="AI344" s="277">
        <v>47944</v>
      </c>
      <c r="AJ344" s="277">
        <v>118599</v>
      </c>
      <c r="AK344" s="277">
        <v>843475</v>
      </c>
      <c r="AT344" s="252">
        <f t="shared" ref="AT344" si="2193">AF344/SUM(AF342:AF353)*AM353</f>
        <v>15577.316836189257</v>
      </c>
      <c r="AU344" s="252">
        <f t="shared" ref="AU344" si="2194">AG344/SUM(AG342:AG353)*AN353</f>
        <v>8719.7609719239299</v>
      </c>
      <c r="AV344" s="252">
        <f t="shared" ref="AV344" si="2195">AH344/SUM(AH342:AH353)*AO353</f>
        <v>4082.6600230886811</v>
      </c>
      <c r="AW344" s="252">
        <f t="shared" ref="AW344" si="2196">AI344/SUM(AI342:AI353)*AP353</f>
        <v>506.30676731519793</v>
      </c>
      <c r="AX344" s="252">
        <f t="shared" ref="AX344" si="2197">AJ344/SUM(AJ342:AJ353)*AQ353</f>
        <v>1041.9626594661549</v>
      </c>
      <c r="AY344" s="252">
        <f t="shared" ref="AY344" si="2198">AK344/SUM(AK342:AK353)*AR353</f>
        <v>9273.0481531135811</v>
      </c>
    </row>
    <row r="345" spans="31:59">
      <c r="AE345" s="165">
        <v>39264</v>
      </c>
      <c r="AF345" s="277">
        <v>1596445</v>
      </c>
      <c r="AG345" s="277">
        <v>802330</v>
      </c>
      <c r="AH345" s="277">
        <v>571547</v>
      </c>
      <c r="AI345" s="277">
        <v>48981</v>
      </c>
      <c r="AJ345" s="277">
        <v>126951</v>
      </c>
      <c r="AK345" s="277">
        <v>906983</v>
      </c>
      <c r="AT345" s="252">
        <f t="shared" ref="AT345" si="2199">AF345/SUM(AF342:AF353)*AM353</f>
        <v>15881.43718878413</v>
      </c>
      <c r="AU345" s="252">
        <f t="shared" ref="AU345" si="2200">AG345/SUM(AG342:AG353)*AN353</f>
        <v>9172.2036106101532</v>
      </c>
      <c r="AV345" s="252">
        <f t="shared" ref="AV345" si="2201">AH345/SUM(AH342:AH353)*AO353</f>
        <v>4382.0156322723042</v>
      </c>
      <c r="AW345" s="252">
        <f t="shared" ref="AW345" si="2202">AI345/SUM(AI342:AI353)*AP353</f>
        <v>517.25787939816689</v>
      </c>
      <c r="AX345" s="252">
        <f t="shared" ref="AX345" si="2203">AJ345/SUM(AJ342:AJ353)*AQ353</f>
        <v>1115.3399403189558</v>
      </c>
      <c r="AY345" s="252">
        <f t="shared" ref="AY345" si="2204">AK345/SUM(AK342:AK353)*AR353</f>
        <v>9971.2463713274446</v>
      </c>
    </row>
    <row r="346" spans="31:59">
      <c r="AE346" s="165">
        <v>39295</v>
      </c>
      <c r="AF346" s="277">
        <v>1543039</v>
      </c>
      <c r="AG346" s="277">
        <v>796172</v>
      </c>
      <c r="AH346" s="277">
        <v>553196</v>
      </c>
      <c r="AI346" s="277">
        <v>48411</v>
      </c>
      <c r="AJ346" s="277">
        <v>138332</v>
      </c>
      <c r="AK346" s="277">
        <v>1029941</v>
      </c>
      <c r="AT346" s="252">
        <f t="shared" ref="AT346" si="2205">AF346/SUM(AF342:AF353)*AM353</f>
        <v>15350.154222879131</v>
      </c>
      <c r="AU346" s="252">
        <f t="shared" ref="AU346" si="2206">AG346/SUM(AG342:AG353)*AN353</f>
        <v>9101.8056075015356</v>
      </c>
      <c r="AV346" s="252">
        <f t="shared" ref="AV346" si="2207">AH346/SUM(AH342:AH353)*AO353</f>
        <v>4241.3196459967585</v>
      </c>
      <c r="AW346" s="252">
        <f t="shared" ref="AW346" si="2208">AI346/SUM(AI342:AI353)*AP353</f>
        <v>511.23846388486669</v>
      </c>
      <c r="AX346" s="252">
        <f t="shared" ref="AX346" si="2209">AJ346/SUM(AJ342:AJ353)*AQ353</f>
        <v>1215.3287853124575</v>
      </c>
      <c r="AY346" s="252">
        <f t="shared" ref="AY346" si="2210">AK346/SUM(AK342:AK353)*AR353</f>
        <v>11323.029713821932</v>
      </c>
    </row>
    <row r="347" spans="31:59">
      <c r="AE347" s="165">
        <v>39326</v>
      </c>
      <c r="AF347" s="277">
        <v>1481891</v>
      </c>
      <c r="AG347" s="277">
        <v>762259</v>
      </c>
      <c r="AH347" s="277">
        <v>602947</v>
      </c>
      <c r="AI347" s="277">
        <v>47003</v>
      </c>
      <c r="AJ347" s="277">
        <v>149809</v>
      </c>
      <c r="AK347" s="277">
        <v>1194191</v>
      </c>
      <c r="AT347" s="252">
        <f t="shared" ref="AT347" si="2211">AF347/SUM(AF342:AF353)*AM353</f>
        <v>14741.853829680635</v>
      </c>
      <c r="AU347" s="252">
        <f t="shared" ref="AU347" si="2212">AG347/SUM(AG342:AG353)*AN353</f>
        <v>8714.1135842110925</v>
      </c>
      <c r="AV347" s="252">
        <f t="shared" ref="AV347" si="2213">AH347/SUM(AH342:AH353)*AO353</f>
        <v>4622.7574975140951</v>
      </c>
      <c r="AW347" s="252">
        <f t="shared" ref="AW347" si="2214">AI347/SUM(AI342:AI353)*AP353</f>
        <v>496.36945152920595</v>
      </c>
      <c r="AX347" s="252">
        <f t="shared" ref="AX347" si="2215">AJ347/SUM(AJ342:AJ353)*AQ353</f>
        <v>1316.1610473272558</v>
      </c>
      <c r="AY347" s="252">
        <f t="shared" ref="AY347" si="2216">AK347/SUM(AK342:AK353)*AR353</f>
        <v>13128.771625732667</v>
      </c>
    </row>
    <row r="348" spans="31:59">
      <c r="AE348" s="165">
        <v>39356</v>
      </c>
      <c r="AF348" s="277">
        <v>1480162</v>
      </c>
      <c r="AG348" s="277">
        <v>724382</v>
      </c>
      <c r="AH348" s="277">
        <v>613732</v>
      </c>
      <c r="AI348" s="277">
        <v>46524</v>
      </c>
      <c r="AJ348" s="277">
        <v>159781</v>
      </c>
      <c r="AK348" s="277">
        <v>1400500</v>
      </c>
      <c r="AT348" s="252">
        <f t="shared" ref="AT348" si="2217">AF348/SUM(AF342:AF353)*AM353</f>
        <v>14724.653735158488</v>
      </c>
      <c r="AU348" s="252">
        <f t="shared" ref="AU348" si="2218">AG348/SUM(AG342:AG353)*AN353</f>
        <v>8281.1052757107482</v>
      </c>
      <c r="AV348" s="252">
        <f t="shared" ref="AV348" si="2219">AH348/SUM(AH342:AH353)*AO353</f>
        <v>4705.4454279801057</v>
      </c>
      <c r="AW348" s="252">
        <f t="shared" ref="AW348" si="2220">AI348/SUM(AI342:AI353)*AP353</f>
        <v>491.31103042241517</v>
      </c>
      <c r="AX348" s="252">
        <f t="shared" ref="AX348" si="2221">AJ348/SUM(AJ342:AJ353)*AQ353</f>
        <v>1403.770990414436</v>
      </c>
      <c r="AY348" s="252">
        <f t="shared" ref="AY348" si="2222">AK348/SUM(AK342:AK353)*AR353</f>
        <v>15396.904399579798</v>
      </c>
    </row>
    <row r="349" spans="31:59">
      <c r="AE349" s="165">
        <v>39387</v>
      </c>
      <c r="AF349" s="277">
        <v>1484229</v>
      </c>
      <c r="AG349" s="277">
        <v>681447</v>
      </c>
      <c r="AH349" s="277">
        <v>623763</v>
      </c>
      <c r="AI349" s="277">
        <v>47188</v>
      </c>
      <c r="AJ349" s="277">
        <v>162403</v>
      </c>
      <c r="AK349" s="277">
        <v>1544406</v>
      </c>
      <c r="AT349" s="252">
        <f t="shared" ref="AT349" si="2223">AF349/SUM(AF342:AF353)*AM353</f>
        <v>14765.112257091148</v>
      </c>
      <c r="AU349" s="252">
        <f t="shared" ref="AU349" si="2224">AG349/SUM(AG342:AG353)*AN353</f>
        <v>7790.2741189279432</v>
      </c>
      <c r="AV349" s="252">
        <f t="shared" ref="AV349" si="2225">AH349/SUM(AH342:AH353)*AO353</f>
        <v>4782.3524869049597</v>
      </c>
      <c r="AW349" s="252">
        <f t="shared" ref="AW349" si="2226">AI349/SUM(AI342:AI353)*AP353</f>
        <v>498.32312147650509</v>
      </c>
      <c r="AX349" s="252">
        <f t="shared" ref="AX349" si="2227">AJ349/SUM(AJ342:AJ353)*AQ353</f>
        <v>1426.8068178085985</v>
      </c>
      <c r="AY349" s="252">
        <f t="shared" ref="AY349" si="2228">AK349/SUM(AK342:AK353)*AR353</f>
        <v>16978.987173250582</v>
      </c>
    </row>
    <row r="350" spans="31:59">
      <c r="AE350" s="165">
        <v>39417</v>
      </c>
      <c r="AF350" s="277">
        <v>1528705</v>
      </c>
      <c r="AG350" s="277">
        <v>679487</v>
      </c>
      <c r="AH350" s="277">
        <v>629882</v>
      </c>
      <c r="AI350" s="277">
        <v>48808</v>
      </c>
      <c r="AJ350" s="277">
        <v>168076</v>
      </c>
      <c r="AK350" s="277">
        <v>1655617</v>
      </c>
      <c r="AT350" s="252">
        <f t="shared" ref="AT350" si="2229">AF350/SUM(AF342:AF353)*AM353</f>
        <v>15207.559569969677</v>
      </c>
      <c r="AU350" s="252">
        <f t="shared" ref="AU350" si="2230">AG350/SUM(AG342:AG353)*AN353</f>
        <v>7767.8674794195185</v>
      </c>
      <c r="AV350" s="252">
        <f t="shared" ref="AV350" si="2231">AH350/SUM(AH342:AH353)*AO353</f>
        <v>4829.2664828735751</v>
      </c>
      <c r="AW350" s="252">
        <f t="shared" ref="AW350" si="2232">AI350/SUM(AI342:AI353)*AP353</f>
        <v>515.43093398798976</v>
      </c>
      <c r="AX350" s="252">
        <f t="shared" ref="AX350" si="2233">AJ350/SUM(AJ342:AJ353)*AQ353</f>
        <v>1476.647492410842</v>
      </c>
      <c r="AY350" s="252">
        <f t="shared" ref="AY350" si="2234">AK350/SUM(AK342:AK353)*AR353</f>
        <v>18201.625613223212</v>
      </c>
      <c r="BA350" s="252">
        <f t="shared" ref="BA350" si="2235">SUM(AT339:AT350)</f>
        <v>182368.08658647974</v>
      </c>
      <c r="BB350" s="252">
        <f t="shared" ref="BB350" si="2236">SUM(AU339:AU350)</f>
        <v>100901.01828428419</v>
      </c>
      <c r="BC350" s="252">
        <f t="shared" ref="BC350" si="2237">SUM(AV339:AV350)</f>
        <v>53797.225260160587</v>
      </c>
      <c r="BD350" s="252">
        <f t="shared" ref="BD350" si="2238">SUM(AW339:AW350)</f>
        <v>5931.8477660247218</v>
      </c>
      <c r="BE350" s="252">
        <f t="shared" ref="BE350" si="2239">SUM(AX339:AX350)</f>
        <v>14760.282435585716</v>
      </c>
      <c r="BF350" s="252">
        <f t="shared" ref="BF350" si="2240">SUM(AY339:AY350)</f>
        <v>165996.1534714429</v>
      </c>
      <c r="BG350" s="252">
        <f t="shared" ref="BG350" si="2241">SUM(BA350:BF350)</f>
        <v>523754.61380397785</v>
      </c>
    </row>
    <row r="351" spans="31:59">
      <c r="AE351" s="165">
        <v>39448</v>
      </c>
      <c r="AF351" s="277">
        <v>1213571</v>
      </c>
      <c r="AG351" s="277">
        <v>561495</v>
      </c>
      <c r="AH351" s="277">
        <v>494256</v>
      </c>
      <c r="AI351" s="277">
        <v>37889</v>
      </c>
      <c r="AJ351" s="277">
        <v>135349</v>
      </c>
      <c r="AK351" s="277">
        <v>1314778</v>
      </c>
      <c r="AT351" s="252">
        <f t="shared" ref="AT351" si="2242">AF351/SUM(AF342:AF353)*AM353</f>
        <v>12072.60607827388</v>
      </c>
      <c r="AU351" s="252">
        <f t="shared" ref="AU351" si="2243">AG351/SUM(AG342:AG353)*AN353</f>
        <v>6418.9877810122371</v>
      </c>
      <c r="AV351" s="252">
        <f t="shared" ref="AV351" si="2244">AH351/SUM(AH342:AH353)*AO353</f>
        <v>3789.4302976734721</v>
      </c>
      <c r="AW351" s="252">
        <f t="shared" ref="AW351" si="2245">AI351/SUM(AI342:AI353)*AP353</f>
        <v>400.12216558496448</v>
      </c>
      <c r="AX351" s="252">
        <f t="shared" ref="AX351" si="2246">AJ351/SUM(AJ342:AJ353)*AQ353</f>
        <v>1189.1213584944612</v>
      </c>
      <c r="AY351" s="252">
        <f t="shared" ref="AY351" si="2247">AK351/SUM(AK342:AK353)*AR353</f>
        <v>14454.488520293273</v>
      </c>
    </row>
    <row r="352" spans="31:59">
      <c r="AE352" s="165">
        <v>39479</v>
      </c>
      <c r="AF352" s="277">
        <v>1314243</v>
      </c>
      <c r="AG352" s="277">
        <v>635152</v>
      </c>
      <c r="AH352" s="277">
        <v>550970</v>
      </c>
      <c r="AI352" s="277">
        <v>38893</v>
      </c>
      <c r="AJ352" s="277">
        <v>153650</v>
      </c>
      <c r="AK352" s="277">
        <v>1360474</v>
      </c>
      <c r="AT352" s="252">
        <f t="shared" ref="AT352" si="2248">AF352/SUM(AF342:AF353)*AM353</f>
        <v>13074.091281127268</v>
      </c>
      <c r="AU352" s="252">
        <f t="shared" ref="AU352" si="2249">AG352/SUM(AG342:AG353)*AN353</f>
        <v>7261.0315801306942</v>
      </c>
      <c r="AV352" s="252">
        <f t="shared" ref="AV352" si="2250">AH352/SUM(AH342:AH353)*AO353</f>
        <v>4224.2530411550952</v>
      </c>
      <c r="AW352" s="252">
        <f t="shared" ref="AW352" si="2251">AI352/SUM(AI342:AI353)*AP353</f>
        <v>410.72478519084757</v>
      </c>
      <c r="AX352" s="252">
        <f t="shared" ref="AX352" si="2252">AJ352/SUM(AJ342:AJ353)*AQ353</f>
        <v>1349.9065137730902</v>
      </c>
      <c r="AY352" s="252">
        <f t="shared" ref="AY352" si="2253">AK352/SUM(AK342:AK353)*AR353</f>
        <v>14956.864060059926</v>
      </c>
    </row>
    <row r="353" spans="31:59">
      <c r="AE353" s="165">
        <v>39508</v>
      </c>
      <c r="AF353" s="277">
        <v>1380330</v>
      </c>
      <c r="AG353" s="277">
        <v>697811</v>
      </c>
      <c r="AH353" s="277">
        <v>711261</v>
      </c>
      <c r="AI353" s="277">
        <v>39800</v>
      </c>
      <c r="AJ353" s="277">
        <v>149163</v>
      </c>
      <c r="AK353" s="277">
        <v>1536373</v>
      </c>
      <c r="AM353" s="277">
        <v>175128</v>
      </c>
      <c r="AN353" s="277">
        <v>97829</v>
      </c>
      <c r="AO353" s="277">
        <v>52878</v>
      </c>
      <c r="AP353" s="277">
        <v>5747</v>
      </c>
      <c r="AQ353" s="277">
        <v>14980</v>
      </c>
      <c r="AR353" s="277">
        <v>162087</v>
      </c>
      <c r="AT353" s="252">
        <f t="shared" ref="AT353" si="2254">AF353/SUM(AF342:AF353)*AM353</f>
        <v>13731.524853530438</v>
      </c>
      <c r="AU353" s="252">
        <f t="shared" ref="AU353" si="2255">AG353/SUM(AG342:AG353)*AN353</f>
        <v>7977.34669490544</v>
      </c>
      <c r="AV353" s="252">
        <f t="shared" ref="AV353" si="2256">AH353/SUM(AH342:AH353)*AO353</f>
        <v>5453.1942615841408</v>
      </c>
      <c r="AW353" s="252">
        <f t="shared" ref="AW353" si="2257">AI353/SUM(AI342:AI353)*AP353</f>
        <v>420.30304812166025</v>
      </c>
      <c r="AX353" s="252">
        <f t="shared" ref="AX353" si="2258">AJ353/SUM(AJ342:AJ353)*AQ353</f>
        <v>1310.4855536214477</v>
      </c>
      <c r="AY353" s="252">
        <f t="shared" ref="AY353" si="2259">AK353/SUM(AK342:AK353)*AR353</f>
        <v>16890.673475969736</v>
      </c>
      <c r="AZ353" s="25">
        <f t="shared" ref="AZ353" si="2260">SUM(AT342:AY353)-SUM(AM353:AR353)</f>
        <v>0</v>
      </c>
    </row>
    <row r="354" spans="31:59">
      <c r="AE354" s="165">
        <v>39539</v>
      </c>
      <c r="AF354" s="277">
        <v>1318201</v>
      </c>
      <c r="AG354" s="277">
        <v>675483</v>
      </c>
      <c r="AH354" s="277">
        <v>554789</v>
      </c>
      <c r="AI354" s="277">
        <v>38216</v>
      </c>
      <c r="AJ354" s="277">
        <v>131611</v>
      </c>
      <c r="AK354" s="277">
        <v>1103287</v>
      </c>
      <c r="AT354" s="252">
        <f t="shared" ref="AT354" si="2261">AF354/SUM(AF354:AF365)*AM365</f>
        <v>13142.418947712393</v>
      </c>
      <c r="AU354" s="252">
        <f t="shared" ref="AU354" si="2262">AG354/SUM(AG354:AG365)*AN365</f>
        <v>7797.2731708322153</v>
      </c>
      <c r="AV354" s="252">
        <f t="shared" ref="AV354" si="2263">AH354/SUM(AH354:AH365)*AO365</f>
        <v>4476.9052549925555</v>
      </c>
      <c r="AW354" s="252">
        <f t="shared" ref="AW354" si="2264">AI354/SUM(AI354:AI365)*AP365</f>
        <v>437.4231305272761</v>
      </c>
      <c r="AX354" s="252">
        <f t="shared" ref="AX354" si="2265">AJ354/SUM(AJ354:AJ365)*AQ365</f>
        <v>1171.0225762708048</v>
      </c>
      <c r="AY354" s="252">
        <f t="shared" ref="AY354" si="2266">AK354/SUM(AK354:AK365)*AR365</f>
        <v>11465.696313143666</v>
      </c>
    </row>
    <row r="355" spans="31:59">
      <c r="AE355" s="165">
        <v>39569</v>
      </c>
      <c r="AF355" s="277">
        <v>1315974</v>
      </c>
      <c r="AG355" s="277">
        <v>676271</v>
      </c>
      <c r="AH355" s="277">
        <v>498620</v>
      </c>
      <c r="AI355" s="277">
        <v>37882</v>
      </c>
      <c r="AJ355" s="277">
        <v>119811</v>
      </c>
      <c r="AK355" s="277">
        <v>756187</v>
      </c>
      <c r="AT355" s="252">
        <f t="shared" ref="AT355" si="2267">AF355/SUM(AF354:AF365)*AM365</f>
        <v>13120.215833774113</v>
      </c>
      <c r="AU355" s="252">
        <f t="shared" ref="AU355" si="2268">AG355/SUM(AG354:AG365)*AN365</f>
        <v>7806.3692565347656</v>
      </c>
      <c r="AV355" s="252">
        <f t="shared" ref="AV355" si="2269">AH355/SUM(AH354:AH365)*AO365</f>
        <v>4023.6459234851231</v>
      </c>
      <c r="AW355" s="252">
        <f t="shared" ref="AW355" si="2270">AI355/SUM(AI354:AI365)*AP365</f>
        <v>433.60014210368104</v>
      </c>
      <c r="AX355" s="252">
        <f t="shared" ref="AX355" si="2271">AJ355/SUM(AJ354:AJ365)*AQ365</f>
        <v>1066.0308476159396</v>
      </c>
      <c r="AY355" s="252">
        <f t="shared" ref="AY355" si="2272">AK355/SUM(AK354:AK365)*AR365</f>
        <v>7858.526836577581</v>
      </c>
    </row>
    <row r="356" spans="31:59">
      <c r="AE356" s="165">
        <v>39600</v>
      </c>
      <c r="AF356" s="277">
        <v>1375114</v>
      </c>
      <c r="AG356" s="277">
        <v>689846</v>
      </c>
      <c r="AH356" s="277">
        <v>522190</v>
      </c>
      <c r="AI356" s="277">
        <v>38639</v>
      </c>
      <c r="AJ356" s="277">
        <v>127252</v>
      </c>
      <c r="AK356" s="277">
        <v>815336</v>
      </c>
      <c r="AT356" s="252">
        <f t="shared" ref="AT356" si="2273">AF356/SUM(AF354:AF365)*AM365</f>
        <v>13709.839613886334</v>
      </c>
      <c r="AU356" s="252">
        <f t="shared" ref="AU356" si="2274">AG356/SUM(AG354:AG365)*AN365</f>
        <v>7963.0689562963398</v>
      </c>
      <c r="AV356" s="252">
        <f t="shared" ref="AV356" si="2275">AH356/SUM(AH354:AH365)*AO365</f>
        <v>4213.8455432688152</v>
      </c>
      <c r="AW356" s="252">
        <f t="shared" ref="AW356" si="2276">AI356/SUM(AI354:AI365)*AP365</f>
        <v>442.26481945895495</v>
      </c>
      <c r="AX356" s="252">
        <f t="shared" ref="AX356" si="2277">AJ356/SUM(AJ354:AJ365)*AQ365</f>
        <v>1132.2379198973679</v>
      </c>
      <c r="AY356" s="252">
        <f t="shared" ref="AY356" si="2278">AK356/SUM(AK354:AK365)*AR365</f>
        <v>8473.2213550719844</v>
      </c>
    </row>
    <row r="357" spans="31:59">
      <c r="AE357" s="165">
        <v>39630</v>
      </c>
      <c r="AF357" s="277">
        <v>1446061</v>
      </c>
      <c r="AG357" s="277">
        <v>734604</v>
      </c>
      <c r="AH357" s="277">
        <v>516130</v>
      </c>
      <c r="AI357" s="277">
        <v>39939</v>
      </c>
      <c r="AJ357" s="277">
        <v>135339</v>
      </c>
      <c r="AK357" s="277">
        <v>886824</v>
      </c>
      <c r="AT357" s="252">
        <f t="shared" ref="AT357" si="2279">AF357/SUM(AF354:AF365)*AM365</f>
        <v>14417.178780738242</v>
      </c>
      <c r="AU357" s="252">
        <f t="shared" ref="AU357" si="2280">AG357/SUM(AG354:AG365)*AN365</f>
        <v>8479.7220068988099</v>
      </c>
      <c r="AV357" s="252">
        <f t="shared" ref="AV357" si="2281">AH357/SUM(AH354:AH365)*AO365</f>
        <v>4164.9439863791604</v>
      </c>
      <c r="AW357" s="252">
        <f t="shared" ref="AW357" si="2282">AI357/SUM(AI354:AI365)*AP365</f>
        <v>457.14471452085201</v>
      </c>
      <c r="AX357" s="252">
        <f t="shared" ref="AX357" si="2283">AJ357/SUM(AJ354:AJ365)*AQ365</f>
        <v>1204.1928444424439</v>
      </c>
      <c r="AY357" s="252">
        <f t="shared" ref="AY357" si="2284">AK357/SUM(AK354:AK365)*AR365</f>
        <v>9216.1465395743071</v>
      </c>
    </row>
    <row r="358" spans="31:59">
      <c r="AE358" s="165">
        <v>39661</v>
      </c>
      <c r="AF358" s="277">
        <v>1517031</v>
      </c>
      <c r="AG358" s="277">
        <v>775575</v>
      </c>
      <c r="AH358" s="277">
        <v>517022</v>
      </c>
      <c r="AI358" s="277">
        <v>38745</v>
      </c>
      <c r="AJ358" s="277">
        <v>145923</v>
      </c>
      <c r="AK358" s="277">
        <v>1039052</v>
      </c>
      <c r="AT358" s="252">
        <f t="shared" ref="AT358" si="2285">AF358/SUM(AF354:AF365)*AM365</f>
        <v>15124.747256804598</v>
      </c>
      <c r="AU358" s="252">
        <f t="shared" ref="AU358" si="2286">AG358/SUM(AG354:AG365)*AN365</f>
        <v>8952.6607471515872</v>
      </c>
      <c r="AV358" s="252">
        <f t="shared" ref="AV358" si="2287">AH358/SUM(AH354:AH365)*AO365</f>
        <v>4172.142037327274</v>
      </c>
      <c r="AW358" s="252">
        <f t="shared" ref="AW358" si="2288">AI358/SUM(AI354:AI365)*AP365</f>
        <v>443.47810321015578</v>
      </c>
      <c r="AX358" s="252">
        <f t="shared" ref="AX358" si="2289">AJ358/SUM(AJ354:AJ365)*AQ365</f>
        <v>1298.3650864833842</v>
      </c>
      <c r="AY358" s="252">
        <f t="shared" ref="AY358" si="2290">AK358/SUM(AK354:AK365)*AR365</f>
        <v>10798.146525395978</v>
      </c>
    </row>
    <row r="359" spans="31:59">
      <c r="AE359" s="165">
        <v>39692</v>
      </c>
      <c r="AF359" s="277">
        <v>1564571</v>
      </c>
      <c r="AG359" s="277">
        <v>812185</v>
      </c>
      <c r="AH359" s="277">
        <v>557766</v>
      </c>
      <c r="AI359" s="277">
        <v>39931</v>
      </c>
      <c r="AJ359" s="277">
        <v>153108</v>
      </c>
      <c r="AK359" s="277">
        <v>1195246</v>
      </c>
      <c r="AT359" s="252">
        <f t="shared" ref="AT359" si="2291">AF359/SUM(AF354:AF365)*AM365</f>
        <v>15598.719433107188</v>
      </c>
      <c r="AU359" s="252">
        <f t="shared" ref="AU359" si="2292">AG359/SUM(AG354:AG365)*AN365</f>
        <v>9375.2593481292097</v>
      </c>
      <c r="AV359" s="252">
        <f t="shared" ref="AV359" si="2293">AH359/SUM(AH354:AH365)*AO365</f>
        <v>4500.9283465536946</v>
      </c>
      <c r="AW359" s="252">
        <f t="shared" ref="AW359" si="2294">AI359/SUM(AI354:AI365)*AP365</f>
        <v>457.0531459358557</v>
      </c>
      <c r="AX359" s="252">
        <f t="shared" ref="AX359" si="2295">AJ359/SUM(AJ354:AJ365)*AQ365</f>
        <v>1362.2943721092493</v>
      </c>
      <c r="AY359" s="252">
        <f t="shared" ref="AY359" si="2296">AK359/SUM(AK354:AK365)*AR365</f>
        <v>12421.36239754453</v>
      </c>
    </row>
    <row r="360" spans="31:59">
      <c r="AE360" s="165">
        <v>39722</v>
      </c>
      <c r="AF360" s="277">
        <v>1598197</v>
      </c>
      <c r="AG360" s="277">
        <v>832686</v>
      </c>
      <c r="AH360" s="277">
        <v>544067</v>
      </c>
      <c r="AI360" s="277">
        <v>43114</v>
      </c>
      <c r="AJ360" s="277">
        <v>166900</v>
      </c>
      <c r="AK360" s="277">
        <v>1401412</v>
      </c>
      <c r="AT360" s="252">
        <f t="shared" ref="AT360" si="2297">AF360/SUM(AF354:AF365)*AM365</f>
        <v>15933.969504633287</v>
      </c>
      <c r="AU360" s="252">
        <f t="shared" ref="AU360" si="2298">AG360/SUM(AG354:AG365)*AN365</f>
        <v>9611.907638723098</v>
      </c>
      <c r="AV360" s="252">
        <f t="shared" ref="AV360" si="2299">AH360/SUM(AH354:AH365)*AO365</f>
        <v>4390.3833914660072</v>
      </c>
      <c r="AW360" s="252">
        <f t="shared" ref="AW360" si="2300">AI360/SUM(AI354:AI365)*AP365</f>
        <v>493.48599669125457</v>
      </c>
      <c r="AX360" s="252">
        <f t="shared" ref="AX360" si="2301">AJ360/SUM(AJ354:AJ365)*AQ365</f>
        <v>1485.0101281777158</v>
      </c>
      <c r="AY360" s="252">
        <f t="shared" ref="AY360" si="2302">AK360/SUM(AK354:AK365)*AR365</f>
        <v>14563.902594334284</v>
      </c>
    </row>
    <row r="361" spans="31:59">
      <c r="AE361" s="165">
        <v>39753</v>
      </c>
      <c r="AF361" s="277">
        <v>1552418</v>
      </c>
      <c r="AG361" s="277">
        <v>826255</v>
      </c>
      <c r="AH361" s="277">
        <v>540725</v>
      </c>
      <c r="AI361" s="277">
        <v>41559</v>
      </c>
      <c r="AJ361" s="277">
        <v>167076</v>
      </c>
      <c r="AK361" s="277">
        <v>1514918</v>
      </c>
      <c r="AT361" s="252">
        <f t="shared" ref="AT361" si="2303">AF361/SUM(AF354:AF365)*AM365</f>
        <v>15477.554438184903</v>
      </c>
      <c r="AU361" s="252">
        <f t="shared" ref="AU361" si="2304">AG361/SUM(AG354:AG365)*AN365</f>
        <v>9537.6729595947963</v>
      </c>
      <c r="AV361" s="252">
        <f t="shared" ref="AV361" si="2305">AH361/SUM(AH354:AH365)*AO365</f>
        <v>4363.4149091021081</v>
      </c>
      <c r="AW361" s="252">
        <f t="shared" ref="AW361" si="2306">AI361/SUM(AI354:AI365)*AP365</f>
        <v>475.68735298260077</v>
      </c>
      <c r="AX361" s="252">
        <f t="shared" ref="AX361" si="2307">AJ361/SUM(AJ354:AJ365)*AQ365</f>
        <v>1486.5761065034155</v>
      </c>
      <c r="AY361" s="252">
        <f t="shared" ref="AY361" si="2308">AK361/SUM(AK354:AK365)*AR365</f>
        <v>15743.491700087989</v>
      </c>
    </row>
    <row r="362" spans="31:59">
      <c r="AE362" s="165">
        <v>39783</v>
      </c>
      <c r="AF362" s="277">
        <v>1525045</v>
      </c>
      <c r="AG362" s="277">
        <v>827186</v>
      </c>
      <c r="AH362" s="277">
        <v>585218</v>
      </c>
      <c r="AI362" s="277">
        <v>42318</v>
      </c>
      <c r="AJ362" s="277">
        <v>172528</v>
      </c>
      <c r="AK362" s="277">
        <v>1665914</v>
      </c>
      <c r="AT362" s="252">
        <f t="shared" ref="AT362" si="2309">AF362/SUM(AF354:AF365)*AM365</f>
        <v>15204.646563091705</v>
      </c>
      <c r="AU362" s="252">
        <f t="shared" ref="AU362" si="2310">AG362/SUM(AG354:AG365)*AN365</f>
        <v>9548.4197309007286</v>
      </c>
      <c r="AV362" s="252">
        <f t="shared" ref="AV362" si="2311">AH362/SUM(AH354:AH365)*AO365</f>
        <v>4722.4540131766016</v>
      </c>
      <c r="AW362" s="252">
        <f t="shared" ref="AW362" si="2312">AI362/SUM(AI354:AI365)*AP365</f>
        <v>484.37492248412372</v>
      </c>
      <c r="AX362" s="252">
        <f t="shared" ref="AX362" si="2313">AJ362/SUM(AJ354:AJ365)*AQ365</f>
        <v>1535.0858441836126</v>
      </c>
      <c r="AY362" s="252">
        <f t="shared" ref="AY362" si="2314">AK362/SUM(AK354:AK365)*AR365</f>
        <v>17312.688364690617</v>
      </c>
      <c r="BA362" s="252">
        <f t="shared" ref="BA362" si="2315">SUM(AT351:AT362)</f>
        <v>170607.51258486437</v>
      </c>
      <c r="BB362" s="252">
        <f t="shared" ref="BB362" si="2316">SUM(AU351:AU362)</f>
        <v>100729.71987110993</v>
      </c>
      <c r="BC362" s="252">
        <f t="shared" ref="BC362" si="2317">SUM(AV351:AV362)</f>
        <v>52495.54100616405</v>
      </c>
      <c r="BD362" s="252">
        <f t="shared" ref="BD362" si="2318">SUM(AW351:AW362)</f>
        <v>5355.6623268122285</v>
      </c>
      <c r="BE362" s="252">
        <f t="shared" ref="BE362" si="2319">SUM(AX351:AX362)</f>
        <v>15590.329151572929</v>
      </c>
      <c r="BF362" s="252">
        <f t="shared" ref="BF362" si="2320">SUM(AY351:AY362)</f>
        <v>154155.20868274386</v>
      </c>
      <c r="BG362" s="252">
        <f t="shared" ref="BG362" si="2321">SUM(BA362:BF362)</f>
        <v>498933.97362326737</v>
      </c>
    </row>
    <row r="363" spans="31:59">
      <c r="AE363" s="165">
        <v>39814</v>
      </c>
      <c r="AF363" s="277">
        <v>1172480</v>
      </c>
      <c r="AG363" s="277">
        <v>654465</v>
      </c>
      <c r="AH363" s="277">
        <v>460022</v>
      </c>
      <c r="AI363" s="277">
        <v>34184</v>
      </c>
      <c r="AJ363" s="277">
        <v>137123</v>
      </c>
      <c r="AK363" s="277">
        <v>1316785</v>
      </c>
      <c r="AT363" s="252">
        <f t="shared" ref="AT363" si="2322">AF363/SUM(AF354:AF365)*AM365</f>
        <v>11689.585554717243</v>
      </c>
      <c r="AU363" s="252">
        <f t="shared" ref="AU363" si="2323">AG363/SUM(AG354:AG365)*AN365</f>
        <v>7554.6570169030247</v>
      </c>
      <c r="AV363" s="252">
        <f t="shared" ref="AV363" si="2324">AH363/SUM(AH354:AH365)*AO365</f>
        <v>3712.1768982661615</v>
      </c>
      <c r="AW363" s="252">
        <f t="shared" ref="AW363" si="2325">AI363/SUM(AI354:AI365)*AP365</f>
        <v>391.27256368914612</v>
      </c>
      <c r="AX363" s="252">
        <f t="shared" ref="AX363" si="2326">AJ363/SUM(AJ354:AJ365)*AQ365</f>
        <v>1220.0661701983997</v>
      </c>
      <c r="AY363" s="252">
        <f t="shared" ref="AY363" si="2327">AK363/SUM(AK354:AK365)*AR365</f>
        <v>13684.432898876614</v>
      </c>
    </row>
    <row r="364" spans="31:59">
      <c r="AE364" s="165">
        <v>39845</v>
      </c>
      <c r="AF364" s="277">
        <v>1238846</v>
      </c>
      <c r="AG364" s="277">
        <v>700310</v>
      </c>
      <c r="AH364" s="277">
        <v>510656</v>
      </c>
      <c r="AI364" s="277">
        <v>38489</v>
      </c>
      <c r="AJ364" s="277">
        <v>151777</v>
      </c>
      <c r="AK364" s="277">
        <v>1383268</v>
      </c>
      <c r="AT364" s="252">
        <f t="shared" ref="AT364" si="2328">AF364/SUM(AF354:AF365)*AM365</f>
        <v>12351.252308030193</v>
      </c>
      <c r="AU364" s="252">
        <f t="shared" ref="AU364" si="2329">AG364/SUM(AG354:AG365)*AN365</f>
        <v>8083.8575867423888</v>
      </c>
      <c r="AV364" s="252">
        <f t="shared" ref="AV364" si="2330">AH364/SUM(AH354:AH365)*AO365</f>
        <v>4120.7711939016071</v>
      </c>
      <c r="AW364" s="252">
        <f t="shared" ref="AW364" si="2331">AI364/SUM(AI354:AI365)*AP365</f>
        <v>440.54790849027449</v>
      </c>
      <c r="AX364" s="252">
        <f t="shared" ref="AX364" si="2332">AJ364/SUM(AJ354:AJ365)*AQ365</f>
        <v>1350.4516610211454</v>
      </c>
      <c r="AY364" s="252">
        <f t="shared" ref="AY364" si="2333">AK364/SUM(AK354:AK365)*AR365</f>
        <v>14375.344590926577</v>
      </c>
    </row>
    <row r="365" spans="31:59">
      <c r="AE365" s="165">
        <v>39873</v>
      </c>
      <c r="AF365" s="277">
        <v>1268497</v>
      </c>
      <c r="AG365" s="277">
        <v>725370</v>
      </c>
      <c r="AH365" s="277">
        <v>621767</v>
      </c>
      <c r="AI365" s="277">
        <v>42693</v>
      </c>
      <c r="AJ365" s="277">
        <v>168772</v>
      </c>
      <c r="AK365" s="277">
        <v>1592047</v>
      </c>
      <c r="AM365" s="277">
        <v>168417</v>
      </c>
      <c r="AN365" s="277">
        <v>103084</v>
      </c>
      <c r="AO365" s="277">
        <v>51879</v>
      </c>
      <c r="AP365" s="277">
        <v>5445</v>
      </c>
      <c r="AQ365" s="277">
        <v>15813</v>
      </c>
      <c r="AR365" s="277">
        <v>152458</v>
      </c>
      <c r="AT365" s="252">
        <f t="shared" ref="AT365" si="2334">AF365/SUM(AF354:AF365)*AM365</f>
        <v>12646.871765319802</v>
      </c>
      <c r="AU365" s="252">
        <f t="shared" ref="AU365" si="2335">AG365/SUM(AG354:AG365)*AN365</f>
        <v>8373.1315812930352</v>
      </c>
      <c r="AV365" s="252">
        <f t="shared" ref="AV365" si="2336">AH365/SUM(AH354:AH365)*AO365</f>
        <v>5017.3885020808921</v>
      </c>
      <c r="AW365" s="252">
        <f t="shared" ref="AW365" si="2337">AI365/SUM(AI354:AI365)*AP365</f>
        <v>488.66719990582476</v>
      </c>
      <c r="AX365" s="252">
        <f t="shared" ref="AX365" si="2338">AJ365/SUM(AJ354:AJ365)*AQ365</f>
        <v>1501.6664430965216</v>
      </c>
      <c r="AY365" s="252">
        <f t="shared" ref="AY365" si="2339">AK365/SUM(AK354:AK365)*AR365</f>
        <v>16545.039883775877</v>
      </c>
      <c r="AZ365" s="25">
        <f t="shared" ref="AZ365" si="2340">SUM(AT354:AY365)-SUM(AM365:AR365)</f>
        <v>0</v>
      </c>
    </row>
    <row r="366" spans="31:59">
      <c r="AE366" s="165">
        <v>39904</v>
      </c>
      <c r="AF366" s="277">
        <v>1173820</v>
      </c>
      <c r="AG366" s="277">
        <v>676313</v>
      </c>
      <c r="AH366" s="277">
        <v>492721</v>
      </c>
      <c r="AI366" s="277">
        <v>43812</v>
      </c>
      <c r="AJ366" s="277">
        <v>149965</v>
      </c>
      <c r="AK366" s="277">
        <v>1223670</v>
      </c>
      <c r="AT366" s="252">
        <f t="shared" ref="AT366" si="2341">AF366/SUM(AF366:AF377)*AM377</f>
        <v>11353.946220367252</v>
      </c>
      <c r="AU366" s="252">
        <f t="shared" ref="AU366" si="2342">AG366/SUM(AG366:AG377)*AN377</f>
        <v>8026.4007103309295</v>
      </c>
      <c r="AV366" s="252">
        <f t="shared" ref="AV366" si="2343">AH366/SUM(AH366:AH377)*AO377</f>
        <v>4393.916632648009</v>
      </c>
      <c r="AW366" s="252">
        <f t="shared" ref="AW366" si="2344">AI366/SUM(AI366:AI377)*AP377</f>
        <v>475.47857559879014</v>
      </c>
      <c r="AX366" s="252">
        <f t="shared" ref="AX366" si="2345">AJ366/SUM(AJ366:AJ377)*AQ377</f>
        <v>1355.4891096869826</v>
      </c>
      <c r="AY366" s="252">
        <f t="shared" ref="AY366" si="2346">AK366/SUM(AK366:AK377)*AR377</f>
        <v>12931.8577670702</v>
      </c>
    </row>
    <row r="367" spans="31:59">
      <c r="AE367" s="165">
        <v>39934</v>
      </c>
      <c r="AF367" s="277">
        <v>1149570</v>
      </c>
      <c r="AG367" s="277">
        <v>644713</v>
      </c>
      <c r="AH367" s="277">
        <v>466599</v>
      </c>
      <c r="AI367" s="277">
        <v>44331</v>
      </c>
      <c r="AJ367" s="277">
        <v>144863</v>
      </c>
      <c r="AK367" s="277">
        <v>855182</v>
      </c>
      <c r="AT367" s="252">
        <f t="shared" ref="AT367" si="2347">AF367/SUM(AF366:AF377)*AM377</f>
        <v>11119.384536426012</v>
      </c>
      <c r="AU367" s="252">
        <f t="shared" ref="AU367" si="2348">AG367/SUM(AG366:AG377)*AN377</f>
        <v>7651.3757404627504</v>
      </c>
      <c r="AV367" s="252">
        <f t="shared" ref="AV367" si="2349">AH367/SUM(AH366:AH377)*AO377</f>
        <v>4160.9696093264311</v>
      </c>
      <c r="AW367" s="252">
        <f t="shared" ref="AW367" si="2350">AI367/SUM(AI366:AI377)*AP377</f>
        <v>481.11112788436878</v>
      </c>
      <c r="AX367" s="252">
        <f t="shared" ref="AX367" si="2351">AJ367/SUM(AJ366:AJ377)*AQ377</f>
        <v>1309.3736464947513</v>
      </c>
      <c r="AY367" s="252">
        <f t="shared" ref="AY367" si="2352">AK367/SUM(AK366:AK377)*AR377</f>
        <v>9037.6424926316959</v>
      </c>
    </row>
    <row r="368" spans="31:59">
      <c r="AE368" s="165">
        <v>39965</v>
      </c>
      <c r="AF368" s="277">
        <v>1177476</v>
      </c>
      <c r="AG368" s="277">
        <v>621079</v>
      </c>
      <c r="AH368" s="277">
        <v>477732</v>
      </c>
      <c r="AI368" s="277">
        <v>45989</v>
      </c>
      <c r="AJ368" s="277">
        <v>148448</v>
      </c>
      <c r="AK368" s="277">
        <v>885926</v>
      </c>
      <c r="AT368" s="252">
        <f t="shared" ref="AT368" si="2353">AF368/SUM(AF366:AF377)*AM377</f>
        <v>11389.309416923506</v>
      </c>
      <c r="AU368" s="252">
        <f t="shared" ref="AU368" si="2354">AG368/SUM(AG366:AG377)*AN377</f>
        <v>7370.8902930619743</v>
      </c>
      <c r="AV368" s="252">
        <f t="shared" ref="AV368" si="2355">AH368/SUM(AH366:AH377)*AO377</f>
        <v>4260.2498792383485</v>
      </c>
      <c r="AW368" s="252">
        <f t="shared" ref="AW368" si="2356">AI368/SUM(AI366:AI377)*AP377</f>
        <v>499.10490763290335</v>
      </c>
      <c r="AX368" s="252">
        <f t="shared" ref="AX368" si="2357">AJ368/SUM(AJ366:AJ377)*AQ377</f>
        <v>1341.7773970914093</v>
      </c>
      <c r="AY368" s="252">
        <f t="shared" ref="AY368" si="2358">AK368/SUM(AK366:AK377)*AR377</f>
        <v>9362.547928893764</v>
      </c>
    </row>
    <row r="369" spans="31:59">
      <c r="AE369" s="165">
        <v>39995</v>
      </c>
      <c r="AF369" s="277">
        <v>1225562</v>
      </c>
      <c r="AG369" s="277">
        <v>603743</v>
      </c>
      <c r="AH369" s="277">
        <v>447432</v>
      </c>
      <c r="AI369" s="277">
        <v>47863</v>
      </c>
      <c r="AJ369" s="277">
        <v>153807</v>
      </c>
      <c r="AK369" s="277">
        <v>950319</v>
      </c>
      <c r="AT369" s="252">
        <f t="shared" ref="AT369" si="2359">AF369/SUM(AF366:AF377)*AM377</f>
        <v>11854.428309047153</v>
      </c>
      <c r="AU369" s="252">
        <f t="shared" ref="AU369" si="2360">AG369/SUM(AG366:AG377)*AN377</f>
        <v>7165.1487463013818</v>
      </c>
      <c r="AV369" s="252">
        <f t="shared" ref="AV369" si="2361">AH369/SUM(AH366:AH377)*AO377</f>
        <v>3990.0448870232117</v>
      </c>
      <c r="AW369" s="252">
        <f t="shared" ref="AW369" si="2362">AI369/SUM(AI366:AI377)*AP377</f>
        <v>519.44287099162091</v>
      </c>
      <c r="AX369" s="252">
        <f t="shared" ref="AX369" si="2363">AJ369/SUM(AJ366:AJ377)*AQ377</f>
        <v>1390.2158069791335</v>
      </c>
      <c r="AY369" s="252">
        <f t="shared" ref="AY369" si="2364">AK369/SUM(AK366:AK377)*AR377</f>
        <v>10043.059110172175</v>
      </c>
    </row>
    <row r="370" spans="31:59">
      <c r="AE370" s="165">
        <v>40026</v>
      </c>
      <c r="AF370" s="277">
        <v>1241904</v>
      </c>
      <c r="AG370" s="277">
        <v>595241</v>
      </c>
      <c r="AH370" s="277">
        <v>442169</v>
      </c>
      <c r="AI370" s="277">
        <v>47715</v>
      </c>
      <c r="AJ370" s="277">
        <v>156798</v>
      </c>
      <c r="AK370" s="277">
        <v>1069089</v>
      </c>
      <c r="AT370" s="252">
        <f t="shared" ref="AT370" si="2365">AF370/SUM(AF366:AF377)*AM377</f>
        <v>12012.498702406649</v>
      </c>
      <c r="AU370" s="252">
        <f t="shared" ref="AU370" si="2366">AG370/SUM(AG366:AG377)*AN377</f>
        <v>7064.2480408007723</v>
      </c>
      <c r="AV370" s="252">
        <f t="shared" ref="AV370" si="2367">AH370/SUM(AH366:AH377)*AO377</f>
        <v>3943.1112608176581</v>
      </c>
      <c r="AW370" s="252">
        <f t="shared" ref="AW370" si="2368">AI370/SUM(AI366:AI377)*AP377</f>
        <v>517.83667111056945</v>
      </c>
      <c r="AX370" s="252">
        <f t="shared" ref="AX370" si="2369">AJ370/SUM(AJ366:AJ377)*AQ377</f>
        <v>1417.250567937182</v>
      </c>
      <c r="AY370" s="252">
        <f t="shared" ref="AY370" si="2370">AK370/SUM(AK366:AK377)*AR377</f>
        <v>11298.231458104974</v>
      </c>
    </row>
    <row r="371" spans="31:59">
      <c r="AE371" s="165">
        <v>40057</v>
      </c>
      <c r="AF371" s="277">
        <v>1208014</v>
      </c>
      <c r="AG371" s="277">
        <v>574899</v>
      </c>
      <c r="AH371" s="277">
        <v>451201</v>
      </c>
      <c r="AI371" s="277">
        <v>49017</v>
      </c>
      <c r="AJ371" s="277">
        <v>164319</v>
      </c>
      <c r="AK371" s="277">
        <v>1259111</v>
      </c>
      <c r="AT371" s="252">
        <f t="shared" ref="AT371" si="2371">AF371/SUM(AF366:AF377)*AM377</f>
        <v>11684.69270369454</v>
      </c>
      <c r="AU371" s="252">
        <f t="shared" ref="AU371" si="2372">AG371/SUM(AG366:AG377)*AN377</f>
        <v>6822.8316503875285</v>
      </c>
      <c r="AV371" s="252">
        <f t="shared" ref="AV371" si="2373">AH371/SUM(AH366:AH377)*AO377</f>
        <v>4023.6555344046919</v>
      </c>
      <c r="AW371" s="252">
        <f t="shared" ref="AW371" si="2374">AI371/SUM(AI366:AI377)*AP377</f>
        <v>531.96688898306161</v>
      </c>
      <c r="AX371" s="252">
        <f t="shared" ref="AX371" si="2375">AJ371/SUM(AJ366:AJ377)*AQ377</f>
        <v>1485.2306539169492</v>
      </c>
      <c r="AY371" s="252">
        <f t="shared" ref="AY371" si="2376">AK371/SUM(AK366:AK377)*AR377</f>
        <v>13306.401533872306</v>
      </c>
    </row>
    <row r="372" spans="31:59">
      <c r="AE372" s="165">
        <v>40087</v>
      </c>
      <c r="AF372" s="277">
        <v>1191380</v>
      </c>
      <c r="AG372" s="277">
        <v>564880</v>
      </c>
      <c r="AH372" s="277">
        <v>439076</v>
      </c>
      <c r="AI372" s="277">
        <v>50659</v>
      </c>
      <c r="AJ372" s="277">
        <v>173749</v>
      </c>
      <c r="AK372" s="277">
        <v>1459706</v>
      </c>
      <c r="AT372" s="252">
        <f t="shared" ref="AT372" si="2377">AF372/SUM(AF366:AF377)*AM377</f>
        <v>11523.79789748099</v>
      </c>
      <c r="AU372" s="252">
        <f t="shared" ref="AU372" si="2378">AG372/SUM(AG366:AG377)*AN377</f>
        <v>6703.9273727574882</v>
      </c>
      <c r="AV372" s="252">
        <f t="shared" ref="AV372" si="2379">AH372/SUM(AH366:AH377)*AO377</f>
        <v>3915.5289492360935</v>
      </c>
      <c r="AW372" s="252">
        <f t="shared" ref="AW372" si="2380">AI372/SUM(AI366:AI377)*AP377</f>
        <v>549.78702550121216</v>
      </c>
      <c r="AX372" s="252">
        <f t="shared" ref="AX372" si="2381">AJ372/SUM(AJ366:AJ377)*AQ377</f>
        <v>1570.4656241056482</v>
      </c>
      <c r="AY372" s="252">
        <f t="shared" ref="AY372" si="2382">AK372/SUM(AK366:AK377)*AR377</f>
        <v>15426.308051794171</v>
      </c>
    </row>
    <row r="373" spans="31:59">
      <c r="AE373" s="165">
        <v>40118</v>
      </c>
      <c r="AF373" s="277">
        <v>1207976</v>
      </c>
      <c r="AG373" s="277">
        <v>557497</v>
      </c>
      <c r="AH373" s="277">
        <v>437070</v>
      </c>
      <c r="AI373" s="277">
        <v>48083</v>
      </c>
      <c r="AJ373" s="277">
        <v>183929</v>
      </c>
      <c r="AK373" s="277">
        <v>1589448</v>
      </c>
      <c r="AT373" s="252">
        <f t="shared" ref="AT373" si="2383">AF373/SUM(AF366:AF377)*AM377</f>
        <v>11684.325143117643</v>
      </c>
      <c r="AU373" s="252">
        <f t="shared" ref="AU373" si="2384">AG373/SUM(AG366:AG377)*AN377</f>
        <v>6616.3068236265781</v>
      </c>
      <c r="AV373" s="252">
        <f t="shared" ref="AV373" si="2385">AH373/SUM(AH366:AH377)*AO377</f>
        <v>3897.6401302795398</v>
      </c>
      <c r="AW373" s="252">
        <f t="shared" ref="AW373" si="2386">AI373/SUM(AI366:AI377)*AP377</f>
        <v>521.83046540939984</v>
      </c>
      <c r="AX373" s="252">
        <f t="shared" ref="AX373" si="2387">AJ373/SUM(AJ366:AJ377)*AQ377</f>
        <v>1662.4796216158238</v>
      </c>
      <c r="AY373" s="252">
        <f t="shared" ref="AY373" si="2388">AK373/SUM(AK366:AK377)*AR377</f>
        <v>16797.433510794737</v>
      </c>
    </row>
    <row r="374" spans="31:59">
      <c r="AE374" s="165">
        <v>40148</v>
      </c>
      <c r="AF374" s="277">
        <v>1216948</v>
      </c>
      <c r="AG374" s="277">
        <v>548895</v>
      </c>
      <c r="AH374" s="277">
        <v>441788</v>
      </c>
      <c r="AI374" s="277">
        <v>46455</v>
      </c>
      <c r="AJ374" s="277">
        <v>186570</v>
      </c>
      <c r="AK374" s="277">
        <v>1733661</v>
      </c>
      <c r="AT374" s="252">
        <f t="shared" ref="AT374" si="2389">AF374/SUM(AF366:AF377)*AM377</f>
        <v>11771.108129852521</v>
      </c>
      <c r="AU374" s="252">
        <f t="shared" ref="AU374" si="2390">AG374/SUM(AG366:AG377)*AN377</f>
        <v>6514.2193302466394</v>
      </c>
      <c r="AV374" s="252">
        <f t="shared" ref="AV374" si="2391">AH374/SUM(AH366:AH377)*AO377</f>
        <v>3939.7136336878243</v>
      </c>
      <c r="AW374" s="252">
        <f t="shared" ref="AW374" si="2392">AI374/SUM(AI366:AI377)*AP377</f>
        <v>504.16226671783522</v>
      </c>
      <c r="AX374" s="252">
        <f t="shared" ref="AX374" si="2393">AJ374/SUM(AJ366:AJ377)*AQ377</f>
        <v>1686.3508364905167</v>
      </c>
      <c r="AY374" s="252">
        <f t="shared" ref="AY374" si="2394">AK374/SUM(AK366:AK377)*AR377</f>
        <v>18321.48983657088</v>
      </c>
      <c r="BA374" s="252">
        <f t="shared" ref="BA374" si="2395">SUM(AT363:AT374)</f>
        <v>141081.20068738353</v>
      </c>
      <c r="BB374" s="252">
        <f t="shared" ref="BB374" si="2396">SUM(AU363:AU374)</f>
        <v>87946.994892914488</v>
      </c>
      <c r="BC374" s="252">
        <f t="shared" ref="BC374" si="2397">SUM(AV363:AV374)</f>
        <v>49375.167110910472</v>
      </c>
      <c r="BD374" s="252">
        <f t="shared" ref="BD374" si="2398">SUM(AW363:AW374)</f>
        <v>5921.2084719150071</v>
      </c>
      <c r="BE374" s="252">
        <f t="shared" ref="BE374" si="2399">SUM(AX363:AX374)</f>
        <v>17290.817538634466</v>
      </c>
      <c r="BF374" s="252">
        <f t="shared" ref="BF374" si="2400">SUM(AY363:AY374)</f>
        <v>161129.789063484</v>
      </c>
      <c r="BG374" s="252">
        <f t="shared" ref="BG374" si="2401">SUM(BA374:BF374)</f>
        <v>462745.17776524194</v>
      </c>
    </row>
    <row r="375" spans="31:59">
      <c r="AE375" s="165">
        <v>40179</v>
      </c>
      <c r="AF375" s="277">
        <v>1157372</v>
      </c>
      <c r="AG375" s="277">
        <v>514485</v>
      </c>
      <c r="AH375" s="277">
        <v>391971</v>
      </c>
      <c r="AI375" s="277">
        <v>41801</v>
      </c>
      <c r="AJ375" s="277">
        <v>168309</v>
      </c>
      <c r="AK375" s="277">
        <v>1634405</v>
      </c>
      <c r="AT375" s="252">
        <f t="shared" ref="AT375" si="2402">AF375/SUM(AF366:AF377)*AM377</f>
        <v>11194.850526451148</v>
      </c>
      <c r="AU375" s="252">
        <f t="shared" ref="AU375" si="2403">AG375/SUM(AG366:AG377)*AN377</f>
        <v>6105.8456209692968</v>
      </c>
      <c r="AV375" s="252">
        <f t="shared" ref="AV375" si="2404">AH375/SUM(AH366:AH377)*AO377</f>
        <v>3495.4627393914052</v>
      </c>
      <c r="AW375" s="252">
        <f t="shared" ref="AW375" si="2405">AI375/SUM(AI366:AI377)*AP377</f>
        <v>453.6537920799102</v>
      </c>
      <c r="AX375" s="252">
        <f t="shared" ref="AX375" si="2406">AJ375/SUM(AJ366:AJ377)*AQ377</f>
        <v>1521.2950792672048</v>
      </c>
      <c r="AY375" s="252">
        <f t="shared" ref="AY375" si="2407">AK375/SUM(AK366:AK377)*AR377</f>
        <v>17272.543245963676</v>
      </c>
    </row>
    <row r="376" spans="31:59">
      <c r="AE376" s="165">
        <v>40210</v>
      </c>
      <c r="AF376" s="277">
        <v>1121149</v>
      </c>
      <c r="AG376" s="277">
        <v>518903</v>
      </c>
      <c r="AH376" s="277">
        <v>443138</v>
      </c>
      <c r="AI376" s="277">
        <v>41725</v>
      </c>
      <c r="AJ376" s="277">
        <v>168131</v>
      </c>
      <c r="AK376" s="277">
        <v>1672579</v>
      </c>
      <c r="AT376" s="252">
        <f t="shared" ref="AT376" si="2408">AF376/SUM(AF366:AF377)*AM377</f>
        <v>10844.478242846879</v>
      </c>
      <c r="AU376" s="252">
        <f t="shared" ref="AU376" si="2409">AG376/SUM(AG366:AG377)*AN377</f>
        <v>6158.2779094780817</v>
      </c>
      <c r="AV376" s="252">
        <f t="shared" ref="AV376" si="2410">AH376/SUM(AH366:AH377)*AO377</f>
        <v>3951.7524699746373</v>
      </c>
      <c r="AW376" s="252">
        <f t="shared" ref="AW376" si="2411">AI376/SUM(AI366:AI377)*AP377</f>
        <v>452.82898673558657</v>
      </c>
      <c r="AX376" s="252">
        <f t="shared" ref="AX376" si="2412">AJ376/SUM(AJ366:AJ377)*AQ377</f>
        <v>1519.6861901162408</v>
      </c>
      <c r="AY376" s="252">
        <f t="shared" ref="AY376" si="2413">AK376/SUM(AK366:AK377)*AR377</f>
        <v>17675.969609607579</v>
      </c>
    </row>
    <row r="377" spans="31:59">
      <c r="AE377" s="165">
        <v>40238</v>
      </c>
      <c r="AF377" s="277">
        <v>1051127</v>
      </c>
      <c r="AG377" s="277">
        <v>514711</v>
      </c>
      <c r="AH377" s="277">
        <v>521993</v>
      </c>
      <c r="AI377" s="277">
        <v>42367</v>
      </c>
      <c r="AJ377" s="277">
        <v>168319</v>
      </c>
      <c r="AK377" s="277">
        <v>1698747</v>
      </c>
      <c r="AM377" s="277">
        <v>136600</v>
      </c>
      <c r="AN377" s="277">
        <v>82308</v>
      </c>
      <c r="AO377" s="277">
        <v>48627</v>
      </c>
      <c r="AP377" s="277">
        <v>5967</v>
      </c>
      <c r="AQ377" s="277">
        <v>17781</v>
      </c>
      <c r="AR377" s="277">
        <v>169426</v>
      </c>
      <c r="AT377" s="252">
        <f t="shared" ref="AT377" si="2414">AF377/SUM(AF366:AF377)*AM377</f>
        <v>10167.180171385706</v>
      </c>
      <c r="AU377" s="252">
        <f t="shared" ref="AU377" si="2415">AG377/SUM(AG366:AG377)*AN377</f>
        <v>6108.5277615765817</v>
      </c>
      <c r="AV377" s="252">
        <f t="shared" ref="AV377" si="2416">AH377/SUM(AH366:AH377)*AO377</f>
        <v>4654.954273972151</v>
      </c>
      <c r="AW377" s="252">
        <f t="shared" ref="AW377" si="2417">AI377/SUM(AI366:AI377)*AP377</f>
        <v>459.79642135474171</v>
      </c>
      <c r="AX377" s="252">
        <f t="shared" ref="AX377" si="2418">AJ377/SUM(AJ366:AJ377)*AQ377</f>
        <v>1521.3854662981578</v>
      </c>
      <c r="AY377" s="252">
        <f t="shared" ref="AY377" si="2419">AK377/SUM(AK366:AK377)*AR377</f>
        <v>17952.515454523851</v>
      </c>
      <c r="AZ377" s="25">
        <f t="shared" ref="AZ377" si="2420">SUM(AT366:AY377)-SUM(AM377:AR377)</f>
        <v>0</v>
      </c>
    </row>
    <row r="378" spans="31:59">
      <c r="AE378" s="165">
        <v>40269</v>
      </c>
      <c r="AF378" s="277">
        <v>1004312</v>
      </c>
      <c r="AG378" s="277">
        <v>498897</v>
      </c>
      <c r="AH378" s="277">
        <v>386943</v>
      </c>
      <c r="AI378" s="277">
        <v>38545</v>
      </c>
      <c r="AJ378" s="277">
        <v>155209</v>
      </c>
      <c r="AK378" s="277">
        <v>976419</v>
      </c>
      <c r="AT378" s="252">
        <f t="shared" ref="AT378" si="2421">AF378/SUM(AF378:AF389)*AM389</f>
        <v>10165.402093908911</v>
      </c>
      <c r="AU378" s="252">
        <f t="shared" ref="AU378" si="2422">AG378/SUM(AG378:AG389)*AN389</f>
        <v>5369.7237762647046</v>
      </c>
      <c r="AV378" s="252">
        <f t="shared" ref="AV378" si="2423">AH378/SUM(AH378:AH389)*AO389</f>
        <v>2826.2556506223127</v>
      </c>
      <c r="AW378" s="252">
        <f t="shared" ref="AW378" si="2424">AI378/SUM(AI378:AI389)*AP389</f>
        <v>368.74913726993861</v>
      </c>
      <c r="AX378" s="252">
        <f t="shared" ref="AX378" si="2425">AJ378/SUM(AJ378:AJ389)*AQ389</f>
        <v>1363.0418582232178</v>
      </c>
      <c r="AY378" s="252">
        <f t="shared" ref="AY378" si="2426">AK378/SUM(AK378:AK389)*AR389</f>
        <v>11990.94823736953</v>
      </c>
    </row>
    <row r="379" spans="31:59">
      <c r="AE379" s="165">
        <v>40299</v>
      </c>
      <c r="AF379" s="277">
        <v>1019547</v>
      </c>
      <c r="AG379" s="277">
        <v>507531</v>
      </c>
      <c r="AH379" s="277">
        <v>454485</v>
      </c>
      <c r="AI379" s="277">
        <v>41293</v>
      </c>
      <c r="AJ379" s="277">
        <v>151344</v>
      </c>
      <c r="AK379" s="277">
        <v>830077</v>
      </c>
      <c r="AT379" s="252">
        <f t="shared" ref="AT379" si="2427">AF379/SUM(AF378:AF389)*AM389</f>
        <v>10319.607062982968</v>
      </c>
      <c r="AU379" s="252">
        <f t="shared" ref="AU379" si="2428">AG379/SUM(AG378:AG389)*AN389</f>
        <v>5462.6531686728968</v>
      </c>
      <c r="AV379" s="252">
        <f t="shared" ref="AV379" si="2429">AH379/SUM(AH378:AH389)*AO389</f>
        <v>3319.5866041589634</v>
      </c>
      <c r="AW379" s="252">
        <f t="shared" ref="AW379" si="2430">AI379/SUM(AI378:AI389)*AP389</f>
        <v>395.03847776073616</v>
      </c>
      <c r="AX379" s="252">
        <f t="shared" ref="AX379" si="2431">AJ379/SUM(AJ378:AJ389)*AQ389</f>
        <v>1329.0995173664844</v>
      </c>
      <c r="AY379" s="252">
        <f t="shared" ref="AY379" si="2432">AK379/SUM(AK378:AK389)*AR389</f>
        <v>10193.790104484844</v>
      </c>
    </row>
    <row r="380" spans="31:59">
      <c r="AE380" s="165">
        <v>40330</v>
      </c>
      <c r="AF380" s="277">
        <v>1070233</v>
      </c>
      <c r="AG380" s="277">
        <v>522266</v>
      </c>
      <c r="AH380" s="277">
        <v>423076</v>
      </c>
      <c r="AI380" s="277">
        <v>41205</v>
      </c>
      <c r="AJ380" s="277">
        <v>158969</v>
      </c>
      <c r="AK380" s="277">
        <v>847601</v>
      </c>
      <c r="AT380" s="252">
        <f t="shared" ref="AT380" si="2433">AF380/SUM(AF378:AF389)*AM389</f>
        <v>10832.638442207619</v>
      </c>
      <c r="AU380" s="252">
        <f t="shared" ref="AU380" si="2434">AG380/SUM(AG378:AG389)*AN389</f>
        <v>5621.2487903007286</v>
      </c>
      <c r="AV380" s="252">
        <f t="shared" ref="AV380" si="2435">AH380/SUM(AH378:AH389)*AO389</f>
        <v>3090.1733217623409</v>
      </c>
      <c r="AW380" s="252">
        <f t="shared" ref="AW380" si="2436">AI380/SUM(AI378:AI389)*AP389</f>
        <v>394.19660659509202</v>
      </c>
      <c r="AX380" s="252">
        <f t="shared" ref="AX380" si="2437">AJ380/SUM(AJ378:AJ389)*AQ389</f>
        <v>1396.0620915016959</v>
      </c>
      <c r="AY380" s="252">
        <f t="shared" ref="AY380" si="2438">AK380/SUM(AK378:AK389)*AR389</f>
        <v>10408.994209394379</v>
      </c>
    </row>
    <row r="381" spans="31:59">
      <c r="AE381" s="165">
        <v>40360</v>
      </c>
      <c r="AF381" s="277">
        <v>1125438</v>
      </c>
      <c r="AG381" s="277">
        <v>551680</v>
      </c>
      <c r="AH381" s="277">
        <v>461320</v>
      </c>
      <c r="AI381" s="277">
        <v>44880</v>
      </c>
      <c r="AJ381" s="277">
        <v>164959</v>
      </c>
      <c r="AK381" s="277">
        <v>863140</v>
      </c>
      <c r="AT381" s="252">
        <f t="shared" ref="AT381" si="2439">AF381/SUM(AF378:AF389)*AM389</f>
        <v>11391.410041665</v>
      </c>
      <c r="AU381" s="252">
        <f t="shared" ref="AU381" si="2440">AG381/SUM(AG378:AG389)*AN389</f>
        <v>5937.8372948518681</v>
      </c>
      <c r="AV381" s="252">
        <f t="shared" ref="AV381" si="2441">AH381/SUM(AH378:AH389)*AO389</f>
        <v>3369.5098677197552</v>
      </c>
      <c r="AW381" s="252">
        <f t="shared" ref="AW381" si="2442">AI381/SUM(AI378:AI389)*AP389</f>
        <v>429.35429447852766</v>
      </c>
      <c r="AX381" s="252">
        <f t="shared" ref="AX381" si="2443">AJ381/SUM(AJ378:AJ389)*AQ389</f>
        <v>1448.666133346931</v>
      </c>
      <c r="AY381" s="252">
        <f t="shared" ref="AY381" si="2444">AK381/SUM(AK378:AK389)*AR389</f>
        <v>10599.821451244943</v>
      </c>
    </row>
    <row r="382" spans="31:59">
      <c r="AE382" s="165">
        <v>40391</v>
      </c>
      <c r="AF382" s="277">
        <v>1175344</v>
      </c>
      <c r="AG382" s="277">
        <v>571677</v>
      </c>
      <c r="AH382" s="277">
        <v>475100</v>
      </c>
      <c r="AI382" s="277">
        <v>48782</v>
      </c>
      <c r="AJ382" s="277">
        <v>170066</v>
      </c>
      <c r="AK382" s="277">
        <v>1010453</v>
      </c>
      <c r="AT382" s="252">
        <f t="shared" ref="AT382" si="2445">AF382/SUM(AF378:AF389)*AM389</f>
        <v>11896.546450369286</v>
      </c>
      <c r="AU382" s="252">
        <f t="shared" ref="AU382" si="2446">AG382/SUM(AG378:AG389)*AN389</f>
        <v>6153.0688283226355</v>
      </c>
      <c r="AV382" s="252">
        <f t="shared" ref="AV382" si="2447">AH382/SUM(AH378:AH389)*AO389</f>
        <v>3470.1598416579723</v>
      </c>
      <c r="AW382" s="252">
        <f t="shared" ref="AW382" si="2448">AI382/SUM(AI378:AI389)*AP389</f>
        <v>466.68362730061347</v>
      </c>
      <c r="AX382" s="252">
        <f t="shared" ref="AX382" si="2449">AJ382/SUM(AJ378:AJ389)*AQ389</f>
        <v>1493.515689557885</v>
      </c>
      <c r="AY382" s="252">
        <f t="shared" ref="AY382" si="2450">AK382/SUM(AK378:AK389)*AR389</f>
        <v>12408.903984144874</v>
      </c>
    </row>
    <row r="383" spans="31:59">
      <c r="AE383" s="165">
        <v>40422</v>
      </c>
      <c r="AF383" s="277">
        <v>1200142</v>
      </c>
      <c r="AG383" s="277">
        <v>599663</v>
      </c>
      <c r="AH383" s="277">
        <v>429103</v>
      </c>
      <c r="AI383" s="277">
        <v>52139</v>
      </c>
      <c r="AJ383" s="277">
        <v>182284</v>
      </c>
      <c r="AK383" s="277">
        <v>1091508</v>
      </c>
      <c r="AT383" s="252">
        <f t="shared" ref="AT383" si="2451">AF383/SUM(AF378:AF389)*AM389</f>
        <v>12147.545782374431</v>
      </c>
      <c r="AU383" s="252">
        <f t="shared" ref="AU383" si="2452">AG383/SUM(AG378:AG389)*AN389</f>
        <v>6454.2874959084174</v>
      </c>
      <c r="AV383" s="252">
        <f t="shared" ref="AV383" si="2453">AH383/SUM(AH378:AH389)*AO389</f>
        <v>3134.1949032518651</v>
      </c>
      <c r="AW383" s="252">
        <f t="shared" ref="AW383" si="2454">AI383/SUM(AI378:AI389)*AP389</f>
        <v>498.79909892638034</v>
      </c>
      <c r="AX383" s="252">
        <f t="shared" ref="AX383" si="2455">AJ383/SUM(AJ378:AJ389)*AQ389</f>
        <v>1600.813883759067</v>
      </c>
      <c r="AY383" s="252">
        <f t="shared" ref="AY383" si="2456">AK383/SUM(AK378:AK389)*AR389</f>
        <v>13404.302792832525</v>
      </c>
    </row>
    <row r="384" spans="31:59">
      <c r="AE384" s="165">
        <v>40452</v>
      </c>
      <c r="AF384" s="277">
        <v>1218938</v>
      </c>
      <c r="AG384" s="277">
        <v>622838</v>
      </c>
      <c r="AH384" s="277">
        <v>493037</v>
      </c>
      <c r="AI384" s="277">
        <v>53307</v>
      </c>
      <c r="AJ384" s="277">
        <v>194312</v>
      </c>
      <c r="AK384" s="277">
        <v>1212355</v>
      </c>
      <c r="AT384" s="252">
        <f t="shared" ref="AT384" si="2457">AF384/SUM(AF378:AF389)*AM389</f>
        <v>12337.794328401078</v>
      </c>
      <c r="AU384" s="252">
        <f t="shared" ref="AU384" si="2458">AG384/SUM(AG378:AG389)*AN389</f>
        <v>6703.7244508609119</v>
      </c>
      <c r="AV384" s="252">
        <f t="shared" ref="AV384" si="2459">AH384/SUM(AH378:AH389)*AO389</f>
        <v>3601.1728012029507</v>
      </c>
      <c r="AW384" s="252">
        <f t="shared" ref="AW384" si="2460">AI384/SUM(AI378:AI389)*AP389</f>
        <v>509.97302530674847</v>
      </c>
      <c r="AX384" s="252">
        <f t="shared" ref="AX384" si="2461">AJ384/SUM(AJ378:AJ389)*AQ389</f>
        <v>1706.4435023424537</v>
      </c>
      <c r="AY384" s="252">
        <f t="shared" ref="AY384" si="2462">AK384/SUM(AK378:AK389)*AR389</f>
        <v>14888.368671969858</v>
      </c>
    </row>
    <row r="385" spans="31:59">
      <c r="AE385" s="165">
        <v>40483</v>
      </c>
      <c r="AF385" s="277">
        <v>1230626</v>
      </c>
      <c r="AG385" s="277">
        <v>631201</v>
      </c>
      <c r="AH385" s="277">
        <v>495556</v>
      </c>
      <c r="AI385" s="277">
        <v>55346</v>
      </c>
      <c r="AJ385" s="277">
        <v>192534</v>
      </c>
      <c r="AK385" s="277">
        <v>1320453</v>
      </c>
      <c r="AT385" s="252">
        <f t="shared" ref="AT385" si="2463">AF385/SUM(AF378:AF389)*AM389</f>
        <v>12456.097425121625</v>
      </c>
      <c r="AU385" s="252">
        <f t="shared" ref="AU385" si="2464">AG385/SUM(AG378:AG389)*AN389</f>
        <v>6793.7370184668544</v>
      </c>
      <c r="AV385" s="252">
        <f t="shared" ref="AV385" si="2465">AH385/SUM(AH378:AH389)*AO389</f>
        <v>3619.5717333038479</v>
      </c>
      <c r="AW385" s="252">
        <f t="shared" ref="AW385" si="2466">AI385/SUM(AI378:AI389)*AP389</f>
        <v>529.47956288343562</v>
      </c>
      <c r="AX385" s="252">
        <f t="shared" ref="AX385" si="2467">AJ385/SUM(AJ378:AJ389)*AQ389</f>
        <v>1690.8291473506627</v>
      </c>
      <c r="AY385" s="252">
        <f t="shared" ref="AY385" si="2468">AK385/SUM(AK378:AK389)*AR389</f>
        <v>16215.870003430196</v>
      </c>
    </row>
    <row r="386" spans="31:59">
      <c r="AE386" s="165">
        <v>40513</v>
      </c>
      <c r="AF386" s="277">
        <v>1230072</v>
      </c>
      <c r="AG386" s="277">
        <v>629963</v>
      </c>
      <c r="AH386" s="277">
        <v>597510</v>
      </c>
      <c r="AI386" s="277">
        <v>54575</v>
      </c>
      <c r="AJ386" s="277">
        <v>199091</v>
      </c>
      <c r="AK386" s="277">
        <v>1416502</v>
      </c>
      <c r="AT386" s="252">
        <f t="shared" ref="AT386" si="2469">AF386/SUM(AF378:AF389)*AM389</f>
        <v>12450.48997170075</v>
      </c>
      <c r="AU386" s="252">
        <f t="shared" ref="AU386" si="2470">AG386/SUM(AG378:AG389)*AN389</f>
        <v>6780.4121878204178</v>
      </c>
      <c r="AV386" s="252">
        <f t="shared" ref="AV386" si="2471">AH386/SUM(AH378:AH389)*AO389</f>
        <v>4364.2500673312043</v>
      </c>
      <c r="AW386" s="252">
        <f t="shared" ref="AW386" si="2472">AI386/SUM(AI378:AI389)*AP389</f>
        <v>522.10362346625766</v>
      </c>
      <c r="AX386" s="252">
        <f t="shared" ref="AX386" si="2473">AJ386/SUM(AJ378:AJ389)*AQ389</f>
        <v>1748.4125701184769</v>
      </c>
      <c r="AY386" s="252">
        <f t="shared" ref="AY386" si="2474">AK386/SUM(AK378:AK389)*AR389</f>
        <v>17395.403162095798</v>
      </c>
      <c r="BA386" s="252">
        <f t="shared" ref="BA386" si="2475">SUM(AT375:AT386)</f>
        <v>136204.04053941541</v>
      </c>
      <c r="BB386" s="252">
        <f t="shared" ref="BB386" si="2476">SUM(AU375:AU386)</f>
        <v>73649.344303493388</v>
      </c>
      <c r="BC386" s="252">
        <f t="shared" ref="BC386" si="2477">SUM(AV375:AV386)</f>
        <v>42897.044274349406</v>
      </c>
      <c r="BD386" s="252">
        <f t="shared" ref="BD386" si="2478">SUM(AW375:AW386)</f>
        <v>5480.6566541579678</v>
      </c>
      <c r="BE386" s="252">
        <f t="shared" ref="BE386" si="2479">SUM(AX375:AX386)</f>
        <v>18339.251129248478</v>
      </c>
      <c r="BF386" s="252">
        <f t="shared" ref="BF386" si="2480">SUM(AY375:AY386)</f>
        <v>170407.43092706206</v>
      </c>
      <c r="BG386" s="252">
        <f t="shared" ref="BG386" si="2481">SUM(BA386:BF386)</f>
        <v>446977.76782772673</v>
      </c>
    </row>
    <row r="387" spans="31:59">
      <c r="AE387" s="165">
        <v>40544</v>
      </c>
      <c r="AF387" s="277">
        <v>1188491</v>
      </c>
      <c r="AG387" s="277">
        <v>614086</v>
      </c>
      <c r="AH387" s="277">
        <v>524426</v>
      </c>
      <c r="AI387" s="277">
        <v>51987</v>
      </c>
      <c r="AJ387" s="277">
        <v>180448</v>
      </c>
      <c r="AK387" s="277">
        <v>1356113</v>
      </c>
      <c r="AT387" s="252">
        <f t="shared" ref="AT387" si="2482">AF387/SUM(AF378:AF389)*AM389</f>
        <v>12029.617190665747</v>
      </c>
      <c r="AU387" s="252">
        <f t="shared" ref="AU387" si="2483">AG387/SUM(AG378:AG389)*AN389</f>
        <v>6609.525001896759</v>
      </c>
      <c r="AV387" s="252">
        <f t="shared" ref="AV387" si="2484">AH387/SUM(AH378:AH389)*AO389</f>
        <v>3830.4400023601847</v>
      </c>
      <c r="AW387" s="252">
        <f t="shared" ref="AW387" si="2485">AI387/SUM(AI378:AI389)*AP389</f>
        <v>497.34495782208586</v>
      </c>
      <c r="AX387" s="252">
        <f t="shared" ref="AX387" si="2486">AJ387/SUM(AJ378:AJ389)*AQ389</f>
        <v>1584.6901741050017</v>
      </c>
      <c r="AY387" s="252">
        <f t="shared" ref="AY387" si="2487">AK387/SUM(AK378:AK389)*AR389</f>
        <v>16653.793901003468</v>
      </c>
    </row>
    <row r="388" spans="31:59">
      <c r="AE388" s="165">
        <v>40575</v>
      </c>
      <c r="AF388" s="277">
        <v>1138914</v>
      </c>
      <c r="AG388" s="277">
        <v>599024</v>
      </c>
      <c r="AH388" s="277">
        <v>594364</v>
      </c>
      <c r="AI388" s="277">
        <v>47349</v>
      </c>
      <c r="AJ388" s="277">
        <v>170913</v>
      </c>
      <c r="AK388" s="277">
        <v>1420541</v>
      </c>
      <c r="AT388" s="252">
        <f t="shared" ref="AT388" si="2488">AF388/SUM(AF378:AF389)*AM389</f>
        <v>11527.810840039923</v>
      </c>
      <c r="AU388" s="252">
        <f t="shared" ref="AU388" si="2489">AG388/SUM(AG378:AG389)*AN389</f>
        <v>6447.4098167621551</v>
      </c>
      <c r="AV388" s="252">
        <f t="shared" ref="AV388" si="2490">AH388/SUM(AH378:AH389)*AO389</f>
        <v>4341.2714883754979</v>
      </c>
      <c r="AW388" s="252">
        <f t="shared" ref="AW388" si="2491">AI388/SUM(AI378:AI389)*AP389</f>
        <v>452.97452070552151</v>
      </c>
      <c r="AX388" s="252">
        <f t="shared" ref="AX388" si="2492">AJ388/SUM(AJ378:AJ389)*AQ389</f>
        <v>1500.9540240224783</v>
      </c>
      <c r="AY388" s="252">
        <f t="shared" ref="AY388" si="2493">AK388/SUM(AK378:AK389)*AR389</f>
        <v>17445.004245166419</v>
      </c>
    </row>
    <row r="389" spans="31:59">
      <c r="AE389" s="165">
        <v>40603</v>
      </c>
      <c r="AF389" s="277">
        <v>1067210</v>
      </c>
      <c r="AG389" s="277">
        <v>570869</v>
      </c>
      <c r="AH389" s="277">
        <v>579871</v>
      </c>
      <c r="AI389" s="277">
        <v>44352</v>
      </c>
      <c r="AJ389" s="277">
        <v>158674</v>
      </c>
      <c r="AK389" s="277">
        <v>1429563</v>
      </c>
      <c r="AM389" s="277">
        <v>138357</v>
      </c>
      <c r="AN389" s="277">
        <v>74478</v>
      </c>
      <c r="AO389" s="277">
        <v>43202</v>
      </c>
      <c r="AP389" s="277">
        <v>5489</v>
      </c>
      <c r="AQ389" s="277">
        <v>18256</v>
      </c>
      <c r="AR389" s="277">
        <v>169161</v>
      </c>
      <c r="AT389" s="252">
        <f t="shared" ref="AT389" si="2494">AF389/SUM(AF378:AF389)*AM389</f>
        <v>10802.040370562663</v>
      </c>
      <c r="AU389" s="252">
        <f t="shared" ref="AU389" si="2495">AG389/SUM(AG378:AG389)*AN389</f>
        <v>6144.372169871649</v>
      </c>
      <c r="AV389" s="252">
        <f t="shared" ref="AV389" si="2496">AH389/SUM(AH378:AH389)*AO389</f>
        <v>4235.4137182531049</v>
      </c>
      <c r="AW389" s="252">
        <f t="shared" ref="AW389" si="2497">AI389/SUM(AI378:AI389)*AP389</f>
        <v>424.30306748466256</v>
      </c>
      <c r="AX389" s="252">
        <f t="shared" ref="AX389" si="2498">AJ389/SUM(AJ378:AJ389)*AQ389</f>
        <v>1393.4714083056451</v>
      </c>
      <c r="AY389" s="252">
        <f t="shared" ref="AY389" si="2499">AK389/SUM(AK378:AK389)*AR389</f>
        <v>17555.799236863168</v>
      </c>
      <c r="AZ389" s="25">
        <f t="shared" ref="AZ389" si="2500">SUM(AT378:AY389)-SUM(AM389:AR389)</f>
        <v>0</v>
      </c>
    </row>
    <row r="390" spans="31:59">
      <c r="AE390" s="165">
        <v>40634</v>
      </c>
      <c r="AF390" s="277">
        <v>1022541</v>
      </c>
      <c r="AG390" s="277">
        <v>536008</v>
      </c>
      <c r="AH390" s="277">
        <v>361185</v>
      </c>
      <c r="AI390" s="277">
        <v>43227</v>
      </c>
      <c r="AJ390" s="277">
        <v>140823</v>
      </c>
      <c r="AK390" s="277">
        <v>883917</v>
      </c>
      <c r="AT390" s="252">
        <f t="shared" ref="AT390" si="2501">AF390/SUM(AF390:AF401)*AM401</f>
        <v>10963.844136004362</v>
      </c>
      <c r="AU390" s="252">
        <f t="shared" ref="AU390" si="2502">AG390/SUM(AG390:AG401)*AN401</f>
        <v>5884.0929686217951</v>
      </c>
      <c r="AV390" s="252">
        <f t="shared" ref="AV390" si="2503">AH390/SUM(AH390:AH401)*AO401</f>
        <v>3446.896758524183</v>
      </c>
      <c r="AW390" s="252">
        <f t="shared" ref="AW390" si="2504">AI390/SUM(AI390:AI401)*AP401</f>
        <v>396.7183941270016</v>
      </c>
      <c r="AX390" s="252">
        <f t="shared" ref="AX390" si="2505">AJ390/SUM(AJ390:AJ401)*AQ401</f>
        <v>1545.1627275801554</v>
      </c>
      <c r="AY390" s="252">
        <f t="shared" ref="AY390" si="2506">AK390/SUM(AK390:AK401)*AR401</f>
        <v>9507.756395409906</v>
      </c>
    </row>
    <row r="391" spans="31:59">
      <c r="AE391" s="165">
        <v>40664</v>
      </c>
      <c r="AF391" s="277">
        <v>986306</v>
      </c>
      <c r="AG391" s="277">
        <v>524720</v>
      </c>
      <c r="AH391" s="277">
        <v>373775</v>
      </c>
      <c r="AI391" s="277">
        <v>40787</v>
      </c>
      <c r="AJ391" s="277">
        <v>133534</v>
      </c>
      <c r="AK391" s="277">
        <v>795848</v>
      </c>
      <c r="AT391" s="252">
        <f t="shared" ref="AT391" si="2507">AF391/SUM(AF390:AF401)*AM401</f>
        <v>10575.326812720386</v>
      </c>
      <c r="AU391" s="252">
        <f t="shared" ref="AU391" si="2508">AG391/SUM(AG390:AG401)*AN401</f>
        <v>5760.1775766317442</v>
      </c>
      <c r="AV391" s="252">
        <f t="shared" ref="AV391" si="2509">AH391/SUM(AH390:AH401)*AO401</f>
        <v>3567.0469037124367</v>
      </c>
      <c r="AW391" s="252">
        <f t="shared" ref="AW391" si="2510">AI391/SUM(AI390:AI401)*AP401</f>
        <v>374.32514727503673</v>
      </c>
      <c r="AX391" s="252">
        <f t="shared" ref="AX391" si="2511">AJ391/SUM(AJ390:AJ401)*AQ401</f>
        <v>1465.1850881225971</v>
      </c>
      <c r="AY391" s="252">
        <f t="shared" ref="AY391" si="2512">AK391/SUM(AK390:AK401)*AR401</f>
        <v>8560.451843073708</v>
      </c>
    </row>
    <row r="392" spans="31:59">
      <c r="AE392" s="165">
        <v>40695</v>
      </c>
      <c r="AF392" s="277">
        <v>1045378</v>
      </c>
      <c r="AG392" s="277">
        <v>542350</v>
      </c>
      <c r="AH392" s="277">
        <v>385309</v>
      </c>
      <c r="AI392" s="277">
        <v>39833</v>
      </c>
      <c r="AJ392" s="277">
        <v>136792</v>
      </c>
      <c r="AK392" s="277">
        <v>824353</v>
      </c>
      <c r="AT392" s="252">
        <f t="shared" ref="AT392" si="2513">AF392/SUM(AF390:AF401)*AM401</f>
        <v>11208.70601296962</v>
      </c>
      <c r="AU392" s="252">
        <f t="shared" ref="AU392" si="2514">AG392/SUM(AG390:AG401)*AN401</f>
        <v>5953.7130444546174</v>
      </c>
      <c r="AV392" s="252">
        <f t="shared" ref="AV392" si="2515">AH392/SUM(AH390:AH401)*AO401</f>
        <v>3677.1193242526524</v>
      </c>
      <c r="AW392" s="252">
        <f t="shared" ref="AW392" si="2516">AI392/SUM(AI390:AI401)*AP401</f>
        <v>365.56975485832595</v>
      </c>
      <c r="AX392" s="252">
        <f t="shared" ref="AX392" si="2517">AJ392/SUM(AJ390:AJ401)*AQ401</f>
        <v>1500.9330850155486</v>
      </c>
      <c r="AY392" s="252">
        <f t="shared" ref="AY392" si="2518">AK392/SUM(AK390:AK401)*AR401</f>
        <v>8867.0627534319883</v>
      </c>
    </row>
    <row r="393" spans="31:59">
      <c r="AE393" s="165">
        <v>40725</v>
      </c>
      <c r="AF393" s="277">
        <v>1149297</v>
      </c>
      <c r="AG393" s="277">
        <v>566981</v>
      </c>
      <c r="AH393" s="277">
        <v>366692</v>
      </c>
      <c r="AI393" s="277">
        <v>38954</v>
      </c>
      <c r="AJ393" s="277">
        <v>139076</v>
      </c>
      <c r="AK393" s="277">
        <v>838484</v>
      </c>
      <c r="AT393" s="252">
        <f t="shared" ref="AT393" si="2519">AF393/SUM(AF390:AF401)*AM401</f>
        <v>12322.941744123125</v>
      </c>
      <c r="AU393" s="252">
        <f t="shared" ref="AU393" si="2520">AG393/SUM(AG390:AG401)*AN401</f>
        <v>6224.1028407078875</v>
      </c>
      <c r="AV393" s="252">
        <f t="shared" ref="AV393" si="2521">AH393/SUM(AH390:AH401)*AO401</f>
        <v>3499.4517108317059</v>
      </c>
      <c r="AW393" s="252">
        <f t="shared" ref="AW393" si="2522">AI393/SUM(AI390:AI401)*AP401</f>
        <v>357.5026794555074</v>
      </c>
      <c r="AX393" s="252">
        <f t="shared" ref="AX393" si="2523">AJ393/SUM(AJ390:AJ401)*AQ401</f>
        <v>1525.9939889147208</v>
      </c>
      <c r="AY393" s="252">
        <f t="shared" ref="AY393" si="2524">AK393/SUM(AK390:AK401)*AR401</f>
        <v>9019.061307168975</v>
      </c>
    </row>
    <row r="394" spans="31:59">
      <c r="AE394" s="165">
        <v>40756</v>
      </c>
      <c r="AF394" s="277">
        <v>1248076</v>
      </c>
      <c r="AG394" s="277">
        <v>600141</v>
      </c>
      <c r="AH394" s="277">
        <v>370632</v>
      </c>
      <c r="AI394" s="277">
        <v>41226</v>
      </c>
      <c r="AJ394" s="277">
        <v>146372</v>
      </c>
      <c r="AK394" s="277">
        <v>972873</v>
      </c>
      <c r="AT394" s="252">
        <f t="shared" ref="AT394" si="2525">AF394/SUM(AF390:AF401)*AM401</f>
        <v>13382.065593348119</v>
      </c>
      <c r="AU394" s="252">
        <f t="shared" ref="AU394" si="2526">AG394/SUM(AG390:AG401)*AN401</f>
        <v>6588.1207711109764</v>
      </c>
      <c r="AV394" s="252">
        <f t="shared" ref="AV394" si="2527">AH394/SUM(AH390:AH401)*AO401</f>
        <v>3537.052312264726</v>
      </c>
      <c r="AW394" s="252">
        <f t="shared" ref="AW394" si="2528">AI394/SUM(AI390:AI401)*AP401</f>
        <v>378.3540961963534</v>
      </c>
      <c r="AX394" s="252">
        <f t="shared" ref="AX394" si="2529">AJ394/SUM(AJ390:AJ401)*AQ401</f>
        <v>1606.0484349954377</v>
      </c>
      <c r="AY394" s="252">
        <f t="shared" ref="AY394" si="2530">AK394/SUM(AK390:AK401)*AR401</f>
        <v>10464.601866093333</v>
      </c>
    </row>
    <row r="395" spans="31:59">
      <c r="AE395" s="165">
        <v>40787</v>
      </c>
      <c r="AF395" s="277">
        <v>1267802</v>
      </c>
      <c r="AG395" s="277">
        <v>628630</v>
      </c>
      <c r="AH395" s="277">
        <v>409047</v>
      </c>
      <c r="AI395" s="277">
        <v>42082</v>
      </c>
      <c r="AJ395" s="277">
        <v>152513</v>
      </c>
      <c r="AK395" s="277">
        <v>1113478</v>
      </c>
      <c r="AT395" s="252">
        <f t="shared" ref="AT395" si="2531">AF395/SUM(AF390:AF401)*AM401</f>
        <v>13593.570842943805</v>
      </c>
      <c r="AU395" s="252">
        <f t="shared" ref="AU395" si="2532">AG395/SUM(AG390:AG401)*AN401</f>
        <v>6900.8622312814714</v>
      </c>
      <c r="AV395" s="252">
        <f t="shared" ref="AV395" si="2533">AH395/SUM(AH390:AH401)*AO401</f>
        <v>3903.6581762366691</v>
      </c>
      <c r="AW395" s="252">
        <f t="shared" ref="AW395" si="2534">AI395/SUM(AI390:AI401)*AP401</f>
        <v>386.21008771491154</v>
      </c>
      <c r="AX395" s="252">
        <f t="shared" ref="AX395" si="2535">AJ395/SUM(AJ390:AJ401)*AQ401</f>
        <v>1673.4297882549886</v>
      </c>
      <c r="AY395" s="252">
        <f t="shared" ref="AY395" si="2536">AK395/SUM(AK390:AK401)*AR401</f>
        <v>11977.004148181595</v>
      </c>
    </row>
    <row r="396" spans="31:59">
      <c r="AE396" s="165">
        <v>40817</v>
      </c>
      <c r="AF396" s="277">
        <v>1253462</v>
      </c>
      <c r="AG396" s="277">
        <v>651038</v>
      </c>
      <c r="AH396" s="277">
        <v>408908</v>
      </c>
      <c r="AI396" s="277">
        <v>43797</v>
      </c>
      <c r="AJ396" s="277">
        <v>162397</v>
      </c>
      <c r="AK396" s="277">
        <v>1232039</v>
      </c>
      <c r="AT396" s="252">
        <f t="shared" ref="AT396" si="2537">AF396/SUM(AF390:AF401)*AM401</f>
        <v>13439.815125656867</v>
      </c>
      <c r="AU396" s="252">
        <f t="shared" ref="AU396" si="2538">AG396/SUM(AG390:AG401)*AN401</f>
        <v>7146.8487748421594</v>
      </c>
      <c r="AV396" s="252">
        <f t="shared" ref="AV396" si="2539">AH396/SUM(AH390:AH401)*AO401</f>
        <v>3902.3316575566723</v>
      </c>
      <c r="AW396" s="252">
        <f t="shared" ref="AW396" si="2540">AI396/SUM(AI390:AI401)*AP401</f>
        <v>401.9496034325835</v>
      </c>
      <c r="AX396" s="252">
        <f t="shared" ref="AX396" si="2541">AJ396/SUM(AJ390:AJ401)*AQ401</f>
        <v>1781.8807401549075</v>
      </c>
      <c r="AY396" s="252">
        <f t="shared" ref="AY396" si="2542">AK396/SUM(AK390:AK401)*AR401</f>
        <v>13252.292558740724</v>
      </c>
    </row>
    <row r="397" spans="31:59">
      <c r="AE397" s="165">
        <v>40848</v>
      </c>
      <c r="AF397" s="277">
        <v>1216924</v>
      </c>
      <c r="AG397" s="277">
        <v>645553</v>
      </c>
      <c r="AH397" s="277">
        <v>400029</v>
      </c>
      <c r="AI397" s="277">
        <v>43939</v>
      </c>
      <c r="AJ397" s="277">
        <v>167109</v>
      </c>
      <c r="AK397" s="277">
        <v>1336467</v>
      </c>
      <c r="AT397" s="252">
        <f t="shared" ref="AT397" si="2543">AF397/SUM(AF390:AF401)*AM401</f>
        <v>13048.048989099676</v>
      </c>
      <c r="AU397" s="252">
        <f t="shared" ref="AU397" si="2544">AG397/SUM(AG390:AG401)*AN401</f>
        <v>7086.6365206726496</v>
      </c>
      <c r="AV397" s="252">
        <f t="shared" ref="AV397" si="2545">AH397/SUM(AH390:AH401)*AO401</f>
        <v>3817.5966981343922</v>
      </c>
      <c r="AW397" s="252">
        <f t="shared" ref="AW397" si="2546">AI397/SUM(AI390:AI401)*AP401</f>
        <v>403.25281697888636</v>
      </c>
      <c r="AX397" s="252">
        <f t="shared" ref="AX397" si="2547">AJ397/SUM(AJ390:AJ401)*AQ401</f>
        <v>1833.5825699153704</v>
      </c>
      <c r="AY397" s="252">
        <f t="shared" ref="AY397" si="2548">AK397/SUM(AK390:AK401)*AR401</f>
        <v>14375.560902781925</v>
      </c>
    </row>
    <row r="398" spans="31:59">
      <c r="AE398" s="165">
        <v>40878</v>
      </c>
      <c r="AF398" s="277">
        <v>1174995</v>
      </c>
      <c r="AG398" s="277">
        <v>640543</v>
      </c>
      <c r="AH398" s="277">
        <v>431519</v>
      </c>
      <c r="AI398" s="277">
        <v>43743</v>
      </c>
      <c r="AJ398" s="277">
        <v>169920</v>
      </c>
      <c r="AK398" s="277">
        <v>1406576</v>
      </c>
      <c r="AT398" s="252">
        <f t="shared" ref="AT398" si="2549">AF398/SUM(AF390:AF401)*AM401</f>
        <v>12598.479709453652</v>
      </c>
      <c r="AU398" s="252">
        <f t="shared" ref="AU398" si="2550">AG398/SUM(AG390:AG401)*AN401</f>
        <v>7031.6386367365976</v>
      </c>
      <c r="AV398" s="252">
        <f t="shared" ref="AV398" si="2551">AH398/SUM(AH390:AH401)*AO401</f>
        <v>4118.1152106028685</v>
      </c>
      <c r="AW398" s="252">
        <f t="shared" ref="AW398" si="2552">AI398/SUM(AI390:AI401)*AP401</f>
        <v>401.45401518258103</v>
      </c>
      <c r="AX398" s="252">
        <f t="shared" ref="AX398" si="2553">AJ398/SUM(AJ390:AJ401)*AQ401</f>
        <v>1864.42591530091</v>
      </c>
      <c r="AY398" s="252">
        <f t="shared" ref="AY398" si="2554">AK398/SUM(AK390:AK401)*AR401</f>
        <v>15129.680682270035</v>
      </c>
      <c r="BA398" s="252">
        <f t="shared" ref="BA398" si="2555">SUM(AT387:AT398)</f>
        <v>145492.26736758795</v>
      </c>
      <c r="BB398" s="252">
        <f t="shared" ref="BB398" si="2556">SUM(AU387:AU398)</f>
        <v>77777.500353590454</v>
      </c>
      <c r="BC398" s="252">
        <f t="shared" ref="BC398" si="2557">SUM(AV387:AV398)</f>
        <v>45876.393961105088</v>
      </c>
      <c r="BD398" s="252">
        <f t="shared" ref="BD398" si="2558">SUM(AW387:AW398)</f>
        <v>4839.9591412334576</v>
      </c>
      <c r="BE398" s="252">
        <f t="shared" ref="BE398" si="2559">SUM(AX387:AX398)</f>
        <v>19275.757944687764</v>
      </c>
      <c r="BF398" s="252">
        <f t="shared" ref="BF398" si="2560">SUM(AY387:AY398)</f>
        <v>152808.06984018526</v>
      </c>
      <c r="BG398" s="252">
        <f t="shared" ref="BG398" si="2561">SUM(BA398:BF398)</f>
        <v>446069.94860838994</v>
      </c>
    </row>
    <row r="399" spans="31:59">
      <c r="AE399" s="165">
        <v>40909</v>
      </c>
      <c r="AF399" s="277">
        <v>1162635</v>
      </c>
      <c r="AG399" s="277">
        <v>639082</v>
      </c>
      <c r="AH399" s="277">
        <v>406072</v>
      </c>
      <c r="AI399" s="277">
        <v>43194</v>
      </c>
      <c r="AJ399" s="277">
        <v>170202</v>
      </c>
      <c r="AK399" s="277">
        <v>1414327</v>
      </c>
      <c r="AT399" s="252">
        <f t="shared" ref="AT399" si="2562">AF399/SUM(AF390:AF401)*AM401</f>
        <v>12465.953861080809</v>
      </c>
      <c r="AU399" s="252">
        <f t="shared" ref="AU399" si="2563">AG399/SUM(AG390:AG401)*AN401</f>
        <v>7015.6003316606348</v>
      </c>
      <c r="AV399" s="252">
        <f t="shared" ref="AV399" si="2564">AH399/SUM(AH390:AH401)*AO401</f>
        <v>3875.2668591647825</v>
      </c>
      <c r="AW399" s="252">
        <f t="shared" ref="AW399" si="2565">AI399/SUM(AI390:AI401)*AP401</f>
        <v>396.41553464088895</v>
      </c>
      <c r="AX399" s="252">
        <f t="shared" ref="AX399" si="2566">AJ399/SUM(AJ390:AJ401)*AQ401</f>
        <v>1867.5201249767269</v>
      </c>
      <c r="AY399" s="252">
        <f t="shared" ref="AY399" si="2567">AK399/SUM(AK390:AK401)*AR401</f>
        <v>15213.053464805978</v>
      </c>
    </row>
    <row r="400" spans="31:59">
      <c r="AE400" s="165">
        <v>40940</v>
      </c>
      <c r="AF400" s="277">
        <v>1149499</v>
      </c>
      <c r="AG400" s="277">
        <v>621616</v>
      </c>
      <c r="AH400" s="277">
        <v>413273</v>
      </c>
      <c r="AI400" s="277">
        <v>41551</v>
      </c>
      <c r="AJ400" s="277">
        <v>166692</v>
      </c>
      <c r="AK400" s="277">
        <v>1499378</v>
      </c>
      <c r="AT400" s="252">
        <f t="shared" ref="AT400" si="2568">AF400/SUM(AF390:AF401)*AM401</f>
        <v>12325.107619638604</v>
      </c>
      <c r="AU400" s="252">
        <f t="shared" ref="AU400" si="2569">AG400/SUM(AG390:AG401)*AN401</f>
        <v>6823.8651937709983</v>
      </c>
      <c r="AV400" s="252">
        <f t="shared" ref="AV400" si="2570">AH400/SUM(AH390:AH401)*AO401</f>
        <v>3943.9881614285332</v>
      </c>
      <c r="AW400" s="252">
        <f t="shared" ref="AW400" si="2571">AI400/SUM(AI390:AI401)*AP401</f>
        <v>381.33680325655359</v>
      </c>
      <c r="AX400" s="252">
        <f t="shared" ref="AX400" si="2572">AJ400/SUM(AJ390:AJ401)*AQ401</f>
        <v>1829.0070896500663</v>
      </c>
      <c r="AY400" s="252">
        <f t="shared" ref="AY400" si="2573">AK400/SUM(AK390:AK401)*AR401</f>
        <v>16127.895230702557</v>
      </c>
    </row>
    <row r="401" spans="31:59">
      <c r="AE401" s="165">
        <v>40969</v>
      </c>
      <c r="AF401" s="277">
        <v>1074144</v>
      </c>
      <c r="AG401" s="277">
        <v>581760</v>
      </c>
      <c r="AH401" s="277">
        <v>460792</v>
      </c>
      <c r="AI401" s="277">
        <v>37582</v>
      </c>
      <c r="AJ401" s="277">
        <v>156833</v>
      </c>
      <c r="AK401" s="277">
        <v>1448774</v>
      </c>
      <c r="AM401" s="277">
        <v>147441</v>
      </c>
      <c r="AN401" s="277">
        <v>78802</v>
      </c>
      <c r="AO401" s="277">
        <v>45686</v>
      </c>
      <c r="AP401" s="277">
        <v>4588</v>
      </c>
      <c r="AQ401" s="277">
        <v>20214</v>
      </c>
      <c r="AR401" s="277">
        <v>148078</v>
      </c>
      <c r="AT401" s="252">
        <f t="shared" ref="AT401" si="2574">AF401/SUM(AF390:AF401)*AM401</f>
        <v>11517.139552960974</v>
      </c>
      <c r="AU401" s="252">
        <f t="shared" ref="AU401" si="2575">AG401/SUM(AG390:AG401)*AN401</f>
        <v>6386.3411095084693</v>
      </c>
      <c r="AV401" s="252">
        <f t="shared" ref="AV401" si="2576">AH401/SUM(AH390:AH401)*AO401</f>
        <v>4397.4762272903781</v>
      </c>
      <c r="AW401" s="252">
        <f t="shared" ref="AW401" si="2577">AI401/SUM(AI390:AI401)*AP401</f>
        <v>344.91106688136983</v>
      </c>
      <c r="AX401" s="252">
        <f t="shared" ref="AX401" si="2578">AJ401/SUM(AJ390:AJ401)*AQ401</f>
        <v>1720.8304471185711</v>
      </c>
      <c r="AY401" s="252">
        <f t="shared" ref="AY401" si="2579">AK401/SUM(AK390:AK401)*AR401</f>
        <v>15583.578847339277</v>
      </c>
      <c r="AZ401" s="25">
        <f t="shared" ref="AZ401" si="2580">SUM(AT390:AY401)-SUM(AM401:AR401)</f>
        <v>0</v>
      </c>
    </row>
    <row r="402" spans="31:59">
      <c r="AE402" s="165">
        <v>41000</v>
      </c>
      <c r="AF402" s="277">
        <v>1035937</v>
      </c>
      <c r="AG402" s="277">
        <v>549584</v>
      </c>
      <c r="AH402" s="277">
        <v>325838</v>
      </c>
      <c r="AI402" s="277">
        <v>34920</v>
      </c>
      <c r="AJ402" s="277">
        <v>143401</v>
      </c>
      <c r="AK402" s="277">
        <v>890261</v>
      </c>
      <c r="AT402" s="252">
        <f t="shared" ref="AT402" si="2581">AF402/SUM(AF402:AF413)*AM413</f>
        <v>11253.701944487013</v>
      </c>
      <c r="AU402" s="252">
        <f t="shared" ref="AU402" si="2582">AG402/SUM(AG402:AG413)*AN413</f>
        <v>6245.6380441939436</v>
      </c>
      <c r="AV402" s="252">
        <f t="shared" ref="AV402" si="2583">AH402/SUM(AH402:AH413)*AO413</f>
        <v>3197.4271975158831</v>
      </c>
      <c r="AW402" s="252">
        <f t="shared" ref="AW402" si="2584">AI402/SUM(AI402:AI413)*AP413</f>
        <v>398.83652366502236</v>
      </c>
      <c r="AX402" s="252">
        <f t="shared" ref="AX402" si="2585">AJ402/SUM(AJ402:AJ413)*AQ413</f>
        <v>1544.1702698298363</v>
      </c>
      <c r="AY402" s="252">
        <f t="shared" ref="AY402" si="2586">AK402/SUM(AK402:AK413)*AR413</f>
        <v>8890.2926696517316</v>
      </c>
    </row>
    <row r="403" spans="31:59">
      <c r="AE403" s="165">
        <v>41030</v>
      </c>
      <c r="AF403" s="277">
        <v>1057895</v>
      </c>
      <c r="AG403" s="277">
        <v>532272</v>
      </c>
      <c r="AH403" s="277">
        <v>325046</v>
      </c>
      <c r="AI403" s="277">
        <v>30654</v>
      </c>
      <c r="AJ403" s="277">
        <v>140831</v>
      </c>
      <c r="AK403" s="277">
        <v>811639</v>
      </c>
      <c r="AT403" s="252">
        <f t="shared" ref="AT403" si="2587">AF403/SUM(AF402:AF413)*AM413</f>
        <v>11492.238445545519</v>
      </c>
      <c r="AU403" s="252">
        <f t="shared" ref="AU403" si="2588">AG403/SUM(AG402:AG413)*AN413</f>
        <v>6048.8992639145226</v>
      </c>
      <c r="AV403" s="252">
        <f t="shared" ref="AV403" si="2589">AH403/SUM(AH402:AH413)*AO413</f>
        <v>3189.6553527941728</v>
      </c>
      <c r="AW403" s="252">
        <f t="shared" ref="AW403" si="2590">AI403/SUM(AI402:AI413)*AP413</f>
        <v>350.11268031006858</v>
      </c>
      <c r="AX403" s="252">
        <f t="shared" ref="AX403" si="2591">AJ403/SUM(AJ402:AJ413)*AQ413</f>
        <v>1516.4960026109002</v>
      </c>
      <c r="AY403" s="252">
        <f t="shared" ref="AY403" si="2592">AK403/SUM(AK402:AK413)*AR413</f>
        <v>8105.160455308569</v>
      </c>
    </row>
    <row r="404" spans="31:59">
      <c r="AE404" s="165">
        <v>41061</v>
      </c>
      <c r="AF404" s="277">
        <v>1115910</v>
      </c>
      <c r="AG404" s="277">
        <v>543716</v>
      </c>
      <c r="AH404" s="277">
        <v>353423</v>
      </c>
      <c r="AI404" s="277">
        <v>30158</v>
      </c>
      <c r="AJ404" s="277">
        <v>151516</v>
      </c>
      <c r="AK404" s="277">
        <v>867880</v>
      </c>
      <c r="AT404" s="252">
        <f t="shared" ref="AT404" si="2593">AF404/SUM(AF402:AF413)*AM413</f>
        <v>12122.473216877572</v>
      </c>
      <c r="AU404" s="252">
        <f t="shared" ref="AU404" si="2594">AG404/SUM(AG402:AG413)*AN413</f>
        <v>6178.9523254624482</v>
      </c>
      <c r="AV404" s="252">
        <f t="shared" ref="AV404" si="2595">AH404/SUM(AH402:AH413)*AO413</f>
        <v>3468.1170165163544</v>
      </c>
      <c r="AW404" s="252">
        <f t="shared" ref="AW404" si="2596">AI404/SUM(AI402:AI413)*AP413</f>
        <v>344.44764835881284</v>
      </c>
      <c r="AX404" s="252">
        <f t="shared" ref="AX404" si="2597">AJ404/SUM(AJ402:AJ413)*AQ413</f>
        <v>1631.5541914180342</v>
      </c>
      <c r="AY404" s="252">
        <f t="shared" ref="AY404" si="2598">AK404/SUM(AK402:AK413)*AR413</f>
        <v>8666.7923251016782</v>
      </c>
    </row>
    <row r="405" spans="31:59">
      <c r="AE405" s="165">
        <v>41091</v>
      </c>
      <c r="AF405" s="277">
        <v>1170478</v>
      </c>
      <c r="AG405" s="277">
        <v>560317</v>
      </c>
      <c r="AH405" s="277">
        <v>354797</v>
      </c>
      <c r="AI405" s="277">
        <v>30472</v>
      </c>
      <c r="AJ405" s="277">
        <v>165919</v>
      </c>
      <c r="AK405" s="277">
        <v>913900</v>
      </c>
      <c r="AT405" s="252">
        <f t="shared" ref="AT405" si="2599">AF405/SUM(AF402:AF413)*AM413</f>
        <v>12715.262168046194</v>
      </c>
      <c r="AU405" s="252">
        <f t="shared" ref="AU405" si="2600">AG405/SUM(AG402:AG413)*AN413</f>
        <v>6367.6110876747107</v>
      </c>
      <c r="AV405" s="252">
        <f t="shared" ref="AV405" si="2601">AH405/SUM(AH402:AH413)*AO413</f>
        <v>3481.5999895562909</v>
      </c>
      <c r="AW405" s="252">
        <f t="shared" ref="AW405" si="2602">AI405/SUM(AI402:AI413)*AP413</f>
        <v>348.03397906989005</v>
      </c>
      <c r="AX405" s="252">
        <f t="shared" ref="AX405" si="2603">AJ405/SUM(AJ402:AJ413)*AQ413</f>
        <v>1786.6485380150534</v>
      </c>
      <c r="AY405" s="252">
        <f t="shared" ref="AY405" si="2604">AK405/SUM(AK402:AK413)*AR413</f>
        <v>9126.3556089671656</v>
      </c>
    </row>
    <row r="406" spans="31:59">
      <c r="AE406" s="165">
        <v>41122</v>
      </c>
      <c r="AF406" s="277">
        <v>1227964</v>
      </c>
      <c r="AG406" s="277">
        <v>578716</v>
      </c>
      <c r="AH406" s="277">
        <v>358774</v>
      </c>
      <c r="AI406" s="277">
        <v>32160</v>
      </c>
      <c r="AJ406" s="277">
        <v>183181</v>
      </c>
      <c r="AK406" s="277">
        <v>1036828</v>
      </c>
      <c r="AT406" s="252">
        <f t="shared" ref="AT406" si="2605">AF406/SUM(AF402:AF413)*AM413</f>
        <v>13339.750249831843</v>
      </c>
      <c r="AU406" s="252">
        <f t="shared" ref="AU406" si="2606">AG406/SUM(AG402:AG413)*AN413</f>
        <v>6576.7028632269903</v>
      </c>
      <c r="AV406" s="252">
        <f t="shared" ref="AV406" si="2607">AH406/SUM(AH402:AH413)*AO413</f>
        <v>3520.6260330641712</v>
      </c>
      <c r="AW406" s="252">
        <f t="shared" ref="AW406" si="2608">AI406/SUM(AI402:AI413)*AP413</f>
        <v>367.31336200077664</v>
      </c>
      <c r="AX406" s="252">
        <f t="shared" ref="AX406" si="2609">AJ406/SUM(AJ402:AJ413)*AQ413</f>
        <v>1972.5291608684688</v>
      </c>
      <c r="AY406" s="252">
        <f t="shared" ref="AY406" si="2610">AK406/SUM(AK402:AK413)*AR413</f>
        <v>10353.934821462095</v>
      </c>
    </row>
    <row r="407" spans="31:59">
      <c r="AE407" s="165">
        <v>41153</v>
      </c>
      <c r="AF407" s="277">
        <v>1256518</v>
      </c>
      <c r="AG407" s="277">
        <v>585838</v>
      </c>
      <c r="AH407" s="277">
        <v>437103</v>
      </c>
      <c r="AI407" s="277">
        <v>35859</v>
      </c>
      <c r="AJ407" s="277">
        <v>199804</v>
      </c>
      <c r="AK407" s="277">
        <v>1160526</v>
      </c>
      <c r="AT407" s="252">
        <f t="shared" ref="AT407" si="2611">AF407/SUM(AF402:AF413)*AM413</f>
        <v>13649.94112565043</v>
      </c>
      <c r="AU407" s="252">
        <f t="shared" ref="AU407" si="2612">AG407/SUM(AG402:AG413)*AN413</f>
        <v>6657.6394155115349</v>
      </c>
      <c r="AV407" s="252">
        <f t="shared" ref="AV407" si="2613">AH407/SUM(AH402:AH413)*AO413</f>
        <v>4289.2634386283517</v>
      </c>
      <c r="AW407" s="252">
        <f t="shared" ref="AW407" si="2614">AI407/SUM(AI402:AI413)*AP413</f>
        <v>409.56125149209731</v>
      </c>
      <c r="AX407" s="252">
        <f t="shared" ref="AX407" si="2615">AJ407/SUM(AJ402:AJ413)*AQ413</f>
        <v>2151.528905607915</v>
      </c>
      <c r="AY407" s="252">
        <f t="shared" ref="AY407" si="2616">AK407/SUM(AK402:AK413)*AR413</f>
        <v>11589.203380514531</v>
      </c>
    </row>
    <row r="408" spans="31:59">
      <c r="AE408" s="165">
        <v>41183</v>
      </c>
      <c r="AF408" s="277">
        <v>1289371</v>
      </c>
      <c r="AG408" s="277">
        <v>599296</v>
      </c>
      <c r="AH408" s="277">
        <v>375700</v>
      </c>
      <c r="AI408" s="277">
        <v>38095</v>
      </c>
      <c r="AJ408" s="277">
        <v>214697</v>
      </c>
      <c r="AK408" s="277">
        <v>1317548</v>
      </c>
      <c r="AT408" s="252">
        <f t="shared" ref="AT408" si="2617">AF408/SUM(AF402:AF413)*AM413</f>
        <v>14006.833359427419</v>
      </c>
      <c r="AU408" s="252">
        <f t="shared" ref="AU408" si="2618">AG408/SUM(AG402:AG413)*AN413</f>
        <v>6810.5801794325416</v>
      </c>
      <c r="AV408" s="252">
        <f t="shared" ref="AV408" si="2619">AH408/SUM(AH402:AH413)*AO413</f>
        <v>3686.7197751849608</v>
      </c>
      <c r="AW408" s="252">
        <f t="shared" ref="AW408" si="2620">AI408/SUM(AI402:AI413)*AP413</f>
        <v>435.09958101429055</v>
      </c>
      <c r="AX408" s="252">
        <f t="shared" ref="AX408" si="2621">AJ408/SUM(AJ402:AJ413)*AQ413</f>
        <v>2311.8996689120468</v>
      </c>
      <c r="AY408" s="252">
        <f t="shared" ref="AY408" si="2622">AK408/SUM(AK402:AK413)*AR413</f>
        <v>13157.250880712847</v>
      </c>
    </row>
    <row r="409" spans="31:59">
      <c r="AE409" s="165">
        <v>41214</v>
      </c>
      <c r="AF409" s="277">
        <v>1304758</v>
      </c>
      <c r="AG409" s="277">
        <v>600262</v>
      </c>
      <c r="AH409" s="277">
        <v>386094</v>
      </c>
      <c r="AI409" s="277">
        <v>36770</v>
      </c>
      <c r="AJ409" s="277">
        <v>220094</v>
      </c>
      <c r="AK409" s="277">
        <v>1397205</v>
      </c>
      <c r="AT409" s="252">
        <f t="shared" ref="AT409" si="2623">AF409/SUM(AF402:AF413)*AM413</f>
        <v>14173.98706840762</v>
      </c>
      <c r="AU409" s="252">
        <f t="shared" ref="AU409" si="2624">AG409/SUM(AG402:AG413)*AN413</f>
        <v>6821.5580942748429</v>
      </c>
      <c r="AV409" s="252">
        <f t="shared" ref="AV409" si="2625">AH409/SUM(AH402:AH413)*AO413</f>
        <v>3788.7154242221513</v>
      </c>
      <c r="AW409" s="252">
        <f t="shared" ref="AW409" si="2626">AI409/SUM(AI402:AI413)*AP413</f>
        <v>419.96617912837547</v>
      </c>
      <c r="AX409" s="252">
        <f t="shared" ref="AX409" si="2627">AJ409/SUM(AJ402:AJ413)*AQ413</f>
        <v>2370.0156300718131</v>
      </c>
      <c r="AY409" s="252">
        <f t="shared" ref="AY409" si="2628">AK409/SUM(AK402:AK413)*AR413</f>
        <v>13952.718775169022</v>
      </c>
    </row>
    <row r="410" spans="31:59">
      <c r="AE410" s="165">
        <v>41244</v>
      </c>
      <c r="AF410" s="277">
        <v>1292042</v>
      </c>
      <c r="AG410" s="277">
        <v>594679</v>
      </c>
      <c r="AH410" s="277">
        <v>407847</v>
      </c>
      <c r="AI410" s="277">
        <v>36925</v>
      </c>
      <c r="AJ410" s="277">
        <v>220741</v>
      </c>
      <c r="AK410" s="277">
        <v>1460787</v>
      </c>
      <c r="AT410" s="252">
        <f t="shared" ref="AT410" si="2629">AF410/SUM(AF402:AF413)*AM413</f>
        <v>14035.84925314849</v>
      </c>
      <c r="AU410" s="252">
        <f t="shared" ref="AU410" si="2630">AG410/SUM(AG402:AG413)*AN413</f>
        <v>6758.1112013508591</v>
      </c>
      <c r="AV410" s="252">
        <f t="shared" ref="AV410" si="2631">AH410/SUM(AH402:AH413)*AO413</f>
        <v>4002.1762048173032</v>
      </c>
      <c r="AW410" s="252">
        <f t="shared" ref="AW410" si="2632">AI410/SUM(AI402:AI413)*AP413</f>
        <v>421.73650161314293</v>
      </c>
      <c r="AX410" s="252">
        <f t="shared" ref="AX410" si="2633">AJ410/SUM(AJ402:AJ413)*AQ413</f>
        <v>2376.9826537646736</v>
      </c>
      <c r="AY410" s="252">
        <f t="shared" ref="AY410" si="2634">AK410/SUM(AK402:AK413)*AR413</f>
        <v>14587.659077531807</v>
      </c>
      <c r="BA410" s="252">
        <f t="shared" ref="BA410" si="2635">SUM(AT399:AT410)</f>
        <v>153098.23786510248</v>
      </c>
      <c r="BB410" s="252">
        <f t="shared" ref="BB410" si="2636">SUM(AU399:AU410)</f>
        <v>78691.499109982498</v>
      </c>
      <c r="BC410" s="252">
        <f t="shared" ref="BC410" si="2637">SUM(AV399:AV410)</f>
        <v>44841.031680183332</v>
      </c>
      <c r="BD410" s="252">
        <f t="shared" ref="BD410" si="2638">SUM(AW399:AW410)</f>
        <v>4617.7711114312888</v>
      </c>
      <c r="BE410" s="252">
        <f t="shared" ref="BE410" si="2639">SUM(AX399:AX410)</f>
        <v>23079.182682844104</v>
      </c>
      <c r="BF410" s="252">
        <f t="shared" ref="BF410" si="2640">SUM(AY399:AY410)</f>
        <v>145353.89553726726</v>
      </c>
      <c r="BG410" s="252">
        <f t="shared" ref="BG410" si="2641">SUM(BA410:BF410)</f>
        <v>449681.61798681098</v>
      </c>
    </row>
    <row r="411" spans="31:59">
      <c r="AE411" s="165">
        <v>41275</v>
      </c>
      <c r="AF411" s="277">
        <v>1287134</v>
      </c>
      <c r="AG411" s="277">
        <v>605046</v>
      </c>
      <c r="AH411" s="277">
        <v>383388</v>
      </c>
      <c r="AI411" s="277">
        <v>38031</v>
      </c>
      <c r="AJ411" s="277">
        <v>217009</v>
      </c>
      <c r="AK411" s="277">
        <v>1458560</v>
      </c>
      <c r="AT411" s="252">
        <f t="shared" ref="AT411" si="2642">AF411/SUM(AF402:AF413)*AM413</f>
        <v>13982.532141062</v>
      </c>
      <c r="AU411" s="252">
        <f t="shared" ref="AU411" si="2643">AG411/SUM(AG402:AG413)*AN413</f>
        <v>6875.924910636716</v>
      </c>
      <c r="AV411" s="252">
        <f t="shared" ref="AV411" si="2644">AH411/SUM(AH402:AH413)*AO413</f>
        <v>3762.1616214229748</v>
      </c>
      <c r="AW411" s="252">
        <f t="shared" ref="AW411" si="2645">AI411/SUM(AI402:AI413)*AP413</f>
        <v>434.36860914961244</v>
      </c>
      <c r="AX411" s="252">
        <f t="shared" ref="AX411" si="2646">AJ411/SUM(AJ402:AJ413)*AQ413</f>
        <v>2336.795741211728</v>
      </c>
      <c r="AY411" s="252">
        <f t="shared" ref="AY411" si="2647">AK411/SUM(AK402:AK413)*AR413</f>
        <v>14565.419889501201</v>
      </c>
    </row>
    <row r="412" spans="31:59">
      <c r="AE412" s="165">
        <v>41306</v>
      </c>
      <c r="AF412" s="277">
        <v>1251227</v>
      </c>
      <c r="AG412" s="277">
        <v>609131</v>
      </c>
      <c r="AH412" s="277">
        <v>406304</v>
      </c>
      <c r="AI412" s="277">
        <v>37700</v>
      </c>
      <c r="AJ412" s="277">
        <v>210505</v>
      </c>
      <c r="AK412" s="277">
        <v>1433751</v>
      </c>
      <c r="AT412" s="252">
        <f t="shared" ref="AT412" si="2648">AF412/SUM(AF402:AF413)*AM413</f>
        <v>13592.463366879116</v>
      </c>
      <c r="AU412" s="252">
        <f t="shared" ref="AU412" si="2649">AG412/SUM(AG402:AG413)*AN413</f>
        <v>6922.3480805443769</v>
      </c>
      <c r="AV412" s="252">
        <f t="shared" ref="AV412" si="2650">AH412/SUM(AH402:AH413)*AO413</f>
        <v>3987.0348457193245</v>
      </c>
      <c r="AW412" s="252">
        <f t="shared" ref="AW412" si="2651">AI412/SUM(AI402:AI413)*AP413</f>
        <v>430.58811403698007</v>
      </c>
      <c r="AX412" s="252">
        <f t="shared" ref="AX412" si="2652">AJ412/SUM(AJ402:AJ413)*AQ413</f>
        <v>2266.7593855728323</v>
      </c>
      <c r="AY412" s="252">
        <f t="shared" ref="AY412" si="2653">AK412/SUM(AK402:AK413)*AR413</f>
        <v>14317.673137884103</v>
      </c>
    </row>
    <row r="413" spans="31:59">
      <c r="AE413" s="165">
        <v>41334</v>
      </c>
      <c r="AF413" s="277">
        <v>1158484</v>
      </c>
      <c r="AG413" s="277">
        <v>581913</v>
      </c>
      <c r="AH413" s="277">
        <v>462604</v>
      </c>
      <c r="AI413" s="277">
        <v>35454</v>
      </c>
      <c r="AJ413" s="277">
        <v>196655</v>
      </c>
      <c r="AK413" s="277">
        <v>1420319</v>
      </c>
      <c r="AM413" s="277">
        <v>156950</v>
      </c>
      <c r="AN413" s="277">
        <v>78877</v>
      </c>
      <c r="AO413" s="277">
        <v>44913</v>
      </c>
      <c r="AP413" s="277">
        <v>4765</v>
      </c>
      <c r="AQ413" s="277">
        <v>24383</v>
      </c>
      <c r="AR413" s="277">
        <v>141496</v>
      </c>
      <c r="AT413" s="252">
        <f t="shared" ref="AT413" si="2654">AF413/SUM(AF402:AF413)*AM413</f>
        <v>12584.967660636787</v>
      </c>
      <c r="AU413" s="252">
        <f t="shared" ref="AU413" si="2655">AG413/SUM(AG402:AG413)*AN413</f>
        <v>6613.034533776512</v>
      </c>
      <c r="AV413" s="252">
        <f t="shared" ref="AV413" si="2656">AH413/SUM(AH402:AH413)*AO413</f>
        <v>4539.5031005580613</v>
      </c>
      <c r="AW413" s="252">
        <f t="shared" ref="AW413" si="2657">AI413/SUM(AI402:AI413)*AP413</f>
        <v>404.93557016093075</v>
      </c>
      <c r="AX413" s="252">
        <f t="shared" ref="AX413" si="2658">AJ413/SUM(AJ402:AJ413)*AQ413</f>
        <v>2117.6198521166975</v>
      </c>
      <c r="AY413" s="252">
        <f t="shared" ref="AY413" si="2659">AK413/SUM(AK402:AK413)*AR413</f>
        <v>14183.538978195247</v>
      </c>
      <c r="AZ413" s="25">
        <f t="shared" ref="AZ413" si="2660">SUM(AT402:AY413)-SUM(AM413:AR413)</f>
        <v>0</v>
      </c>
    </row>
    <row r="414" spans="31:59">
      <c r="AE414" s="165">
        <v>41365</v>
      </c>
      <c r="AF414" s="277">
        <v>1130107</v>
      </c>
      <c r="AG414" s="277">
        <v>565137</v>
      </c>
      <c r="AH414" s="277">
        <v>350725</v>
      </c>
      <c r="AI414" s="277">
        <v>34869</v>
      </c>
      <c r="AJ414" s="277">
        <v>180130</v>
      </c>
      <c r="AK414" s="277">
        <v>897533</v>
      </c>
      <c r="AT414" s="252">
        <f t="shared" ref="AT414" si="2661">AF414/SUM(AF414:AF425)*AM425</f>
        <v>11933.559923961308</v>
      </c>
      <c r="AU414" s="252">
        <f t="shared" ref="AU414" si="2662">AG414/SUM(AG414:AG425)*AN425</f>
        <v>6586.1333496889147</v>
      </c>
      <c r="AV414" s="252">
        <f t="shared" ref="AV414" si="2663">AH414/SUM(AH414:AH425)*AO425</f>
        <v>3512.385838019421</v>
      </c>
      <c r="AW414" s="252">
        <f t="shared" ref="AW414" si="2664">AI414/SUM(AI414:AI425)*AP425</f>
        <v>439.50262278191616</v>
      </c>
      <c r="AX414" s="252">
        <f t="shared" ref="AX414" si="2665">AJ414/SUM(AJ414:AJ425)*AQ425</f>
        <v>1755.148404166709</v>
      </c>
      <c r="AY414" s="252">
        <f t="shared" ref="AY414" si="2666">AK414/SUM(AK414:AK425)*AR425</f>
        <v>8857.5863471473131</v>
      </c>
    </row>
    <row r="415" spans="31:59">
      <c r="AE415" s="165">
        <v>41395</v>
      </c>
      <c r="AF415" s="277">
        <v>1169564</v>
      </c>
      <c r="AG415" s="277">
        <v>576388</v>
      </c>
      <c r="AH415" s="277">
        <v>346217</v>
      </c>
      <c r="AI415" s="277">
        <v>34181</v>
      </c>
      <c r="AJ415" s="277">
        <v>175759</v>
      </c>
      <c r="AK415" s="277">
        <v>821062</v>
      </c>
      <c r="AT415" s="252">
        <f t="shared" ref="AT415" si="2667">AF415/SUM(AF414:AF425)*AM425</f>
        <v>12350.212925774182</v>
      </c>
      <c r="AU415" s="252">
        <f t="shared" ref="AU415" si="2668">AG415/SUM(AG414:AG425)*AN425</f>
        <v>6717.253036273496</v>
      </c>
      <c r="AV415" s="252">
        <f t="shared" ref="AV415" si="2669">AH415/SUM(AH414:AH425)*AO425</f>
        <v>3467.2398251666405</v>
      </c>
      <c r="AW415" s="252">
        <f t="shared" ref="AW415" si="2670">AI415/SUM(AI414:AI425)*AP425</f>
        <v>430.83079954425642</v>
      </c>
      <c r="AX415" s="252">
        <f t="shared" ref="AX415" si="2671">AJ415/SUM(AJ414:AJ425)*AQ425</f>
        <v>1712.558309931364</v>
      </c>
      <c r="AY415" s="252">
        <f t="shared" ref="AY415" si="2672">AK415/SUM(AK414:AK425)*AR425</f>
        <v>8102.9082622716578</v>
      </c>
    </row>
    <row r="416" spans="31:59">
      <c r="AE416" s="165">
        <v>41426</v>
      </c>
      <c r="AF416" s="277">
        <v>1251557</v>
      </c>
      <c r="AG416" s="277">
        <v>609561</v>
      </c>
      <c r="AH416" s="277">
        <v>372252</v>
      </c>
      <c r="AI416" s="277">
        <v>35761</v>
      </c>
      <c r="AJ416" s="277">
        <v>190068</v>
      </c>
      <c r="AK416" s="277">
        <v>936777</v>
      </c>
      <c r="AT416" s="252">
        <f t="shared" ref="AT416" si="2673">AF416/SUM(AF414:AF425)*AM425</f>
        <v>13216.032161338033</v>
      </c>
      <c r="AU416" s="252">
        <f t="shared" ref="AU416" si="2674">AG416/SUM(AG414:AG425)*AN425</f>
        <v>7103.8527485719833</v>
      </c>
      <c r="AV416" s="252">
        <f t="shared" ref="AV416" si="2675">AH416/SUM(AH414:AH425)*AO425</f>
        <v>3727.9710684279862</v>
      </c>
      <c r="AW416" s="252">
        <f t="shared" ref="AW416" si="2676">AI416/SUM(AI414:AI425)*AP425</f>
        <v>450.74574244469596</v>
      </c>
      <c r="AX416" s="252">
        <f t="shared" ref="AX416" si="2677">AJ416/SUM(AJ414:AJ425)*AQ425</f>
        <v>1851.9821622337092</v>
      </c>
      <c r="AY416" s="252">
        <f t="shared" ref="AY416" si="2678">AK416/SUM(AK414:AK425)*AR425</f>
        <v>9244.8780886291861</v>
      </c>
    </row>
    <row r="417" spans="31:59">
      <c r="AE417" s="165">
        <v>41456</v>
      </c>
      <c r="AF417" s="277">
        <v>1314428</v>
      </c>
      <c r="AG417" s="277">
        <v>638126</v>
      </c>
      <c r="AH417" s="277">
        <v>375131</v>
      </c>
      <c r="AI417" s="277">
        <v>39631</v>
      </c>
      <c r="AJ417" s="277">
        <v>210565</v>
      </c>
      <c r="AK417" s="277">
        <v>1044500</v>
      </c>
      <c r="AT417" s="252">
        <f t="shared" ref="AT417" si="2679">AF417/SUM(AF414:AF425)*AM425</f>
        <v>13879.929337427884</v>
      </c>
      <c r="AU417" s="252">
        <f t="shared" ref="AU417" si="2680">AG417/SUM(AG414:AG425)*AN425</f>
        <v>7436.7506107432164</v>
      </c>
      <c r="AV417" s="252">
        <f t="shared" ref="AV417" si="2681">AH417/SUM(AH414:AH425)*AO425</f>
        <v>3756.8032270356075</v>
      </c>
      <c r="AW417" s="252">
        <f t="shared" ref="AW417" si="2682">AI417/SUM(AI414:AI425)*AP425</f>
        <v>499.5247481565321</v>
      </c>
      <c r="AX417" s="252">
        <f t="shared" ref="AX417" si="2683">AJ417/SUM(AJ414:AJ425)*AQ425</f>
        <v>2051.7005702734859</v>
      </c>
      <c r="AY417" s="252">
        <f t="shared" ref="AY417" si="2684">AK417/SUM(AK414:AK425)*AR425</f>
        <v>10307.976352507783</v>
      </c>
    </row>
    <row r="418" spans="31:59">
      <c r="AE418" s="165">
        <v>41487</v>
      </c>
      <c r="AF418" s="277">
        <v>1365214</v>
      </c>
      <c r="AG418" s="277">
        <v>661405</v>
      </c>
      <c r="AH418" s="277">
        <v>378785</v>
      </c>
      <c r="AI418" s="277">
        <v>42592</v>
      </c>
      <c r="AJ418" s="277">
        <v>219168</v>
      </c>
      <c r="AK418" s="277">
        <v>1183137</v>
      </c>
      <c r="AT418" s="252">
        <f t="shared" ref="AT418" si="2685">AF418/SUM(AF414:AF425)*AM425</f>
        <v>14416.212870136113</v>
      </c>
      <c r="AU418" s="252">
        <f t="shared" ref="AU418" si="2686">AG418/SUM(AG414:AG425)*AN425</f>
        <v>7708.0451786929489</v>
      </c>
      <c r="AV418" s="252">
        <f t="shared" ref="AV418" si="2687">AH418/SUM(AH414:AH425)*AO425</f>
        <v>3793.3967343479544</v>
      </c>
      <c r="AW418" s="252">
        <f t="shared" ref="AW418" si="2688">AI418/SUM(AI414:AI425)*AP425</f>
        <v>536.84635950349525</v>
      </c>
      <c r="AX418" s="252">
        <f t="shared" ref="AX418" si="2689">AJ418/SUM(AJ414:AJ425)*AQ425</f>
        <v>2135.5263723111598</v>
      </c>
      <c r="AY418" s="252">
        <f t="shared" ref="AY418" si="2690">AK418/SUM(AK414:AK425)*AR425</f>
        <v>11676.159136215416</v>
      </c>
    </row>
    <row r="419" spans="31:59">
      <c r="AE419" s="165">
        <v>41518</v>
      </c>
      <c r="AF419" s="277">
        <v>1393659</v>
      </c>
      <c r="AG419" s="277">
        <v>685704</v>
      </c>
      <c r="AH419" s="277">
        <v>412591</v>
      </c>
      <c r="AI419" s="277">
        <v>46534</v>
      </c>
      <c r="AJ419" s="277">
        <v>251111</v>
      </c>
      <c r="AK419" s="277">
        <v>1356279</v>
      </c>
      <c r="AT419" s="252">
        <f t="shared" ref="AT419" si="2691">AF419/SUM(AF414:AF425)*AM425</f>
        <v>14716.582757268108</v>
      </c>
      <c r="AU419" s="252">
        <f t="shared" ref="AU419" si="2692">AG419/SUM(AG414:AG425)*AN425</f>
        <v>7991.2268749260593</v>
      </c>
      <c r="AV419" s="252">
        <f t="shared" ref="AV419" si="2693">AH419/SUM(AH414:AH425)*AO425</f>
        <v>4131.9517721698512</v>
      </c>
      <c r="AW419" s="252">
        <f t="shared" ref="AW419" si="2694">AI419/SUM(AI414:AI425)*AP425</f>
        <v>586.53288160066779</v>
      </c>
      <c r="AX419" s="252">
        <f t="shared" ref="AX419" si="2695">AJ419/SUM(AJ414:AJ425)*AQ425</f>
        <v>2446.7721696480676</v>
      </c>
      <c r="AY419" s="252">
        <f t="shared" ref="AY419" si="2696">AK419/SUM(AK414:AK425)*AR425</f>
        <v>13384.865351271332</v>
      </c>
    </row>
    <row r="420" spans="31:59">
      <c r="AE420" s="165">
        <v>41548</v>
      </c>
      <c r="AF420" s="277">
        <v>1436674</v>
      </c>
      <c r="AG420" s="277">
        <v>709747</v>
      </c>
      <c r="AH420" s="277">
        <v>401114</v>
      </c>
      <c r="AI420" s="277">
        <v>48794</v>
      </c>
      <c r="AJ420" s="277">
        <v>278946</v>
      </c>
      <c r="AK420" s="277">
        <v>1526604</v>
      </c>
      <c r="AT420" s="252">
        <f t="shared" ref="AT420" si="2697">AF420/SUM(AF414:AF425)*AM425</f>
        <v>15170.80707419491</v>
      </c>
      <c r="AU420" s="252">
        <f t="shared" ref="AU420" si="2698">AG420/SUM(AG414:AG425)*AN425</f>
        <v>8271.4251350409886</v>
      </c>
      <c r="AV420" s="252">
        <f t="shared" ref="AV420" si="2699">AH420/SUM(AH414:AH425)*AO425</f>
        <v>4017.0137088354754</v>
      </c>
      <c r="AW420" s="252">
        <f t="shared" ref="AW420" si="2700">AI420/SUM(AI414:AI425)*AP425</f>
        <v>615.01881258484082</v>
      </c>
      <c r="AX420" s="252">
        <f t="shared" ref="AX420" si="2701">AJ420/SUM(AJ414:AJ425)*AQ425</f>
        <v>2717.9904888063443</v>
      </c>
      <c r="AY420" s="252">
        <f t="shared" ref="AY420" si="2702">AK420/SUM(AK414:AK425)*AR425</f>
        <v>15065.771116939966</v>
      </c>
    </row>
    <row r="421" spans="31:59">
      <c r="AE421" s="165">
        <v>41579</v>
      </c>
      <c r="AF421" s="277">
        <v>1465233</v>
      </c>
      <c r="AG421" s="277">
        <v>711658</v>
      </c>
      <c r="AH421" s="277">
        <v>402005</v>
      </c>
      <c r="AI421" s="277">
        <v>51289</v>
      </c>
      <c r="AJ421" s="277">
        <v>282796</v>
      </c>
      <c r="AK421" s="277">
        <v>1634703</v>
      </c>
      <c r="AT421" s="252">
        <f t="shared" ref="AT421" si="2703">AF421/SUM(AF414:AF425)*AM425</f>
        <v>15472.380764003407</v>
      </c>
      <c r="AU421" s="252">
        <f t="shared" ref="AU421" si="2704">AG421/SUM(AG414:AG425)*AN425</f>
        <v>8293.6960195013144</v>
      </c>
      <c r="AV421" s="252">
        <f t="shared" ref="AV421" si="2705">AH421/SUM(AH414:AH425)*AO425</f>
        <v>4025.9367561850377</v>
      </c>
      <c r="AW421" s="252">
        <f t="shared" ref="AW421" si="2706">AI421/SUM(AI414:AI425)*AP425</f>
        <v>646.46677621559832</v>
      </c>
      <c r="AX421" s="252">
        <f t="shared" ref="AX421" si="2707">AJ421/SUM(AJ414:AJ425)*AQ425</f>
        <v>2755.5040698647013</v>
      </c>
      <c r="AY421" s="252">
        <f t="shared" ref="AY421" si="2708">AK421/SUM(AK414:AK425)*AR425</f>
        <v>16132.580054929185</v>
      </c>
    </row>
    <row r="422" spans="31:59">
      <c r="AE422" s="165">
        <v>41609</v>
      </c>
      <c r="AF422" s="277">
        <v>1479861</v>
      </c>
      <c r="AG422" s="277">
        <v>709341</v>
      </c>
      <c r="AH422" s="277">
        <v>413776</v>
      </c>
      <c r="AI422" s="277">
        <v>50966</v>
      </c>
      <c r="AJ422" s="277">
        <v>279439</v>
      </c>
      <c r="AK422" s="277">
        <v>1699909</v>
      </c>
      <c r="AT422" s="252">
        <f t="shared" ref="AT422" si="2709">AF422/SUM(AF414:AF425)*AM425</f>
        <v>15626.847654809062</v>
      </c>
      <c r="AU422" s="252">
        <f t="shared" ref="AU422" si="2710">AG422/SUM(AG414:AG425)*AN425</f>
        <v>8266.6935918223098</v>
      </c>
      <c r="AV422" s="252">
        <f t="shared" ref="AV422" si="2711">AH422/SUM(AH414:AH425)*AO425</f>
        <v>4143.8191247054638</v>
      </c>
      <c r="AW422" s="252">
        <f t="shared" ref="AW422" si="2712">AI422/SUM(AI414:AI425)*AP425</f>
        <v>642.39555687582492</v>
      </c>
      <c r="AX422" s="252">
        <f t="shared" ref="AX422" si="2713">AJ422/SUM(AJ414:AJ425)*AQ425</f>
        <v>2722.7941759392716</v>
      </c>
      <c r="AY422" s="252">
        <f t="shared" ref="AY422" si="2714">AK422/SUM(AK414:AK425)*AR425</f>
        <v>16776.085948698092</v>
      </c>
      <c r="BA422" s="252">
        <f t="shared" ref="BA422" si="2715">SUM(AT411:AT422)</f>
        <v>166942.5286374909</v>
      </c>
      <c r="BB422" s="252">
        <f t="shared" ref="BB422" si="2716">SUM(AU411:AU422)</f>
        <v>88786.384070218832</v>
      </c>
      <c r="BC422" s="252">
        <f t="shared" ref="BC422" si="2717">SUM(AV411:AV422)</f>
        <v>46865.217622593802</v>
      </c>
      <c r="BD422" s="252">
        <f t="shared" ref="BD422" si="2718">SUM(AW411:AW422)</f>
        <v>6117.756593055351</v>
      </c>
      <c r="BE422" s="252">
        <f t="shared" ref="BE422" si="2719">SUM(AX411:AX422)</f>
        <v>26871.151702076073</v>
      </c>
      <c r="BF422" s="252">
        <f t="shared" ref="BF422" si="2720">SUM(AY411:AY422)</f>
        <v>152615.44266419049</v>
      </c>
      <c r="BG422" s="252">
        <f t="shared" ref="BG422" si="2721">SUM(BA422:BF422)</f>
        <v>488198.48128962546</v>
      </c>
    </row>
    <row r="423" spans="31:59">
      <c r="AE423" s="165">
        <v>41640</v>
      </c>
      <c r="AF423" s="277">
        <v>1483298</v>
      </c>
      <c r="AG423" s="277">
        <v>706594</v>
      </c>
      <c r="AH423" s="277">
        <v>389900</v>
      </c>
      <c r="AI423" s="277">
        <v>50824</v>
      </c>
      <c r="AJ423" s="277">
        <v>270367</v>
      </c>
      <c r="AK423" s="277">
        <v>1642954</v>
      </c>
      <c r="AT423" s="252">
        <f t="shared" ref="AT423" si="2722">AF423/SUM(AF414:AF425)*AM425</f>
        <v>15663.141249538281</v>
      </c>
      <c r="AU423" s="252">
        <f t="shared" ref="AU423" si="2723">AG423/SUM(AG414:AG425)*AN425</f>
        <v>8234.6799237885498</v>
      </c>
      <c r="AV423" s="252">
        <f t="shared" ref="AV423" si="2724">AH423/SUM(AH414:AH425)*AO425</f>
        <v>3904.7094967389612</v>
      </c>
      <c r="AW423" s="252">
        <f t="shared" ref="AW423" si="2725">AI423/SUM(AI414:AI425)*AP425</f>
        <v>640.60573289363356</v>
      </c>
      <c r="AX423" s="252">
        <f t="shared" ref="AX423" si="2726">AJ423/SUM(AJ414:AJ425)*AQ425</f>
        <v>2634.3985376635796</v>
      </c>
      <c r="AY423" s="252">
        <f t="shared" ref="AY423" si="2727">AK423/SUM(AK414:AK425)*AR425</f>
        <v>16214.007640266229</v>
      </c>
    </row>
    <row r="424" spans="31:59">
      <c r="AE424" s="165">
        <v>41671</v>
      </c>
      <c r="AF424" s="277">
        <v>1416534</v>
      </c>
      <c r="AG424" s="277">
        <v>690644</v>
      </c>
      <c r="AH424" s="277">
        <v>390390</v>
      </c>
      <c r="AI424" s="277">
        <v>49897</v>
      </c>
      <c r="AJ424" s="277">
        <v>264571</v>
      </c>
      <c r="AK424" s="277">
        <v>1578219</v>
      </c>
      <c r="AT424" s="252">
        <f t="shared" ref="AT424" si="2728">AF424/SUM(AF414:AF425)*AM425</f>
        <v>14958.135268013211</v>
      </c>
      <c r="AU424" s="252">
        <f t="shared" ref="AU424" si="2729">AG424/SUM(AG414:AG425)*AN425</f>
        <v>8048.7978687690793</v>
      </c>
      <c r="AV424" s="252">
        <f t="shared" ref="AV424" si="2730">AH424/SUM(AH414:AH425)*AO425</f>
        <v>3909.616672049046</v>
      </c>
      <c r="AW424" s="252">
        <f t="shared" ref="AW424" si="2731">AI424/SUM(AI414:AI425)*AP425</f>
        <v>628.92145943242622</v>
      </c>
      <c r="AX424" s="252">
        <f t="shared" ref="AX424" si="2732">AJ424/SUM(AJ414:AJ425)*AQ425</f>
        <v>2577.9235465429983</v>
      </c>
      <c r="AY424" s="252">
        <f t="shared" ref="AY424" si="2733">AK424/SUM(AK414:AK425)*AR425</f>
        <v>15575.149957949719</v>
      </c>
    </row>
    <row r="425" spans="31:59">
      <c r="AE425" s="165">
        <v>41699</v>
      </c>
      <c r="AF425" s="277">
        <v>1269846</v>
      </c>
      <c r="AG425" s="277">
        <v>647367</v>
      </c>
      <c r="AH425" s="277">
        <v>449058</v>
      </c>
      <c r="AI425" s="277">
        <v>46540</v>
      </c>
      <c r="AJ425" s="277">
        <v>260443</v>
      </c>
      <c r="AK425" s="277">
        <v>1503426</v>
      </c>
      <c r="AM425" s="277">
        <v>170813</v>
      </c>
      <c r="AN425" s="277">
        <v>92203</v>
      </c>
      <c r="AO425" s="277">
        <v>46888</v>
      </c>
      <c r="AP425" s="277">
        <v>6704</v>
      </c>
      <c r="AQ425" s="277">
        <v>27900</v>
      </c>
      <c r="AR425" s="277">
        <v>156175</v>
      </c>
      <c r="AT425" s="252">
        <f t="shared" ref="AT425" si="2734">AF425/SUM(AF414:AF425)*AM425</f>
        <v>13409.158013535505</v>
      </c>
      <c r="AU425" s="252">
        <f t="shared" ref="AU425" si="2735">AG425/SUM(AG414:AG425)*AN425</f>
        <v>7544.4456621811414</v>
      </c>
      <c r="AV425" s="252">
        <f t="shared" ref="AV425" si="2736">AH425/SUM(AH414:AH425)*AO425</f>
        <v>4497.1557763185556</v>
      </c>
      <c r="AW425" s="252">
        <f t="shared" ref="AW425" si="2737">AI425/SUM(AI414:AI425)*AP425</f>
        <v>586.60850796611248</v>
      </c>
      <c r="AX425" s="252">
        <f t="shared" ref="AX425" si="2738">AJ425/SUM(AJ414:AJ425)*AQ425</f>
        <v>2537.7011926186096</v>
      </c>
      <c r="AY425" s="252">
        <f t="shared" ref="AY425" si="2739">AK425/SUM(AK414:AK425)*AR425</f>
        <v>14837.031743174119</v>
      </c>
      <c r="AZ425" s="25">
        <f t="shared" ref="AZ425" si="2740">SUM(AT414:AY425)-SUM(AM425:AR425)</f>
        <v>0</v>
      </c>
    </row>
    <row r="426" spans="31:59">
      <c r="AE426" s="165">
        <v>41730</v>
      </c>
      <c r="AF426" s="277">
        <v>1183271</v>
      </c>
      <c r="AG426" s="277">
        <v>617449</v>
      </c>
      <c r="AH426" s="277">
        <v>318652</v>
      </c>
      <c r="AI426" s="277">
        <v>47109</v>
      </c>
      <c r="AJ426" s="277">
        <v>247027</v>
      </c>
      <c r="AK426" s="277">
        <v>892612</v>
      </c>
      <c r="AT426" s="252">
        <f t="shared" ref="AT426" si="2741">AF426/SUM(AF426:AF437)*AM437</f>
        <v>11983.220227548185</v>
      </c>
      <c r="AU426" s="252">
        <f t="shared" ref="AU426" si="2742">AG426/SUM(AG426:AG437)*AN437</f>
        <v>6830.8525262855937</v>
      </c>
      <c r="AV426" s="252">
        <f t="shared" ref="AV426" si="2743">AH426/SUM(AH426:AH437)*AO437</f>
        <v>3256.4766467131317</v>
      </c>
      <c r="AW426" s="252">
        <f t="shared" ref="AW426" si="2744">AI426/SUM(AI426:AI437)*AP437</f>
        <v>581.76157515403372</v>
      </c>
      <c r="AX426" s="252">
        <f t="shared" ref="AX426" si="2745">AJ426/SUM(AJ426:AJ437)*AQ437</f>
        <v>2268.3591942635012</v>
      </c>
      <c r="AY426" s="252">
        <f t="shared" ref="AY426" si="2746">AK426/SUM(AK426:AK437)*AR437</f>
        <v>8551.5989713351137</v>
      </c>
    </row>
    <row r="427" spans="31:59">
      <c r="AE427" s="165">
        <v>41760</v>
      </c>
      <c r="AF427" s="277">
        <v>1155927</v>
      </c>
      <c r="AG427" s="277">
        <v>609778</v>
      </c>
      <c r="AH427" s="277">
        <v>330139</v>
      </c>
      <c r="AI427" s="277">
        <v>43449</v>
      </c>
      <c r="AJ427" s="277">
        <v>243078</v>
      </c>
      <c r="AK427" s="277">
        <v>829783</v>
      </c>
      <c r="AT427" s="252">
        <f t="shared" ref="AT427" si="2747">AF427/SUM(AF426:AF437)*AM437</f>
        <v>11706.302113352809</v>
      </c>
      <c r="AU427" s="252">
        <f t="shared" ref="AU427" si="2748">AG427/SUM(AG426:AG437)*AN437</f>
        <v>6745.9880763810079</v>
      </c>
      <c r="AV427" s="252">
        <f t="shared" ref="AV427" si="2749">AH427/SUM(AH426:AH437)*AO437</f>
        <v>3373.8684950015272</v>
      </c>
      <c r="AW427" s="252">
        <f t="shared" ref="AW427" si="2750">AI427/SUM(AI426:AI437)*AP437</f>
        <v>536.56326134852395</v>
      </c>
      <c r="AX427" s="252">
        <f t="shared" ref="AX427" si="2751">AJ427/SUM(AJ426:AJ437)*AQ437</f>
        <v>2232.0969619644143</v>
      </c>
      <c r="AY427" s="252">
        <f t="shared" ref="AY427" si="2752">AK427/SUM(AK426:AK437)*AR437</f>
        <v>7949.6706847223249</v>
      </c>
    </row>
    <row r="428" spans="31:59">
      <c r="AE428" s="165">
        <v>41791</v>
      </c>
      <c r="AF428" s="277">
        <v>1181852</v>
      </c>
      <c r="AG428" s="277">
        <v>634691</v>
      </c>
      <c r="AH428" s="277">
        <v>375310</v>
      </c>
      <c r="AI428" s="277">
        <v>45520</v>
      </c>
      <c r="AJ428" s="277">
        <v>256499</v>
      </c>
      <c r="AK428" s="277">
        <v>935238</v>
      </c>
      <c r="AT428" s="252">
        <f t="shared" ref="AT428" si="2753">AF428/SUM(AF426:AF437)*AM437</f>
        <v>11968.849732959126</v>
      </c>
      <c r="AU428" s="252">
        <f t="shared" ref="AU428" si="2754">AG428/SUM(AG426:AG437)*AN437</f>
        <v>7021.6011699115697</v>
      </c>
      <c r="AV428" s="252">
        <f t="shared" ref="AV428" si="2755">AH428/SUM(AH426:AH437)*AO437</f>
        <v>3835.4953060953817</v>
      </c>
      <c r="AW428" s="252">
        <f t="shared" ref="AW428" si="2756">AI428/SUM(AI426:AI437)*AP437</f>
        <v>562.13859137344491</v>
      </c>
      <c r="AX428" s="252">
        <f t="shared" ref="AX428" si="2757">AJ428/SUM(AJ426:AJ437)*AQ437</f>
        <v>2355.3371290158316</v>
      </c>
      <c r="AY428" s="252">
        <f t="shared" ref="AY428" si="2758">AK428/SUM(AK426:AK437)*AR437</f>
        <v>8959.974007467421</v>
      </c>
    </row>
    <row r="429" spans="31:59">
      <c r="AE429" s="165">
        <v>41821</v>
      </c>
      <c r="AF429" s="277">
        <v>1212630</v>
      </c>
      <c r="AG429" s="277">
        <v>673231</v>
      </c>
      <c r="AH429" s="277">
        <v>358980</v>
      </c>
      <c r="AI429" s="277">
        <v>48308</v>
      </c>
      <c r="AJ429" s="277">
        <v>279439</v>
      </c>
      <c r="AK429" s="277">
        <v>1034042</v>
      </c>
      <c r="AT429" s="252">
        <f t="shared" ref="AT429" si="2759">AF429/SUM(AF426:AF437)*AM437</f>
        <v>12280.544646603996</v>
      </c>
      <c r="AU429" s="252">
        <f t="shared" ref="AU429" si="2760">AG429/SUM(AG426:AG437)*AN437</f>
        <v>7447.9700787008742</v>
      </c>
      <c r="AV429" s="252">
        <f t="shared" ref="AV429" si="2761">AH429/SUM(AH426:AH437)*AO437</f>
        <v>3668.6102288298212</v>
      </c>
      <c r="AW429" s="252">
        <f t="shared" ref="AW429" si="2762">AI429/SUM(AI426:AI437)*AP437</f>
        <v>596.56834516846163</v>
      </c>
      <c r="AX429" s="252">
        <f t="shared" ref="AX429" si="2763">AJ429/SUM(AJ426:AJ437)*AQ437</f>
        <v>2565.9868147441312</v>
      </c>
      <c r="AY429" s="252">
        <f t="shared" ref="AY429" si="2764">AK429/SUM(AK426:AK437)*AR437</f>
        <v>9906.5579484897189</v>
      </c>
    </row>
    <row r="430" spans="31:59">
      <c r="AE430" s="165">
        <v>41852</v>
      </c>
      <c r="AF430" s="277">
        <v>1231247</v>
      </c>
      <c r="AG430" s="277">
        <v>705328</v>
      </c>
      <c r="AH430" s="277">
        <v>371777</v>
      </c>
      <c r="AI430" s="277">
        <v>50329</v>
      </c>
      <c r="AJ430" s="277">
        <v>310108</v>
      </c>
      <c r="AK430" s="277">
        <v>1167547</v>
      </c>
      <c r="AT430" s="252">
        <f t="shared" ref="AT430" si="2765">AF430/SUM(AF426:AF437)*AM437</f>
        <v>12469.082699996889</v>
      </c>
      <c r="AU430" s="252">
        <f t="shared" ref="AU430" si="2766">AG430/SUM(AG426:AG437)*AN437</f>
        <v>7803.0599299050855</v>
      </c>
      <c r="AV430" s="252">
        <f t="shared" ref="AV430" si="2767">AH430/SUM(AH426:AH437)*AO437</f>
        <v>3799.3896736410506</v>
      </c>
      <c r="AW430" s="252">
        <f t="shared" ref="AW430" si="2768">AI430/SUM(AI426:AI437)*AP437</f>
        <v>621.52621189002878</v>
      </c>
      <c r="AX430" s="252">
        <f t="shared" ref="AX430" si="2769">AJ430/SUM(AJ426:AJ437)*AQ437</f>
        <v>2847.6090994695551</v>
      </c>
      <c r="AY430" s="252">
        <f t="shared" ref="AY430" si="2770">AK430/SUM(AK426:AK437)*AR437</f>
        <v>11185.592087251121</v>
      </c>
    </row>
    <row r="431" spans="31:59">
      <c r="AE431" s="165">
        <v>41883</v>
      </c>
      <c r="AF431" s="277">
        <v>1238881</v>
      </c>
      <c r="AG431" s="277">
        <v>725688</v>
      </c>
      <c r="AH431" s="277">
        <v>413241</v>
      </c>
      <c r="AI431" s="277">
        <v>52246</v>
      </c>
      <c r="AJ431" s="277">
        <v>328893</v>
      </c>
      <c r="AK431" s="277">
        <v>1333161</v>
      </c>
      <c r="AT431" s="252">
        <f t="shared" ref="AT431" si="2771">AF431/SUM(AF426:AF437)*AM437</f>
        <v>12546.393732902372</v>
      </c>
      <c r="AU431" s="252">
        <f t="shared" ref="AU431" si="2772">AG431/SUM(AG426:AG437)*AN437</f>
        <v>8028.303079436746</v>
      </c>
      <c r="AV431" s="252">
        <f t="shared" ref="AV431" si="2773">AH431/SUM(AH426:AH437)*AO437</f>
        <v>4223.1326524370825</v>
      </c>
      <c r="AW431" s="252">
        <f t="shared" ref="AW431" si="2774">AI431/SUM(AI426:AI437)*AP437</f>
        <v>645.19975494061964</v>
      </c>
      <c r="AX431" s="252">
        <f t="shared" ref="AX431" si="2775">AJ431/SUM(AJ426:AJ437)*AQ437</f>
        <v>3020.1049297400918</v>
      </c>
      <c r="AY431" s="252">
        <f t="shared" ref="AY431" si="2776">AK431/SUM(AK426:AK437)*AR437</f>
        <v>12772.243971875901</v>
      </c>
    </row>
    <row r="432" spans="31:59">
      <c r="AE432" s="165">
        <v>41913</v>
      </c>
      <c r="AF432" s="277">
        <v>1260038</v>
      </c>
      <c r="AG432" s="277">
        <v>746568</v>
      </c>
      <c r="AH432" s="277">
        <v>409570</v>
      </c>
      <c r="AI432" s="277">
        <v>54523</v>
      </c>
      <c r="AJ432" s="277">
        <v>349225</v>
      </c>
      <c r="AK432" s="277">
        <v>1477670</v>
      </c>
      <c r="AT432" s="252">
        <f t="shared" ref="AT432" si="2777">AF432/SUM(AF426:AF437)*AM437</f>
        <v>12760.654870337699</v>
      </c>
      <c r="AU432" s="252">
        <f t="shared" ref="AU432" si="2778">AG432/SUM(AG426:AG437)*AN437</f>
        <v>8259.2990009603764</v>
      </c>
      <c r="AV432" s="252">
        <f t="shared" ref="AV432" si="2779">AH432/SUM(AH426:AH437)*AO437</f>
        <v>4185.6167235551547</v>
      </c>
      <c r="AW432" s="252">
        <f t="shared" ref="AW432" si="2780">AI432/SUM(AI426:AI437)*AP437</f>
        <v>673.319033775359</v>
      </c>
      <c r="AX432" s="252">
        <f t="shared" ref="AX432" si="2781">AJ432/SUM(AJ426:AJ437)*AQ437</f>
        <v>3206.8062989740847</v>
      </c>
      <c r="AY432" s="252">
        <f t="shared" ref="AY432" si="2782">AK432/SUM(AK426:AK437)*AR437</f>
        <v>14156.701066054186</v>
      </c>
    </row>
    <row r="433" spans="31:59">
      <c r="AE433" s="165">
        <v>41944</v>
      </c>
      <c r="AF433" s="277">
        <v>1268504</v>
      </c>
      <c r="AG433" s="277">
        <v>741631</v>
      </c>
      <c r="AH433" s="277">
        <v>424618</v>
      </c>
      <c r="AI433" s="277">
        <v>53331</v>
      </c>
      <c r="AJ433" s="277">
        <v>354895</v>
      </c>
      <c r="AK433" s="277">
        <v>1561920</v>
      </c>
      <c r="AT433" s="252">
        <f t="shared" ref="AT433" si="2783">AF433/SUM(AF426:AF437)*AM437</f>
        <v>12846.391732346843</v>
      </c>
      <c r="AU433" s="252">
        <f t="shared" ref="AU433" si="2784">AG433/SUM(AG426:AG437)*AN437</f>
        <v>8204.680856105866</v>
      </c>
      <c r="AV433" s="252">
        <f t="shared" ref="AV433" si="2785">AH433/SUM(AH426:AH437)*AO437</f>
        <v>4339.4003513991329</v>
      </c>
      <c r="AW433" s="252">
        <f t="shared" ref="AW433" si="2786">AI433/SUM(AI426:AI437)*AP437</f>
        <v>658.59870862340051</v>
      </c>
      <c r="AX433" s="252">
        <f t="shared" ref="AX433" si="2787">AJ433/SUM(AJ426:AJ437)*AQ437</f>
        <v>3258.8718490211404</v>
      </c>
      <c r="AY433" s="252">
        <f t="shared" ref="AY433" si="2788">AK433/SUM(AK426:AK437)*AR437</f>
        <v>14963.851556227948</v>
      </c>
    </row>
    <row r="434" spans="31:59">
      <c r="AE434" s="165">
        <v>41974</v>
      </c>
      <c r="AF434" s="277">
        <v>1267507</v>
      </c>
      <c r="AG434" s="277">
        <v>738626</v>
      </c>
      <c r="AH434" s="277">
        <v>429259</v>
      </c>
      <c r="AI434" s="277">
        <v>52512</v>
      </c>
      <c r="AJ434" s="277">
        <v>366128</v>
      </c>
      <c r="AK434" s="277">
        <v>1578669</v>
      </c>
      <c r="AT434" s="252">
        <f t="shared" ref="AT434" si="2789">AF434/SUM(AF426:AF437)*AM437</f>
        <v>12836.294915500268</v>
      </c>
      <c r="AU434" s="252">
        <f t="shared" ref="AU434" si="2790">AG434/SUM(AG426:AG437)*AN437</f>
        <v>8171.4364718061288</v>
      </c>
      <c r="AV434" s="252">
        <f t="shared" ref="AV434" si="2791">AH434/SUM(AH426:AH437)*AO437</f>
        <v>4386.8292334315565</v>
      </c>
      <c r="AW434" s="252">
        <f t="shared" ref="AW434" si="2792">AI434/SUM(AI426:AI437)*AP437</f>
        <v>648.48465971446262</v>
      </c>
      <c r="AX434" s="252">
        <f t="shared" ref="AX434" si="2793">AJ434/SUM(AJ426:AJ437)*AQ437</f>
        <v>3362.0204069891433</v>
      </c>
      <c r="AY434" s="252">
        <f t="shared" ref="AY434" si="2794">AK434/SUM(AK426:AK437)*AR437</f>
        <v>15124.314031716618</v>
      </c>
      <c r="BA434" s="252">
        <f t="shared" ref="BA434" si="2795">SUM(AT423:AT434)</f>
        <v>155428.16920263518</v>
      </c>
      <c r="BB434" s="252">
        <f t="shared" ref="BB434" si="2796">SUM(AU423:AU434)</f>
        <v>92341.114644232031</v>
      </c>
      <c r="BC434" s="252">
        <f t="shared" ref="BC434" si="2797">SUM(AV423:AV434)</f>
        <v>47380.301256210405</v>
      </c>
      <c r="BD434" s="252">
        <f t="shared" ref="BD434" si="2798">SUM(AW423:AW434)</f>
        <v>7380.2958422805068</v>
      </c>
      <c r="BE434" s="252">
        <f t="shared" ref="BE434" si="2799">SUM(AX423:AX434)</f>
        <v>32867.215961007081</v>
      </c>
      <c r="BF434" s="252">
        <f t="shared" ref="BF434" si="2800">SUM(AY423:AY434)</f>
        <v>150196.69366653039</v>
      </c>
      <c r="BG434" s="252">
        <f t="shared" ref="BG434" si="2801">SUM(BA434:BF434)</f>
        <v>485593.79057289567</v>
      </c>
    </row>
    <row r="435" spans="31:59">
      <c r="AE435" s="165">
        <v>42005</v>
      </c>
      <c r="AF435" s="277">
        <v>1270730</v>
      </c>
      <c r="AG435" s="277">
        <v>737234</v>
      </c>
      <c r="AH435" s="277">
        <v>425560</v>
      </c>
      <c r="AI435" s="277">
        <v>52045</v>
      </c>
      <c r="AJ435" s="277">
        <v>348993</v>
      </c>
      <c r="AK435" s="277">
        <v>1517000</v>
      </c>
      <c r="AT435" s="252">
        <f t="shared" ref="AT435" si="2802">AF435/SUM(AF426:AF437)*AM437</f>
        <v>12868.934876078518</v>
      </c>
      <c r="AU435" s="252">
        <f t="shared" ref="AU435" si="2803">AG435/SUM(AG426:AG437)*AN437</f>
        <v>8156.0367437045534</v>
      </c>
      <c r="AV435" s="252">
        <f t="shared" ref="AV435" si="2804">AH435/SUM(AH426:AH437)*AO437</f>
        <v>4349.0271574483768</v>
      </c>
      <c r="AW435" s="252">
        <f t="shared" ref="AW435" si="2805">AI435/SUM(AI426:AI437)*AP437</f>
        <v>642.71755246113662</v>
      </c>
      <c r="AX435" s="252">
        <f t="shared" ref="AX435" si="2806">AJ435/SUM(AJ426:AJ437)*AQ437</f>
        <v>3204.6759272614008</v>
      </c>
      <c r="AY435" s="252">
        <f t="shared" ref="AY435" si="2807">AK435/SUM(AK426:AK437)*AR437</f>
        <v>14533.499033751919</v>
      </c>
    </row>
    <row r="436" spans="31:59">
      <c r="AE436" s="165">
        <v>42036</v>
      </c>
      <c r="AF436" s="277">
        <v>1235117</v>
      </c>
      <c r="AG436" s="277">
        <v>724261</v>
      </c>
      <c r="AH436" s="277">
        <v>421464</v>
      </c>
      <c r="AI436" s="277">
        <v>51692</v>
      </c>
      <c r="AJ436" s="277">
        <v>338772</v>
      </c>
      <c r="AK436" s="277">
        <v>1426873</v>
      </c>
      <c r="AT436" s="252">
        <f t="shared" ref="AT436" si="2808">AF436/SUM(AF426:AF437)*AM437</f>
        <v>12508.274957967051</v>
      </c>
      <c r="AU436" s="252">
        <f t="shared" ref="AU436" si="2809">AG436/SUM(AG426:AG437)*AN437</f>
        <v>8012.5161455280195</v>
      </c>
      <c r="AV436" s="252">
        <f t="shared" ref="AV436" si="2810">AH436/SUM(AH426:AH437)*AO437</f>
        <v>4307.1679243510262</v>
      </c>
      <c r="AW436" s="252">
        <f t="shared" ref="AW436" si="2811">AI436/SUM(AI426:AI437)*AP437</f>
        <v>638.35826153945766</v>
      </c>
      <c r="AX436" s="252">
        <f t="shared" ref="AX436" si="2812">AJ436/SUM(AJ426:AJ437)*AQ437</f>
        <v>3110.8201976263117</v>
      </c>
      <c r="AY436" s="252">
        <f t="shared" ref="AY436" si="2813">AK436/SUM(AK426:AK437)*AR437</f>
        <v>13670.044407901583</v>
      </c>
    </row>
    <row r="437" spans="31:59">
      <c r="AE437" s="165">
        <v>42064</v>
      </c>
      <c r="AF437" s="277">
        <v>1154224</v>
      </c>
      <c r="AG437" s="277">
        <v>683923</v>
      </c>
      <c r="AH437" s="277">
        <v>478983</v>
      </c>
      <c r="AI437" s="277">
        <v>51239</v>
      </c>
      <c r="AJ437" s="277">
        <v>313996</v>
      </c>
      <c r="AK437" s="277">
        <v>1380832</v>
      </c>
      <c r="AM437" s="277">
        <v>148464</v>
      </c>
      <c r="AN437" s="277">
        <v>92248</v>
      </c>
      <c r="AO437" s="277">
        <v>48620</v>
      </c>
      <c r="AP437" s="277">
        <v>7438</v>
      </c>
      <c r="AQ437" s="277">
        <v>34316</v>
      </c>
      <c r="AR437" s="277">
        <v>145003</v>
      </c>
      <c r="AT437" s="252">
        <f t="shared" ref="AT437" si="2814">AF437/SUM(AF426:AF437)*AM437</f>
        <v>11689.055494406248</v>
      </c>
      <c r="AU437" s="252">
        <f t="shared" ref="AU437" si="2815">AG437/SUM(AG426:AG437)*AN437</f>
        <v>7566.2559212741808</v>
      </c>
      <c r="AV437" s="252">
        <f t="shared" ref="AV437" si="2816">AH437/SUM(AH426:AH437)*AO437</f>
        <v>4894.985607096758</v>
      </c>
      <c r="AW437" s="252">
        <f t="shared" ref="AW437" si="2817">AI437/SUM(AI426:AI437)*AP437</f>
        <v>632.76404401107084</v>
      </c>
      <c r="AX437" s="252">
        <f t="shared" ref="AX437" si="2818">AJ437/SUM(AJ426:AJ437)*AQ437</f>
        <v>2883.3111909303939</v>
      </c>
      <c r="AY437" s="252">
        <f t="shared" ref="AY437" si="2819">AK437/SUM(AK426:AK437)*AR437</f>
        <v>13228.95223320615</v>
      </c>
      <c r="AZ437" s="25">
        <f t="shared" ref="AZ437" si="2820">SUM(AT426:AY437)-SUM(AM437:AR437)</f>
        <v>0</v>
      </c>
    </row>
    <row r="438" spans="31:59">
      <c r="AE438" s="165">
        <v>42095</v>
      </c>
      <c r="AF438" s="277">
        <v>1132324</v>
      </c>
      <c r="AG438" s="277">
        <v>658254</v>
      </c>
      <c r="AH438" s="277">
        <v>365111</v>
      </c>
      <c r="AI438" s="277">
        <v>52141</v>
      </c>
      <c r="AJ438" s="277">
        <v>284819</v>
      </c>
      <c r="AK438" s="277">
        <v>874126</v>
      </c>
      <c r="AT438" s="252">
        <f t="shared" ref="AT438" si="2821">AF438/SUM(AF438:AF449)*AM449</f>
        <v>13565.351584391541</v>
      </c>
      <c r="AU438" s="252">
        <f t="shared" ref="AU438" si="2822">AG438/SUM(AG438:AG449)*AN449</f>
        <v>10030.756800570291</v>
      </c>
      <c r="AV438" s="252">
        <f t="shared" ref="AV438" si="2823">AH438/SUM(AH438:AH449)*AO449</f>
        <v>3757.5880008093682</v>
      </c>
      <c r="AW438" s="252">
        <f t="shared" ref="AW438" si="2824">AI438/SUM(AI438:AI449)*AP449</f>
        <v>727.67255062389563</v>
      </c>
      <c r="AX438" s="252">
        <f t="shared" ref="AX438" si="2825">AJ438/SUM(AJ438:AJ449)*AQ449</f>
        <v>3356.7762247688811</v>
      </c>
      <c r="AY438" s="252">
        <f t="shared" ref="AY438" si="2826">AK438/SUM(AK438:AK449)*AR449</f>
        <v>8592.944417074561</v>
      </c>
    </row>
    <row r="439" spans="31:59">
      <c r="AE439" s="165">
        <v>42125</v>
      </c>
      <c r="AF439" s="277">
        <v>1144078</v>
      </c>
      <c r="AG439" s="277">
        <v>645011</v>
      </c>
      <c r="AH439" s="277">
        <v>355392</v>
      </c>
      <c r="AI439" s="277">
        <v>52509</v>
      </c>
      <c r="AJ439" s="277">
        <v>272552</v>
      </c>
      <c r="AK439" s="277">
        <v>802498</v>
      </c>
      <c r="AT439" s="252">
        <f t="shared" ref="AT439" si="2827">AF439/SUM(AF438:AF449)*AM449</f>
        <v>13706.16564690628</v>
      </c>
      <c r="AU439" s="252">
        <f t="shared" ref="AU439" si="2828">AG439/SUM(AG438:AG449)*AN449</f>
        <v>9828.954286176222</v>
      </c>
      <c r="AV439" s="252">
        <f t="shared" ref="AV439" si="2829">AH439/SUM(AH438:AH449)*AO449</f>
        <v>3657.5636307414538</v>
      </c>
      <c r="AW439" s="252">
        <f t="shared" ref="AW439" si="2830">AI439/SUM(AI438:AI449)*AP449</f>
        <v>732.80830748758433</v>
      </c>
      <c r="AX439" s="252">
        <f t="shared" ref="AX439" si="2831">AJ439/SUM(AJ438:AJ449)*AQ449</f>
        <v>3212.2016916470043</v>
      </c>
      <c r="AY439" s="252">
        <f t="shared" ref="AY439" si="2832">AK439/SUM(AK438:AK449)*AR449</f>
        <v>7888.817754892887</v>
      </c>
    </row>
    <row r="440" spans="31:59">
      <c r="AE440" s="165">
        <v>42156</v>
      </c>
      <c r="AF440" s="277">
        <v>1195209</v>
      </c>
      <c r="AG440" s="277">
        <v>669407</v>
      </c>
      <c r="AH440" s="277">
        <v>380855</v>
      </c>
      <c r="AI440" s="277">
        <v>53904</v>
      </c>
      <c r="AJ440" s="277">
        <v>280733</v>
      </c>
      <c r="AK440" s="277">
        <v>878427</v>
      </c>
      <c r="AT440" s="252">
        <f t="shared" ref="AT440" si="2833">AF440/SUM(AF438:AF449)*AM449</f>
        <v>14318.719996952314</v>
      </c>
      <c r="AU440" s="252">
        <f t="shared" ref="AU440" si="2834">AG440/SUM(AG438:AG449)*AN449</f>
        <v>10200.710998488967</v>
      </c>
      <c r="AV440" s="252">
        <f t="shared" ref="AV440" si="2835">AH440/SUM(AH438:AH449)*AO449</f>
        <v>3919.6194528465367</v>
      </c>
      <c r="AW440" s="252">
        <f t="shared" ref="AW440" si="2836">AI440/SUM(AI438:AI449)*AP449</f>
        <v>752.27673364205657</v>
      </c>
      <c r="AX440" s="252">
        <f t="shared" ref="AX440" si="2837">AJ440/SUM(AJ438:AJ449)*AQ449</f>
        <v>3308.6200706695918</v>
      </c>
      <c r="AY440" s="252">
        <f t="shared" ref="AY440" si="2838">AK440/SUM(AK438:AK449)*AR449</f>
        <v>8635.2246534910919</v>
      </c>
    </row>
    <row r="441" spans="31:59">
      <c r="AE441" s="165">
        <v>42186</v>
      </c>
      <c r="AF441" s="277">
        <v>1250057</v>
      </c>
      <c r="AG441" s="277">
        <v>699958</v>
      </c>
      <c r="AH441" s="277">
        <v>376445</v>
      </c>
      <c r="AI441" s="277">
        <v>56029</v>
      </c>
      <c r="AJ441" s="277">
        <v>293878</v>
      </c>
      <c r="AK441" s="277">
        <v>957208</v>
      </c>
      <c r="AT441" s="252">
        <f t="shared" ref="AT441" si="2839">AF441/SUM(AF438:AF449)*AM449</f>
        <v>14975.804368298948</v>
      </c>
      <c r="AU441" s="252">
        <f t="shared" ref="AU441" si="2840">AG441/SUM(AG438:AG449)*AN449</f>
        <v>10666.26024090029</v>
      </c>
      <c r="AV441" s="252">
        <f t="shared" ref="AV441" si="2841">AH441/SUM(AH438:AH449)*AO449</f>
        <v>3874.233356334601</v>
      </c>
      <c r="AW441" s="252">
        <f t="shared" ref="AW441" si="2842">AI441/SUM(AI438:AI449)*AP449</f>
        <v>781.9329383576503</v>
      </c>
      <c r="AX441" s="252">
        <f t="shared" ref="AX441" si="2843">AJ441/SUM(AJ438:AJ449)*AQ449</f>
        <v>3463.5424019557313</v>
      </c>
      <c r="AY441" s="252">
        <f t="shared" ref="AY441" si="2844">AK441/SUM(AK438:AK449)*AR449</f>
        <v>9409.6676446863567</v>
      </c>
    </row>
    <row r="442" spans="31:59">
      <c r="AE442" s="165">
        <v>42217</v>
      </c>
      <c r="AF442" s="277">
        <v>1295471</v>
      </c>
      <c r="AG442" s="277">
        <v>730854</v>
      </c>
      <c r="AH442" s="277">
        <v>379568</v>
      </c>
      <c r="AI442" s="277">
        <v>58565</v>
      </c>
      <c r="AJ442" s="277">
        <v>309739</v>
      </c>
      <c r="AK442" s="277">
        <v>1098224</v>
      </c>
      <c r="AT442" s="252">
        <f t="shared" ref="AT442" si="2845">AF442/SUM(AF438:AF449)*AM449</f>
        <v>15519.868502639965</v>
      </c>
      <c r="AU442" s="252">
        <f t="shared" ref="AU442" si="2846">AG442/SUM(AG438:AG449)*AN449</f>
        <v>11137.066741294391</v>
      </c>
      <c r="AV442" s="252">
        <f t="shared" ref="AV442" si="2847">AH442/SUM(AH438:AH449)*AO449</f>
        <v>3906.374122639992</v>
      </c>
      <c r="AW442" s="252">
        <f t="shared" ref="AW442" si="2848">AI442/SUM(AI438:AI449)*AP449</f>
        <v>817.32500196176613</v>
      </c>
      <c r="AX442" s="252">
        <f t="shared" ref="AX442" si="2849">AJ442/SUM(AJ438:AJ449)*AQ449</f>
        <v>3650.474550797835</v>
      </c>
      <c r="AY442" s="252">
        <f t="shared" ref="AY442" si="2850">AK442/SUM(AK438:AK449)*AR449</f>
        <v>10795.901036575151</v>
      </c>
    </row>
    <row r="443" spans="31:59">
      <c r="AE443" s="165">
        <v>42248</v>
      </c>
      <c r="AF443" s="277">
        <v>1315240</v>
      </c>
      <c r="AG443" s="277">
        <v>759022</v>
      </c>
      <c r="AH443" s="277">
        <v>396018</v>
      </c>
      <c r="AI443" s="277">
        <v>63540</v>
      </c>
      <c r="AJ443" s="277">
        <v>332965</v>
      </c>
      <c r="AK443" s="277">
        <v>1209975</v>
      </c>
      <c r="AT443" s="252">
        <f t="shared" ref="AT443" si="2851">AF443/SUM(AF438:AF449)*AM449</f>
        <v>15756.703044230389</v>
      </c>
      <c r="AU443" s="252">
        <f t="shared" ref="AU443" si="2852">AG443/SUM(AG438:AG449)*AN449</f>
        <v>11566.302807552194</v>
      </c>
      <c r="AV443" s="252">
        <f t="shared" ref="AV443" si="2853">AH443/SUM(AH438:AH449)*AO449</f>
        <v>4075.6714667718152</v>
      </c>
      <c r="AW443" s="252">
        <f t="shared" ref="AW443" si="2854">AI443/SUM(AI438:AI449)*AP449</f>
        <v>886.75541064886227</v>
      </c>
      <c r="AX443" s="252">
        <f t="shared" ref="AX443" si="2855">AJ443/SUM(AJ438:AJ449)*AQ449</f>
        <v>3924.2079906192025</v>
      </c>
      <c r="AY443" s="252">
        <f t="shared" ref="AY443" si="2856">AK443/SUM(AK438:AK449)*AR449</f>
        <v>11894.449908880173</v>
      </c>
    </row>
    <row r="444" spans="31:59">
      <c r="AE444" s="165">
        <v>42278</v>
      </c>
      <c r="AF444" s="277">
        <v>1333689</v>
      </c>
      <c r="AG444" s="277">
        <v>782565</v>
      </c>
      <c r="AH444" s="277">
        <v>405078</v>
      </c>
      <c r="AI444" s="277">
        <v>68268</v>
      </c>
      <c r="AJ444" s="277">
        <v>355911</v>
      </c>
      <c r="AK444" s="277">
        <v>1386931</v>
      </c>
      <c r="AT444" s="252">
        <f t="shared" ref="AT444" si="2857">AF444/SUM(AF438:AF449)*AM449</f>
        <v>15977.723857513902</v>
      </c>
      <c r="AU444" s="252">
        <f t="shared" ref="AU444" si="2858">AG444/SUM(AG438:AG449)*AN449</f>
        <v>11925.061139982878</v>
      </c>
      <c r="AV444" s="252">
        <f t="shared" ref="AV444" si="2859">AH444/SUM(AH438:AH449)*AO449</f>
        <v>4168.9136514425945</v>
      </c>
      <c r="AW444" s="252">
        <f t="shared" ref="AW444" si="2860">AI444/SUM(AI438:AI449)*AP449</f>
        <v>952.73872165842829</v>
      </c>
      <c r="AX444" s="252">
        <f t="shared" ref="AX444" si="2861">AJ444/SUM(AJ438:AJ449)*AQ449</f>
        <v>4194.6414492492331</v>
      </c>
      <c r="AY444" s="252">
        <f t="shared" ref="AY444" si="2862">AK444/SUM(AK438:AK449)*AR449</f>
        <v>13633.985253061501</v>
      </c>
    </row>
    <row r="445" spans="31:59">
      <c r="AE445" s="165">
        <v>42309</v>
      </c>
      <c r="AF445" s="277">
        <v>1333339</v>
      </c>
      <c r="AG445" s="277">
        <v>786631</v>
      </c>
      <c r="AH445" s="277">
        <v>417158</v>
      </c>
      <c r="AI445" s="277">
        <v>69386</v>
      </c>
      <c r="AJ445" s="277">
        <v>362269</v>
      </c>
      <c r="AK445" s="277">
        <v>1467434</v>
      </c>
      <c r="AT445" s="252">
        <f t="shared" ref="AT445" si="2863">AF445/SUM(AF438:AF449)*AM449</f>
        <v>15973.530823493131</v>
      </c>
      <c r="AU445" s="252">
        <f t="shared" ref="AU445" si="2864">AG445/SUM(AG438:AG449)*AN449</f>
        <v>11987.020592035</v>
      </c>
      <c r="AV445" s="252">
        <f t="shared" ref="AV445" si="2865">AH445/SUM(AH438:AH449)*AO449</f>
        <v>4293.2365643369667</v>
      </c>
      <c r="AW445" s="252">
        <f t="shared" ref="AW445" si="2866">AI445/SUM(AI438:AI449)*AP449</f>
        <v>968.34137430409123</v>
      </c>
      <c r="AX445" s="252">
        <f t="shared" ref="AX445" si="2867">AJ445/SUM(AJ438:AJ449)*AQ449</f>
        <v>4269.5745935867972</v>
      </c>
      <c r="AY445" s="252">
        <f t="shared" ref="AY445" si="2868">AK445/SUM(AK438:AK449)*AR449</f>
        <v>14425.356067346574</v>
      </c>
    </row>
    <row r="446" spans="31:59">
      <c r="AE446" s="165">
        <v>42339</v>
      </c>
      <c r="AF446" s="277">
        <v>1327053</v>
      </c>
      <c r="AG446" s="277">
        <v>784835</v>
      </c>
      <c r="AH446" s="277">
        <v>421053</v>
      </c>
      <c r="AI446" s="277">
        <v>67766</v>
      </c>
      <c r="AJ446" s="277">
        <v>367579</v>
      </c>
      <c r="AK446" s="277">
        <v>1540280</v>
      </c>
      <c r="AT446" s="252">
        <f t="shared" ref="AT446" si="2869">AF446/SUM(AF438:AF449)*AM449</f>
        <v>15898.223932480058</v>
      </c>
      <c r="AU446" s="252">
        <f t="shared" ref="AU446" si="2870">AG446/SUM(AG438:AG449)*AN449</f>
        <v>11959.652373666675</v>
      </c>
      <c r="AV446" s="252">
        <f t="shared" ref="AV446" si="2871">AH446/SUM(AH438:AH449)*AO449</f>
        <v>4333.3224704399117</v>
      </c>
      <c r="AW446" s="252">
        <f t="shared" ref="AW446" si="2872">AI446/SUM(AI438:AI449)*AP449</f>
        <v>945.7328794150269</v>
      </c>
      <c r="AX446" s="252">
        <f t="shared" ref="AX446" si="2873">AJ446/SUM(AJ438:AJ449)*AQ449</f>
        <v>4332.1563797510717</v>
      </c>
      <c r="AY446" s="252">
        <f t="shared" ref="AY446" si="2874">AK446/SUM(AK438:AK449)*AR449</f>
        <v>15141.456067811281</v>
      </c>
      <c r="BA446" s="252">
        <f t="shared" ref="BA446" si="2875">SUM(AT435:AT446)</f>
        <v>172758.35708535835</v>
      </c>
      <c r="BB446" s="252">
        <f t="shared" ref="BB446" si="2876">SUM(AU435:AU446)</f>
        <v>123036.59479117366</v>
      </c>
      <c r="BC446" s="252">
        <f t="shared" ref="BC446" si="2877">SUM(AV435:AV446)</f>
        <v>49537.703405259403</v>
      </c>
      <c r="BD446" s="252">
        <f t="shared" ref="BD446" si="2878">SUM(AW435:AW446)</f>
        <v>9479.4237761110289</v>
      </c>
      <c r="BE446" s="252">
        <f t="shared" ref="BE446" si="2879">SUM(AX435:AX446)</f>
        <v>42911.002668863453</v>
      </c>
      <c r="BF446" s="252">
        <f t="shared" ref="BF446" si="2880">SUM(AY435:AY446)</f>
        <v>141850.29847867921</v>
      </c>
      <c r="BG446" s="252">
        <f t="shared" ref="BG446" si="2881">SUM(BA446:BF446)</f>
        <v>539573.38020544511</v>
      </c>
    </row>
    <row r="447" spans="31:59">
      <c r="AE447" s="165">
        <v>42370</v>
      </c>
      <c r="AF447" s="277">
        <v>1310455</v>
      </c>
      <c r="AG447" s="277">
        <v>776782</v>
      </c>
      <c r="AH447" s="277">
        <v>402627</v>
      </c>
      <c r="AI447" s="277">
        <v>65504</v>
      </c>
      <c r="AJ447" s="277">
        <v>358885</v>
      </c>
      <c r="AK447" s="277">
        <v>1559729</v>
      </c>
      <c r="AT447" s="252">
        <f t="shared" ref="AT447" si="2882">AF447/SUM(AF438:AF449)*AM449</f>
        <v>15699.378279117831</v>
      </c>
      <c r="AU447" s="252">
        <f t="shared" ref="AU447" si="2883">AG447/SUM(AG438:AG449)*AN449</f>
        <v>11836.93730544834</v>
      </c>
      <c r="AV447" s="252">
        <f t="shared" ref="AV447" si="2884">AH447/SUM(AH438:AH449)*AO449</f>
        <v>4143.6888617485465</v>
      </c>
      <c r="AW447" s="252">
        <f t="shared" ref="AW447" si="2885">AI447/SUM(AI438:AI449)*AP449</f>
        <v>914.16472173659236</v>
      </c>
      <c r="AX447" s="252">
        <f t="shared" ref="AX447" si="2886">AJ447/SUM(AJ438:AJ449)*AQ449</f>
        <v>4229.6919637600722</v>
      </c>
      <c r="AY447" s="252">
        <f t="shared" ref="AY447" si="2887">AK447/SUM(AK438:AK449)*AR449</f>
        <v>15332.646097586945</v>
      </c>
    </row>
    <row r="448" spans="31:59">
      <c r="AE448" s="165">
        <v>42401</v>
      </c>
      <c r="AF448" s="277">
        <v>1270571</v>
      </c>
      <c r="AG448" s="277">
        <v>760891</v>
      </c>
      <c r="AH448" s="277">
        <v>434493</v>
      </c>
      <c r="AI448" s="277">
        <v>61896</v>
      </c>
      <c r="AJ448" s="277">
        <v>340843</v>
      </c>
      <c r="AK448" s="277">
        <v>1543367</v>
      </c>
      <c r="AT448" s="252">
        <f t="shared" ref="AT448" si="2888">AF448/SUM(AF438:AF449)*AM449</f>
        <v>15221.564082305016</v>
      </c>
      <c r="AU448" s="252">
        <f t="shared" ref="AU448" si="2889">AG448/SUM(AG438:AG449)*AN449</f>
        <v>11594.78343123282</v>
      </c>
      <c r="AV448" s="252">
        <f t="shared" ref="AV448" si="2890">AH448/SUM(AH438:AH449)*AO449</f>
        <v>4471.6420026667638</v>
      </c>
      <c r="AW448" s="252">
        <f t="shared" ref="AW448" si="2891">AI448/SUM(AI438:AI449)*AP449</f>
        <v>863.81197509477477</v>
      </c>
      <c r="AX448" s="252">
        <f t="shared" ref="AX448" si="2892">AJ448/SUM(AJ438:AJ449)*AQ449</f>
        <v>4017.0553185668787</v>
      </c>
      <c r="AY448" s="252">
        <f t="shared" ref="AY448" si="2893">AK448/SUM(AK438:AK449)*AR449</f>
        <v>15171.802287252769</v>
      </c>
    </row>
    <row r="449" spans="31:59">
      <c r="AE449" s="165">
        <v>42430</v>
      </c>
      <c r="AF449" s="277">
        <v>1208611</v>
      </c>
      <c r="AG449" s="277">
        <v>722068</v>
      </c>
      <c r="AH449" s="277">
        <v>484777</v>
      </c>
      <c r="AI449" s="277">
        <v>65562</v>
      </c>
      <c r="AJ449" s="277">
        <v>328325</v>
      </c>
      <c r="AK449" s="277">
        <v>1529832</v>
      </c>
      <c r="AM449" s="277">
        <v>181092.31137798566</v>
      </c>
      <c r="AN449" s="277">
        <v>133736.68862201434</v>
      </c>
      <c r="AO449" s="277">
        <v>49591</v>
      </c>
      <c r="AP449" s="277">
        <v>10258.534776607794</v>
      </c>
      <c r="AQ449" s="277">
        <v>45828.46522339221</v>
      </c>
      <c r="AR449" s="277">
        <v>145961</v>
      </c>
      <c r="AT449" s="252">
        <f t="shared" ref="AT449" si="2894">AF449/SUM(AF438:AF449)*AM449</f>
        <v>14479.277259656288</v>
      </c>
      <c r="AU449" s="252">
        <f t="shared" ref="AU449" si="2895">AG449/SUM(AG438:AG449)*AN449</f>
        <v>11003.181904666266</v>
      </c>
      <c r="AV449" s="252">
        <f t="shared" ref="AV449" si="2896">AH449/SUM(AH438:AH449)*AO449</f>
        <v>4989.1464192214498</v>
      </c>
      <c r="AW449" s="252">
        <f t="shared" ref="AW449" si="2897">AI449/SUM(AI438:AI449)*AP449</f>
        <v>914.97416167706501</v>
      </c>
      <c r="AX449" s="252">
        <f t="shared" ref="AX449" si="2898">AJ449/SUM(AJ438:AJ449)*AQ449</f>
        <v>3869.5225880199105</v>
      </c>
      <c r="AY449" s="252">
        <f t="shared" ref="AY449" si="2899">AK449/SUM(AK438:AK449)*AR449</f>
        <v>15038.748811340709</v>
      </c>
      <c r="AZ449" s="25">
        <f t="shared" ref="AZ449" si="2900">SUM(AT438:AY449)-SUM(AM449:AR449)</f>
        <v>0</v>
      </c>
    </row>
    <row r="450" spans="31:59">
      <c r="AE450" s="165">
        <v>42461</v>
      </c>
      <c r="AF450" s="277">
        <v>1195244</v>
      </c>
      <c r="AG450" s="277">
        <v>693003</v>
      </c>
      <c r="AH450" s="277">
        <v>349071</v>
      </c>
      <c r="AI450" s="277">
        <v>60076</v>
      </c>
      <c r="AJ450" s="277">
        <v>288286</v>
      </c>
      <c r="AK450" s="277">
        <v>930602</v>
      </c>
      <c r="AT450" s="252">
        <f t="shared" ref="AT450" si="2901">AF450/SUM(AF450:AF461)*AM461</f>
        <v>13730.516006508253</v>
      </c>
      <c r="AU450" s="252">
        <f t="shared" ref="AU450" si="2902">AG450/SUM(AG450:AG461)*AN461</f>
        <v>10278.357136525423</v>
      </c>
      <c r="AV450" s="252">
        <f t="shared" ref="AV450" si="2903">AH450/SUM(AH450:AH461)*AO461</f>
        <v>3851.2393695490773</v>
      </c>
      <c r="AW450" s="252">
        <f t="shared" ref="AW450" si="2904">AI450/SUM(AI450:AI461)*AP461</f>
        <v>832.6527443847682</v>
      </c>
      <c r="AX450" s="252">
        <f t="shared" ref="AX450" si="2905">AJ450/SUM(AJ450:AJ461)*AQ461</f>
        <v>3651.6008666720941</v>
      </c>
      <c r="AY450" s="252">
        <f t="shared" ref="AY450" si="2906">AK450/SUM(AK450:AK461)*AR461</f>
        <v>9346.3072883636305</v>
      </c>
    </row>
    <row r="451" spans="31:59">
      <c r="AE451" s="165">
        <v>42491</v>
      </c>
      <c r="AF451" s="277">
        <v>1208821</v>
      </c>
      <c r="AG451" s="277">
        <v>687943</v>
      </c>
      <c r="AH451" s="277">
        <v>330889</v>
      </c>
      <c r="AI451" s="277">
        <v>58365</v>
      </c>
      <c r="AJ451" s="277">
        <v>265674</v>
      </c>
      <c r="AK451" s="277">
        <v>822375</v>
      </c>
      <c r="AT451" s="252">
        <f t="shared" ref="AT451" si="2907">AF451/SUM(AF450:AF461)*AM461</f>
        <v>13886.48350420777</v>
      </c>
      <c r="AU451" s="252">
        <f t="shared" ref="AU451" si="2908">AG451/SUM(AG450:AG461)*AN461</f>
        <v>10203.309139459294</v>
      </c>
      <c r="AV451" s="252">
        <f t="shared" ref="AV451" si="2909">AH451/SUM(AH450:AH461)*AO461</f>
        <v>3650.6405394625299</v>
      </c>
      <c r="AW451" s="252">
        <f t="shared" ref="AW451" si="2910">AI451/SUM(AI450:AI461)*AP461</f>
        <v>808.93830191785401</v>
      </c>
      <c r="AX451" s="252">
        <f t="shared" ref="AX451" si="2911">AJ451/SUM(AJ450:AJ461)*AQ461</f>
        <v>3365.1839099097492</v>
      </c>
      <c r="AY451" s="252">
        <f t="shared" ref="AY451" si="2912">AK451/SUM(AK450:AK461)*AR461</f>
        <v>8259.3519638556972</v>
      </c>
    </row>
    <row r="452" spans="31:59">
      <c r="AE452" s="165">
        <v>42522</v>
      </c>
      <c r="AF452" s="277">
        <v>1268784</v>
      </c>
      <c r="AG452" s="277">
        <v>713940</v>
      </c>
      <c r="AH452" s="277">
        <v>357169</v>
      </c>
      <c r="AI452" s="277">
        <v>58766</v>
      </c>
      <c r="AJ452" s="277">
        <v>263339</v>
      </c>
      <c r="AK452" s="277">
        <v>919524</v>
      </c>
      <c r="AT452" s="252">
        <f t="shared" ref="AT452" si="2913">AF452/SUM(AF450:AF461)*AM461</f>
        <v>14575.31601982655</v>
      </c>
      <c r="AU452" s="252">
        <f t="shared" ref="AU452" si="2914">AG452/SUM(AG450:AG461)*AN461</f>
        <v>10588.886763911498</v>
      </c>
      <c r="AV452" s="252">
        <f t="shared" ref="AV452" si="2915">AH452/SUM(AH450:AH461)*AO461</f>
        <v>3940.5831890431305</v>
      </c>
      <c r="AW452" s="252">
        <f t="shared" ref="AW452" si="2916">AI452/SUM(AI450:AI461)*AP461</f>
        <v>814.49615780869715</v>
      </c>
      <c r="AX452" s="252">
        <f t="shared" ref="AX452" si="2917">AJ452/SUM(AJ450:AJ461)*AQ461</f>
        <v>3335.6074198142214</v>
      </c>
      <c r="AY452" s="252">
        <f t="shared" ref="AY452" si="2918">AK452/SUM(AK450:AK461)*AR461</f>
        <v>9235.0477035567073</v>
      </c>
    </row>
    <row r="453" spans="31:59">
      <c r="AE453" s="165">
        <v>42552</v>
      </c>
      <c r="AF453" s="277">
        <v>1338150</v>
      </c>
      <c r="AG453" s="277">
        <v>746871</v>
      </c>
      <c r="AH453" s="277">
        <v>357405</v>
      </c>
      <c r="AI453" s="277">
        <v>59364</v>
      </c>
      <c r="AJ453" s="277">
        <v>278831</v>
      </c>
      <c r="AK453" s="277">
        <v>992737</v>
      </c>
      <c r="AT453" s="252">
        <f t="shared" ref="AT453" si="2919">AF453/SUM(AF450:AF461)*AM461</f>
        <v>15372.166682375329</v>
      </c>
      <c r="AU453" s="252">
        <f t="shared" ref="AU453" si="2920">AG453/SUM(AG450:AG461)*AN461</f>
        <v>11077.306841260252</v>
      </c>
      <c r="AV453" s="252">
        <f t="shared" ref="AV453" si="2921">AH453/SUM(AH450:AH461)*AO461</f>
        <v>3943.1869358201857</v>
      </c>
      <c r="AW453" s="252">
        <f t="shared" ref="AW453" si="2922">AI453/SUM(AI450:AI461)*AP461</f>
        <v>822.78443168082731</v>
      </c>
      <c r="AX453" s="252">
        <f t="shared" ref="AX453" si="2923">AJ453/SUM(AJ450:AJ461)*AQ461</f>
        <v>3531.8382483195396</v>
      </c>
      <c r="AY453" s="252">
        <f t="shared" ref="AY453" si="2924">AK453/SUM(AK450:AK461)*AR461</f>
        <v>9970.3472145216165</v>
      </c>
    </row>
    <row r="454" spans="31:59">
      <c r="AE454" s="165">
        <v>42583</v>
      </c>
      <c r="AF454" s="277">
        <v>1397761</v>
      </c>
      <c r="AG454" s="277">
        <v>788382</v>
      </c>
      <c r="AH454" s="277">
        <v>347625</v>
      </c>
      <c r="AI454" s="277">
        <v>62035</v>
      </c>
      <c r="AJ454" s="277">
        <v>290137</v>
      </c>
      <c r="AK454" s="277">
        <v>1119651</v>
      </c>
      <c r="AT454" s="252">
        <f t="shared" ref="AT454" si="2925">AF454/SUM(AF450:AF461)*AM461</f>
        <v>16056.955553655138</v>
      </c>
      <c r="AU454" s="252">
        <f t="shared" ref="AU454" si="2926">AG454/SUM(AG450:AG461)*AN461</f>
        <v>11692.982217982008</v>
      </c>
      <c r="AV454" s="252">
        <f t="shared" ref="AV454" si="2927">AH454/SUM(AH450:AH461)*AO461</f>
        <v>3835.2859041269485</v>
      </c>
      <c r="AW454" s="252">
        <f t="shared" ref="AW454" si="2928">AI454/SUM(AI450:AI461)*AP461</f>
        <v>859.80446431035853</v>
      </c>
      <c r="AX454" s="252">
        <f t="shared" ref="AX454" si="2929">AJ454/SUM(AJ450:AJ461)*AQ461</f>
        <v>3675.046726700712</v>
      </c>
      <c r="AY454" s="252">
        <f t="shared" ref="AY454" si="2930">AK454/SUM(AK450:AK461)*AR461</f>
        <v>11244.981529938284</v>
      </c>
    </row>
    <row r="455" spans="31:59">
      <c r="AE455" s="165">
        <v>42614</v>
      </c>
      <c r="AF455" s="277">
        <v>1424589</v>
      </c>
      <c r="AG455" s="277">
        <v>818199</v>
      </c>
      <c r="AH455" s="277">
        <v>379760</v>
      </c>
      <c r="AI455" s="277">
        <v>62120</v>
      </c>
      <c r="AJ455" s="277">
        <v>324661</v>
      </c>
      <c r="AK455" s="277">
        <v>1296388</v>
      </c>
      <c r="AT455" s="252">
        <f t="shared" ref="AT455" si="2931">AF455/SUM(AF450:AF461)*AM461</f>
        <v>16365.145582990239</v>
      </c>
      <c r="AU455" s="252">
        <f t="shared" ref="AU455" si="2932">AG455/SUM(AG450:AG461)*AN461</f>
        <v>12135.21663073315</v>
      </c>
      <c r="AV455" s="252">
        <f t="shared" ref="AV455" si="2933">AH455/SUM(AH450:AH461)*AO461</f>
        <v>4189.8257459942461</v>
      </c>
      <c r="AW455" s="252">
        <f t="shared" ref="AW455" si="2934">AI455/SUM(AI450:AI461)*AP461</f>
        <v>860.9825634393402</v>
      </c>
      <c r="AX455" s="252">
        <f t="shared" ref="AX455" si="2935">AJ455/SUM(AJ450:AJ461)*AQ461</f>
        <v>4112.3481160189149</v>
      </c>
      <c r="AY455" s="252">
        <f t="shared" ref="AY455" si="2936">AK455/SUM(AK450:AK461)*AR461</f>
        <v>13020.002764820138</v>
      </c>
    </row>
    <row r="456" spans="31:59">
      <c r="AE456" s="165">
        <v>42644</v>
      </c>
      <c r="AF456" s="277">
        <v>1445133</v>
      </c>
      <c r="AG456" s="277">
        <v>846030</v>
      </c>
      <c r="AH456" s="277">
        <v>381144</v>
      </c>
      <c r="AI456" s="277">
        <v>65097</v>
      </c>
      <c r="AJ456" s="277">
        <v>345277</v>
      </c>
      <c r="AK456" s="277">
        <v>1410021</v>
      </c>
      <c r="AT456" s="252">
        <f t="shared" ref="AT456" si="2937">AF456/SUM(AF450:AF461)*AM461</f>
        <v>16601.14737077391</v>
      </c>
      <c r="AU456" s="252">
        <f t="shared" ref="AU456" si="2938">AG456/SUM(AG450:AG461)*AN461</f>
        <v>12547.995446216832</v>
      </c>
      <c r="AV456" s="252">
        <f t="shared" ref="AV456" si="2939">AH456/SUM(AH450:AH461)*AO461</f>
        <v>4205.0951762461327</v>
      </c>
      <c r="AW456" s="252">
        <f t="shared" ref="AW456" si="2940">AI456/SUM(AI450:AI461)*AP461</f>
        <v>902.24375293320554</v>
      </c>
      <c r="AX456" s="252">
        <f t="shared" ref="AX456" si="2941">AJ456/SUM(AJ450:AJ461)*AQ461</f>
        <v>4373.4825570507792</v>
      </c>
      <c r="AY456" s="252">
        <f t="shared" ref="AY456" si="2942">AK456/SUM(AK450:AK461)*AR461</f>
        <v>14161.252123943183</v>
      </c>
    </row>
    <row r="457" spans="31:59">
      <c r="AE457" s="165">
        <v>42675</v>
      </c>
      <c r="AF457" s="277">
        <v>1438429</v>
      </c>
      <c r="AG457" s="277">
        <v>845558</v>
      </c>
      <c r="AH457" s="277">
        <v>401428</v>
      </c>
      <c r="AI457" s="277">
        <v>64133</v>
      </c>
      <c r="AJ457" s="277">
        <v>330756</v>
      </c>
      <c r="AK457" s="277">
        <v>1475944</v>
      </c>
      <c r="AT457" s="252">
        <f t="shared" ref="AT457" si="2943">AF457/SUM(AF450:AF461)*AM461</f>
        <v>16524.134326318021</v>
      </c>
      <c r="AU457" s="252">
        <f t="shared" ref="AU457" si="2944">AG457/SUM(AG450:AG461)*AN461</f>
        <v>12540.994921589319</v>
      </c>
      <c r="AV457" s="252">
        <f t="shared" ref="AV457" si="2945">AH457/SUM(AH450:AH461)*AO461</f>
        <v>4428.8850051689969</v>
      </c>
      <c r="AW457" s="252">
        <f t="shared" ref="AW457" si="2946">AI457/SUM(AI450:AI461)*AP461</f>
        <v>888.88272281157776</v>
      </c>
      <c r="AX457" s="252">
        <f t="shared" ref="AX457" si="2947">AJ457/SUM(AJ450:AJ461)*AQ461</f>
        <v>4189.5509884524226</v>
      </c>
      <c r="AY457" s="252">
        <f t="shared" ref="AY457" si="2948">AK457/SUM(AK450:AK461)*AR461</f>
        <v>14823.336038839987</v>
      </c>
    </row>
    <row r="458" spans="31:59">
      <c r="AE458" s="165">
        <v>42705</v>
      </c>
      <c r="AF458" s="277">
        <v>1423030</v>
      </c>
      <c r="AG458" s="277">
        <v>852956</v>
      </c>
      <c r="AH458" s="277">
        <v>406899</v>
      </c>
      <c r="AI458" s="277">
        <v>64425</v>
      </c>
      <c r="AJ458" s="277">
        <v>314063</v>
      </c>
      <c r="AK458" s="277">
        <v>1556288</v>
      </c>
      <c r="AT458" s="252">
        <f t="shared" ref="AT458" si="2949">AF458/SUM(AF450:AF461)*AM461</f>
        <v>16347.236374113936</v>
      </c>
      <c r="AU458" s="252">
        <f t="shared" ref="AU458" si="2950">AG458/SUM(AG450:AG461)*AN461</f>
        <v>12650.719246153594</v>
      </c>
      <c r="AV458" s="252">
        <f t="shared" ref="AV458" si="2951">AH458/SUM(AH450:AH461)*AO461</f>
        <v>4489.2455925303166</v>
      </c>
      <c r="AW458" s="252">
        <f t="shared" ref="AW458" si="2952">AI458/SUM(AI450:AI461)*AP461</f>
        <v>892.92983981937368</v>
      </c>
      <c r="AX458" s="252">
        <f t="shared" ref="AX458" si="2953">AJ458/SUM(AJ450:AJ461)*AQ461</f>
        <v>3978.1075840992557</v>
      </c>
      <c r="AY458" s="252">
        <f t="shared" ref="AY458" si="2954">AK458/SUM(AK450:AK461)*AR461</f>
        <v>15630.254262501971</v>
      </c>
      <c r="BA458" s="252">
        <f t="shared" ref="BA458" si="2955">SUM(AT447:AT458)</f>
        <v>184859.32104184831</v>
      </c>
      <c r="BB458" s="252">
        <f t="shared" ref="BB458" si="2956">SUM(AU447:AU458)</f>
        <v>138150.67098517879</v>
      </c>
      <c r="BC458" s="252">
        <f t="shared" ref="BC458" si="2957">SUM(AV447:AV458)</f>
        <v>50138.464741578318</v>
      </c>
      <c r="BD458" s="252">
        <f t="shared" ref="BD458" si="2958">SUM(AW447:AW458)</f>
        <v>10376.665837614433</v>
      </c>
      <c r="BE458" s="252">
        <f t="shared" ref="BE458" si="2959">SUM(AX447:AX458)</f>
        <v>46329.036287384544</v>
      </c>
      <c r="BF458" s="252">
        <f t="shared" ref="BF458" si="2960">SUM(AY447:AY458)</f>
        <v>151234.07808652165</v>
      </c>
      <c r="BG458" s="252">
        <f t="shared" ref="BG458" si="2961">SUM(BA458:BF458)</f>
        <v>581088.23698012601</v>
      </c>
    </row>
    <row r="459" spans="31:59">
      <c r="AE459" s="165">
        <v>42736</v>
      </c>
      <c r="AF459" s="277">
        <v>1394465</v>
      </c>
      <c r="AG459" s="277">
        <v>853400</v>
      </c>
      <c r="AH459" s="277">
        <v>383142</v>
      </c>
      <c r="AI459" s="277">
        <v>63781</v>
      </c>
      <c r="AJ459" s="277">
        <v>299850</v>
      </c>
      <c r="AK459" s="277">
        <v>1576586</v>
      </c>
      <c r="AT459" s="252">
        <f t="shared" ref="AT459" si="2962">AF459/SUM(AF450:AF461)*AM461</f>
        <v>16019.092338481121</v>
      </c>
      <c r="AU459" s="252">
        <f t="shared" ref="AU459" si="2963">AG459/SUM(AG450:AG461)*AN461</f>
        <v>12657.304485421846</v>
      </c>
      <c r="AV459" s="252">
        <f t="shared" ref="AV459" si="2964">AH459/SUM(AH450:AH461)*AO461</f>
        <v>4227.1387612484932</v>
      </c>
      <c r="AW459" s="252">
        <f t="shared" ref="AW459" si="2965">AI459/SUM(AI450:AI461)*AP461</f>
        <v>884.00400641861813</v>
      </c>
      <c r="AX459" s="252">
        <f t="shared" ref="AX459" si="2966">AJ459/SUM(AJ450:AJ461)*AQ461</f>
        <v>3798.0773255434792</v>
      </c>
      <c r="AY459" s="252">
        <f t="shared" ref="AY459" si="2967">AK459/SUM(AK450:AK461)*AR461</f>
        <v>15834.112996245507</v>
      </c>
    </row>
    <row r="460" spans="31:59">
      <c r="AE460" s="165">
        <v>42767</v>
      </c>
      <c r="AF460" s="277">
        <v>1337489</v>
      </c>
      <c r="AG460" s="277">
        <v>850353</v>
      </c>
      <c r="AH460" s="277">
        <v>397297</v>
      </c>
      <c r="AI460" s="277">
        <v>61941</v>
      </c>
      <c r="AJ460" s="277">
        <v>291398</v>
      </c>
      <c r="AK460" s="277">
        <v>1573876</v>
      </c>
      <c r="AT460" s="252">
        <f t="shared" ref="AT460" si="2968">AF460/SUM(AF450:AF461)*AM461</f>
        <v>15364.573361613793</v>
      </c>
      <c r="AU460" s="252">
        <f t="shared" ref="AU460" si="2969">AG460/SUM(AG450:AG461)*AN461</f>
        <v>12612.112539362461</v>
      </c>
      <c r="AV460" s="252">
        <f t="shared" ref="AV460" si="2970">AH460/SUM(AH450:AH461)*AO461</f>
        <v>4383.3084037451972</v>
      </c>
      <c r="AW460" s="252">
        <f t="shared" ref="AW460" si="2971">AI460/SUM(AI450:AI461)*AP461</f>
        <v>858.50162527360226</v>
      </c>
      <c r="AX460" s="252">
        <f t="shared" ref="AX460" si="2972">AJ460/SUM(AJ450:AJ461)*AQ461</f>
        <v>3691.019298011402</v>
      </c>
      <c r="AY460" s="252">
        <f t="shared" ref="AY460" si="2973">AK460/SUM(AK450:AK461)*AR461</f>
        <v>15806.89567589646</v>
      </c>
    </row>
    <row r="461" spans="31:59">
      <c r="AE461" s="165">
        <v>42795</v>
      </c>
      <c r="AF461" s="277">
        <v>1261925</v>
      </c>
      <c r="AG461" s="277">
        <v>813635</v>
      </c>
      <c r="AH461" s="277">
        <v>466115</v>
      </c>
      <c r="AI461" s="277">
        <v>60039</v>
      </c>
      <c r="AJ461" s="277">
        <v>294142</v>
      </c>
      <c r="AK461" s="277">
        <v>1600781</v>
      </c>
      <c r="AM461" s="277">
        <v>185339.28951421045</v>
      </c>
      <c r="AN461" s="277">
        <v>141052.71048578958</v>
      </c>
      <c r="AO461" s="277">
        <v>50287</v>
      </c>
      <c r="AP461" s="277">
        <v>10258.36053556214</v>
      </c>
      <c r="AQ461" s="277">
        <v>45427.63946443786</v>
      </c>
      <c r="AR461" s="277">
        <v>153409</v>
      </c>
      <c r="AT461" s="252">
        <f t="shared" ref="AT461" si="2974">AF461/SUM(AF450:AF461)*AM461</f>
        <v>14496.5223933464</v>
      </c>
      <c r="AU461" s="252">
        <f t="shared" ref="AU461" si="2975">AG461/SUM(AG450:AG461)*AN461</f>
        <v>12067.525117173896</v>
      </c>
      <c r="AV461" s="252">
        <f t="shared" ref="AV461" si="2976">AH461/SUM(AH450:AH461)*AO461</f>
        <v>5142.5653770647468</v>
      </c>
      <c r="AW461" s="252">
        <f t="shared" ref="AW461" si="2977">AI461/SUM(AI450:AI461)*AP461</f>
        <v>832.13992476391741</v>
      </c>
      <c r="AX461" s="252">
        <f t="shared" ref="AX461" si="2978">AJ461/SUM(AJ450:AJ461)*AQ461</f>
        <v>3725.7764238452901</v>
      </c>
      <c r="AY461" s="252">
        <f t="shared" ref="AY461" si="2979">AK461/SUM(AK450:AK461)*AR461</f>
        <v>16077.110437516812</v>
      </c>
      <c r="AZ461" s="25">
        <f t="shared" ref="AZ461" si="2980">SUM(AT450:AY461)-SUM(AM461:AR461)</f>
        <v>0</v>
      </c>
    </row>
    <row r="462" spans="31:59">
      <c r="AE462" s="165">
        <v>42826</v>
      </c>
      <c r="AF462" s="277">
        <v>1239586</v>
      </c>
      <c r="AG462" s="277">
        <v>785593</v>
      </c>
      <c r="AH462" s="277">
        <v>373240</v>
      </c>
      <c r="AI462" s="277">
        <v>56516</v>
      </c>
      <c r="AJ462" s="277">
        <v>300737</v>
      </c>
      <c r="AK462" s="277">
        <v>1024158</v>
      </c>
      <c r="AT462" s="252">
        <f t="shared" ref="AT462" si="2981">AF462/SUM(AF462:AF473)*AM473</f>
        <v>14272.752091291923</v>
      </c>
      <c r="AU462" s="252">
        <f t="shared" ref="AU462" si="2982">AG462/SUM(AG462:AG473)*AN473</f>
        <v>11529.073983243334</v>
      </c>
      <c r="AV462" s="252">
        <f t="shared" ref="AV462" si="2983">AH462/SUM(AH462:AH473)*AO473</f>
        <v>3768.5614033599004</v>
      </c>
      <c r="AW462" s="252">
        <f t="shared" ref="AW462" si="2984">AI462/SUM(AI462:AI473)*AP473</f>
        <v>779.11038263756541</v>
      </c>
      <c r="AX462" s="252">
        <f t="shared" ref="AX462" si="2985">AJ462/SUM(AJ462:AJ473)*AQ473</f>
        <v>4048.2825791270802</v>
      </c>
      <c r="AY462" s="252">
        <f t="shared" ref="AY462" si="2986">AK462/SUM(AK462:AK473)*AR473</f>
        <v>9469.8931117135508</v>
      </c>
    </row>
    <row r="463" spans="31:59">
      <c r="AE463" s="165">
        <v>42856</v>
      </c>
      <c r="AF463" s="277">
        <v>1250831</v>
      </c>
      <c r="AG463" s="277">
        <v>778470</v>
      </c>
      <c r="AH463" s="277">
        <v>351063</v>
      </c>
      <c r="AI463" s="277">
        <v>53896</v>
      </c>
      <c r="AJ463" s="277">
        <v>297129</v>
      </c>
      <c r="AK463" s="277">
        <v>955459</v>
      </c>
      <c r="AT463" s="252">
        <f t="shared" ref="AT463" si="2987">AF463/SUM(AF462:AF473)*AM473</f>
        <v>14402.228462650246</v>
      </c>
      <c r="AU463" s="252">
        <f t="shared" ref="AU463" si="2988">AG463/SUM(AG462:AG473)*AN473</f>
        <v>11424.539454571817</v>
      </c>
      <c r="AV463" s="252">
        <f t="shared" ref="AV463" si="2989">AH463/SUM(AH462:AH473)*AO473</f>
        <v>3544.6427819840769</v>
      </c>
      <c r="AW463" s="252">
        <f t="shared" ref="AW463" si="2990">AI463/SUM(AI462:AI473)*AP473</f>
        <v>742.99195241408131</v>
      </c>
      <c r="AX463" s="252">
        <f t="shared" ref="AX463" si="2991">AJ463/SUM(AJ462:AJ473)*AQ473</f>
        <v>3999.7145494350552</v>
      </c>
      <c r="AY463" s="252">
        <f t="shared" ref="AY463" si="2992">AK463/SUM(AK462:AK473)*AR473</f>
        <v>8834.6667239085364</v>
      </c>
    </row>
    <row r="464" spans="31:59">
      <c r="AE464" s="165">
        <v>42887</v>
      </c>
      <c r="AF464" s="277">
        <v>1304870</v>
      </c>
      <c r="AG464" s="277">
        <v>807238</v>
      </c>
      <c r="AH464" s="277">
        <v>371875</v>
      </c>
      <c r="AI464" s="277">
        <v>50818</v>
      </c>
      <c r="AJ464" s="277">
        <v>294968</v>
      </c>
      <c r="AK464" s="277">
        <v>1034942</v>
      </c>
      <c r="AT464" s="252">
        <f t="shared" ref="AT464" si="2993">AF464/SUM(AF462:AF473)*AM473</f>
        <v>15024.440435245389</v>
      </c>
      <c r="AU464" s="252">
        <f t="shared" ref="AU464" si="2994">AG464/SUM(AG462:AG473)*AN473</f>
        <v>11846.728043764879</v>
      </c>
      <c r="AV464" s="252">
        <f t="shared" ref="AV464" si="2995">AH464/SUM(AH462:AH473)*AO473</f>
        <v>3754.7791551668179</v>
      </c>
      <c r="AW464" s="252">
        <f t="shared" ref="AW464" si="2996">AI464/SUM(AI462:AI473)*AP473</f>
        <v>700.55968973168297</v>
      </c>
      <c r="AX464" s="252">
        <f t="shared" ref="AX464" si="2997">AJ464/SUM(AJ462:AJ473)*AQ473</f>
        <v>3970.6248842010018</v>
      </c>
      <c r="AY464" s="252">
        <f t="shared" ref="AY464" si="2998">AK464/SUM(AK462:AK473)*AR473</f>
        <v>9569.6075379219274</v>
      </c>
    </row>
    <row r="465" spans="31:59">
      <c r="AE465" s="165">
        <v>42917</v>
      </c>
      <c r="AF465" s="277">
        <v>1358236</v>
      </c>
      <c r="AG465" s="277">
        <v>838425</v>
      </c>
      <c r="AH465" s="277">
        <v>366737</v>
      </c>
      <c r="AI465" s="277">
        <v>51659</v>
      </c>
      <c r="AJ465" s="277">
        <v>309916</v>
      </c>
      <c r="AK465" s="277">
        <v>1097122</v>
      </c>
      <c r="AT465" s="252">
        <f t="shared" ref="AT465" si="2999">AF465/SUM(AF462:AF473)*AM473</f>
        <v>15638.903399576937</v>
      </c>
      <c r="AU465" s="252">
        <f t="shared" ref="AU465" si="3000">AG465/SUM(AG462:AG473)*AN473</f>
        <v>12304.416987423248</v>
      </c>
      <c r="AV465" s="252">
        <f t="shared" ref="AV465" si="3001">AH465/SUM(AH462:AH473)*AO473</f>
        <v>3702.9013594041367</v>
      </c>
      <c r="AW465" s="252">
        <f t="shared" ref="AW465" si="3002">AI465/SUM(AI462:AI473)*AP473</f>
        <v>712.15343012021356</v>
      </c>
      <c r="AX465" s="252">
        <f t="shared" ref="AX465" si="3003">AJ465/SUM(AJ462:AJ473)*AQ473</f>
        <v>4171.8429850425728</v>
      </c>
      <c r="AY465" s="252">
        <f t="shared" ref="AY465" si="3004">AK465/SUM(AK462:AK473)*AR473</f>
        <v>10144.555889334843</v>
      </c>
    </row>
    <row r="466" spans="31:59">
      <c r="AE466" s="165">
        <v>42948</v>
      </c>
      <c r="AF466" s="277">
        <v>1396742</v>
      </c>
      <c r="AG466" s="277">
        <v>870362</v>
      </c>
      <c r="AH466" s="277">
        <v>371064</v>
      </c>
      <c r="AI466" s="277">
        <v>53997</v>
      </c>
      <c r="AJ466" s="277">
        <v>320740</v>
      </c>
      <c r="AK466" s="277">
        <v>1221741</v>
      </c>
      <c r="AT466" s="252">
        <f t="shared" ref="AT466" si="3005">AF466/SUM(AF462:AF473)*AM473</f>
        <v>16082.266419187745</v>
      </c>
      <c r="AU466" s="252">
        <f t="shared" ref="AU466" si="3006">AG466/SUM(AG462:AG473)*AN473</f>
        <v>12773.112655285413</v>
      </c>
      <c r="AV466" s="252">
        <f t="shared" ref="AV466" si="3007">AH466/SUM(AH462:AH473)*AO473</f>
        <v>3746.5905813319528</v>
      </c>
      <c r="AW466" s="252">
        <f t="shared" ref="AW466" si="3008">AI466/SUM(AI462:AI473)*AP473</f>
        <v>744.38430411353636</v>
      </c>
      <c r="AX466" s="252">
        <f t="shared" ref="AX466" si="3009">AJ466/SUM(AJ462:AJ473)*AQ473</f>
        <v>4317.5470741186473</v>
      </c>
      <c r="AY466" s="252">
        <f t="shared" ref="AY466" si="3010">AK466/SUM(AK462:AK473)*AR473</f>
        <v>11296.847439748579</v>
      </c>
    </row>
    <row r="467" spans="31:59">
      <c r="AE467" s="165">
        <v>42979</v>
      </c>
      <c r="AF467" s="277">
        <v>1411461</v>
      </c>
      <c r="AG467" s="277">
        <v>889177</v>
      </c>
      <c r="AH467" s="277">
        <v>390694</v>
      </c>
      <c r="AI467" s="277">
        <v>57113</v>
      </c>
      <c r="AJ467" s="277">
        <v>327751</v>
      </c>
      <c r="AK467" s="277">
        <v>1369424</v>
      </c>
      <c r="AT467" s="252">
        <f t="shared" ref="AT467" si="3011">AF467/SUM(AF462:AF473)*AM473</f>
        <v>16251.742871835424</v>
      </c>
      <c r="AU467" s="252">
        <f t="shared" ref="AU467" si="3012">AG467/SUM(AG462:AG473)*AN473</f>
        <v>13049.234676477969</v>
      </c>
      <c r="AV467" s="252">
        <f t="shared" ref="AV467" si="3013">AH467/SUM(AH462:AH473)*AO473</f>
        <v>3944.7924362991457</v>
      </c>
      <c r="AW467" s="252">
        <f t="shared" ref="AW467" si="3014">AI467/SUM(AI462:AI473)*AP473</f>
        <v>787.34042189077911</v>
      </c>
      <c r="AX467" s="252">
        <f t="shared" ref="AX467" si="3015">AJ467/SUM(AJ462:AJ473)*AQ473</f>
        <v>4411.9235863611048</v>
      </c>
      <c r="AY467" s="252">
        <f t="shared" ref="AY467" si="3016">AK467/SUM(AK462:AK473)*AR473</f>
        <v>12662.400630191063</v>
      </c>
    </row>
    <row r="468" spans="31:59">
      <c r="AE468" s="165">
        <v>43009</v>
      </c>
      <c r="AF468" s="277">
        <v>1436561</v>
      </c>
      <c r="AG468" s="277">
        <v>910733</v>
      </c>
      <c r="AH468" s="277">
        <v>385602</v>
      </c>
      <c r="AI468" s="277">
        <v>58687</v>
      </c>
      <c r="AJ468" s="277">
        <v>335091</v>
      </c>
      <c r="AK468" s="277">
        <v>1527869</v>
      </c>
      <c r="AT468" s="252">
        <f t="shared" ref="AT468" si="3017">AF468/SUM(AF462:AF473)*AM473</f>
        <v>16540.747489095887</v>
      </c>
      <c r="AU468" s="252">
        <f t="shared" ref="AU468" si="3018">AG468/SUM(AG462:AG473)*AN473</f>
        <v>13365.582605727332</v>
      </c>
      <c r="AV468" s="252">
        <f t="shared" ref="AV468" si="3019">AH468/SUM(AH462:AH473)*AO473</f>
        <v>3893.3790972521288</v>
      </c>
      <c r="AW468" s="252">
        <f t="shared" ref="AW468" si="3020">AI468/SUM(AI462:AI473)*AP473</f>
        <v>809.03905134565071</v>
      </c>
      <c r="AX468" s="252">
        <f t="shared" ref="AX468" si="3021">AJ468/SUM(AJ462:AJ473)*AQ473</f>
        <v>4510.7288352356791</v>
      </c>
      <c r="AY468" s="252">
        <f t="shared" ref="AY468" si="3022">AK468/SUM(AK462:AK473)*AR473</f>
        <v>14127.464823494687</v>
      </c>
    </row>
    <row r="469" spans="31:59">
      <c r="AE469" s="165">
        <v>43040</v>
      </c>
      <c r="AF469" s="277">
        <v>1439907</v>
      </c>
      <c r="AG469" s="277">
        <v>919046</v>
      </c>
      <c r="AH469" s="277">
        <v>397320</v>
      </c>
      <c r="AI469" s="277">
        <v>57101</v>
      </c>
      <c r="AJ469" s="277">
        <v>331984</v>
      </c>
      <c r="AK469" s="277">
        <v>1587867</v>
      </c>
      <c r="AT469" s="252">
        <f t="shared" ref="AT469" si="3023">AF469/SUM(AF462:AF473)*AM473</f>
        <v>16579.273761978497</v>
      </c>
      <c r="AU469" s="252">
        <f t="shared" ref="AU469" si="3024">AG469/SUM(AG462:AG473)*AN473</f>
        <v>13487.581136802202</v>
      </c>
      <c r="AV469" s="252">
        <f t="shared" ref="AV469" si="3025">AH469/SUM(AH462:AH473)*AO473</f>
        <v>4011.6943971250553</v>
      </c>
      <c r="AW469" s="252">
        <f t="shared" ref="AW469" si="3026">AI469/SUM(AI462:AI473)*AP473</f>
        <v>787.17499396609139</v>
      </c>
      <c r="AX469" s="252">
        <f t="shared" ref="AX469" si="3027">AJ469/SUM(AJ462:AJ473)*AQ473</f>
        <v>4468.9048695335941</v>
      </c>
      <c r="AY469" s="252">
        <f t="shared" ref="AY469" si="3028">AK469/SUM(AK462:AK473)*AR473</f>
        <v>14682.237277468186</v>
      </c>
    </row>
    <row r="470" spans="31:59">
      <c r="AE470" s="165">
        <v>43070</v>
      </c>
      <c r="AF470" s="277">
        <v>1436112</v>
      </c>
      <c r="AG470" s="277">
        <v>917842</v>
      </c>
      <c r="AH470" s="277">
        <v>411534</v>
      </c>
      <c r="AI470" s="277">
        <v>54147</v>
      </c>
      <c r="AJ470" s="277">
        <v>332840</v>
      </c>
      <c r="AK470" s="277">
        <v>1689026</v>
      </c>
      <c r="AT470" s="252">
        <f t="shared" ref="AT470" si="3029">AF470/SUM(AF462:AF473)*AM473</f>
        <v>16535.577645544097</v>
      </c>
      <c r="AU470" s="252">
        <f t="shared" ref="AU470" si="3030">AG470/SUM(AG462:AG473)*AN473</f>
        <v>13469.91167554704</v>
      </c>
      <c r="AV470" s="252">
        <f t="shared" ref="AV470" si="3031">AH470/SUM(AH462:AH473)*AO473</f>
        <v>4155.2115222653338</v>
      </c>
      <c r="AW470" s="252">
        <f t="shared" ref="AW470" si="3032">AI470/SUM(AI462:AI473)*AP473</f>
        <v>746.45215317213274</v>
      </c>
      <c r="AX470" s="252">
        <f t="shared" ref="AX470" si="3033">AJ470/SUM(AJ462:AJ473)*AQ473</f>
        <v>4480.4276615004392</v>
      </c>
      <c r="AY470" s="252">
        <f t="shared" ref="AY470" si="3034">AK470/SUM(AK462:AK473)*AR473</f>
        <v>15617.605567602941</v>
      </c>
      <c r="BA470" s="252">
        <f t="shared" ref="BA470" si="3035">SUM(AT459:AT470)</f>
        <v>187208.12066984747</v>
      </c>
      <c r="BB470" s="252">
        <f t="shared" ref="BB470" si="3036">SUM(AU459:AU470)</f>
        <v>150587.12336080143</v>
      </c>
      <c r="BC470" s="252">
        <f t="shared" ref="BC470" si="3037">SUM(AV459:AV470)</f>
        <v>48275.565276246984</v>
      </c>
      <c r="BD470" s="252">
        <f t="shared" ref="BD470" si="3038">SUM(AW459:AW470)</f>
        <v>9383.8519358478716</v>
      </c>
      <c r="BE470" s="252">
        <f t="shared" ref="BE470" si="3039">SUM(AX459:AX470)</f>
        <v>49594.870071955353</v>
      </c>
      <c r="BF470" s="252">
        <f t="shared" ref="BF470" si="3040">SUM(AY459:AY470)</f>
        <v>154123.39811104312</v>
      </c>
      <c r="BG470" s="252">
        <f t="shared" ref="BG470" si="3041">SUM(BA470:BF470)</f>
        <v>599172.92942574224</v>
      </c>
    </row>
    <row r="471" spans="31:59">
      <c r="AE471" s="165">
        <v>43101</v>
      </c>
      <c r="AF471" s="277">
        <v>1403457</v>
      </c>
      <c r="AG471" s="277">
        <v>910410</v>
      </c>
      <c r="AH471" s="277">
        <v>397045</v>
      </c>
      <c r="AI471" s="277">
        <v>52732</v>
      </c>
      <c r="AJ471" s="277">
        <v>334013</v>
      </c>
      <c r="AK471" s="277">
        <v>1653158</v>
      </c>
      <c r="AT471" s="252">
        <f t="shared" ref="AT471" si="3042">AF471/SUM(AF462:AF473)*AM473</f>
        <v>16159.583789901053</v>
      </c>
      <c r="AU471" s="252">
        <f t="shared" ref="AU471" si="3043">AG471/SUM(AG462:AG473)*AN473</f>
        <v>13360.84237650356</v>
      </c>
      <c r="AV471" s="252">
        <f t="shared" ref="AV471" si="3044">AH471/SUM(AH462:AH473)*AO473</f>
        <v>4008.9177537161927</v>
      </c>
      <c r="AW471" s="252">
        <f t="shared" ref="AW471" si="3045">AI471/SUM(AI462:AI473)*AP473</f>
        <v>726.9454437193732</v>
      </c>
      <c r="AX471" s="252">
        <f t="shared" ref="AX471" si="3046">AJ471/SUM(AJ462:AJ473)*AQ473</f>
        <v>4496.217655632574</v>
      </c>
      <c r="AY471" s="252">
        <f t="shared" ref="AY471" si="3047">AK471/SUM(AK462:AK473)*AR473</f>
        <v>15285.951539483314</v>
      </c>
    </row>
    <row r="472" spans="31:59">
      <c r="AE472" s="165">
        <v>43132</v>
      </c>
      <c r="AF472" s="277">
        <v>1338865</v>
      </c>
      <c r="AG472" s="277">
        <v>895213</v>
      </c>
      <c r="AH472" s="277">
        <v>414496</v>
      </c>
      <c r="AI472" s="277">
        <v>51000</v>
      </c>
      <c r="AJ472" s="277">
        <v>330927</v>
      </c>
      <c r="AK472" s="277">
        <v>1631769</v>
      </c>
      <c r="AT472" s="252">
        <f t="shared" ref="AT472" si="3048">AF472/SUM(AF462:AF473)*AM473</f>
        <v>15415.86322264656</v>
      </c>
      <c r="AU472" s="252">
        <f t="shared" ref="AU472" si="3049">AG472/SUM(AG462:AG473)*AN473</f>
        <v>13137.816792870119</v>
      </c>
      <c r="AV472" s="252">
        <f t="shared" ref="AV472" si="3050">AH472/SUM(AH462:AH473)*AO473</f>
        <v>4185.1184960000674</v>
      </c>
      <c r="AW472" s="252">
        <f t="shared" ref="AW472" si="3051">AI472/SUM(AI462:AI473)*AP473</f>
        <v>703.06867992278001</v>
      </c>
      <c r="AX472" s="252">
        <f t="shared" ref="AX472" si="3052">AJ472/SUM(AJ462:AJ473)*AQ473</f>
        <v>4454.6763752474335</v>
      </c>
      <c r="AY472" s="252">
        <f t="shared" ref="AY472" si="3053">AK472/SUM(AK462:AK473)*AR473</f>
        <v>15088.177813391791</v>
      </c>
    </row>
    <row r="473" spans="31:59">
      <c r="AE473" s="165">
        <v>43160</v>
      </c>
      <c r="AF473" s="277">
        <v>1251728</v>
      </c>
      <c r="AG473" s="277">
        <v>851631</v>
      </c>
      <c r="AH473" s="277">
        <v>483160</v>
      </c>
      <c r="AI473" s="277">
        <v>48802</v>
      </c>
      <c r="AJ473" s="277">
        <v>307708</v>
      </c>
      <c r="AK473" s="277">
        <v>1669774</v>
      </c>
      <c r="AM473" s="277">
        <v>187315.9362245794</v>
      </c>
      <c r="AN473" s="277">
        <v>152247.0637754206</v>
      </c>
      <c r="AO473" s="277">
        <v>47595</v>
      </c>
      <c r="AP473" s="277">
        <v>8911.9883014180341</v>
      </c>
      <c r="AQ473" s="277">
        <v>51473.01169858197</v>
      </c>
      <c r="AR473" s="277">
        <v>152219</v>
      </c>
      <c r="AT473" s="252">
        <f t="shared" ref="AT473" si="3054">AF473/SUM(AF462:AF473)*AM473</f>
        <v>14412.556635625648</v>
      </c>
      <c r="AU473" s="252">
        <f t="shared" ref="AU473" si="3055">AG473/SUM(AG462:AG473)*AN473</f>
        <v>12498.223387203685</v>
      </c>
      <c r="AV473" s="252">
        <f t="shared" ref="AV473" si="3056">AH473/SUM(AH462:AH473)*AO473</f>
        <v>4878.4110160951923</v>
      </c>
      <c r="AW473" s="252">
        <f t="shared" ref="AW473" si="3057">AI473/SUM(AI462:AI473)*AP473</f>
        <v>672.76779838414723</v>
      </c>
      <c r="AX473" s="252">
        <f t="shared" ref="AX473" si="3058">AJ473/SUM(AJ462:AJ473)*AQ473</f>
        <v>4142.1206431467881</v>
      </c>
      <c r="AY473" s="252">
        <f t="shared" ref="AY473" si="3059">AK473/SUM(AK462:AK473)*AR473</f>
        <v>15439.591645740582</v>
      </c>
      <c r="AZ473" s="25">
        <f t="shared" ref="AZ473" si="3060">SUM(AT462:AY473)-SUM(AM473:AR473)</f>
        <v>0</v>
      </c>
    </row>
    <row r="474" spans="31:59">
      <c r="AE474" s="165">
        <v>43191</v>
      </c>
      <c r="AF474" s="277">
        <v>1226377</v>
      </c>
      <c r="AG474" s="277">
        <v>812551</v>
      </c>
      <c r="AH474" s="277">
        <v>388071</v>
      </c>
      <c r="AI474" s="277">
        <v>45349</v>
      </c>
      <c r="AJ474" s="277">
        <v>273844</v>
      </c>
      <c r="AK474" s="277">
        <v>1067436</v>
      </c>
      <c r="AT474" s="252">
        <f t="shared" ref="AT474" si="3061">AF474/SUM(AF474:AF485)*AM485</f>
        <v>13802.581925116732</v>
      </c>
      <c r="AU474" s="252">
        <f t="shared" ref="AU474" si="3062">AG474/SUM(AG474:AG485)*AN485</f>
        <v>11523.628592948697</v>
      </c>
      <c r="AV474" s="252">
        <f t="shared" ref="AV474" si="3063">AH474/SUM(AH474:AH485)*AO485</f>
        <v>3845.4072658803848</v>
      </c>
      <c r="AW474" s="252">
        <f t="shared" ref="AW474" si="3064">AI474/SUM(AI474:AI485)*AP485</f>
        <v>636.4697860733736</v>
      </c>
      <c r="AX474" s="252">
        <f t="shared" ref="AX474" si="3065">AJ474/SUM(AJ474:AJ485)*AQ485</f>
        <v>3700.8922767508329</v>
      </c>
      <c r="AY474" s="252">
        <f t="shared" ref="AY474" si="3066">AK474/SUM(AK474:AK485)*AR485</f>
        <v>9612.1875431476619</v>
      </c>
    </row>
    <row r="475" spans="31:59">
      <c r="AE475" s="165">
        <v>43221</v>
      </c>
      <c r="AF475" s="277">
        <v>1236937</v>
      </c>
      <c r="AG475" s="277">
        <v>801213</v>
      </c>
      <c r="AH475" s="277">
        <v>370747</v>
      </c>
      <c r="AI475" s="277">
        <v>43259</v>
      </c>
      <c r="AJ475" s="277">
        <v>261381</v>
      </c>
      <c r="AK475" s="277">
        <v>956456</v>
      </c>
      <c r="AT475" s="252">
        <f t="shared" ref="AT475" si="3067">AF475/SUM(AF474:AF485)*AM485</f>
        <v>13921.432217587344</v>
      </c>
      <c r="AU475" s="252">
        <f t="shared" ref="AU475" si="3068">AG475/SUM(AG474:AG485)*AN485</f>
        <v>11362.832654002279</v>
      </c>
      <c r="AV475" s="252">
        <f t="shared" ref="AV475" si="3069">AH475/SUM(AH474:AH485)*AO485</f>
        <v>3673.7432263770165</v>
      </c>
      <c r="AW475" s="252">
        <f t="shared" ref="AW475" si="3070">AI475/SUM(AI474:AI485)*AP485</f>
        <v>607.1367941023633</v>
      </c>
      <c r="AX475" s="252">
        <f t="shared" ref="AX475" si="3071">AJ475/SUM(AJ474:AJ485)*AQ485</f>
        <v>3532.4598099261243</v>
      </c>
      <c r="AY475" s="252">
        <f t="shared" ref="AY475" si="3072">AK475/SUM(AK474:AK485)*AR485</f>
        <v>8612.8202990800764</v>
      </c>
    </row>
    <row r="476" spans="31:59">
      <c r="AE476" s="165">
        <v>43252</v>
      </c>
      <c r="AF476" s="277">
        <v>1291589</v>
      </c>
      <c r="AG476" s="277">
        <v>826599</v>
      </c>
      <c r="AH476" s="277">
        <v>405120</v>
      </c>
      <c r="AI476" s="277">
        <v>43957</v>
      </c>
      <c r="AJ476" s="277">
        <v>267332</v>
      </c>
      <c r="AK476" s="277">
        <v>1050678</v>
      </c>
      <c r="AT476" s="252">
        <f t="shared" ref="AT476" si="3073">AF476/SUM(AF474:AF485)*AM485</f>
        <v>14536.527500172942</v>
      </c>
      <c r="AU476" s="252">
        <f t="shared" ref="AU476" si="3074">AG476/SUM(AG474:AG485)*AN485</f>
        <v>11722.857852987445</v>
      </c>
      <c r="AV476" s="252">
        <f t="shared" ref="AV476" si="3075">AH476/SUM(AH474:AH485)*AO485</f>
        <v>4014.3463220736967</v>
      </c>
      <c r="AW476" s="252">
        <f t="shared" ref="AW476" si="3076">AI476/SUM(AI474:AI485)*AP485</f>
        <v>616.93317132521747</v>
      </c>
      <c r="AX476" s="252">
        <f t="shared" ref="AX476" si="3077">AJ476/SUM(AJ474:AJ485)*AQ485</f>
        <v>3612.8851978803759</v>
      </c>
      <c r="AY476" s="252">
        <f t="shared" ref="AY476" si="3078">AK476/SUM(AK474:AK485)*AR485</f>
        <v>9461.2829091948352</v>
      </c>
    </row>
    <row r="477" spans="31:59">
      <c r="AE477" s="165">
        <v>43282</v>
      </c>
      <c r="AF477" s="277">
        <v>1346901</v>
      </c>
      <c r="AG477" s="277">
        <v>868963</v>
      </c>
      <c r="AH477" s="277">
        <v>390130</v>
      </c>
      <c r="AI477" s="277">
        <v>46120</v>
      </c>
      <c r="AJ477" s="277">
        <v>277986</v>
      </c>
      <c r="AK477" s="277">
        <v>1119613</v>
      </c>
      <c r="AT477" s="252">
        <f t="shared" ref="AT477" si="3079">AF477/SUM(AF474:AF485)*AM485</f>
        <v>15159.050926037957</v>
      </c>
      <c r="AU477" s="252">
        <f t="shared" ref="AU477" si="3080">AG477/SUM(AG474:AG485)*AN485</f>
        <v>12323.66568131044</v>
      </c>
      <c r="AV477" s="252">
        <f t="shared" ref="AV477" si="3081">AH477/SUM(AH474:AH485)*AO485</f>
        <v>3865.8099591000473</v>
      </c>
      <c r="AW477" s="252">
        <f t="shared" ref="AW477" si="3082">AI477/SUM(AI474:AI485)*AP485</f>
        <v>647.29071277655498</v>
      </c>
      <c r="AX477" s="252">
        <f t="shared" ref="AX477" si="3083">AJ477/SUM(AJ474:AJ485)*AQ485</f>
        <v>3756.8697522854513</v>
      </c>
      <c r="AY477" s="252">
        <f t="shared" ref="AY477" si="3084">AK477/SUM(AK474:AK485)*AR485</f>
        <v>10082.037828728078</v>
      </c>
    </row>
    <row r="478" spans="31:59">
      <c r="AE478" s="165">
        <v>43313</v>
      </c>
      <c r="AF478" s="277">
        <v>1382177</v>
      </c>
      <c r="AG478" s="277">
        <v>891088</v>
      </c>
      <c r="AH478" s="277">
        <v>407024</v>
      </c>
      <c r="AI478" s="277">
        <v>45898</v>
      </c>
      <c r="AJ478" s="277">
        <v>285250</v>
      </c>
      <c r="AK478" s="277">
        <v>1217230</v>
      </c>
      <c r="AT478" s="252">
        <f t="shared" ref="AT478" si="3085">AF478/SUM(AF474:AF485)*AM485</f>
        <v>15556.073929560054</v>
      </c>
      <c r="AU478" s="252">
        <f t="shared" ref="AU478" si="3086">AG478/SUM(AG474:AG485)*AN485</f>
        <v>12637.443256649083</v>
      </c>
      <c r="AV478" s="252">
        <f t="shared" ref="AV478" si="3087">AH478/SUM(AH474:AH485)*AO485</f>
        <v>4033.2131156095088</v>
      </c>
      <c r="AW478" s="252">
        <f t="shared" ref="AW478" si="3088">AI478/SUM(AI474:AI485)*AP485</f>
        <v>644.17495956240941</v>
      </c>
      <c r="AX478" s="252">
        <f t="shared" ref="AX478" si="3089">AJ478/SUM(AJ474:AJ485)*AQ485</f>
        <v>3855.0398107797691</v>
      </c>
      <c r="AY478" s="252">
        <f t="shared" ref="AY478" si="3090">AK478/SUM(AK474:AK485)*AR485</f>
        <v>10961.072179639463</v>
      </c>
    </row>
    <row r="479" spans="31:59">
      <c r="AE479" s="165">
        <v>43344</v>
      </c>
      <c r="AF479" s="277">
        <v>1401416</v>
      </c>
      <c r="AG479" s="277">
        <v>902273</v>
      </c>
      <c r="AH479" s="277">
        <v>447221</v>
      </c>
      <c r="AI479" s="277">
        <v>45599</v>
      </c>
      <c r="AJ479" s="277">
        <v>298138</v>
      </c>
      <c r="AK479" s="277">
        <v>1395089</v>
      </c>
      <c r="AT479" s="252">
        <f t="shared" ref="AT479" si="3091">AF479/SUM(AF474:AF485)*AM485</f>
        <v>15772.604306154952</v>
      </c>
      <c r="AU479" s="252">
        <f t="shared" ref="AU479" si="3092">AG479/SUM(AG474:AG485)*AN485</f>
        <v>12796.069343888077</v>
      </c>
      <c r="AV479" s="252">
        <f t="shared" ref="AV479" si="3093">AH479/SUM(AH474:AH485)*AO485</f>
        <v>4431.5264032980858</v>
      </c>
      <c r="AW479" s="252">
        <f t="shared" ref="AW479" si="3094">AI479/SUM(AI474:AI485)*AP485</f>
        <v>639.97851717038452</v>
      </c>
      <c r="AX479" s="252">
        <f t="shared" ref="AX479" si="3095">AJ479/SUM(AJ474:AJ485)*AQ485</f>
        <v>4029.2159828440276</v>
      </c>
      <c r="AY479" s="252">
        <f t="shared" ref="AY479" si="3096">AK479/SUM(AK474:AK485)*AR485</f>
        <v>12562.680205073024</v>
      </c>
    </row>
    <row r="480" spans="31:59">
      <c r="AE480" s="165">
        <v>43374</v>
      </c>
      <c r="AF480" s="277">
        <v>1430446</v>
      </c>
      <c r="AG480" s="277">
        <v>917554</v>
      </c>
      <c r="AH480" s="277">
        <v>435414</v>
      </c>
      <c r="AI480" s="277">
        <v>44517</v>
      </c>
      <c r="AJ480" s="277">
        <v>303944</v>
      </c>
      <c r="AK480" s="277">
        <v>1502285</v>
      </c>
      <c r="AT480" s="252">
        <f t="shared" ref="AT480" si="3097">AF480/SUM(AF474:AF485)*AM485</f>
        <v>16099.33006282369</v>
      </c>
      <c r="AU480" s="252">
        <f t="shared" ref="AU480" si="3098">AG480/SUM(AG474:AG485)*AN485</f>
        <v>13012.785055921966</v>
      </c>
      <c r="AV480" s="252">
        <f t="shared" ref="AV480" si="3099">AH480/SUM(AH474:AH485)*AO485</f>
        <v>4314.5304835095685</v>
      </c>
      <c r="AW480" s="252">
        <f t="shared" ref="AW480" si="3100">AI480/SUM(AI474:AI485)*AP485</f>
        <v>624.79272898252157</v>
      </c>
      <c r="AX480" s="252">
        <f t="shared" ref="AX480" si="3101">AJ480/SUM(AJ474:AJ485)*AQ485</f>
        <v>4107.6817537165507</v>
      </c>
      <c r="AY480" s="252">
        <f t="shared" ref="AY480" si="3102">AK480/SUM(AK474:AK485)*AR485</f>
        <v>13527.97279017907</v>
      </c>
    </row>
    <row r="481" spans="31:59">
      <c r="AE481" s="165">
        <v>43405</v>
      </c>
      <c r="AF481" s="277">
        <v>1432657</v>
      </c>
      <c r="AG481" s="277">
        <v>897231</v>
      </c>
      <c r="AH481" s="277">
        <v>448344</v>
      </c>
      <c r="AI481" s="277">
        <v>42298</v>
      </c>
      <c r="AJ481" s="277">
        <v>307245</v>
      </c>
      <c r="AK481" s="277">
        <v>1570364</v>
      </c>
      <c r="AT481" s="252">
        <f t="shared" ref="AT481" si="3103">AF481/SUM(AF474:AF485)*AM485</f>
        <v>16124.214342809724</v>
      </c>
      <c r="AU481" s="252">
        <f t="shared" ref="AU481" si="3104">AG481/SUM(AG474:AG485)*AN485</f>
        <v>12724.563511804125</v>
      </c>
      <c r="AV481" s="252">
        <f t="shared" ref="AV481" si="3105">AH481/SUM(AH474:AH485)*AO485</f>
        <v>4442.6542442333366</v>
      </c>
      <c r="AW481" s="252">
        <f t="shared" ref="AW481" si="3106">AI481/SUM(AI474:AI485)*AP485</f>
        <v>593.64923176545369</v>
      </c>
      <c r="AX481" s="252">
        <f t="shared" ref="AX481" si="3107">AJ481/SUM(AJ474:AJ485)*AQ485</f>
        <v>4152.2934501771433</v>
      </c>
      <c r="AY481" s="252">
        <f t="shared" ref="AY481" si="3108">AK481/SUM(AK474:AK485)*AR485</f>
        <v>14141.019488763293</v>
      </c>
    </row>
    <row r="482" spans="31:59">
      <c r="AE482" s="165">
        <v>43435</v>
      </c>
      <c r="AF482" s="277">
        <v>1422309</v>
      </c>
      <c r="AG482" s="277">
        <v>887256</v>
      </c>
      <c r="AH482" s="277">
        <v>465509</v>
      </c>
      <c r="AI482" s="277">
        <v>39950</v>
      </c>
      <c r="AJ482" s="277">
        <v>307602</v>
      </c>
      <c r="AK482" s="277">
        <v>1657369</v>
      </c>
      <c r="AT482" s="252">
        <f t="shared" ref="AT482" si="3109">AF482/SUM(AF474:AF485)*AM485</f>
        <v>16007.750059998561</v>
      </c>
      <c r="AU482" s="252">
        <f t="shared" ref="AU482" si="3110">AG482/SUM(AG474:AG485)*AN485</f>
        <v>12583.097689702296</v>
      </c>
      <c r="AV482" s="252">
        <f t="shared" ref="AV482" si="3111">AH482/SUM(AH474:AH485)*AO485</f>
        <v>4612.7427479319822</v>
      </c>
      <c r="AW482" s="252">
        <f t="shared" ref="AW482" si="3112">AI482/SUM(AI474:AI485)*AP485</f>
        <v>560.69522930232813</v>
      </c>
      <c r="AX482" s="252">
        <f t="shared" ref="AX482" si="3113">AJ482/SUM(AJ474:AJ485)*AQ485</f>
        <v>4157.1181625783647</v>
      </c>
      <c r="AY482" s="252">
        <f t="shared" ref="AY482" si="3114">AK482/SUM(AK474:AK485)*AR485</f>
        <v>14924.493511741312</v>
      </c>
      <c r="BA482" s="252">
        <f t="shared" ref="BA482" si="3115">SUM(AT471:AT482)</f>
        <v>182967.56891843522</v>
      </c>
      <c r="BB482" s="252">
        <f t="shared" ref="BB482" si="3116">SUM(AU471:AU482)</f>
        <v>149683.82619579177</v>
      </c>
      <c r="BC482" s="252">
        <f t="shared" ref="BC482" si="3117">SUM(AV471:AV482)</f>
        <v>50306.421033825078</v>
      </c>
      <c r="BD482" s="252">
        <f t="shared" ref="BD482" si="3118">SUM(AW471:AW482)</f>
        <v>7673.9030530869059</v>
      </c>
      <c r="BE482" s="252">
        <f t="shared" ref="BE482" si="3119">SUM(AX471:AX482)</f>
        <v>47997.470870965437</v>
      </c>
      <c r="BF482" s="252">
        <f t="shared" ref="BF482" si="3120">SUM(AY471:AY482)</f>
        <v>149699.28775416251</v>
      </c>
      <c r="BG482" s="252">
        <f t="shared" ref="BG482" si="3121">SUM(BA482:BF482)</f>
        <v>588328.4778262669</v>
      </c>
    </row>
    <row r="483" spans="31:59">
      <c r="AE483" s="165">
        <v>43466</v>
      </c>
      <c r="AF483" s="277">
        <v>1395964</v>
      </c>
      <c r="AG483" s="277">
        <v>890502</v>
      </c>
      <c r="AH483" s="277">
        <v>434824</v>
      </c>
      <c r="AI483" s="277">
        <v>38778</v>
      </c>
      <c r="AJ483" s="277">
        <v>300676</v>
      </c>
      <c r="AK483" s="277">
        <v>1691929</v>
      </c>
      <c r="AT483" s="252">
        <f t="shared" ref="AT483" si="3122">AF483/SUM(AF474:AF485)*AM485</f>
        <v>15711.243340761979</v>
      </c>
      <c r="AU483" s="252">
        <f t="shared" ref="AU483" si="3123">AG483/SUM(AG474:AG485)*AN485</f>
        <v>12629.132582789267</v>
      </c>
      <c r="AV483" s="252">
        <f t="shared" ref="AV483" si="3124">AH483/SUM(AH474:AH485)*AO485</f>
        <v>4308.6841556807194</v>
      </c>
      <c r="AW483" s="252">
        <f t="shared" ref="AW483" si="3125">AI483/SUM(AI474:AI485)*AP485</f>
        <v>544.24629791954135</v>
      </c>
      <c r="AX483" s="252">
        <f t="shared" ref="AX483" si="3126">AJ483/SUM(AJ474:AJ485)*AQ485</f>
        <v>4063.5160390745591</v>
      </c>
      <c r="AY483" s="252">
        <f t="shared" ref="AY483" si="3127">AK483/SUM(AK474:AK485)*AR485</f>
        <v>15235.703927626839</v>
      </c>
    </row>
    <row r="484" spans="31:59">
      <c r="AE484" s="165">
        <v>43497</v>
      </c>
      <c r="AF484" s="277">
        <v>1341610</v>
      </c>
      <c r="AG484" s="277">
        <v>888697</v>
      </c>
      <c r="AH484" s="277">
        <v>450087</v>
      </c>
      <c r="AI484" s="277">
        <v>39193</v>
      </c>
      <c r="AJ484" s="277">
        <v>298523</v>
      </c>
      <c r="AK484" s="277">
        <v>1690204</v>
      </c>
      <c r="AT484" s="252">
        <f t="shared" ref="AT484" si="3128">AF484/SUM(AF474:AF485)*AM485</f>
        <v>15099.501977414659</v>
      </c>
      <c r="AU484" s="252">
        <f t="shared" ref="AU484" si="3129">AG484/SUM(AG474:AG485)*AN485</f>
        <v>12603.534005456555</v>
      </c>
      <c r="AV484" s="252">
        <f t="shared" ref="AV484" si="3130">AH484/SUM(AH474:AH485)*AO485</f>
        <v>4459.925683903989</v>
      </c>
      <c r="AW484" s="252">
        <f t="shared" ref="AW484" si="3131">AI484/SUM(AI474:AI485)*AP485</f>
        <v>550.07079154057931</v>
      </c>
      <c r="AX484" s="252">
        <f t="shared" ref="AX484" si="3132">AJ484/SUM(AJ474:AJ485)*AQ485</f>
        <v>4034.4191040610308</v>
      </c>
      <c r="AY484" s="252">
        <f t="shared" ref="AY484" si="3133">AK484/SUM(AK474:AK485)*AR485</f>
        <v>15220.170421625606</v>
      </c>
    </row>
    <row r="485" spans="31:59">
      <c r="AE485" s="165">
        <v>43525</v>
      </c>
      <c r="AF485" s="277">
        <v>1270757</v>
      </c>
      <c r="AG485" s="277">
        <v>857917</v>
      </c>
      <c r="AH485" s="277">
        <v>570229</v>
      </c>
      <c r="AI485" s="277">
        <v>38900</v>
      </c>
      <c r="AJ485" s="277">
        <v>281933</v>
      </c>
      <c r="AK485" s="277">
        <v>1694356</v>
      </c>
      <c r="AM485" s="277">
        <v>182092.37887528315</v>
      </c>
      <c r="AN485" s="277">
        <v>148086.62112471685</v>
      </c>
      <c r="AO485" s="277">
        <v>51653</v>
      </c>
      <c r="AP485" s="277">
        <v>7211.39677921561</v>
      </c>
      <c r="AQ485" s="277">
        <v>46812.603220784389</v>
      </c>
      <c r="AR485" s="277">
        <v>149599</v>
      </c>
      <c r="AT485" s="252">
        <f t="shared" ref="AT485" si="3134">AF485/SUM(AF474:AF485)*AM485</f>
        <v>14302.068286844555</v>
      </c>
      <c r="AU485" s="252">
        <f t="shared" ref="AU485" si="3135">AG485/SUM(AG474:AG485)*AN485</f>
        <v>12167.010897256625</v>
      </c>
      <c r="AV485" s="252">
        <f t="shared" ref="AV485" si="3136">AH485/SUM(AH474:AH485)*AO485</f>
        <v>5650.4163924016639</v>
      </c>
      <c r="AW485" s="252">
        <f t="shared" ref="AW485" si="3137">AI485/SUM(AI474:AI485)*AP485</f>
        <v>545.95855869488264</v>
      </c>
      <c r="AX485" s="252">
        <f t="shared" ref="AX485" si="3138">AJ485/SUM(AJ474:AJ485)*AQ485</f>
        <v>3810.2118807101583</v>
      </c>
      <c r="AY485" s="252">
        <f t="shared" ref="AY485" si="3139">AK485/SUM(AK474:AK485)*AR485</f>
        <v>15257.558895200744</v>
      </c>
      <c r="AZ485" s="25">
        <f t="shared" ref="AZ485" si="3140">SUM(AT474:AY485)-SUM(AM485:AR485)</f>
        <v>0</v>
      </c>
    </row>
    <row r="486" spans="31:59">
      <c r="AE486" s="165">
        <v>43556</v>
      </c>
      <c r="AF486" s="277">
        <v>1240658</v>
      </c>
      <c r="AG486" s="277">
        <v>835611</v>
      </c>
      <c r="AH486" s="277">
        <v>415743</v>
      </c>
      <c r="AI486" s="277">
        <v>36124</v>
      </c>
      <c r="AJ486" s="277">
        <v>268735</v>
      </c>
      <c r="AK486" s="277">
        <v>1127009</v>
      </c>
      <c r="AT486" s="252">
        <f t="shared" ref="AT486" si="3141">AF486/SUM(AF486:AF497)*AM497</f>
        <v>13359.345897794443</v>
      </c>
      <c r="AU486" s="252">
        <f t="shared" ref="AU486" si="3142">AG486/SUM(AG486:AG497)*AN497</f>
        <v>11939.087952618644</v>
      </c>
      <c r="AV486" s="252">
        <f t="shared" ref="AV486" si="3143">AH486/SUM(AH486:AH497)*AO497</f>
        <v>3853.6453942469316</v>
      </c>
      <c r="AW486" s="252">
        <f t="shared" ref="AW486" si="3144">AI486/SUM(AI486:AI497)*AP497</f>
        <v>499.00328195811494</v>
      </c>
      <c r="AX486" s="252">
        <f t="shared" ref="AX486" si="3145">AJ486/SUM(AJ486:AJ497)*AQ497</f>
        <v>3566.9299893533484</v>
      </c>
      <c r="AY486" s="252">
        <f t="shared" ref="AY486" si="3146">AK486/SUM(AK486:AK497)*AR497</f>
        <v>9557.8477706561043</v>
      </c>
    </row>
    <row r="487" spans="31:59">
      <c r="AE487" s="165">
        <v>43586</v>
      </c>
      <c r="AF487" s="277">
        <v>1242045</v>
      </c>
      <c r="AG487" s="277">
        <v>821161</v>
      </c>
      <c r="AH487" s="277">
        <v>433855</v>
      </c>
      <c r="AI487" s="277">
        <v>35020</v>
      </c>
      <c r="AJ487" s="277">
        <v>265267</v>
      </c>
      <c r="AK487" s="277">
        <v>1022921</v>
      </c>
      <c r="AT487" s="252">
        <f t="shared" ref="AT487" si="3147">AF487/SUM(AF486:AF497)*AM497</f>
        <v>13374.28104733625</v>
      </c>
      <c r="AU487" s="252">
        <f t="shared" ref="AU487" si="3148">AG487/SUM(AG486:AG497)*AN497</f>
        <v>11732.628462598359</v>
      </c>
      <c r="AV487" s="252">
        <f t="shared" ref="AV487" si="3149">AH487/SUM(AH486:AH497)*AO497</f>
        <v>4021.5309037578559</v>
      </c>
      <c r="AW487" s="252">
        <f t="shared" ref="AW487" si="3150">AI487/SUM(AI486:AI497)*AP497</f>
        <v>483.75304324474547</v>
      </c>
      <c r="AX487" s="252">
        <f t="shared" ref="AX487" si="3151">AJ487/SUM(AJ486:AJ497)*AQ497</f>
        <v>3520.8990919894864</v>
      </c>
      <c r="AY487" s="252">
        <f t="shared" ref="AY487" si="3152">AK487/SUM(AK486:AK497)*AR497</f>
        <v>8675.1065869104077</v>
      </c>
    </row>
    <row r="488" spans="31:59">
      <c r="AE488" s="165">
        <v>43617</v>
      </c>
      <c r="AF488" s="277">
        <v>1300716</v>
      </c>
      <c r="AG488" s="277">
        <v>840659</v>
      </c>
      <c r="AH488" s="277">
        <v>436577</v>
      </c>
      <c r="AI488" s="277">
        <v>35691</v>
      </c>
      <c r="AJ488" s="277">
        <v>277576</v>
      </c>
      <c r="AK488" s="277">
        <v>1159157</v>
      </c>
      <c r="AT488" s="252">
        <f t="shared" ref="AT488" si="3153">AF488/SUM(AF486:AF497)*AM497</f>
        <v>14006.047564111623</v>
      </c>
      <c r="AU488" s="252">
        <f t="shared" ref="AU488" si="3154">AG488/SUM(AG486:AG497)*AN497</f>
        <v>12011.213039512926</v>
      </c>
      <c r="AV488" s="252">
        <f t="shared" ref="AV488" si="3155">AH488/SUM(AH486:AH497)*AO497</f>
        <v>4046.7619305295398</v>
      </c>
      <c r="AW488" s="252">
        <f t="shared" ref="AW488" si="3156">AI488/SUM(AI486:AI497)*AP497</f>
        <v>493.02198362216484</v>
      </c>
      <c r="AX488" s="252">
        <f t="shared" ref="AX488" si="3157">AJ488/SUM(AJ486:AJ497)*AQ497</f>
        <v>3684.2769223389028</v>
      </c>
      <c r="AY488" s="252">
        <f t="shared" ref="AY488" si="3158">AK488/SUM(AK486:AK497)*AR497</f>
        <v>9830.4859573352278</v>
      </c>
    </row>
    <row r="489" spans="31:59">
      <c r="AE489" s="165">
        <v>43647</v>
      </c>
      <c r="AF489" s="277">
        <v>1362556</v>
      </c>
      <c r="AG489" s="277">
        <v>869020</v>
      </c>
      <c r="AH489" s="277">
        <v>409501</v>
      </c>
      <c r="AI489" s="277">
        <v>37522</v>
      </c>
      <c r="AJ489" s="277">
        <v>289840</v>
      </c>
      <c r="AK489" s="277">
        <v>1212558</v>
      </c>
      <c r="AT489" s="252">
        <f t="shared" ref="AT489" si="3159">AF489/SUM(AF486:AF497)*AM497</f>
        <v>14671.937721044158</v>
      </c>
      <c r="AU489" s="252">
        <f t="shared" ref="AU489" si="3160">AG489/SUM(AG486:AG497)*AN497</f>
        <v>12416.430866257926</v>
      </c>
      <c r="AV489" s="252">
        <f t="shared" ref="AV489" si="3161">AH489/SUM(AH486:AH497)*AO497</f>
        <v>3795.7864415985655</v>
      </c>
      <c r="AW489" s="252">
        <f t="shared" ref="AW489" si="3162">AI489/SUM(AI486:AI497)*AP497</f>
        <v>518.31472554624042</v>
      </c>
      <c r="AX489" s="252">
        <f t="shared" ref="AX489" si="3163">AJ489/SUM(AJ486:AJ497)*AQ497</f>
        <v>3847.0574659578192</v>
      </c>
      <c r="AY489" s="252">
        <f t="shared" ref="AY489" si="3164">AK489/SUM(AK486:AK497)*AR497</f>
        <v>10283.364886253104</v>
      </c>
    </row>
    <row r="490" spans="31:59">
      <c r="AE490" s="165">
        <v>43678</v>
      </c>
      <c r="AF490" s="277">
        <v>1392581</v>
      </c>
      <c r="AG490" s="277">
        <v>893643</v>
      </c>
      <c r="AH490" s="277">
        <v>421911</v>
      </c>
      <c r="AI490" s="277">
        <v>39635</v>
      </c>
      <c r="AJ490" s="277">
        <v>304076</v>
      </c>
      <c r="AK490" s="277">
        <v>1350955</v>
      </c>
      <c r="AT490" s="252">
        <f t="shared" ref="AT490" si="3165">AF490/SUM(AF486:AF497)*AM497</f>
        <v>14995.24548239441</v>
      </c>
      <c r="AU490" s="252">
        <f t="shared" ref="AU490" si="3166">AG490/SUM(AG486:AG497)*AN497</f>
        <v>12768.240694823287</v>
      </c>
      <c r="AV490" s="252">
        <f t="shared" ref="AV490" si="3167">AH490/SUM(AH486:AH497)*AO497</f>
        <v>3910.8184189081162</v>
      </c>
      <c r="AW490" s="252">
        <f t="shared" ref="AW490" si="3168">AI490/SUM(AI486:AI497)*AP497</f>
        <v>547.50290888079633</v>
      </c>
      <c r="AX490" s="252">
        <f t="shared" ref="AX490" si="3169">AJ490/SUM(AJ486:AJ497)*AQ497</f>
        <v>4036.0124414110883</v>
      </c>
      <c r="AY490" s="252">
        <f t="shared" ref="AY490" si="3170">AK490/SUM(AK486:AK497)*AR497</f>
        <v>11457.071092605931</v>
      </c>
    </row>
    <row r="491" spans="31:59">
      <c r="AE491" s="165">
        <v>43709</v>
      </c>
      <c r="AF491" s="277">
        <v>1379627</v>
      </c>
      <c r="AG491" s="277">
        <v>906753</v>
      </c>
      <c r="AH491" s="277">
        <v>447798</v>
      </c>
      <c r="AI491" s="277">
        <v>42135</v>
      </c>
      <c r="AJ491" s="277">
        <v>322657</v>
      </c>
      <c r="AK491" s="277">
        <v>1527567</v>
      </c>
      <c r="AT491" s="252">
        <f t="shared" ref="AT491" si="3171">AF491/SUM(AF486:AF497)*AM497</f>
        <v>14855.757431086127</v>
      </c>
      <c r="AU491" s="252">
        <f t="shared" ref="AU491" si="3172">AG491/SUM(AG486:AG497)*AN497</f>
        <v>12955.554460509511</v>
      </c>
      <c r="AV491" s="252">
        <f t="shared" ref="AV491" si="3173">AH491/SUM(AH486:AH497)*AO497</f>
        <v>4150.7727135585865</v>
      </c>
      <c r="AW491" s="252">
        <f t="shared" ref="AW491" si="3174">AI491/SUM(AI486:AI497)*AP497</f>
        <v>582.03696393824532</v>
      </c>
      <c r="AX491" s="252">
        <f t="shared" ref="AX491" si="3175">AJ491/SUM(AJ486:AJ497)*AQ497</f>
        <v>4282.6387689537396</v>
      </c>
      <c r="AY491" s="252">
        <f t="shared" ref="AY491" si="3176">AK491/SUM(AK486:AK497)*AR497</f>
        <v>12954.868013900363</v>
      </c>
    </row>
    <row r="492" spans="31:59">
      <c r="AE492" s="165">
        <v>43739</v>
      </c>
      <c r="AF492" s="277">
        <v>1380823</v>
      </c>
      <c r="AG492" s="277">
        <v>920722</v>
      </c>
      <c r="AH492" s="277">
        <v>435347</v>
      </c>
      <c r="AI492" s="277">
        <v>43185</v>
      </c>
      <c r="AJ492" s="277">
        <v>335265</v>
      </c>
      <c r="AK492" s="277">
        <v>1691297</v>
      </c>
      <c r="AT492" s="252">
        <f t="shared" ref="AT492" si="3177">AF492/SUM(AF486:AF497)*AM497</f>
        <v>14868.635901779711</v>
      </c>
      <c r="AU492" s="252">
        <f t="shared" ref="AU492" si="3178">AG492/SUM(AG486:AG497)*AN497</f>
        <v>13155.141492765104</v>
      </c>
      <c r="AV492" s="252">
        <f t="shared" ref="AV492" si="3179">AH492/SUM(AH486:AH497)*AO497</f>
        <v>4035.3606950669496</v>
      </c>
      <c r="AW492" s="252">
        <f t="shared" ref="AW492" si="3180">AI492/SUM(AI486:AI497)*AP497</f>
        <v>596.54126706237389</v>
      </c>
      <c r="AX492" s="252">
        <f t="shared" ref="AX492" si="3181">AJ492/SUM(AJ486:AJ497)*AQ497</f>
        <v>4449.9852378013666</v>
      </c>
      <c r="AY492" s="252">
        <f t="shared" ref="AY492" si="3182">AK492/SUM(AK486:AK497)*AR497</f>
        <v>14343.416300107059</v>
      </c>
    </row>
    <row r="493" spans="31:59">
      <c r="AE493" s="165">
        <v>43770</v>
      </c>
      <c r="AF493" s="277">
        <v>1360844</v>
      </c>
      <c r="AG493" s="277">
        <v>908971</v>
      </c>
      <c r="AH493" s="277">
        <v>450238</v>
      </c>
      <c r="AI493" s="277">
        <v>41756</v>
      </c>
      <c r="AJ493" s="277">
        <v>323803</v>
      </c>
      <c r="AK493" s="277">
        <v>1787386</v>
      </c>
      <c r="AT493" s="252">
        <f t="shared" ref="AT493" si="3183">AF493/SUM(AF486:AF497)*AM497</f>
        <v>14653.502987074746</v>
      </c>
      <c r="AU493" s="252">
        <f t="shared" ref="AU493" si="3184">AG493/SUM(AG486:AG497)*AN497</f>
        <v>12987.244920638575</v>
      </c>
      <c r="AV493" s="252">
        <f t="shared" ref="AV493" si="3185">AH493/SUM(AH486:AH497)*AO497</f>
        <v>4173.3897985412859</v>
      </c>
      <c r="AW493" s="252">
        <f t="shared" ref="AW493" si="3186">AI493/SUM(AI486:AI497)*AP497</f>
        <v>576.80160119153607</v>
      </c>
      <c r="AX493" s="252">
        <f t="shared" ref="AX493" si="3187">AJ493/SUM(AJ486:AJ497)*AQ497</f>
        <v>4297.8496710238051</v>
      </c>
      <c r="AY493" s="252">
        <f t="shared" ref="AY493" si="3188">AK493/SUM(AK486:AK497)*AR497</f>
        <v>15158.320204543114</v>
      </c>
    </row>
    <row r="494" spans="31:59">
      <c r="AE494" s="165">
        <v>43800</v>
      </c>
      <c r="AF494" s="277">
        <v>1350588</v>
      </c>
      <c r="AG494" s="277">
        <v>893128</v>
      </c>
      <c r="AH494" s="277">
        <v>470105</v>
      </c>
      <c r="AI494" s="277">
        <v>41511</v>
      </c>
      <c r="AJ494" s="277">
        <v>313970</v>
      </c>
      <c r="AK494" s="277">
        <v>1850460</v>
      </c>
      <c r="AT494" s="252">
        <f t="shared" ref="AT494" si="3189">AF494/SUM(AF486:AF497)*AM497</f>
        <v>14543.066870491628</v>
      </c>
      <c r="AU494" s="252">
        <f t="shared" ref="AU494" si="3190">AG494/SUM(AG486:AG497)*AN497</f>
        <v>12760.882450023257</v>
      </c>
      <c r="AV494" s="252">
        <f t="shared" ref="AV494" si="3191">AH494/SUM(AH486:AH497)*AO497</f>
        <v>4357.5429245049309</v>
      </c>
      <c r="AW494" s="252">
        <f t="shared" ref="AW494" si="3192">AI494/SUM(AI486:AI497)*AP497</f>
        <v>573.41726379590602</v>
      </c>
      <c r="AX494" s="252">
        <f t="shared" ref="AX494" si="3193">AJ494/SUM(AJ486:AJ497)*AQ497</f>
        <v>4167.3358838903414</v>
      </c>
      <c r="AY494" s="252">
        <f t="shared" ref="AY494" si="3194">AK494/SUM(AK486:AK497)*AR497</f>
        <v>15693.233138056834</v>
      </c>
      <c r="BA494" s="252">
        <f t="shared" ref="BA494" si="3195">SUM(AT483:AT494)</f>
        <v>174440.6345081343</v>
      </c>
      <c r="BB494" s="252">
        <f t="shared" ref="BB494" si="3196">SUM(AU483:AU494)</f>
        <v>150126.10182525002</v>
      </c>
      <c r="BC494" s="252">
        <f t="shared" ref="BC494" si="3197">SUM(AV483:AV494)</f>
        <v>50764.635452699134</v>
      </c>
      <c r="BD494" s="252">
        <f t="shared" ref="BD494" si="3198">SUM(AW483:AW494)</f>
        <v>6510.6686873951267</v>
      </c>
      <c r="BE494" s="252">
        <f t="shared" ref="BE494" si="3199">SUM(AX483:AX494)</f>
        <v>47761.132496565646</v>
      </c>
      <c r="BF494" s="252">
        <f t="shared" ref="BF494" si="3200">SUM(AY483:AY494)</f>
        <v>153667.14719482133</v>
      </c>
      <c r="BG494" s="252">
        <f t="shared" ref="BG494" si="3201">SUM(BA494:BF494)</f>
        <v>583270.32016486558</v>
      </c>
    </row>
    <row r="495" spans="31:59">
      <c r="AE495" s="165">
        <v>43831</v>
      </c>
      <c r="AF495" s="277">
        <v>1313900</v>
      </c>
      <c r="AG495" s="277">
        <v>875936</v>
      </c>
      <c r="AH495" s="277">
        <v>454710</v>
      </c>
      <c r="AI495" s="277">
        <v>41305</v>
      </c>
      <c r="AJ495" s="277">
        <v>308901</v>
      </c>
      <c r="AK495" s="277">
        <v>1856320</v>
      </c>
      <c r="AT495" s="252">
        <f t="shared" ref="AT495" si="3202">AF495/SUM(AF486:AF497)*AM497</f>
        <v>14148.012244399439</v>
      </c>
      <c r="AU495" s="252">
        <f t="shared" ref="AU495" si="3203">AG495/SUM(AG486:AG497)*AN497</f>
        <v>12515.245664388052</v>
      </c>
      <c r="AV495" s="252">
        <f t="shared" ref="AV495" si="3204">AH495/SUM(AH486:AH497)*AO497</f>
        <v>4214.8420952800707</v>
      </c>
      <c r="AW495" s="252">
        <f t="shared" ref="AW495" si="3205">AI495/SUM(AI486:AI497)*AP497</f>
        <v>570.57165765917227</v>
      </c>
      <c r="AX495" s="252">
        <f t="shared" ref="AX495" si="3206">AJ495/SUM(AJ486:AJ497)*AQ497</f>
        <v>4100.0548519591375</v>
      </c>
      <c r="AY495" s="252">
        <f t="shared" ref="AY495" si="3207">AK495/SUM(AK486:AK497)*AR497</f>
        <v>15742.930157278548</v>
      </c>
    </row>
    <row r="496" spans="31:59">
      <c r="AE496" s="165">
        <v>43862</v>
      </c>
      <c r="AF496" s="277">
        <v>1253044</v>
      </c>
      <c r="AG496" s="277">
        <v>848607</v>
      </c>
      <c r="AH496" s="277">
        <v>482559</v>
      </c>
      <c r="AI496" s="277">
        <v>41507</v>
      </c>
      <c r="AJ496" s="277">
        <v>308729</v>
      </c>
      <c r="AK496" s="277">
        <v>1773623</v>
      </c>
      <c r="AT496" s="252">
        <f t="shared" ref="AT496" si="3208">AF496/SUM(AF486:AF497)*AM497</f>
        <v>13492.717752318478</v>
      </c>
      <c r="AU496" s="252">
        <f t="shared" ref="AU496" si="3209">AG496/SUM(AG486:AG497)*AN497</f>
        <v>12124.772902951072</v>
      </c>
      <c r="AV496" s="252">
        <f t="shared" ref="AV496" si="3210">AH496/SUM(AH486:AH497)*AO497</f>
        <v>4472.9827508879398</v>
      </c>
      <c r="AW496" s="252">
        <f t="shared" ref="AW496" si="3211">AI496/SUM(AI486:AI497)*AP497</f>
        <v>573.36200930781411</v>
      </c>
      <c r="AX496" s="252">
        <f t="shared" ref="AX496" si="3212">AJ496/SUM(AJ486:AJ497)*AQ497</f>
        <v>4097.7718893447818</v>
      </c>
      <c r="AY496" s="252">
        <f t="shared" ref="AY496" si="3213">AK496/SUM(AK486:AK497)*AR497</f>
        <v>15041.600055132116</v>
      </c>
    </row>
    <row r="497" spans="31:59">
      <c r="AE497" s="165">
        <v>43891</v>
      </c>
      <c r="AF497" s="277">
        <v>1190213</v>
      </c>
      <c r="AG497" s="277">
        <v>811028</v>
      </c>
      <c r="AH497" s="277">
        <v>550804</v>
      </c>
      <c r="AI497" s="277">
        <v>39477</v>
      </c>
      <c r="AJ497" s="277">
        <v>306150</v>
      </c>
      <c r="AK497" s="277">
        <v>1862431</v>
      </c>
      <c r="AM497" s="277">
        <v>169784.70745470078</v>
      </c>
      <c r="AN497" s="277">
        <v>148954.29254529922</v>
      </c>
      <c r="AO497" s="277">
        <v>50139</v>
      </c>
      <c r="AP497" s="277">
        <v>6559.6470628082752</v>
      </c>
      <c r="AQ497" s="277">
        <v>48114.352937191725</v>
      </c>
      <c r="AR497" s="277">
        <v>154533</v>
      </c>
      <c r="AT497" s="252">
        <f t="shared" ref="AT497" si="3214">AF497/SUM(AF486:AF497)*AM497</f>
        <v>12816.156554869767</v>
      </c>
      <c r="AU497" s="252">
        <f t="shared" ref="AU497" si="3215">AG497/SUM(AG486:AG497)*AN497</f>
        <v>11587.849638212509</v>
      </c>
      <c r="AV497" s="252">
        <f t="shared" ref="AV497" si="3216">AH497/SUM(AH486:AH497)*AO497</f>
        <v>5105.5659331192273</v>
      </c>
      <c r="AW497" s="252">
        <f t="shared" ref="AW497" si="3217">AI497/SUM(AI486:AI497)*AP497</f>
        <v>545.32035660116549</v>
      </c>
      <c r="AX497" s="252">
        <f t="shared" ref="AX497" si="3218">AJ497/SUM(AJ486:AJ497)*AQ497</f>
        <v>4063.5407231679073</v>
      </c>
      <c r="AY497" s="252">
        <f t="shared" ref="AY497" si="3219">AK497/SUM(AK486:AK497)*AR497</f>
        <v>15794.755837221192</v>
      </c>
      <c r="AZ497" s="25">
        <f t="shared" ref="AZ497" si="3220">SUM(AT486:AY497)-SUM(AM497:AR497)</f>
        <v>0</v>
      </c>
    </row>
    <row r="498" spans="31:59">
      <c r="AE498" s="165">
        <v>43922</v>
      </c>
      <c r="AF498" s="277">
        <v>1170626</v>
      </c>
      <c r="AG498" s="277">
        <v>778375</v>
      </c>
      <c r="AH498" s="277">
        <v>443109</v>
      </c>
      <c r="AI498" s="277">
        <v>38768</v>
      </c>
      <c r="AJ498" s="277">
        <v>295748</v>
      </c>
      <c r="AK498" s="277">
        <v>1203937</v>
      </c>
      <c r="AT498" s="252">
        <f t="shared" ref="AT498" si="3221">AF498/SUM(AF498:AF509)*AM509</f>
        <v>12704.01920339059</v>
      </c>
      <c r="AU498" s="252">
        <f t="shared" ref="AU498" si="3222">AG498/SUM(AG498:AG509)*AN509</f>
        <v>10988.747798377093</v>
      </c>
      <c r="AV498" s="252">
        <f t="shared" ref="AV498" si="3223">AH498/SUM(AH498:AH509)*AO509</f>
        <v>4129.857477073082</v>
      </c>
      <c r="AW498" s="252">
        <f t="shared" ref="AW498" si="3224">AI498/SUM(AI498:AI509)*AP509</f>
        <v>493.50811156056835</v>
      </c>
      <c r="AX498" s="252">
        <f t="shared" ref="AX498" si="3225">AJ498/SUM(AJ498:AJ509)*AQ509</f>
        <v>3955.8447277061996</v>
      </c>
      <c r="AY498" s="252">
        <f t="shared" ref="AY498" si="3226">AK498/SUM(AK498:AK509)*AR509</f>
        <v>10169.139693880805</v>
      </c>
    </row>
    <row r="499" spans="31:59">
      <c r="AE499" s="165">
        <v>43952</v>
      </c>
      <c r="AF499" s="277">
        <v>1157045</v>
      </c>
      <c r="AG499" s="277">
        <v>755750</v>
      </c>
      <c r="AH499" s="277">
        <v>409427</v>
      </c>
      <c r="AI499" s="277">
        <v>37389</v>
      </c>
      <c r="AJ499" s="277">
        <v>283290</v>
      </c>
      <c r="AK499" s="277">
        <v>1108478</v>
      </c>
      <c r="AT499" s="252">
        <f t="shared" ref="AT499" si="3227">AF499/SUM(AF498:AF509)*AM509</f>
        <v>12556.633714941463</v>
      </c>
      <c r="AU499" s="252">
        <f t="shared" ref="AU499" si="3228">AG499/SUM(AG498:AG509)*AN509</f>
        <v>10669.338234942654</v>
      </c>
      <c r="AV499" s="252">
        <f t="shared" ref="AV499" si="3229">AH499/SUM(AH498:AH509)*AO509</f>
        <v>3815.9350346429455</v>
      </c>
      <c r="AW499" s="252">
        <f t="shared" ref="AW499" si="3230">AI499/SUM(AI498:AI509)*AP509</f>
        <v>475.95374492205144</v>
      </c>
      <c r="AX499" s="252">
        <f t="shared" ref="AX499" si="3231">AJ499/SUM(AJ498:AJ509)*AQ509</f>
        <v>3789.2099115188917</v>
      </c>
      <c r="AY499" s="252">
        <f t="shared" ref="AY499" si="3232">AK499/SUM(AK498:AK509)*AR509</f>
        <v>9362.8384455279684</v>
      </c>
    </row>
    <row r="500" spans="31:59">
      <c r="AE500" s="165">
        <v>43983</v>
      </c>
      <c r="AF500" s="277">
        <v>1181362</v>
      </c>
      <c r="AG500" s="277">
        <v>764268</v>
      </c>
      <c r="AH500" s="277">
        <v>431035</v>
      </c>
      <c r="AI500" s="277">
        <v>39591</v>
      </c>
      <c r="AJ500" s="277">
        <v>294930</v>
      </c>
      <c r="AK500" s="277">
        <v>1232607</v>
      </c>
      <c r="AT500" s="252">
        <f t="shared" ref="AT500" si="3233">AF500/SUM(AF498:AF509)*AM509</f>
        <v>12820.529814095975</v>
      </c>
      <c r="AU500" s="252">
        <f t="shared" ref="AU500" si="3234">AG500/SUM(AG498:AG509)*AN509</f>
        <v>10789.59152384142</v>
      </c>
      <c r="AV500" s="252">
        <f t="shared" ref="AV500" si="3235">AH500/SUM(AH498:AH509)*AO509</f>
        <v>4017.3255736854726</v>
      </c>
      <c r="AW500" s="252">
        <f t="shared" ref="AW500" si="3236">AI500/SUM(AI498:AI509)*AP509</f>
        <v>503.98472051161934</v>
      </c>
      <c r="AX500" s="252">
        <f t="shared" ref="AX500" si="3237">AJ500/SUM(AJ498:AJ509)*AQ509</f>
        <v>3944.9033824147227</v>
      </c>
      <c r="AY500" s="252">
        <f t="shared" ref="AY500" si="3238">AK500/SUM(AK498:AK509)*AR509</f>
        <v>10411.30289263918</v>
      </c>
    </row>
    <row r="501" spans="31:59">
      <c r="AE501" s="165">
        <v>44013</v>
      </c>
      <c r="AF501" s="277">
        <v>1212616</v>
      </c>
      <c r="AG501" s="277">
        <v>782627</v>
      </c>
      <c r="AH501" s="277">
        <v>421119</v>
      </c>
      <c r="AI501" s="277">
        <v>42296</v>
      </c>
      <c r="AJ501" s="277">
        <v>302910</v>
      </c>
      <c r="AK501" s="277">
        <v>1298140</v>
      </c>
      <c r="AT501" s="252">
        <f t="shared" ref="AT501" si="3239">AF501/SUM(AF498:AF509)*AM509</f>
        <v>13159.708523763082</v>
      </c>
      <c r="AU501" s="252">
        <f t="shared" ref="AU501" si="3240">AG501/SUM(AG498:AG509)*AN509</f>
        <v>11048.775619978122</v>
      </c>
      <c r="AV501" s="252">
        <f t="shared" ref="AV501" si="3241">AH501/SUM(AH498:AH509)*AO509</f>
        <v>3924.9066276865042</v>
      </c>
      <c r="AW501" s="252">
        <f t="shared" ref="AW501" si="3242">AI501/SUM(AI498:AI509)*AP509</f>
        <v>538.41877544794147</v>
      </c>
      <c r="AX501" s="252">
        <f t="shared" ref="AX501" si="3243">AJ501/SUM(AJ498:AJ509)*AQ509</f>
        <v>4051.6416897814515</v>
      </c>
      <c r="AY501" s="252">
        <f t="shared" ref="AY501" si="3244">AK501/SUM(AK498:AK509)*AR509</f>
        <v>10964.832048698916</v>
      </c>
    </row>
    <row r="502" spans="31:59">
      <c r="AE502" s="165">
        <v>44044</v>
      </c>
      <c r="AF502" s="277">
        <v>1233315</v>
      </c>
      <c r="AG502" s="277">
        <v>797921</v>
      </c>
      <c r="AH502" s="277">
        <v>417727</v>
      </c>
      <c r="AI502" s="277">
        <v>43858</v>
      </c>
      <c r="AJ502" s="277">
        <v>310101</v>
      </c>
      <c r="AK502" s="277">
        <v>1431164</v>
      </c>
      <c r="AT502" s="252">
        <f t="shared" ref="AT502" si="3245">AF502/SUM(AF498:AF509)*AM509</f>
        <v>13384.340894384428</v>
      </c>
      <c r="AU502" s="252">
        <f t="shared" ref="AU502" si="3246">AG502/SUM(AG498:AG509)*AN509</f>
        <v>11264.68942608492</v>
      </c>
      <c r="AV502" s="252">
        <f t="shared" ref="AV502" si="3247">AH502/SUM(AH498:AH509)*AO509</f>
        <v>3893.2925630607983</v>
      </c>
      <c r="AW502" s="252">
        <f t="shared" ref="AW502" si="3248">AI502/SUM(AI498:AI509)*AP509</f>
        <v>558.30269182891573</v>
      </c>
      <c r="AX502" s="252">
        <f t="shared" ref="AX502" si="3249">AJ502/SUM(AJ498:AJ509)*AQ509</f>
        <v>4147.82654796117</v>
      </c>
      <c r="AY502" s="252">
        <f t="shared" ref="AY502" si="3250">AK502/SUM(AK498:AK509)*AR509</f>
        <v>12088.42874739561</v>
      </c>
    </row>
    <row r="503" spans="31:59">
      <c r="AE503" s="165">
        <v>44075</v>
      </c>
      <c r="AF503" s="277">
        <v>1246093</v>
      </c>
      <c r="AG503" s="277">
        <v>804405</v>
      </c>
      <c r="AH503" s="277">
        <v>460327</v>
      </c>
      <c r="AI503" s="277">
        <v>44343</v>
      </c>
      <c r="AJ503" s="277">
        <v>315538</v>
      </c>
      <c r="AK503" s="277">
        <v>1663979</v>
      </c>
      <c r="AT503" s="252">
        <f t="shared" ref="AT503" si="3251">AF503/SUM(AF498:AF509)*AM509</f>
        <v>13523.011962155793</v>
      </c>
      <c r="AU503" s="252">
        <f t="shared" ref="AU503" si="3252">AG503/SUM(AG498:AG509)*AN509</f>
        <v>11356.227618761557</v>
      </c>
      <c r="AV503" s="252">
        <f t="shared" ref="AV503" si="3253">AH503/SUM(AH498:AH509)*AO509</f>
        <v>4290.3324077114676</v>
      </c>
      <c r="AW503" s="252">
        <f t="shared" ref="AW503" si="3254">AI503/SUM(AI498:AI509)*AP509</f>
        <v>564.47663513542818</v>
      </c>
      <c r="AX503" s="252">
        <f t="shared" ref="AX503" si="3255">AJ503/SUM(AJ498:AJ509)*AQ509</f>
        <v>4220.5503796845915</v>
      </c>
      <c r="AY503" s="252">
        <f t="shared" ref="AY503" si="3256">AK503/SUM(AK498:AK509)*AR509</f>
        <v>14054.917241254389</v>
      </c>
    </row>
    <row r="504" spans="31:59">
      <c r="AE504" s="165">
        <v>44105</v>
      </c>
      <c r="AF504" s="277">
        <v>1269853</v>
      </c>
      <c r="AG504" s="277">
        <v>821079</v>
      </c>
      <c r="AH504" s="277">
        <v>449353</v>
      </c>
      <c r="AI504" s="277">
        <v>43571</v>
      </c>
      <c r="AJ504" s="277">
        <v>327011</v>
      </c>
      <c r="AK504" s="277">
        <v>1826442</v>
      </c>
      <c r="AT504" s="252">
        <f t="shared" ref="AT504" si="3257">AF504/SUM(AF498:AF509)*AM509</f>
        <v>13780.863313716891</v>
      </c>
      <c r="AU504" s="252">
        <f t="shared" ref="AU504" si="3258">AG504/SUM(AG498:AG509)*AN509</f>
        <v>11591.623643544135</v>
      </c>
      <c r="AV504" s="252">
        <f t="shared" ref="AV504" si="3259">AH504/SUM(AH498:AH509)*AO509</f>
        <v>4188.0527068852598</v>
      </c>
      <c r="AW504" s="252">
        <f t="shared" ref="AW504" si="3260">AI504/SUM(AI498:AI509)*AP509</f>
        <v>554.64924496506194</v>
      </c>
      <c r="AX504" s="252">
        <f t="shared" ref="AX504" si="3261">AJ504/SUM(AJ498:AJ509)*AQ509</f>
        <v>4374.0101040478103</v>
      </c>
      <c r="AY504" s="252">
        <f t="shared" ref="AY504" si="3262">AK504/SUM(AK498:AK509)*AR509</f>
        <v>15427.172552028091</v>
      </c>
    </row>
    <row r="505" spans="31:59">
      <c r="AE505" s="165">
        <v>44136</v>
      </c>
      <c r="AF505" s="277">
        <v>1269560</v>
      </c>
      <c r="AG505" s="277">
        <v>819634</v>
      </c>
      <c r="AH505" s="277">
        <v>453593</v>
      </c>
      <c r="AI505" s="277">
        <v>41954</v>
      </c>
      <c r="AJ505" s="277">
        <v>328700</v>
      </c>
      <c r="AK505" s="277">
        <v>1912566</v>
      </c>
      <c r="AT505" s="252">
        <f t="shared" ref="AT505" si="3263">AF505/SUM(AF498:AF509)*AM509</f>
        <v>13777.683581140824</v>
      </c>
      <c r="AU505" s="252">
        <f t="shared" ref="AU505" si="3264">AG505/SUM(AG498:AG509)*AN509</f>
        <v>11571.223784133626</v>
      </c>
      <c r="AV505" s="252">
        <f t="shared" ref="AV505" si="3265">AH505/SUM(AH498:AH509)*AO509</f>
        <v>4227.5702876673922</v>
      </c>
      <c r="AW505" s="252">
        <f t="shared" ref="AW505" si="3266">AI505/SUM(AI498:AI509)*AP509</f>
        <v>534.06519068334921</v>
      </c>
      <c r="AX505" s="252">
        <f t="shared" ref="AX505" si="3267">AJ505/SUM(AJ498:AJ509)*AQ509</f>
        <v>4396.6017082009939</v>
      </c>
      <c r="AY505" s="252">
        <f t="shared" ref="AY505" si="3268">AK505/SUM(AK498:AK509)*AR509</f>
        <v>16154.625057429776</v>
      </c>
    </row>
    <row r="506" spans="31:59">
      <c r="AE506" s="165">
        <v>44166</v>
      </c>
      <c r="AF506" s="277">
        <v>1272840</v>
      </c>
      <c r="AG506" s="277">
        <v>807022</v>
      </c>
      <c r="AH506" s="277">
        <v>468402</v>
      </c>
      <c r="AI506" s="277">
        <v>41483</v>
      </c>
      <c r="AJ506" s="277">
        <v>328766</v>
      </c>
      <c r="AK506" s="277">
        <v>2006023</v>
      </c>
      <c r="AT506" s="252">
        <f t="shared" ref="AT506" si="3269">AF506/SUM(AF498:AF509)*AM509</f>
        <v>13813.279222265419</v>
      </c>
      <c r="AU506" s="252">
        <f t="shared" ref="AU506" si="3270">AG506/SUM(AG498:AG509)*AN509</f>
        <v>11393.173246496714</v>
      </c>
      <c r="AV506" s="252">
        <f t="shared" ref="AV506" si="3271">AH506/SUM(AH498:AH509)*AO509</f>
        <v>4365.5928946963068</v>
      </c>
      <c r="AW506" s="252">
        <f t="shared" ref="AW506" si="3272">AI506/SUM(AI498:AI509)*AP509</f>
        <v>528.06946429702475</v>
      </c>
      <c r="AX506" s="252">
        <f t="shared" ref="AX506" si="3273">AJ506/SUM(AJ498:AJ509)*AQ509</f>
        <v>4397.4845062318473</v>
      </c>
      <c r="AY506" s="252">
        <f t="shared" ref="AY506" si="3274">AK506/SUM(AK498:AK509)*AR509</f>
        <v>16944.016270068827</v>
      </c>
      <c r="BA506" s="252">
        <f t="shared" ref="BA506" si="3275">SUM(AT495:AT506)</f>
        <v>159976.95678144213</v>
      </c>
      <c r="BB506" s="252">
        <f t="shared" ref="BB506" si="3276">SUM(AU495:AU506)</f>
        <v>136901.25910171188</v>
      </c>
      <c r="BC506" s="252">
        <f t="shared" ref="BC506" si="3277">SUM(AV495:AV506)</f>
        <v>50646.256352396464</v>
      </c>
      <c r="BD506" s="252">
        <f t="shared" ref="BD506" si="3278">SUM(AW495:AW506)</f>
        <v>6440.6826029201129</v>
      </c>
      <c r="BE506" s="252">
        <f t="shared" ref="BE506" si="3279">SUM(AX495:AX506)</f>
        <v>49539.440422019507</v>
      </c>
      <c r="BF506" s="252">
        <f t="shared" ref="BF506" si="3280">SUM(AY495:AY506)</f>
        <v>162156.55899855541</v>
      </c>
      <c r="BG506" s="252">
        <f>SUM(BA506:BF506)</f>
        <v>565661.15425904549</v>
      </c>
    </row>
    <row r="507" spans="31:59">
      <c r="AE507" s="165">
        <v>44197</v>
      </c>
      <c r="AF507" s="277">
        <v>1258567</v>
      </c>
      <c r="AG507" s="277">
        <v>794767</v>
      </c>
      <c r="AH507" s="277">
        <v>450439</v>
      </c>
      <c r="AI507" s="277">
        <v>40466</v>
      </c>
      <c r="AJ507" s="277">
        <v>321014</v>
      </c>
      <c r="AK507" s="277">
        <v>1973363</v>
      </c>
      <c r="AT507" s="252">
        <f t="shared" ref="AT507" si="3281">AF507/SUM(AF498:AF509)*AM509</f>
        <v>13658.38392172537</v>
      </c>
      <c r="AU507" s="252">
        <f t="shared" ref="AU507" si="3282">AG507/SUM(AG498:AG509)*AN509</f>
        <v>11220.162674125926</v>
      </c>
      <c r="AV507" s="252">
        <f t="shared" ref="AV507" si="3283">AH507/SUM(AH498:AH509)*AO509</f>
        <v>4198.174426868608</v>
      </c>
      <c r="AW507" s="252">
        <f t="shared" ref="AW507" si="3284">AI507/SUM(AI498:AI509)*AP509</f>
        <v>515.1232780233687</v>
      </c>
      <c r="AX507" s="252">
        <f t="shared" ref="AX507" si="3285">AJ507/SUM(AJ498:AJ509)*AQ509</f>
        <v>4293.7958647898813</v>
      </c>
      <c r="AY507" s="252">
        <f t="shared" ref="AY507" si="3286">AK507/SUM(AK498:AK509)*AR509</f>
        <v>16668.151251880874</v>
      </c>
    </row>
    <row r="508" spans="31:59">
      <c r="AE508" s="165">
        <v>44228</v>
      </c>
      <c r="AF508" s="277">
        <v>1215422</v>
      </c>
      <c r="AG508" s="277">
        <v>782531</v>
      </c>
      <c r="AH508" s="277">
        <v>466526</v>
      </c>
      <c r="AI508" s="277">
        <v>38691</v>
      </c>
      <c r="AJ508" s="277">
        <v>309259</v>
      </c>
      <c r="AK508" s="277">
        <v>1890585</v>
      </c>
      <c r="AT508" s="252">
        <f t="shared" ref="AT508" si="3287">AF508/SUM(AF498:AF509)*AM509</f>
        <v>13190.160160651989</v>
      </c>
      <c r="AU508" s="252">
        <f t="shared" ref="AU508" si="3288">AG508/SUM(AG498:AG509)*AN509</f>
        <v>11047.420335200675</v>
      </c>
      <c r="AV508" s="252">
        <f t="shared" ref="AV508" si="3289">AH508/SUM(AH498:AH509)*AO509</f>
        <v>4348.1082292370429</v>
      </c>
      <c r="AW508" s="252">
        <f t="shared" ref="AW508" si="3290">AI508/SUM(AI498:AI509)*AP509</f>
        <v>492.52791849953439</v>
      </c>
      <c r="AX508" s="252">
        <f t="shared" ref="AX508" si="3291">AJ508/SUM(AJ498:AJ509)*AQ509</f>
        <v>4136.5641852039289</v>
      </c>
      <c r="AY508" s="252">
        <f t="shared" ref="AY508" si="3292">AK508/SUM(AK498:AK509)*AR509</f>
        <v>15968.960974000831</v>
      </c>
    </row>
    <row r="509" spans="31:59">
      <c r="AE509" s="165">
        <v>44256</v>
      </c>
      <c r="AF509" s="277">
        <v>1164950</v>
      </c>
      <c r="AG509" s="277">
        <v>751617</v>
      </c>
      <c r="AH509" s="277">
        <v>543321</v>
      </c>
      <c r="AI509" s="277">
        <v>35746</v>
      </c>
      <c r="AJ509" s="277">
        <v>296466</v>
      </c>
      <c r="AK509" s="277">
        <v>1996149</v>
      </c>
      <c r="AM509" s="277">
        <v>159011.03569274949</v>
      </c>
      <c r="AN509" s="277">
        <v>133551.96430725051</v>
      </c>
      <c r="AO509" s="277">
        <v>50463</v>
      </c>
      <c r="AP509" s="277">
        <v>6214.118492234853</v>
      </c>
      <c r="AQ509" s="277">
        <v>49673.881507765145</v>
      </c>
      <c r="AR509" s="277">
        <v>165075</v>
      </c>
      <c r="AT509" s="252">
        <f>AF509/SUM(AF498:AF509)*AM509</f>
        <v>12642.421380517661</v>
      </c>
      <c r="AU509" s="252">
        <f t="shared" ref="AU509" si="3293">AG509/SUM(AG498:AG509)*AN509</f>
        <v>10610.990401763669</v>
      </c>
      <c r="AV509" s="252">
        <f t="shared" ref="AV509" si="3294">AH509/SUM(AH498:AH509)*AO509</f>
        <v>5063.8517707851206</v>
      </c>
      <c r="AW509" s="252">
        <f t="shared" ref="AW509" si="3295">AI509/SUM(AI498:AI509)*AP509</f>
        <v>455.03871635998956</v>
      </c>
      <c r="AX509" s="252">
        <f t="shared" ref="AX509" si="3296">AJ509/SUM(AJ498:AJ509)*AQ509</f>
        <v>3965.4485002236565</v>
      </c>
      <c r="AY509" s="252">
        <f t="shared" ref="AY509" si="3297">AK509/SUM(AK498:AK509)*AR509</f>
        <v>16860.614825194734</v>
      </c>
      <c r="AZ509" s="25">
        <f t="shared" ref="AZ509" si="3298">SUM(AT498:AY509)-SUM(AM509:AR509)</f>
        <v>0</v>
      </c>
    </row>
  </sheetData>
  <mergeCells count="7">
    <mergeCell ref="AM1:AR1"/>
    <mergeCell ref="AT1:AY1"/>
    <mergeCell ref="BA1:BF1"/>
    <mergeCell ref="K2:N2"/>
    <mergeCell ref="W1:AC1"/>
    <mergeCell ref="AF1:AK1"/>
    <mergeCell ref="A1:U1"/>
  </mergeCells>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FB4B6-9C9B-47BB-858D-D6587E21BD76}">
  <dimension ref="A1:BG509"/>
  <sheetViews>
    <sheetView topLeftCell="AC488" zoomScale="70" zoomScaleNormal="70" workbookViewId="0">
      <selection activeCell="W5" sqref="W5"/>
    </sheetView>
  </sheetViews>
  <sheetFormatPr defaultColWidth="8.84375" defaultRowHeight="18.45"/>
  <cols>
    <col min="1" max="1" width="7.84375" style="162" bestFit="1" customWidth="1"/>
    <col min="2" max="2" width="7.69140625" style="162" bestFit="1" customWidth="1"/>
    <col min="3" max="3" width="10" style="162" bestFit="1" customWidth="1"/>
    <col min="4" max="4" width="8.84375" style="162" bestFit="1" customWidth="1"/>
    <col min="5" max="5" width="10" style="162" bestFit="1" customWidth="1"/>
    <col min="6" max="7" width="26.4609375" style="162" bestFit="1" customWidth="1"/>
    <col min="8" max="8" width="10" style="162" bestFit="1" customWidth="1"/>
    <col min="9" max="9" width="8.84375" style="162" bestFit="1" customWidth="1"/>
    <col min="10" max="10" width="8.23046875" style="162" customWidth="1"/>
    <col min="11" max="11" width="10.23046875" style="162" bestFit="1" customWidth="1"/>
    <col min="12" max="12" width="12.4609375" style="162" bestFit="1" customWidth="1"/>
    <col min="13" max="13" width="10.23046875" style="162" bestFit="1" customWidth="1"/>
    <col min="14" max="14" width="12.4609375" style="162" bestFit="1" customWidth="1"/>
    <col min="15" max="15" width="7" style="162" customWidth="1"/>
    <col min="16" max="16" width="23.84375" style="162" bestFit="1" customWidth="1"/>
    <col min="17" max="17" width="26.07421875" style="162" bestFit="1" customWidth="1"/>
    <col min="18" max="18" width="9" style="162" bestFit="1" customWidth="1"/>
    <col min="19" max="19" width="23.84375" style="162" bestFit="1" customWidth="1"/>
    <col min="20" max="20" width="26.07421875" style="162" customWidth="1"/>
    <col min="21" max="21" width="9" style="162" bestFit="1" customWidth="1"/>
    <col min="22" max="22" width="8.84375" style="25"/>
    <col min="23" max="23" width="17.84375" style="25" bestFit="1" customWidth="1"/>
    <col min="24" max="26" width="8.84375" style="25" bestFit="1" customWidth="1"/>
    <col min="27" max="29" width="10" style="25" bestFit="1" customWidth="1"/>
    <col min="30" max="30" width="8.84375" style="25"/>
    <col min="31" max="31" width="13" style="25" bestFit="1" customWidth="1"/>
    <col min="32" max="33" width="12.07421875" style="25" bestFit="1" customWidth="1"/>
    <col min="34" max="34" width="10" style="25" bestFit="1" customWidth="1"/>
    <col min="35" max="35" width="8.3046875" style="25" bestFit="1" customWidth="1"/>
    <col min="36" max="36" width="10.23046875" style="25" bestFit="1" customWidth="1"/>
    <col min="37" max="37" width="10.4609375" style="25" bestFit="1" customWidth="1"/>
    <col min="38" max="16384" width="8.84375" style="25"/>
  </cols>
  <sheetData>
    <row r="1" spans="1:59">
      <c r="A1" s="412" t="s">
        <v>161</v>
      </c>
      <c r="B1" s="412"/>
      <c r="C1" s="412"/>
      <c r="D1" s="412"/>
      <c r="E1" s="412"/>
      <c r="F1" s="412"/>
      <c r="G1" s="412"/>
      <c r="H1" s="412"/>
      <c r="I1" s="412"/>
      <c r="J1" s="412"/>
      <c r="K1" s="412"/>
      <c r="L1" s="412"/>
      <c r="M1" s="412"/>
      <c r="N1" s="412"/>
      <c r="O1" s="412"/>
      <c r="P1" s="412"/>
      <c r="Q1" s="412"/>
      <c r="R1" s="412"/>
      <c r="S1" s="412"/>
      <c r="T1" s="412"/>
      <c r="U1" s="412"/>
      <c r="W1" s="412" t="s">
        <v>162</v>
      </c>
      <c r="X1" s="412"/>
      <c r="Y1" s="412"/>
      <c r="Z1" s="412"/>
      <c r="AA1" s="412"/>
      <c r="AB1" s="412"/>
      <c r="AC1" s="412"/>
      <c r="AF1" s="412" t="s">
        <v>163</v>
      </c>
      <c r="AG1" s="412"/>
      <c r="AH1" s="412"/>
      <c r="AI1" s="412"/>
      <c r="AJ1" s="412"/>
      <c r="AK1" s="412"/>
      <c r="AM1" s="412" t="s">
        <v>161</v>
      </c>
      <c r="AN1" s="412"/>
      <c r="AO1" s="412"/>
      <c r="AP1" s="412"/>
      <c r="AQ1" s="412"/>
      <c r="AR1" s="412"/>
      <c r="AT1" s="412" t="s">
        <v>161</v>
      </c>
      <c r="AU1" s="412"/>
      <c r="AV1" s="412"/>
      <c r="AW1" s="412"/>
      <c r="AX1" s="412"/>
      <c r="AY1" s="412"/>
      <c r="BA1" s="412" t="s">
        <v>161</v>
      </c>
      <c r="BB1" s="412"/>
      <c r="BC1" s="412"/>
      <c r="BD1" s="412"/>
      <c r="BE1" s="412"/>
      <c r="BF1" s="412"/>
    </row>
    <row r="2" spans="1:59">
      <c r="B2" s="160" t="s">
        <v>164</v>
      </c>
      <c r="C2" s="160" t="s">
        <v>164</v>
      </c>
      <c r="D2" s="160" t="s">
        <v>165</v>
      </c>
      <c r="E2" s="160" t="s">
        <v>165</v>
      </c>
      <c r="F2" s="160" t="s">
        <v>166</v>
      </c>
      <c r="G2" s="160" t="s">
        <v>166</v>
      </c>
      <c r="H2" s="160" t="s">
        <v>167</v>
      </c>
      <c r="I2" s="160" t="s">
        <v>167</v>
      </c>
      <c r="J2" s="160"/>
      <c r="K2" s="413" t="s">
        <v>166</v>
      </c>
      <c r="L2" s="413"/>
      <c r="M2" s="413"/>
      <c r="N2" s="413"/>
      <c r="O2" s="160"/>
      <c r="P2" s="160" t="s">
        <v>148</v>
      </c>
      <c r="Q2" s="160" t="s">
        <v>148</v>
      </c>
      <c r="R2" s="160" t="s">
        <v>148</v>
      </c>
      <c r="S2" s="160" t="s">
        <v>168</v>
      </c>
      <c r="T2" s="160" t="s">
        <v>168</v>
      </c>
      <c r="U2" s="160" t="s">
        <v>168</v>
      </c>
      <c r="V2" s="160"/>
      <c r="X2" s="24" t="s">
        <v>169</v>
      </c>
      <c r="Y2" s="24"/>
      <c r="Z2" s="24"/>
      <c r="AA2" s="24" t="s">
        <v>170</v>
      </c>
      <c r="AB2" s="24"/>
      <c r="AC2" s="24"/>
      <c r="AF2" s="25" t="s">
        <v>171</v>
      </c>
      <c r="AG2" s="25" t="s">
        <v>171</v>
      </c>
      <c r="AH2" s="25" t="s">
        <v>171</v>
      </c>
      <c r="AI2" s="25" t="s">
        <v>172</v>
      </c>
      <c r="AJ2" s="25" t="s">
        <v>172</v>
      </c>
      <c r="AK2" s="25" t="s">
        <v>172</v>
      </c>
      <c r="AM2" s="25" t="s">
        <v>171</v>
      </c>
      <c r="AN2" s="25" t="s">
        <v>171</v>
      </c>
      <c r="AO2" s="25" t="s">
        <v>171</v>
      </c>
      <c r="AP2" s="25" t="s">
        <v>172</v>
      </c>
      <c r="AQ2" s="25" t="s">
        <v>172</v>
      </c>
      <c r="AR2" s="25" t="s">
        <v>172</v>
      </c>
      <c r="AT2" s="25" t="s">
        <v>171</v>
      </c>
      <c r="AU2" s="25" t="s">
        <v>171</v>
      </c>
      <c r="AV2" s="25" t="s">
        <v>171</v>
      </c>
      <c r="AW2" s="25" t="s">
        <v>172</v>
      </c>
      <c r="AX2" s="25" t="s">
        <v>172</v>
      </c>
      <c r="AY2" s="25" t="s">
        <v>172</v>
      </c>
      <c r="BA2" s="25" t="s">
        <v>171</v>
      </c>
      <c r="BB2" s="25" t="s">
        <v>171</v>
      </c>
      <c r="BC2" s="25" t="s">
        <v>171</v>
      </c>
      <c r="BD2" s="25" t="s">
        <v>172</v>
      </c>
      <c r="BE2" s="25" t="s">
        <v>172</v>
      </c>
      <c r="BF2" s="25" t="s">
        <v>172</v>
      </c>
    </row>
    <row r="3" spans="1:59">
      <c r="A3" s="161" t="s">
        <v>173</v>
      </c>
      <c r="B3" s="160" t="s">
        <v>168</v>
      </c>
      <c r="C3" s="160" t="s">
        <v>148</v>
      </c>
      <c r="D3" s="160" t="s">
        <v>168</v>
      </c>
      <c r="E3" s="160" t="s">
        <v>148</v>
      </c>
      <c r="F3" s="160" t="s">
        <v>168</v>
      </c>
      <c r="G3" s="160" t="s">
        <v>148</v>
      </c>
      <c r="H3" s="160" t="s">
        <v>168</v>
      </c>
      <c r="I3" s="160" t="s">
        <v>148</v>
      </c>
      <c r="J3" s="160"/>
      <c r="K3" s="160" t="s">
        <v>174</v>
      </c>
      <c r="L3" s="160" t="s">
        <v>175</v>
      </c>
      <c r="M3" s="160" t="s">
        <v>176</v>
      </c>
      <c r="N3" s="160" t="s">
        <v>177</v>
      </c>
      <c r="O3" s="160"/>
      <c r="P3" s="160" t="s">
        <v>178</v>
      </c>
      <c r="Q3" s="160" t="s">
        <v>179</v>
      </c>
      <c r="R3" s="160" t="s">
        <v>167</v>
      </c>
      <c r="S3" s="160" t="s">
        <v>178</v>
      </c>
      <c r="T3" s="160" t="s">
        <v>179</v>
      </c>
      <c r="U3" s="160" t="s">
        <v>167</v>
      </c>
      <c r="V3" s="160"/>
      <c r="W3" s="160"/>
      <c r="X3" s="24" t="s">
        <v>180</v>
      </c>
      <c r="Y3" s="24" t="s">
        <v>181</v>
      </c>
      <c r="Z3" s="24" t="s">
        <v>182</v>
      </c>
      <c r="AA3" s="24" t="s">
        <v>180</v>
      </c>
      <c r="AB3" s="24" t="s">
        <v>181</v>
      </c>
      <c r="AC3" s="24" t="s">
        <v>182</v>
      </c>
      <c r="AD3" s="160"/>
      <c r="AE3" s="160"/>
      <c r="AF3" s="25" t="s">
        <v>183</v>
      </c>
      <c r="AG3" s="25" t="s">
        <v>183</v>
      </c>
      <c r="AH3" s="25" t="s">
        <v>184</v>
      </c>
      <c r="AI3" s="25" t="s">
        <v>183</v>
      </c>
      <c r="AJ3" s="25" t="s">
        <v>183</v>
      </c>
      <c r="AK3" s="25" t="s">
        <v>184</v>
      </c>
      <c r="AM3" s="25" t="s">
        <v>183</v>
      </c>
      <c r="AN3" s="25" t="s">
        <v>183</v>
      </c>
      <c r="AO3" s="25" t="s">
        <v>184</v>
      </c>
      <c r="AP3" s="25" t="s">
        <v>183</v>
      </c>
      <c r="AQ3" s="25" t="s">
        <v>183</v>
      </c>
      <c r="AR3" s="25" t="s">
        <v>184</v>
      </c>
      <c r="AT3" s="25" t="s">
        <v>183</v>
      </c>
      <c r="AU3" s="25" t="s">
        <v>183</v>
      </c>
      <c r="AV3" s="25" t="s">
        <v>184</v>
      </c>
      <c r="AW3" s="25" t="s">
        <v>183</v>
      </c>
      <c r="AX3" s="25" t="s">
        <v>183</v>
      </c>
      <c r="AY3" s="25" t="s">
        <v>184</v>
      </c>
      <c r="BA3" s="25" t="s">
        <v>183</v>
      </c>
      <c r="BB3" s="25" t="s">
        <v>183</v>
      </c>
      <c r="BC3" s="25" t="s">
        <v>184</v>
      </c>
      <c r="BD3" s="25" t="s">
        <v>183</v>
      </c>
      <c r="BE3" s="25" t="s">
        <v>183</v>
      </c>
      <c r="BF3" s="25" t="s">
        <v>184</v>
      </c>
    </row>
    <row r="4" spans="1:59">
      <c r="A4" s="163">
        <v>1979</v>
      </c>
      <c r="B4" s="312">
        <v>8931</v>
      </c>
      <c r="C4" s="312">
        <v>155754</v>
      </c>
      <c r="D4" s="312">
        <v>37072</v>
      </c>
      <c r="E4" s="312">
        <v>88264</v>
      </c>
      <c r="F4" s="160"/>
      <c r="G4" s="160"/>
      <c r="H4" s="312">
        <v>141807</v>
      </c>
      <c r="I4" s="312">
        <v>47391</v>
      </c>
      <c r="J4" s="160"/>
      <c r="K4" s="160"/>
      <c r="L4" s="160"/>
      <c r="M4" s="160"/>
      <c r="N4" s="160"/>
      <c r="O4" s="160"/>
      <c r="P4" s="311">
        <f>SUM(C4,M4)</f>
        <v>155754</v>
      </c>
      <c r="Q4" s="311">
        <f>SUM(E4,N4)</f>
        <v>88264</v>
      </c>
      <c r="R4" s="311">
        <f>I4</f>
        <v>47391</v>
      </c>
      <c r="S4" s="311">
        <f>SUM(B4,K4)</f>
        <v>8931</v>
      </c>
      <c r="T4" s="311">
        <f>SUM(D4,L4)</f>
        <v>37072</v>
      </c>
      <c r="U4" s="311">
        <f>H4</f>
        <v>141807</v>
      </c>
      <c r="W4" s="164" t="s">
        <v>185</v>
      </c>
      <c r="X4" s="277">
        <v>2201.0947696801159</v>
      </c>
      <c r="Y4" s="277">
        <v>13527.279678252384</v>
      </c>
      <c r="Z4" s="252">
        <f t="shared" ref="Z4:Z5" si="0">SUM(X4:Y4)</f>
        <v>15728.3744479325</v>
      </c>
      <c r="AA4" s="277">
        <v>18594.58937309411</v>
      </c>
      <c r="AB4" s="277">
        <v>25571.098924478378</v>
      </c>
      <c r="AC4" s="252">
        <f t="shared" ref="AC4:AC5" si="1">SUM(AA4:AB4)</f>
        <v>44165.688297572487</v>
      </c>
      <c r="AF4" s="25" t="s">
        <v>186</v>
      </c>
      <c r="AG4" s="25" t="s">
        <v>187</v>
      </c>
      <c r="AH4" s="25" t="s">
        <v>184</v>
      </c>
      <c r="AI4" s="25" t="s">
        <v>186</v>
      </c>
      <c r="AJ4" s="25" t="s">
        <v>187</v>
      </c>
      <c r="AK4" s="25" t="s">
        <v>184</v>
      </c>
      <c r="AM4" s="25" t="s">
        <v>186</v>
      </c>
      <c r="AN4" s="25" t="s">
        <v>187</v>
      </c>
      <c r="AO4" s="25" t="s">
        <v>184</v>
      </c>
      <c r="AP4" s="25" t="s">
        <v>186</v>
      </c>
      <c r="AQ4" s="25" t="s">
        <v>187</v>
      </c>
      <c r="AR4" s="25" t="s">
        <v>184</v>
      </c>
      <c r="AT4" s="25" t="s">
        <v>186</v>
      </c>
      <c r="AU4" s="25" t="s">
        <v>187</v>
      </c>
      <c r="AV4" s="25" t="s">
        <v>184</v>
      </c>
      <c r="AW4" s="25" t="s">
        <v>186</v>
      </c>
      <c r="AX4" s="25" t="s">
        <v>187</v>
      </c>
      <c r="AY4" s="25" t="s">
        <v>184</v>
      </c>
      <c r="BA4" s="25" t="s">
        <v>186</v>
      </c>
      <c r="BB4" s="25" t="s">
        <v>187</v>
      </c>
      <c r="BC4" s="25" t="s">
        <v>184</v>
      </c>
      <c r="BD4" s="25" t="s">
        <v>186</v>
      </c>
      <c r="BE4" s="25" t="s">
        <v>187</v>
      </c>
      <c r="BF4" s="25" t="s">
        <v>184</v>
      </c>
      <c r="BG4" s="25" t="s">
        <v>188</v>
      </c>
    </row>
    <row r="5" spans="1:59">
      <c r="A5" s="163">
        <v>1980</v>
      </c>
      <c r="B5" s="312">
        <v>8847</v>
      </c>
      <c r="C5" s="312">
        <v>151323</v>
      </c>
      <c r="D5" s="312">
        <v>39202</v>
      </c>
      <c r="E5" s="312">
        <v>92817</v>
      </c>
      <c r="F5" s="160"/>
      <c r="G5" s="160"/>
      <c r="H5" s="312">
        <v>148143</v>
      </c>
      <c r="I5" s="312">
        <v>54421</v>
      </c>
      <c r="J5" s="160"/>
      <c r="K5" s="160"/>
      <c r="L5" s="160"/>
      <c r="M5" s="160"/>
      <c r="N5" s="160"/>
      <c r="O5" s="160"/>
      <c r="P5" s="311">
        <f t="shared" ref="P5:P45" si="2">SUM(C5,M5)</f>
        <v>151323</v>
      </c>
      <c r="Q5" s="311">
        <f t="shared" ref="Q5:Q45" si="3">SUM(E5,N5)</f>
        <v>92817</v>
      </c>
      <c r="R5" s="311">
        <f t="shared" ref="R5:R45" si="4">I5</f>
        <v>54421</v>
      </c>
      <c r="S5" s="311">
        <f t="shared" ref="S5:S45" si="5">SUM(B5,K5)</f>
        <v>8847</v>
      </c>
      <c r="T5" s="311">
        <f t="shared" ref="T5:T45" si="6">SUM(D5,L5)</f>
        <v>39202</v>
      </c>
      <c r="U5" s="311">
        <f t="shared" ref="U5:U45" si="7">H5</f>
        <v>148143</v>
      </c>
      <c r="W5" s="160" t="s">
        <v>189</v>
      </c>
      <c r="X5" s="277">
        <v>2842.1085232924661</v>
      </c>
      <c r="Y5" s="277">
        <v>9810.3370055607065</v>
      </c>
      <c r="Z5" s="252">
        <f t="shared" si="0"/>
        <v>12652.445528853172</v>
      </c>
      <c r="AA5" s="277">
        <v>16928.055923910812</v>
      </c>
      <c r="AB5" s="277">
        <v>29981.255764633061</v>
      </c>
      <c r="AC5" s="252">
        <f t="shared" si="1"/>
        <v>46909.311688543872</v>
      </c>
      <c r="AF5" s="25" t="s">
        <v>190</v>
      </c>
      <c r="AG5" s="25" t="s">
        <v>190</v>
      </c>
      <c r="AH5" s="25" t="s">
        <v>190</v>
      </c>
      <c r="AI5" s="25" t="s">
        <v>190</v>
      </c>
      <c r="AJ5" s="25" t="s">
        <v>190</v>
      </c>
      <c r="AK5" s="25" t="s">
        <v>190</v>
      </c>
    </row>
    <row r="6" spans="1:59">
      <c r="A6" s="163">
        <v>1981</v>
      </c>
      <c r="B6" s="312">
        <v>8958</v>
      </c>
      <c r="C6" s="312">
        <v>148100</v>
      </c>
      <c r="D6" s="312">
        <v>40107</v>
      </c>
      <c r="E6" s="312">
        <v>92638</v>
      </c>
      <c r="F6" s="160"/>
      <c r="G6" s="160"/>
      <c r="H6" s="312">
        <v>153901</v>
      </c>
      <c r="I6" s="312">
        <v>58494</v>
      </c>
      <c r="J6" s="160"/>
      <c r="K6" s="160"/>
      <c r="L6" s="160"/>
      <c r="M6" s="160"/>
      <c r="N6" s="160"/>
      <c r="O6" s="160"/>
      <c r="P6" s="311">
        <f t="shared" si="2"/>
        <v>148100</v>
      </c>
      <c r="Q6" s="311">
        <f t="shared" si="3"/>
        <v>92638</v>
      </c>
      <c r="R6" s="311">
        <f t="shared" si="4"/>
        <v>58494</v>
      </c>
      <c r="S6" s="311">
        <f t="shared" si="5"/>
        <v>8958</v>
      </c>
      <c r="T6" s="311">
        <f t="shared" si="6"/>
        <v>40107</v>
      </c>
      <c r="U6" s="311">
        <f t="shared" si="7"/>
        <v>153901</v>
      </c>
      <c r="W6" s="164" t="s">
        <v>191</v>
      </c>
      <c r="X6" s="277">
        <v>588.02420210941364</v>
      </c>
      <c r="Y6" s="277">
        <v>3163.5501396369355</v>
      </c>
      <c r="Z6" s="252">
        <f>SUM(X6:Y6)</f>
        <v>3751.5743417463491</v>
      </c>
      <c r="AA6" s="277">
        <v>6840.2223039178089</v>
      </c>
      <c r="AB6" s="277">
        <v>13348.187385298714</v>
      </c>
      <c r="AC6" s="252">
        <f>SUM(AA6:AB6)</f>
        <v>20188.409689216522</v>
      </c>
      <c r="AE6" s="165">
        <v>28946</v>
      </c>
      <c r="AF6" s="277">
        <v>1321237</v>
      </c>
      <c r="AG6" s="277">
        <v>562552</v>
      </c>
      <c r="AH6" s="277">
        <v>170453</v>
      </c>
      <c r="AI6" s="277">
        <v>54969</v>
      </c>
      <c r="AJ6" s="277">
        <v>179014</v>
      </c>
      <c r="AK6" s="277">
        <v>477384</v>
      </c>
      <c r="AT6" s="252">
        <f>AF6/SUM(AF6:AF17)*AM17</f>
        <v>12464.989994896807</v>
      </c>
      <c r="AU6" s="252">
        <f t="shared" ref="AU6:AY6" si="8">AG6/SUM(AG6:AG17)*AN17</f>
        <v>6318.5511843969362</v>
      </c>
      <c r="AV6" s="252">
        <f t="shared" si="8"/>
        <v>3291.5796863399619</v>
      </c>
      <c r="AW6" s="252">
        <f t="shared" si="8"/>
        <v>686.64543348914492</v>
      </c>
      <c r="AX6" s="252">
        <f t="shared" si="8"/>
        <v>2432.3741785376305</v>
      </c>
      <c r="AY6" s="252">
        <f t="shared" si="8"/>
        <v>5447.9326841068814</v>
      </c>
    </row>
    <row r="7" spans="1:59">
      <c r="A7" s="163">
        <v>1982</v>
      </c>
      <c r="B7" s="312">
        <v>8713</v>
      </c>
      <c r="C7" s="312">
        <v>152239</v>
      </c>
      <c r="D7" s="312">
        <v>37011</v>
      </c>
      <c r="E7" s="312">
        <v>87975</v>
      </c>
      <c r="F7" s="160"/>
      <c r="G7" s="160"/>
      <c r="H7" s="312">
        <v>157008</v>
      </c>
      <c r="I7" s="312">
        <v>57743</v>
      </c>
      <c r="J7" s="160"/>
      <c r="K7" s="160"/>
      <c r="L7" s="160"/>
      <c r="M7" s="160"/>
      <c r="N7" s="160"/>
      <c r="O7" s="160"/>
      <c r="P7" s="311">
        <f t="shared" si="2"/>
        <v>152239</v>
      </c>
      <c r="Q7" s="311">
        <f t="shared" si="3"/>
        <v>87975</v>
      </c>
      <c r="R7" s="311">
        <f t="shared" si="4"/>
        <v>57743</v>
      </c>
      <c r="S7" s="311">
        <f t="shared" si="5"/>
        <v>8713</v>
      </c>
      <c r="T7" s="311">
        <f t="shared" si="6"/>
        <v>37011</v>
      </c>
      <c r="U7" s="311">
        <f t="shared" si="7"/>
        <v>157008</v>
      </c>
      <c r="W7" s="164" t="s">
        <v>192</v>
      </c>
      <c r="X7" s="277">
        <v>734.63597403471658</v>
      </c>
      <c r="Y7" s="277">
        <v>3410.24520216578</v>
      </c>
      <c r="Z7" s="252">
        <f t="shared" ref="Z7:Z25" si="9">SUM(X7:Y7)</f>
        <v>4144.8811762004971</v>
      </c>
      <c r="AA7" s="277">
        <v>7322.5370563718261</v>
      </c>
      <c r="AB7" s="277">
        <v>13350.275528399199</v>
      </c>
      <c r="AC7" s="252">
        <f t="shared" ref="AC7:AC25" si="10">SUM(AA7:AB7)</f>
        <v>20672.812584771025</v>
      </c>
      <c r="AE7" s="165">
        <v>28976</v>
      </c>
      <c r="AF7" s="277">
        <v>1366065</v>
      </c>
      <c r="AG7" s="277">
        <v>566560</v>
      </c>
      <c r="AH7" s="277">
        <v>191178</v>
      </c>
      <c r="AI7" s="277">
        <v>51228</v>
      </c>
      <c r="AJ7" s="277">
        <v>159855</v>
      </c>
      <c r="AK7" s="277">
        <v>626776</v>
      </c>
      <c r="AT7" s="252">
        <f t="shared" ref="AT7:AY7" si="11">AF7/SUM(AF6:AF17)*AM17</f>
        <v>12887.912280218241</v>
      </c>
      <c r="AU7" s="252">
        <f t="shared" si="11"/>
        <v>6363.5688061404608</v>
      </c>
      <c r="AV7" s="252">
        <f t="shared" si="11"/>
        <v>3691.7955170932819</v>
      </c>
      <c r="AW7" s="252">
        <f t="shared" si="11"/>
        <v>639.91472042027181</v>
      </c>
      <c r="AX7" s="252">
        <f t="shared" si="11"/>
        <v>2172.0489699695718</v>
      </c>
      <c r="AY7" s="252">
        <f t="shared" si="11"/>
        <v>7152.802473509324</v>
      </c>
    </row>
    <row r="8" spans="1:59">
      <c r="A8" s="163">
        <v>1983</v>
      </c>
      <c r="B8" s="312">
        <v>9122</v>
      </c>
      <c r="C8" s="312">
        <v>138724</v>
      </c>
      <c r="D8" s="312">
        <v>32924</v>
      </c>
      <c r="E8" s="312">
        <v>93923</v>
      </c>
      <c r="F8" s="160"/>
      <c r="G8" s="160"/>
      <c r="H8" s="312">
        <v>156968</v>
      </c>
      <c r="I8" s="312">
        <v>44327</v>
      </c>
      <c r="J8" s="160"/>
      <c r="K8" s="160"/>
      <c r="L8" s="160"/>
      <c r="M8" s="160"/>
      <c r="N8" s="160"/>
      <c r="O8" s="160"/>
      <c r="P8" s="311">
        <f t="shared" si="2"/>
        <v>138724</v>
      </c>
      <c r="Q8" s="311">
        <f t="shared" si="3"/>
        <v>93923</v>
      </c>
      <c r="R8" s="311">
        <f t="shared" si="4"/>
        <v>44327</v>
      </c>
      <c r="S8" s="311">
        <f t="shared" si="5"/>
        <v>9122</v>
      </c>
      <c r="T8" s="311">
        <f t="shared" si="6"/>
        <v>32924</v>
      </c>
      <c r="U8" s="311">
        <f t="shared" si="7"/>
        <v>156968</v>
      </c>
      <c r="W8" s="164" t="s">
        <v>193</v>
      </c>
      <c r="X8" s="277">
        <v>1189.0696412183916</v>
      </c>
      <c r="Y8" s="277">
        <v>3423.9411346906354</v>
      </c>
      <c r="Z8" s="252">
        <f t="shared" si="9"/>
        <v>4613.010775909027</v>
      </c>
      <c r="AA8" s="277">
        <v>7528.3087020290695</v>
      </c>
      <c r="AB8" s="277">
        <v>11766.18876180133</v>
      </c>
      <c r="AC8" s="252">
        <f t="shared" si="10"/>
        <v>19294.497463830397</v>
      </c>
      <c r="AE8" s="165">
        <v>29007</v>
      </c>
      <c r="AF8" s="277">
        <v>1431197</v>
      </c>
      <c r="AG8" s="277">
        <v>600293</v>
      </c>
      <c r="AH8" s="277">
        <v>184886</v>
      </c>
      <c r="AI8" s="277">
        <v>50452</v>
      </c>
      <c r="AJ8" s="277">
        <v>169808</v>
      </c>
      <c r="AK8" s="277">
        <v>795398</v>
      </c>
      <c r="AT8" s="252">
        <f t="shared" ref="AT8:AY8" si="12">AF8/SUM(AF6:AF17)*AM17</f>
        <v>13502.389265306925</v>
      </c>
      <c r="AU8" s="252">
        <f t="shared" si="12"/>
        <v>6742.4558905402355</v>
      </c>
      <c r="AV8" s="252">
        <f t="shared" si="12"/>
        <v>3570.2921150619245</v>
      </c>
      <c r="AW8" s="252">
        <f t="shared" si="12"/>
        <v>630.22131402052685</v>
      </c>
      <c r="AX8" s="252">
        <f t="shared" si="12"/>
        <v>2307.2865502648838</v>
      </c>
      <c r="AY8" s="252">
        <f t="shared" si="12"/>
        <v>9077.1260894232855</v>
      </c>
    </row>
    <row r="9" spans="1:59">
      <c r="A9" s="163">
        <v>1984</v>
      </c>
      <c r="B9" s="312">
        <v>8613</v>
      </c>
      <c r="C9" s="312">
        <v>142202</v>
      </c>
      <c r="D9" s="312">
        <v>31245</v>
      </c>
      <c r="E9" s="312">
        <v>105044</v>
      </c>
      <c r="F9" s="160"/>
      <c r="G9" s="160"/>
      <c r="H9" s="312">
        <v>154828</v>
      </c>
      <c r="I9" s="312">
        <v>43540</v>
      </c>
      <c r="J9" s="160"/>
      <c r="K9" s="160"/>
      <c r="L9" s="160"/>
      <c r="M9" s="160"/>
      <c r="N9" s="160"/>
      <c r="O9" s="160"/>
      <c r="P9" s="311">
        <f t="shared" si="2"/>
        <v>142202</v>
      </c>
      <c r="Q9" s="311">
        <f t="shared" si="3"/>
        <v>105044</v>
      </c>
      <c r="R9" s="311">
        <f t="shared" si="4"/>
        <v>43540</v>
      </c>
      <c r="S9" s="311">
        <f t="shared" si="5"/>
        <v>8613</v>
      </c>
      <c r="T9" s="311">
        <f t="shared" si="6"/>
        <v>31245</v>
      </c>
      <c r="U9" s="311">
        <f t="shared" si="7"/>
        <v>154828</v>
      </c>
      <c r="W9" s="164" t="s">
        <v>194</v>
      </c>
      <c r="X9" s="277">
        <v>587.8475599525184</v>
      </c>
      <c r="Y9" s="277">
        <v>2404.2662925411132</v>
      </c>
      <c r="Z9" s="252">
        <f t="shared" si="9"/>
        <v>2992.1138524936314</v>
      </c>
      <c r="AA9" s="277">
        <v>6375.4686087886312</v>
      </c>
      <c r="AB9" s="277">
        <v>13062.596408024951</v>
      </c>
      <c r="AC9" s="252">
        <f t="shared" si="10"/>
        <v>19438.065016813583</v>
      </c>
      <c r="AE9" s="165">
        <v>29037</v>
      </c>
      <c r="AF9" s="277">
        <v>1575972</v>
      </c>
      <c r="AG9" s="277">
        <v>652593</v>
      </c>
      <c r="AH9" s="277">
        <v>199818</v>
      </c>
      <c r="AI9" s="277">
        <v>53211</v>
      </c>
      <c r="AJ9" s="277">
        <v>200400</v>
      </c>
      <c r="AK9" s="277">
        <v>953768</v>
      </c>
      <c r="AT9" s="252">
        <f t="shared" ref="AT9:AY9" si="13">AF9/SUM(AF6:AF17)*AM17</f>
        <v>14868.244843459206</v>
      </c>
      <c r="AU9" s="252">
        <f t="shared" si="13"/>
        <v>7329.886433750391</v>
      </c>
      <c r="AV9" s="252">
        <f t="shared" si="13"/>
        <v>3858.6406209634242</v>
      </c>
      <c r="AW9" s="252">
        <f t="shared" si="13"/>
        <v>664.68537105260953</v>
      </c>
      <c r="AX9" s="252">
        <f t="shared" si="13"/>
        <v>2722.9590164955875</v>
      </c>
      <c r="AY9" s="252">
        <f t="shared" si="13"/>
        <v>10884.453312752947</v>
      </c>
    </row>
    <row r="10" spans="1:59">
      <c r="A10" s="163">
        <v>1985</v>
      </c>
      <c r="B10" s="312">
        <v>8441</v>
      </c>
      <c r="C10" s="312">
        <v>147607</v>
      </c>
      <c r="D10" s="312">
        <v>28490</v>
      </c>
      <c r="E10" s="312">
        <v>109865</v>
      </c>
      <c r="F10" s="160"/>
      <c r="G10" s="160"/>
      <c r="H10" s="312">
        <v>156598</v>
      </c>
      <c r="I10" s="312">
        <v>48644</v>
      </c>
      <c r="J10" s="160"/>
      <c r="K10" s="160"/>
      <c r="L10" s="160"/>
      <c r="M10" s="160"/>
      <c r="N10" s="160"/>
      <c r="O10" s="160"/>
      <c r="P10" s="311">
        <f t="shared" si="2"/>
        <v>147607</v>
      </c>
      <c r="Q10" s="311">
        <f t="shared" si="3"/>
        <v>109865</v>
      </c>
      <c r="R10" s="311">
        <f t="shared" si="4"/>
        <v>48644</v>
      </c>
      <c r="S10" s="311">
        <f t="shared" si="5"/>
        <v>8441</v>
      </c>
      <c r="T10" s="311">
        <f t="shared" si="6"/>
        <v>28490</v>
      </c>
      <c r="U10" s="311">
        <f t="shared" si="7"/>
        <v>156598</v>
      </c>
      <c r="W10" s="164" t="s">
        <v>195</v>
      </c>
      <c r="X10" s="277">
        <v>249.46619657286743</v>
      </c>
      <c r="Y10" s="277">
        <v>1927.7421305947846</v>
      </c>
      <c r="Z10" s="252">
        <f t="shared" si="9"/>
        <v>2177.208327167652</v>
      </c>
      <c r="AA10" s="277">
        <v>6704.3144685578163</v>
      </c>
      <c r="AB10" s="277">
        <v>12815.376078882584</v>
      </c>
      <c r="AC10" s="252">
        <f t="shared" si="10"/>
        <v>19519.690547440401</v>
      </c>
      <c r="AE10" s="165">
        <v>29068</v>
      </c>
      <c r="AF10" s="277">
        <v>1645144</v>
      </c>
      <c r="AG10" s="277">
        <v>706694</v>
      </c>
      <c r="AH10" s="277">
        <v>205371</v>
      </c>
      <c r="AI10" s="277">
        <v>55803</v>
      </c>
      <c r="AJ10" s="277">
        <v>233662</v>
      </c>
      <c r="AK10" s="277">
        <v>1062473</v>
      </c>
      <c r="AT10" s="252">
        <f t="shared" ref="AT10:AY10" si="14">AF10/SUM(AF6:AF17)*AM17</f>
        <v>15520.836534372345</v>
      </c>
      <c r="AU10" s="252">
        <f t="shared" si="14"/>
        <v>7937.5457036970965</v>
      </c>
      <c r="AV10" s="252">
        <f t="shared" si="14"/>
        <v>3965.8733595966296</v>
      </c>
      <c r="AW10" s="252">
        <f t="shared" si="14"/>
        <v>697.06334706825226</v>
      </c>
      <c r="AX10" s="252">
        <f t="shared" si="14"/>
        <v>3174.9104277065467</v>
      </c>
      <c r="AY10" s="252">
        <f t="shared" si="14"/>
        <v>12125.000801621107</v>
      </c>
    </row>
    <row r="11" spans="1:59">
      <c r="A11" s="163">
        <v>1986</v>
      </c>
      <c r="B11" s="312">
        <v>8206</v>
      </c>
      <c r="C11" s="312">
        <v>161721</v>
      </c>
      <c r="D11" s="312">
        <v>29926</v>
      </c>
      <c r="E11" s="312">
        <v>116960</v>
      </c>
      <c r="F11" s="160"/>
      <c r="G11" s="160"/>
      <c r="H11" s="312">
        <v>169638</v>
      </c>
      <c r="I11" s="312">
        <v>49180</v>
      </c>
      <c r="J11" s="160"/>
      <c r="K11" s="160"/>
      <c r="L11" s="160"/>
      <c r="M11" s="160"/>
      <c r="N11" s="160"/>
      <c r="O11" s="160"/>
      <c r="P11" s="311">
        <f t="shared" si="2"/>
        <v>161721</v>
      </c>
      <c r="Q11" s="311">
        <f t="shared" si="3"/>
        <v>116960</v>
      </c>
      <c r="R11" s="311">
        <f t="shared" si="4"/>
        <v>49180</v>
      </c>
      <c r="S11" s="311">
        <f t="shared" si="5"/>
        <v>8206</v>
      </c>
      <c r="T11" s="311">
        <f t="shared" si="6"/>
        <v>29926</v>
      </c>
      <c r="U11" s="311">
        <f t="shared" si="7"/>
        <v>169638</v>
      </c>
      <c r="W11" s="164" t="s">
        <v>196</v>
      </c>
      <c r="X11" s="277">
        <v>958.30126146514806</v>
      </c>
      <c r="Y11" s="277">
        <v>2812.7871094495454</v>
      </c>
      <c r="Z11" s="252">
        <f t="shared" si="9"/>
        <v>3771.0883709146933</v>
      </c>
      <c r="AA11" s="277">
        <v>6874.6127695172208</v>
      </c>
      <c r="AB11" s="277">
        <v>14438.537059409378</v>
      </c>
      <c r="AC11" s="252">
        <f t="shared" si="10"/>
        <v>21313.149828926598</v>
      </c>
      <c r="AE11" s="165">
        <v>29099</v>
      </c>
      <c r="AF11" s="277">
        <v>1588970</v>
      </c>
      <c r="AG11" s="277">
        <v>735600</v>
      </c>
      <c r="AH11" s="277">
        <v>224736</v>
      </c>
      <c r="AI11" s="277">
        <v>65529</v>
      </c>
      <c r="AJ11" s="277">
        <v>274633</v>
      </c>
      <c r="AK11" s="277">
        <v>1117863</v>
      </c>
      <c r="AT11" s="252">
        <f t="shared" ref="AT11:AY11" si="15">AF11/SUM(AF6:AF17)*AM17</f>
        <v>14990.872305416198</v>
      </c>
      <c r="AU11" s="252">
        <f t="shared" si="15"/>
        <v>8262.216206221623</v>
      </c>
      <c r="AV11" s="252">
        <f t="shared" si="15"/>
        <v>4339.8265351111313</v>
      </c>
      <c r="AW11" s="252">
        <f t="shared" si="15"/>
        <v>818.55570614546696</v>
      </c>
      <c r="AX11" s="252">
        <f t="shared" si="15"/>
        <v>3731.6088002855922</v>
      </c>
      <c r="AY11" s="252">
        <f t="shared" si="15"/>
        <v>12757.114553595788</v>
      </c>
    </row>
    <row r="12" spans="1:59">
      <c r="A12" s="163">
        <v>1987</v>
      </c>
      <c r="B12" s="312">
        <v>8472</v>
      </c>
      <c r="C12" s="312">
        <v>207963</v>
      </c>
      <c r="D12" s="312">
        <v>31194</v>
      </c>
      <c r="E12" s="312">
        <v>128318</v>
      </c>
      <c r="F12" s="160"/>
      <c r="G12" s="160"/>
      <c r="H12" s="312">
        <v>186121</v>
      </c>
      <c r="I12" s="312">
        <v>53189</v>
      </c>
      <c r="J12" s="160"/>
      <c r="K12" s="160"/>
      <c r="L12" s="160"/>
      <c r="M12" s="160"/>
      <c r="N12" s="160"/>
      <c r="O12" s="160"/>
      <c r="P12" s="311">
        <f t="shared" si="2"/>
        <v>207963</v>
      </c>
      <c r="Q12" s="311">
        <f t="shared" si="3"/>
        <v>128318</v>
      </c>
      <c r="R12" s="311">
        <f t="shared" si="4"/>
        <v>53189</v>
      </c>
      <c r="S12" s="311">
        <f t="shared" si="5"/>
        <v>8472</v>
      </c>
      <c r="T12" s="311">
        <f t="shared" si="6"/>
        <v>31194</v>
      </c>
      <c r="U12" s="311">
        <f t="shared" si="7"/>
        <v>186121</v>
      </c>
      <c r="W12" s="164" t="s">
        <v>197</v>
      </c>
      <c r="X12" s="277">
        <v>787.0707353641651</v>
      </c>
      <c r="Y12" s="277">
        <v>1945.7354136296246</v>
      </c>
      <c r="Z12" s="252">
        <f t="shared" si="9"/>
        <v>2732.80614899379</v>
      </c>
      <c r="AA12" s="277">
        <v>6851.0817696851473</v>
      </c>
      <c r="AB12" s="277">
        <v>11769.34781519526</v>
      </c>
      <c r="AC12" s="252">
        <f t="shared" si="10"/>
        <v>18620.429584880407</v>
      </c>
      <c r="AE12" s="165">
        <v>29129</v>
      </c>
      <c r="AF12" s="277">
        <v>1478636</v>
      </c>
      <c r="AG12" s="277">
        <v>761916</v>
      </c>
      <c r="AH12" s="277">
        <v>225439</v>
      </c>
      <c r="AI12" s="277">
        <v>71371</v>
      </c>
      <c r="AJ12" s="277">
        <v>307282</v>
      </c>
      <c r="AK12" s="277">
        <v>1235860</v>
      </c>
      <c r="AT12" s="252">
        <f t="shared" ref="AT12:AY12" si="16">AF12/SUM(AF6:AF17)*AM17</f>
        <v>13949.944594417382</v>
      </c>
      <c r="AU12" s="252">
        <f t="shared" si="16"/>
        <v>8557.7959801244633</v>
      </c>
      <c r="AV12" s="252">
        <f t="shared" si="16"/>
        <v>4353.4020105764912</v>
      </c>
      <c r="AW12" s="252">
        <f t="shared" si="16"/>
        <v>891.5310672115877</v>
      </c>
      <c r="AX12" s="252">
        <f t="shared" si="16"/>
        <v>4175.23100053292</v>
      </c>
      <c r="AY12" s="252">
        <f t="shared" si="16"/>
        <v>14103.702861805865</v>
      </c>
    </row>
    <row r="13" spans="1:59">
      <c r="A13" s="163">
        <v>1988</v>
      </c>
      <c r="B13" s="312">
        <v>8113</v>
      </c>
      <c r="C13" s="312">
        <v>221032</v>
      </c>
      <c r="D13" s="312">
        <v>32240</v>
      </c>
      <c r="E13" s="312">
        <v>156732</v>
      </c>
      <c r="F13" s="160"/>
      <c r="G13" s="160"/>
      <c r="H13" s="312">
        <v>193281</v>
      </c>
      <c r="I13" s="312">
        <v>55157</v>
      </c>
      <c r="J13" s="160"/>
      <c r="K13" s="160"/>
      <c r="L13" s="160"/>
      <c r="M13" s="160"/>
      <c r="N13" s="160"/>
      <c r="O13" s="160"/>
      <c r="P13" s="311">
        <f t="shared" si="2"/>
        <v>221032</v>
      </c>
      <c r="Q13" s="311">
        <f t="shared" si="3"/>
        <v>156732</v>
      </c>
      <c r="R13" s="311">
        <f t="shared" si="4"/>
        <v>55157</v>
      </c>
      <c r="S13" s="311">
        <f t="shared" si="5"/>
        <v>8113</v>
      </c>
      <c r="T13" s="311">
        <f t="shared" si="6"/>
        <v>32240</v>
      </c>
      <c r="U13" s="311">
        <f t="shared" si="7"/>
        <v>193281</v>
      </c>
      <c r="W13" s="164" t="s">
        <v>198</v>
      </c>
      <c r="X13" s="277">
        <v>378.62280025150142</v>
      </c>
      <c r="Y13" s="277">
        <v>1733.1007623954163</v>
      </c>
      <c r="Z13" s="252">
        <f t="shared" si="9"/>
        <v>2111.7235626469178</v>
      </c>
      <c r="AA13" s="277">
        <v>5942.5263694970326</v>
      </c>
      <c r="AB13" s="277">
        <v>10683.748964262913</v>
      </c>
      <c r="AC13" s="252">
        <f t="shared" si="10"/>
        <v>16626.275333759946</v>
      </c>
      <c r="AE13" s="165">
        <v>29160</v>
      </c>
      <c r="AF13" s="277">
        <v>1347997</v>
      </c>
      <c r="AG13" s="277">
        <v>730979</v>
      </c>
      <c r="AH13" s="277">
        <v>226623</v>
      </c>
      <c r="AI13" s="277">
        <v>69209</v>
      </c>
      <c r="AJ13" s="277">
        <v>293387</v>
      </c>
      <c r="AK13" s="277">
        <v>1303511</v>
      </c>
      <c r="AT13" s="252">
        <f t="shared" ref="AT13:AY13" si="17">AF13/SUM(AF6:AF17)*AM17</f>
        <v>12717.452749318187</v>
      </c>
      <c r="AU13" s="252">
        <f t="shared" si="17"/>
        <v>8210.3134043062473</v>
      </c>
      <c r="AV13" s="252">
        <f t="shared" si="17"/>
        <v>4376.2659692549923</v>
      </c>
      <c r="AW13" s="252">
        <f t="shared" si="17"/>
        <v>864.52443752570048</v>
      </c>
      <c r="AX13" s="252">
        <f t="shared" si="17"/>
        <v>3986.4310228173199</v>
      </c>
      <c r="AY13" s="252">
        <f t="shared" si="17"/>
        <v>14875.739825785628</v>
      </c>
    </row>
    <row r="14" spans="1:59">
      <c r="A14" s="163">
        <v>1989</v>
      </c>
      <c r="B14" s="312">
        <v>9330</v>
      </c>
      <c r="C14" s="312">
        <v>235224</v>
      </c>
      <c r="D14" s="312">
        <v>32727</v>
      </c>
      <c r="E14" s="312">
        <v>186918</v>
      </c>
      <c r="F14" s="160"/>
      <c r="G14" s="160"/>
      <c r="H14" s="312">
        <v>200756</v>
      </c>
      <c r="I14" s="312">
        <v>66191</v>
      </c>
      <c r="J14" s="160"/>
      <c r="K14" s="160"/>
      <c r="L14" s="160"/>
      <c r="M14" s="160"/>
      <c r="N14" s="160"/>
      <c r="O14" s="160"/>
      <c r="P14" s="311">
        <f t="shared" si="2"/>
        <v>235224</v>
      </c>
      <c r="Q14" s="311">
        <f t="shared" si="3"/>
        <v>186918</v>
      </c>
      <c r="R14" s="311">
        <f t="shared" si="4"/>
        <v>66191</v>
      </c>
      <c r="S14" s="311">
        <f t="shared" si="5"/>
        <v>9330</v>
      </c>
      <c r="T14" s="311">
        <f t="shared" si="6"/>
        <v>32727</v>
      </c>
      <c r="U14" s="311">
        <f t="shared" si="7"/>
        <v>200756</v>
      </c>
      <c r="W14" s="164" t="s">
        <v>199</v>
      </c>
      <c r="X14" s="277">
        <v>344.44437527140701</v>
      </c>
      <c r="Y14" s="277">
        <v>1836.3583014296455</v>
      </c>
      <c r="Z14" s="252">
        <f t="shared" si="9"/>
        <v>2180.8026767010524</v>
      </c>
      <c r="AA14" s="277">
        <v>5681.5076407502056</v>
      </c>
      <c r="AB14" s="277">
        <v>12577.45943416298</v>
      </c>
      <c r="AC14" s="252">
        <f t="shared" si="10"/>
        <v>18258.967074913184</v>
      </c>
      <c r="AE14" s="165">
        <v>29190</v>
      </c>
      <c r="AF14" s="277">
        <v>1334624</v>
      </c>
      <c r="AG14" s="277">
        <v>719340</v>
      </c>
      <c r="AH14" s="277">
        <v>226149</v>
      </c>
      <c r="AI14" s="277">
        <v>70589</v>
      </c>
      <c r="AJ14" s="277">
        <v>285450</v>
      </c>
      <c r="AK14" s="277">
        <v>1492554</v>
      </c>
      <c r="AT14" s="252">
        <f t="shared" ref="AT14:AY14" si="18">AF14/SUM(AF6:AF17)*AM17</f>
        <v>12591.287412439373</v>
      </c>
      <c r="AU14" s="252">
        <f t="shared" si="18"/>
        <v>8079.5848365734946</v>
      </c>
      <c r="AV14" s="252">
        <f t="shared" si="18"/>
        <v>4367.1126614732275</v>
      </c>
      <c r="AW14" s="252">
        <f t="shared" si="18"/>
        <v>881.76271179328808</v>
      </c>
      <c r="AX14" s="252">
        <f t="shared" si="18"/>
        <v>3878.5860841250774</v>
      </c>
      <c r="AY14" s="252">
        <f t="shared" si="18"/>
        <v>17033.109026264941</v>
      </c>
    </row>
    <row r="15" spans="1:59">
      <c r="A15" s="163">
        <v>1990</v>
      </c>
      <c r="B15" s="312">
        <v>10142</v>
      </c>
      <c r="C15" s="312">
        <v>257217</v>
      </c>
      <c r="D15" s="312">
        <v>35868</v>
      </c>
      <c r="E15" s="312">
        <v>219092</v>
      </c>
      <c r="F15" s="160"/>
      <c r="G15" s="160"/>
      <c r="H15" s="312">
        <v>211470</v>
      </c>
      <c r="I15" s="312">
        <v>80606</v>
      </c>
      <c r="J15" s="160"/>
      <c r="K15" s="160"/>
      <c r="L15" s="160"/>
      <c r="M15" s="160"/>
      <c r="N15" s="160"/>
      <c r="O15" s="160"/>
      <c r="P15" s="311">
        <f t="shared" si="2"/>
        <v>257217</v>
      </c>
      <c r="Q15" s="311">
        <f t="shared" si="3"/>
        <v>219092</v>
      </c>
      <c r="R15" s="311">
        <f t="shared" si="4"/>
        <v>80606</v>
      </c>
      <c r="S15" s="311">
        <f t="shared" si="5"/>
        <v>10142</v>
      </c>
      <c r="T15" s="311">
        <f t="shared" si="6"/>
        <v>35868</v>
      </c>
      <c r="U15" s="311">
        <f t="shared" si="7"/>
        <v>211470</v>
      </c>
      <c r="W15" s="164" t="s">
        <v>200</v>
      </c>
      <c r="X15" s="277">
        <v>436.31299431936282</v>
      </c>
      <c r="Y15" s="277">
        <v>2221.7532866529837</v>
      </c>
      <c r="Z15" s="252">
        <f t="shared" si="9"/>
        <v>2658.0662809723462</v>
      </c>
      <c r="AA15" s="277">
        <v>6374.5823126858559</v>
      </c>
      <c r="AB15" s="277">
        <v>11115.31978948504</v>
      </c>
      <c r="AC15" s="252">
        <f t="shared" si="10"/>
        <v>17489.902102170898</v>
      </c>
      <c r="AE15" s="165">
        <v>29221</v>
      </c>
      <c r="AF15" s="277">
        <v>1023640</v>
      </c>
      <c r="AG15" s="277">
        <v>560540</v>
      </c>
      <c r="AH15" s="277">
        <v>182543</v>
      </c>
      <c r="AI15" s="277">
        <v>54924</v>
      </c>
      <c r="AJ15" s="277">
        <v>214392</v>
      </c>
      <c r="AK15" s="277">
        <v>1231034</v>
      </c>
      <c r="AT15" s="252">
        <f t="shared" ref="AT15:AY15" si="19">AF15/SUM(AF6:AF17)*AM17</f>
        <v>9657.3607599364605</v>
      </c>
      <c r="AU15" s="252">
        <f t="shared" si="19"/>
        <v>6295.9525179927523</v>
      </c>
      <c r="AV15" s="252">
        <f t="shared" si="19"/>
        <v>3525.0469671026949</v>
      </c>
      <c r="AW15" s="252">
        <f t="shared" si="19"/>
        <v>686.08331584998439</v>
      </c>
      <c r="AX15" s="252">
        <f t="shared" si="19"/>
        <v>2913.0769933359379</v>
      </c>
      <c r="AY15" s="252">
        <f t="shared" si="19"/>
        <v>14048.62828215196</v>
      </c>
    </row>
    <row r="16" spans="1:59">
      <c r="A16" s="163">
        <v>1991</v>
      </c>
      <c r="B16" s="312">
        <v>11545</v>
      </c>
      <c r="C16" s="312">
        <v>231283</v>
      </c>
      <c r="D16" s="312">
        <v>44845</v>
      </c>
      <c r="E16" s="312">
        <v>219484</v>
      </c>
      <c r="F16" s="160"/>
      <c r="G16" s="160"/>
      <c r="H16" s="312">
        <v>230175</v>
      </c>
      <c r="I16" s="312">
        <v>86704</v>
      </c>
      <c r="J16" s="160"/>
      <c r="K16" s="160"/>
      <c r="L16" s="160"/>
      <c r="M16" s="160"/>
      <c r="N16" s="160"/>
      <c r="O16" s="160"/>
      <c r="P16" s="311">
        <f t="shared" si="2"/>
        <v>231283</v>
      </c>
      <c r="Q16" s="311">
        <f t="shared" si="3"/>
        <v>219484</v>
      </c>
      <c r="R16" s="311">
        <f t="shared" si="4"/>
        <v>86704</v>
      </c>
      <c r="S16" s="311">
        <f t="shared" si="5"/>
        <v>11545</v>
      </c>
      <c r="T16" s="311">
        <f t="shared" si="6"/>
        <v>44845</v>
      </c>
      <c r="U16" s="311">
        <f t="shared" si="7"/>
        <v>230175</v>
      </c>
      <c r="W16" s="164" t="s">
        <v>201</v>
      </c>
      <c r="X16" s="277">
        <v>570.12847399230998</v>
      </c>
      <c r="Y16" s="277">
        <v>2074.805464015988</v>
      </c>
      <c r="Z16" s="252">
        <f t="shared" si="9"/>
        <v>2644.9339380082979</v>
      </c>
      <c r="AA16" s="277">
        <v>7372.0470371228948</v>
      </c>
      <c r="AB16" s="277">
        <v>10762.696123168995</v>
      </c>
      <c r="AC16" s="252">
        <f t="shared" si="10"/>
        <v>18134.743160291888</v>
      </c>
      <c r="AE16" s="165">
        <v>29252</v>
      </c>
      <c r="AF16" s="277">
        <v>1067686</v>
      </c>
      <c r="AG16" s="277">
        <v>581937</v>
      </c>
      <c r="AH16" s="277">
        <v>185714</v>
      </c>
      <c r="AI16" s="277">
        <v>54891</v>
      </c>
      <c r="AJ16" s="277">
        <v>203910</v>
      </c>
      <c r="AK16" s="277">
        <v>1111689</v>
      </c>
      <c r="AT16" s="252">
        <f t="shared" ref="AT16:AY16" si="20">AF16/SUM(AF6:AF17)*AM17</f>
        <v>10072.905396754248</v>
      </c>
      <c r="AU16" s="252">
        <f t="shared" si="20"/>
        <v>6536.2823713974885</v>
      </c>
      <c r="AV16" s="252">
        <f t="shared" si="20"/>
        <v>3586.2814375161465</v>
      </c>
      <c r="AW16" s="252">
        <f t="shared" si="20"/>
        <v>685.67109624793352</v>
      </c>
      <c r="AX16" s="252">
        <f t="shared" si="20"/>
        <v>2770.6515621437884</v>
      </c>
      <c r="AY16" s="252">
        <f t="shared" si="20"/>
        <v>12686.6565231807</v>
      </c>
    </row>
    <row r="17" spans="1:59">
      <c r="A17" s="163">
        <v>1992</v>
      </c>
      <c r="B17" s="312">
        <v>13455</v>
      </c>
      <c r="C17" s="312">
        <v>226625</v>
      </c>
      <c r="D17" s="312">
        <v>50179</v>
      </c>
      <c r="E17" s="312">
        <v>200492</v>
      </c>
      <c r="F17" s="160"/>
      <c r="G17" s="160"/>
      <c r="H17" s="312">
        <v>259709</v>
      </c>
      <c r="I17" s="312">
        <v>89248</v>
      </c>
      <c r="J17" s="160"/>
      <c r="K17" s="160"/>
      <c r="L17" s="160"/>
      <c r="M17" s="160"/>
      <c r="N17" s="160"/>
      <c r="O17" s="160"/>
      <c r="P17" s="311">
        <f t="shared" si="2"/>
        <v>226625</v>
      </c>
      <c r="Q17" s="311">
        <f t="shared" si="3"/>
        <v>200492</v>
      </c>
      <c r="R17" s="311">
        <f t="shared" si="4"/>
        <v>89248</v>
      </c>
      <c r="S17" s="311">
        <f t="shared" si="5"/>
        <v>13455</v>
      </c>
      <c r="T17" s="311">
        <f t="shared" si="6"/>
        <v>50179</v>
      </c>
      <c r="U17" s="311">
        <f t="shared" si="7"/>
        <v>259709</v>
      </c>
      <c r="W17" s="164" t="s">
        <v>202</v>
      </c>
      <c r="X17" s="277">
        <v>612.2156153468585</v>
      </c>
      <c r="Y17" s="277">
        <v>2621.6138480008103</v>
      </c>
      <c r="Z17" s="252">
        <f t="shared" si="9"/>
        <v>3233.8294633476689</v>
      </c>
      <c r="AA17" s="277">
        <v>8191.7681542775817</v>
      </c>
      <c r="AB17" s="277">
        <v>12603.654566229532</v>
      </c>
      <c r="AC17" s="252">
        <f t="shared" si="10"/>
        <v>20795.422720507115</v>
      </c>
      <c r="AE17" s="165">
        <v>29281</v>
      </c>
      <c r="AF17" s="277">
        <v>1328107</v>
      </c>
      <c r="AG17" s="277">
        <v>679299</v>
      </c>
      <c r="AH17" s="277">
        <v>231212</v>
      </c>
      <c r="AI17" s="277">
        <v>62790</v>
      </c>
      <c r="AJ17" s="277">
        <v>206573</v>
      </c>
      <c r="AK17" s="277">
        <v>1017760</v>
      </c>
      <c r="AM17" s="277">
        <v>155754</v>
      </c>
      <c r="AN17" s="277">
        <v>88264</v>
      </c>
      <c r="AO17" s="277">
        <v>47391</v>
      </c>
      <c r="AP17" s="277">
        <v>8931</v>
      </c>
      <c r="AQ17" s="277">
        <v>37072</v>
      </c>
      <c r="AR17" s="277">
        <v>141807</v>
      </c>
      <c r="AT17" s="252">
        <f t="shared" ref="AT17:AY17" si="21">AF17/SUM(AF6:AF17)*AM17</f>
        <v>12529.803863464627</v>
      </c>
      <c r="AU17" s="252">
        <f t="shared" si="21"/>
        <v>7629.8466648588119</v>
      </c>
      <c r="AV17" s="252">
        <f t="shared" si="21"/>
        <v>4464.8831199100941</v>
      </c>
      <c r="AW17" s="252">
        <f t="shared" si="21"/>
        <v>784.34147917523342</v>
      </c>
      <c r="AX17" s="252">
        <f t="shared" si="21"/>
        <v>2806.8353937851443</v>
      </c>
      <c r="AY17" s="252">
        <f t="shared" si="21"/>
        <v>11614.733565801576</v>
      </c>
      <c r="AZ17" s="25">
        <f>SUM(AT6:AY17)-SUM(AM17:AR17)</f>
        <v>0</v>
      </c>
    </row>
    <row r="18" spans="1:59">
      <c r="A18" s="163">
        <v>1993</v>
      </c>
      <c r="B18" s="312">
        <v>15217</v>
      </c>
      <c r="C18" s="312">
        <v>241241</v>
      </c>
      <c r="D18" s="312">
        <v>51748</v>
      </c>
      <c r="E18" s="312">
        <v>144857</v>
      </c>
      <c r="F18" s="160"/>
      <c r="G18" s="160"/>
      <c r="H18" s="312">
        <v>275118</v>
      </c>
      <c r="I18" s="312">
        <v>88752</v>
      </c>
      <c r="J18" s="160"/>
      <c r="K18" s="160"/>
      <c r="L18" s="160"/>
      <c r="M18" s="160"/>
      <c r="N18" s="160"/>
      <c r="O18" s="160"/>
      <c r="P18" s="311">
        <f t="shared" si="2"/>
        <v>241241</v>
      </c>
      <c r="Q18" s="311">
        <f t="shared" si="3"/>
        <v>144857</v>
      </c>
      <c r="R18" s="311">
        <f t="shared" si="4"/>
        <v>88752</v>
      </c>
      <c r="S18" s="311">
        <f t="shared" si="5"/>
        <v>15217</v>
      </c>
      <c r="T18" s="311">
        <f t="shared" si="6"/>
        <v>51748</v>
      </c>
      <c r="U18" s="311">
        <f t="shared" si="7"/>
        <v>275118</v>
      </c>
      <c r="W18" s="164" t="s">
        <v>203</v>
      </c>
      <c r="X18" s="277">
        <v>653.13016878875817</v>
      </c>
      <c r="Y18" s="277">
        <v>2795.9252045282315</v>
      </c>
      <c r="Z18" s="252">
        <f t="shared" si="9"/>
        <v>3449.0553733169895</v>
      </c>
      <c r="AA18" s="277">
        <v>5534.967142856538</v>
      </c>
      <c r="AB18" s="277">
        <v>13398.898036545226</v>
      </c>
      <c r="AC18" s="252">
        <f t="shared" si="10"/>
        <v>18933.865179401764</v>
      </c>
      <c r="AE18" s="165">
        <v>29312</v>
      </c>
      <c r="AF18" s="277">
        <v>1532570</v>
      </c>
      <c r="AG18" s="277">
        <v>704693</v>
      </c>
      <c r="AH18" s="277">
        <v>194148</v>
      </c>
      <c r="AI18" s="277">
        <v>61749</v>
      </c>
      <c r="AJ18" s="277">
        <v>183243</v>
      </c>
      <c r="AK18" s="277">
        <v>492359</v>
      </c>
      <c r="AT18" s="252">
        <f t="shared" ref="AT18" si="22">AF18/SUM(AF18:AF29)*AM29</f>
        <v>14793.084250949265</v>
      </c>
      <c r="AU18" s="252">
        <f t="shared" ref="AU18:AY18" si="23">AG18/SUM(AG18:AG29)*AN29</f>
        <v>7963.5174092506486</v>
      </c>
      <c r="AV18" s="252">
        <f t="shared" si="23"/>
        <v>3664.7021106049829</v>
      </c>
      <c r="AW18" s="252">
        <f t="shared" si="23"/>
        <v>686.14222519753685</v>
      </c>
      <c r="AX18" s="252">
        <f t="shared" si="23"/>
        <v>2550.9016448513171</v>
      </c>
      <c r="AY18" s="252">
        <f t="shared" si="23"/>
        <v>5536.8626769677967</v>
      </c>
    </row>
    <row r="19" spans="1:59">
      <c r="A19" s="163">
        <v>1994</v>
      </c>
      <c r="B19" s="312">
        <v>17789</v>
      </c>
      <c r="C19" s="312">
        <v>256419</v>
      </c>
      <c r="D19" s="312">
        <v>46948</v>
      </c>
      <c r="E19" s="312">
        <v>118141</v>
      </c>
      <c r="F19" s="160"/>
      <c r="G19" s="160"/>
      <c r="H19" s="312">
        <v>267810</v>
      </c>
      <c r="I19" s="312">
        <v>80416</v>
      </c>
      <c r="J19" s="160"/>
      <c r="K19" s="160"/>
      <c r="L19" s="160"/>
      <c r="M19" s="160"/>
      <c r="N19" s="160"/>
      <c r="O19" s="160"/>
      <c r="P19" s="311">
        <f t="shared" si="2"/>
        <v>256419</v>
      </c>
      <c r="Q19" s="311">
        <f t="shared" si="3"/>
        <v>118141</v>
      </c>
      <c r="R19" s="311">
        <f t="shared" si="4"/>
        <v>80416</v>
      </c>
      <c r="S19" s="311">
        <f t="shared" si="5"/>
        <v>17789</v>
      </c>
      <c r="T19" s="311">
        <f t="shared" si="6"/>
        <v>46948</v>
      </c>
      <c r="U19" s="311">
        <f t="shared" si="7"/>
        <v>267810</v>
      </c>
      <c r="W19" s="164" t="s">
        <v>204</v>
      </c>
      <c r="X19" s="277">
        <v>859.9142896844395</v>
      </c>
      <c r="Y19" s="277">
        <v>3311.881008087973</v>
      </c>
      <c r="Z19" s="252">
        <f t="shared" si="9"/>
        <v>4171.7952977724126</v>
      </c>
      <c r="AA19" s="277">
        <v>6818.8533029198225</v>
      </c>
      <c r="AB19" s="277">
        <v>12670.531160327466</v>
      </c>
      <c r="AC19" s="252">
        <f t="shared" si="10"/>
        <v>19489.38446324729</v>
      </c>
      <c r="AE19" s="165">
        <v>29342</v>
      </c>
      <c r="AF19" s="277">
        <v>1563227</v>
      </c>
      <c r="AG19" s="277">
        <v>707773</v>
      </c>
      <c r="AH19" s="277">
        <v>215924</v>
      </c>
      <c r="AI19" s="277">
        <v>59522</v>
      </c>
      <c r="AJ19" s="277">
        <v>150241</v>
      </c>
      <c r="AK19" s="277">
        <v>633510</v>
      </c>
      <c r="AT19" s="252">
        <f t="shared" ref="AT19:AY19" si="24">AF19/SUM(AF18:AF29)*AM29</f>
        <v>15088.999989794049</v>
      </c>
      <c r="AU19" s="252">
        <f t="shared" si="24"/>
        <v>7998.3235356354598</v>
      </c>
      <c r="AV19" s="252">
        <f t="shared" si="24"/>
        <v>4075.7419006648033</v>
      </c>
      <c r="AW19" s="252">
        <f t="shared" si="24"/>
        <v>661.39625788608373</v>
      </c>
      <c r="AX19" s="252">
        <f t="shared" si="24"/>
        <v>2091.4851537254176</v>
      </c>
      <c r="AY19" s="252">
        <f t="shared" si="24"/>
        <v>7124.18758362469</v>
      </c>
    </row>
    <row r="20" spans="1:59">
      <c r="A20" s="163">
        <v>1995</v>
      </c>
      <c r="B20" s="312">
        <v>14555</v>
      </c>
      <c r="C20" s="312">
        <v>243129</v>
      </c>
      <c r="D20" s="312">
        <v>42117</v>
      </c>
      <c r="E20" s="312">
        <v>110095</v>
      </c>
      <c r="F20" s="160"/>
      <c r="G20" s="160"/>
      <c r="H20" s="312">
        <v>295314</v>
      </c>
      <c r="I20" s="312">
        <v>84958</v>
      </c>
      <c r="J20" s="160"/>
      <c r="K20" s="160"/>
      <c r="L20" s="160"/>
      <c r="M20" s="160"/>
      <c r="N20" s="160"/>
      <c r="O20" s="160"/>
      <c r="P20" s="311">
        <f t="shared" si="2"/>
        <v>243129</v>
      </c>
      <c r="Q20" s="311">
        <f t="shared" si="3"/>
        <v>110095</v>
      </c>
      <c r="R20" s="311">
        <f t="shared" si="4"/>
        <v>84958</v>
      </c>
      <c r="S20" s="311">
        <f t="shared" si="5"/>
        <v>14555</v>
      </c>
      <c r="T20" s="311">
        <f t="shared" si="6"/>
        <v>42117</v>
      </c>
      <c r="U20" s="311">
        <f t="shared" si="7"/>
        <v>295314</v>
      </c>
      <c r="W20" s="164" t="s">
        <v>205</v>
      </c>
      <c r="X20" s="277">
        <v>896.68712243687139</v>
      </c>
      <c r="Y20" s="277">
        <v>2786.1613324303548</v>
      </c>
      <c r="Z20" s="252">
        <f t="shared" si="9"/>
        <v>3682.8484548672263</v>
      </c>
      <c r="AA20" s="277">
        <v>5280.7477885434655</v>
      </c>
      <c r="AB20" s="277">
        <v>12947.281702769893</v>
      </c>
      <c r="AC20" s="252">
        <f t="shared" si="10"/>
        <v>18228.029491313358</v>
      </c>
      <c r="AE20" s="165">
        <v>29373</v>
      </c>
      <c r="AF20" s="277">
        <v>1564748</v>
      </c>
      <c r="AG20" s="277">
        <v>724526</v>
      </c>
      <c r="AH20" s="277">
        <v>225533</v>
      </c>
      <c r="AI20" s="277">
        <v>59432</v>
      </c>
      <c r="AJ20" s="277">
        <v>159545</v>
      </c>
      <c r="AK20" s="277">
        <v>809682</v>
      </c>
      <c r="AT20" s="252">
        <f t="shared" ref="AT20:AY20" si="25">AF20/SUM(AF18:AF29)*AM29</f>
        <v>15103.681394979911</v>
      </c>
      <c r="AU20" s="252">
        <f t="shared" si="25"/>
        <v>8187.6440016499873</v>
      </c>
      <c r="AV20" s="252">
        <f t="shared" si="25"/>
        <v>4257.1196258064656</v>
      </c>
      <c r="AW20" s="252">
        <f t="shared" si="25"/>
        <v>660.39619634228893</v>
      </c>
      <c r="AX20" s="252">
        <f t="shared" si="25"/>
        <v>2221.0049111169506</v>
      </c>
      <c r="AY20" s="252">
        <f t="shared" si="25"/>
        <v>9105.3439583975087</v>
      </c>
    </row>
    <row r="21" spans="1:59">
      <c r="A21" s="163">
        <v>1996</v>
      </c>
      <c r="B21" s="312">
        <v>15201</v>
      </c>
      <c r="C21" s="312">
        <v>279195</v>
      </c>
      <c r="D21" s="312">
        <v>41925</v>
      </c>
      <c r="E21" s="312">
        <v>121421</v>
      </c>
      <c r="F21" s="160"/>
      <c r="G21" s="160"/>
      <c r="H21" s="312">
        <v>288649</v>
      </c>
      <c r="I21" s="312">
        <v>81686</v>
      </c>
      <c r="J21" s="160"/>
      <c r="K21" s="160"/>
      <c r="L21" s="160"/>
      <c r="M21" s="160"/>
      <c r="N21" s="160"/>
      <c r="O21" s="160"/>
      <c r="P21" s="311">
        <f t="shared" si="2"/>
        <v>279195</v>
      </c>
      <c r="Q21" s="311">
        <f t="shared" si="3"/>
        <v>121421</v>
      </c>
      <c r="R21" s="311">
        <f t="shared" si="4"/>
        <v>81686</v>
      </c>
      <c r="S21" s="311">
        <f t="shared" si="5"/>
        <v>15201</v>
      </c>
      <c r="T21" s="311">
        <f t="shared" si="6"/>
        <v>41925</v>
      </c>
      <c r="U21" s="311">
        <f t="shared" si="7"/>
        <v>288649</v>
      </c>
      <c r="W21" s="164" t="s">
        <v>206</v>
      </c>
      <c r="X21" s="277">
        <v>497.71698529314995</v>
      </c>
      <c r="Y21" s="277">
        <v>3515.6527070536818</v>
      </c>
      <c r="Z21" s="252">
        <f t="shared" si="9"/>
        <v>4013.3696923468315</v>
      </c>
      <c r="AA21" s="277">
        <v>5746.5627995907935</v>
      </c>
      <c r="AB21" s="277">
        <v>14169.094607812247</v>
      </c>
      <c r="AC21" s="252">
        <f t="shared" si="10"/>
        <v>19915.65740740304</v>
      </c>
      <c r="AE21" s="165">
        <v>29403</v>
      </c>
      <c r="AF21" s="277">
        <v>1559424</v>
      </c>
      <c r="AG21" s="277">
        <v>738613</v>
      </c>
      <c r="AH21" s="277">
        <v>247136</v>
      </c>
      <c r="AI21" s="277">
        <v>64165</v>
      </c>
      <c r="AJ21" s="277">
        <v>185394</v>
      </c>
      <c r="AK21" s="277">
        <v>999402</v>
      </c>
      <c r="AT21" s="252">
        <f t="shared" ref="AT21:AY21" si="26">AF21/SUM(AF18:AF29)*AM29</f>
        <v>15052.291650594954</v>
      </c>
      <c r="AU21" s="252">
        <f t="shared" si="26"/>
        <v>8346.8368270989613</v>
      </c>
      <c r="AV21" s="252">
        <f t="shared" si="26"/>
        <v>4664.8938995326916</v>
      </c>
      <c r="AW21" s="252">
        <f t="shared" si="26"/>
        <v>712.98832175095868</v>
      </c>
      <c r="AX21" s="252">
        <f t="shared" si="26"/>
        <v>2580.8454322706193</v>
      </c>
      <c r="AY21" s="252">
        <f t="shared" si="26"/>
        <v>11238.85545524093</v>
      </c>
    </row>
    <row r="22" spans="1:59">
      <c r="A22" s="163">
        <v>1997</v>
      </c>
      <c r="B22" s="312">
        <v>13699</v>
      </c>
      <c r="C22" s="312">
        <v>224869</v>
      </c>
      <c r="D22" s="312">
        <v>40529</v>
      </c>
      <c r="E22" s="312">
        <v>119769</v>
      </c>
      <c r="F22" s="160"/>
      <c r="G22" s="160"/>
      <c r="H22" s="312">
        <v>275414</v>
      </c>
      <c r="I22" s="312">
        <v>77625</v>
      </c>
      <c r="J22" s="160"/>
      <c r="K22" s="160"/>
      <c r="L22" s="160"/>
      <c r="M22" s="160"/>
      <c r="N22" s="160"/>
      <c r="O22" s="160"/>
      <c r="P22" s="311">
        <f t="shared" si="2"/>
        <v>224869</v>
      </c>
      <c r="Q22" s="311">
        <f t="shared" si="3"/>
        <v>119769</v>
      </c>
      <c r="R22" s="311">
        <f t="shared" si="4"/>
        <v>77625</v>
      </c>
      <c r="S22" s="311">
        <f t="shared" si="5"/>
        <v>13699</v>
      </c>
      <c r="T22" s="311">
        <f t="shared" si="6"/>
        <v>40529</v>
      </c>
      <c r="U22" s="311">
        <f t="shared" si="7"/>
        <v>275414</v>
      </c>
      <c r="W22" s="25" t="s">
        <v>207</v>
      </c>
      <c r="X22" s="277">
        <v>234.80300298838273</v>
      </c>
      <c r="Y22" s="277">
        <v>3145.047160719198</v>
      </c>
      <c r="Z22" s="252">
        <f t="shared" si="9"/>
        <v>3379.8501637075806</v>
      </c>
      <c r="AA22" s="277">
        <v>4459.8118137189776</v>
      </c>
      <c r="AB22" s="277">
        <v>9557.5389673441641</v>
      </c>
      <c r="AC22" s="252">
        <f t="shared" si="10"/>
        <v>14017.350781063142</v>
      </c>
      <c r="AE22" s="165">
        <v>29434</v>
      </c>
      <c r="AF22" s="277">
        <v>1516847</v>
      </c>
      <c r="AG22" s="277">
        <v>747719</v>
      </c>
      <c r="AH22" s="277">
        <v>247665</v>
      </c>
      <c r="AI22" s="277">
        <v>67458</v>
      </c>
      <c r="AJ22" s="277">
        <v>230782</v>
      </c>
      <c r="AK22" s="277">
        <v>1144917</v>
      </c>
      <c r="AT22" s="252">
        <f t="shared" ref="AT22:AY22" si="27">AF22/SUM(AF18:AF29)*AM29</f>
        <v>14641.318482548686</v>
      </c>
      <c r="AU22" s="252">
        <f t="shared" si="27"/>
        <v>8449.7409137418508</v>
      </c>
      <c r="AV22" s="252">
        <f t="shared" si="27"/>
        <v>4674.8792067030463</v>
      </c>
      <c r="AW22" s="252">
        <f t="shared" si="27"/>
        <v>749.57946245891321</v>
      </c>
      <c r="AX22" s="252">
        <f t="shared" si="27"/>
        <v>3212.685796467405</v>
      </c>
      <c r="AY22" s="252">
        <f t="shared" si="27"/>
        <v>12875.256074380561</v>
      </c>
    </row>
    <row r="23" spans="1:59">
      <c r="A23" s="163">
        <v>1998</v>
      </c>
      <c r="B23" s="312">
        <v>12303</v>
      </c>
      <c r="C23" s="312">
        <v>197621</v>
      </c>
      <c r="D23" s="312">
        <v>36472</v>
      </c>
      <c r="E23" s="312">
        <v>102719</v>
      </c>
      <c r="F23" s="160"/>
      <c r="G23" s="160"/>
      <c r="H23" s="312">
        <v>291155</v>
      </c>
      <c r="I23" s="312">
        <v>73999</v>
      </c>
      <c r="J23" s="160"/>
      <c r="K23" s="160"/>
      <c r="L23" s="160"/>
      <c r="M23" s="160"/>
      <c r="N23" s="160"/>
      <c r="O23" s="160"/>
      <c r="P23" s="311">
        <f t="shared" si="2"/>
        <v>197621</v>
      </c>
      <c r="Q23" s="311">
        <f t="shared" si="3"/>
        <v>102719</v>
      </c>
      <c r="R23" s="311">
        <f t="shared" si="4"/>
        <v>73999</v>
      </c>
      <c r="S23" s="311">
        <f t="shared" si="5"/>
        <v>12303</v>
      </c>
      <c r="T23" s="311">
        <f t="shared" si="6"/>
        <v>36472</v>
      </c>
      <c r="U23" s="311">
        <f t="shared" si="7"/>
        <v>291155</v>
      </c>
      <c r="W23" s="25" t="s">
        <v>208</v>
      </c>
      <c r="X23" s="277">
        <v>667.37172957701762</v>
      </c>
      <c r="Y23" s="277">
        <v>3730.8071844133551</v>
      </c>
      <c r="Z23" s="252">
        <f t="shared" si="9"/>
        <v>4398.1789139903731</v>
      </c>
      <c r="AA23" s="277">
        <v>5526.0471947493998</v>
      </c>
      <c r="AB23" s="277">
        <v>9955.1089796758861</v>
      </c>
      <c r="AC23" s="252">
        <f t="shared" si="10"/>
        <v>15481.156174425287</v>
      </c>
      <c r="AE23" s="165">
        <v>29465</v>
      </c>
      <c r="AF23" s="277">
        <v>1425392</v>
      </c>
      <c r="AG23" s="277">
        <v>759545</v>
      </c>
      <c r="AH23" s="277">
        <v>250664</v>
      </c>
      <c r="AI23" s="277">
        <v>74836</v>
      </c>
      <c r="AJ23" s="277">
        <v>278753</v>
      </c>
      <c r="AK23" s="277">
        <v>1259206</v>
      </c>
      <c r="AT23" s="252">
        <f t="shared" ref="AT23:AY23" si="28">AF23/SUM(AF18:AF29)*AM29</f>
        <v>13758.551939962988</v>
      </c>
      <c r="AU23" s="252">
        <f t="shared" si="28"/>
        <v>8583.3828782310648</v>
      </c>
      <c r="AV23" s="252">
        <f t="shared" si="28"/>
        <v>4731.4877817576662</v>
      </c>
      <c r="AW23" s="252">
        <f t="shared" si="28"/>
        <v>831.56228546021566</v>
      </c>
      <c r="AX23" s="252">
        <f t="shared" si="28"/>
        <v>3880.483763130047</v>
      </c>
      <c r="AY23" s="252">
        <f t="shared" si="28"/>
        <v>14160.502202689318</v>
      </c>
    </row>
    <row r="24" spans="1:59">
      <c r="A24" s="163">
        <v>1999</v>
      </c>
      <c r="B24" s="312">
        <v>10717</v>
      </c>
      <c r="C24" s="312">
        <v>207238</v>
      </c>
      <c r="D24" s="312">
        <v>34725</v>
      </c>
      <c r="E24" s="312">
        <v>93855</v>
      </c>
      <c r="F24" s="160"/>
      <c r="G24" s="160"/>
      <c r="H24" s="312">
        <v>273938</v>
      </c>
      <c r="I24" s="312">
        <v>64567</v>
      </c>
      <c r="J24" s="160"/>
      <c r="K24" s="160"/>
      <c r="L24" s="160"/>
      <c r="M24" s="160"/>
      <c r="N24" s="160"/>
      <c r="O24" s="160"/>
      <c r="P24" s="311">
        <f t="shared" si="2"/>
        <v>207238</v>
      </c>
      <c r="Q24" s="311">
        <f t="shared" si="3"/>
        <v>93855</v>
      </c>
      <c r="R24" s="311">
        <f t="shared" si="4"/>
        <v>64567</v>
      </c>
      <c r="S24" s="311">
        <f t="shared" si="5"/>
        <v>10717</v>
      </c>
      <c r="T24" s="311">
        <f t="shared" si="6"/>
        <v>34725</v>
      </c>
      <c r="U24" s="311">
        <f t="shared" si="7"/>
        <v>273938</v>
      </c>
      <c r="W24" s="25" t="s">
        <v>209</v>
      </c>
      <c r="X24" s="277">
        <v>399.41397551115216</v>
      </c>
      <c r="Y24" s="277">
        <v>2217.1347542353196</v>
      </c>
      <c r="Z24" s="252">
        <f t="shared" si="9"/>
        <v>2616.548729746472</v>
      </c>
      <c r="AA24" s="277">
        <v>6005.3793009515284</v>
      </c>
      <c r="AB24" s="277">
        <v>10390.597602321272</v>
      </c>
      <c r="AC24" s="252">
        <f t="shared" si="10"/>
        <v>16395.9769032728</v>
      </c>
      <c r="AE24" s="165">
        <v>29495</v>
      </c>
      <c r="AF24" s="277">
        <v>1349251</v>
      </c>
      <c r="AG24" s="277">
        <v>764028</v>
      </c>
      <c r="AH24" s="277">
        <v>245700</v>
      </c>
      <c r="AI24" s="277">
        <v>81702</v>
      </c>
      <c r="AJ24" s="277">
        <v>321522</v>
      </c>
      <c r="AK24" s="277">
        <v>1426647</v>
      </c>
      <c r="AT24" s="252">
        <f t="shared" ref="AT24:AY24" si="29">AF24/SUM(AF18:AF29)*AM29</f>
        <v>13023.603306000736</v>
      </c>
      <c r="AU24" s="252">
        <f t="shared" si="29"/>
        <v>8634.0438732255807</v>
      </c>
      <c r="AV24" s="252">
        <f t="shared" si="29"/>
        <v>4637.788226382163</v>
      </c>
      <c r="AW24" s="252">
        <f t="shared" si="29"/>
        <v>907.85586945681951</v>
      </c>
      <c r="AX24" s="252">
        <f t="shared" si="29"/>
        <v>4475.8653736070964</v>
      </c>
      <c r="AY24" s="252">
        <f t="shared" si="29"/>
        <v>16043.47341575573</v>
      </c>
    </row>
    <row r="25" spans="1:59">
      <c r="A25" s="163">
        <v>2000</v>
      </c>
      <c r="B25" s="312">
        <v>9717</v>
      </c>
      <c r="C25" s="312">
        <v>202756</v>
      </c>
      <c r="D25" s="312">
        <v>30287</v>
      </c>
      <c r="E25" s="312">
        <v>93429</v>
      </c>
      <c r="F25" s="160"/>
      <c r="G25" s="160"/>
      <c r="H25" s="312">
        <v>259597</v>
      </c>
      <c r="I25" s="312">
        <v>66162</v>
      </c>
      <c r="J25" s="160"/>
      <c r="K25" s="160"/>
      <c r="L25" s="160"/>
      <c r="M25" s="160"/>
      <c r="N25" s="160"/>
      <c r="O25" s="160"/>
      <c r="P25" s="311">
        <f t="shared" si="2"/>
        <v>202756</v>
      </c>
      <c r="Q25" s="311">
        <f t="shared" si="3"/>
        <v>93429</v>
      </c>
      <c r="R25" s="311">
        <f t="shared" si="4"/>
        <v>66162</v>
      </c>
      <c r="S25" s="311">
        <f t="shared" si="5"/>
        <v>9717</v>
      </c>
      <c r="T25" s="311">
        <f t="shared" si="6"/>
        <v>30287</v>
      </c>
      <c r="U25" s="311">
        <f t="shared" si="7"/>
        <v>259597</v>
      </c>
      <c r="W25" s="25" t="s">
        <v>210</v>
      </c>
      <c r="X25" s="277">
        <v>804.42946495529759</v>
      </c>
      <c r="Y25" s="277">
        <v>2532.6724532133653</v>
      </c>
      <c r="Z25" s="252">
        <f t="shared" si="9"/>
        <v>3337.1019181686629</v>
      </c>
      <c r="AA25" s="277">
        <v>4773.2959712144475</v>
      </c>
      <c r="AB25" s="277">
        <v>11875.819482264262</v>
      </c>
      <c r="AC25" s="252">
        <f t="shared" si="10"/>
        <v>16649.115453478709</v>
      </c>
      <c r="AE25" s="165">
        <v>29526</v>
      </c>
      <c r="AF25" s="277">
        <v>1241520</v>
      </c>
      <c r="AG25" s="277">
        <v>721146</v>
      </c>
      <c r="AH25" s="277">
        <v>251558</v>
      </c>
      <c r="AI25" s="277">
        <v>79226</v>
      </c>
      <c r="AJ25" s="277">
        <v>319752</v>
      </c>
      <c r="AK25" s="277">
        <v>1467017</v>
      </c>
      <c r="AT25" s="252">
        <f t="shared" ref="AT25:AY25" si="30">AF25/SUM(AF18:AF29)*AM29</f>
        <v>11983.733179716772</v>
      </c>
      <c r="AU25" s="252">
        <f t="shared" si="30"/>
        <v>8149.4476681497727</v>
      </c>
      <c r="AV25" s="252">
        <f t="shared" si="30"/>
        <v>4748.3627621173964</v>
      </c>
      <c r="AW25" s="252">
        <f t="shared" si="30"/>
        <v>880.34306520753444</v>
      </c>
      <c r="AX25" s="252">
        <f t="shared" si="30"/>
        <v>4451.2254369580196</v>
      </c>
      <c r="AY25" s="252">
        <f t="shared" si="30"/>
        <v>16497.457492961978</v>
      </c>
    </row>
    <row r="26" spans="1:59">
      <c r="A26" s="163">
        <v>2001</v>
      </c>
      <c r="B26" s="312">
        <v>9442</v>
      </c>
      <c r="C26" s="312">
        <v>185751</v>
      </c>
      <c r="D26" s="312">
        <v>26703</v>
      </c>
      <c r="E26" s="312">
        <v>86165</v>
      </c>
      <c r="F26" s="160"/>
      <c r="G26" s="160"/>
      <c r="H26" s="312">
        <v>245786</v>
      </c>
      <c r="I26" s="312">
        <v>59028</v>
      </c>
      <c r="J26" s="160"/>
      <c r="K26" s="160"/>
      <c r="L26" s="160"/>
      <c r="M26" s="160"/>
      <c r="N26" s="160"/>
      <c r="O26" s="160"/>
      <c r="P26" s="311">
        <f t="shared" si="2"/>
        <v>185751</v>
      </c>
      <c r="Q26" s="311">
        <f t="shared" si="3"/>
        <v>86165</v>
      </c>
      <c r="R26" s="311">
        <f t="shared" si="4"/>
        <v>59028</v>
      </c>
      <c r="S26" s="311">
        <f t="shared" si="5"/>
        <v>9442</v>
      </c>
      <c r="T26" s="311">
        <f t="shared" si="6"/>
        <v>26703</v>
      </c>
      <c r="U26" s="311">
        <f t="shared" si="7"/>
        <v>245786</v>
      </c>
      <c r="AE26" s="165">
        <v>29556</v>
      </c>
      <c r="AF26" s="277">
        <v>1124419</v>
      </c>
      <c r="AG26" s="277">
        <v>676540</v>
      </c>
      <c r="AH26" s="277">
        <v>245904</v>
      </c>
      <c r="AI26" s="277">
        <v>76130</v>
      </c>
      <c r="AJ26" s="277">
        <v>316048</v>
      </c>
      <c r="AK26" s="277">
        <v>1527924</v>
      </c>
      <c r="AT26" s="252">
        <f t="shared" ref="AT26:AY26" si="31">AF26/SUM(AF18:AF29)*AM29</f>
        <v>10853.419419907817</v>
      </c>
      <c r="AU26" s="252">
        <f t="shared" si="31"/>
        <v>7645.3690728507781</v>
      </c>
      <c r="AV26" s="252">
        <f t="shared" si="31"/>
        <v>4641.6388930414305</v>
      </c>
      <c r="AW26" s="252">
        <f t="shared" si="31"/>
        <v>845.94094810099716</v>
      </c>
      <c r="AX26" s="252">
        <f t="shared" si="31"/>
        <v>4399.6625412810808</v>
      </c>
      <c r="AY26" s="252">
        <f t="shared" si="31"/>
        <v>17182.392053041262</v>
      </c>
      <c r="BA26" s="252">
        <f>SUM(AT15:AT26)</f>
        <v>156558.7536346105</v>
      </c>
      <c r="BB26" s="252">
        <f t="shared" ref="BB26:BF26" si="32">SUM(AU15:AU26)</f>
        <v>94420.387734083168</v>
      </c>
      <c r="BC26" s="252">
        <f t="shared" si="32"/>
        <v>51672.825931139574</v>
      </c>
      <c r="BD26" s="252">
        <f t="shared" si="32"/>
        <v>9092.3005231344978</v>
      </c>
      <c r="BE26" s="252">
        <f t="shared" si="32"/>
        <v>38354.724002672825</v>
      </c>
      <c r="BF26" s="252">
        <f t="shared" si="32"/>
        <v>148114.349284194</v>
      </c>
      <c r="BG26" s="252">
        <f>SUM(BA26:BF26)</f>
        <v>498213.34110983455</v>
      </c>
    </row>
    <row r="27" spans="1:59">
      <c r="A27" s="163">
        <v>2002</v>
      </c>
      <c r="B27" s="312">
        <v>8875</v>
      </c>
      <c r="C27" s="312">
        <v>179507</v>
      </c>
      <c r="D27" s="312">
        <v>26198</v>
      </c>
      <c r="E27" s="312">
        <v>77406</v>
      </c>
      <c r="F27" s="160"/>
      <c r="G27" s="160"/>
      <c r="H27" s="312">
        <v>224100.72</v>
      </c>
      <c r="I27" s="312">
        <v>52314.22</v>
      </c>
      <c r="J27" s="160"/>
      <c r="K27" s="160"/>
      <c r="L27" s="160"/>
      <c r="M27" s="160"/>
      <c r="N27" s="160"/>
      <c r="O27" s="160"/>
      <c r="P27" s="311">
        <f t="shared" si="2"/>
        <v>179507</v>
      </c>
      <c r="Q27" s="311">
        <f t="shared" si="3"/>
        <v>77406</v>
      </c>
      <c r="R27" s="311">
        <f t="shared" si="4"/>
        <v>52314.22</v>
      </c>
      <c r="S27" s="311">
        <f t="shared" si="5"/>
        <v>8875</v>
      </c>
      <c r="T27" s="311">
        <f t="shared" si="6"/>
        <v>26198</v>
      </c>
      <c r="U27" s="311">
        <f t="shared" si="7"/>
        <v>224100.72</v>
      </c>
      <c r="AE27" s="165">
        <v>29587</v>
      </c>
      <c r="AF27" s="277">
        <v>819745</v>
      </c>
      <c r="AG27" s="277">
        <v>493088</v>
      </c>
      <c r="AH27" s="277">
        <v>198467</v>
      </c>
      <c r="AI27" s="277">
        <v>56545</v>
      </c>
      <c r="AJ27" s="277">
        <v>232515</v>
      </c>
      <c r="AK27" s="277">
        <v>1154509</v>
      </c>
      <c r="AT27" s="252">
        <f t="shared" ref="AT27:AY27" si="33">AF27/SUM(AF18:AF29)*AM29</f>
        <v>7912.5631124806087</v>
      </c>
      <c r="AU27" s="252">
        <f t="shared" si="33"/>
        <v>5572.234820400633</v>
      </c>
      <c r="AV27" s="252">
        <f t="shared" si="33"/>
        <v>3746.2267640430964</v>
      </c>
      <c r="AW27" s="252">
        <f t="shared" si="33"/>
        <v>628.31644437634156</v>
      </c>
      <c r="AX27" s="252">
        <f t="shared" si="33"/>
        <v>3236.8106609944393</v>
      </c>
      <c r="AY27" s="252">
        <f t="shared" si="33"/>
        <v>12983.123680735833</v>
      </c>
    </row>
    <row r="28" spans="1:59">
      <c r="A28" s="163">
        <v>2003</v>
      </c>
      <c r="B28" s="312">
        <v>8229</v>
      </c>
      <c r="C28" s="312">
        <v>179008</v>
      </c>
      <c r="D28" s="312">
        <v>23279</v>
      </c>
      <c r="E28" s="312">
        <v>76176</v>
      </c>
      <c r="F28" s="160"/>
      <c r="G28" s="160"/>
      <c r="H28" s="312">
        <v>203001</v>
      </c>
      <c r="I28" s="312">
        <v>47187</v>
      </c>
      <c r="J28" s="160"/>
      <c r="K28" s="160"/>
      <c r="L28" s="160"/>
      <c r="M28" s="160"/>
      <c r="N28" s="160"/>
      <c r="O28" s="160"/>
      <c r="P28" s="311">
        <f t="shared" si="2"/>
        <v>179008</v>
      </c>
      <c r="Q28" s="311">
        <f t="shared" si="3"/>
        <v>76176</v>
      </c>
      <c r="R28" s="311">
        <f t="shared" si="4"/>
        <v>47187</v>
      </c>
      <c r="S28" s="311">
        <f t="shared" si="5"/>
        <v>8229</v>
      </c>
      <c r="T28" s="311">
        <f t="shared" si="6"/>
        <v>23279</v>
      </c>
      <c r="U28" s="311">
        <f t="shared" si="7"/>
        <v>203001</v>
      </c>
      <c r="AE28" s="165">
        <v>29618</v>
      </c>
      <c r="AF28" s="277">
        <v>900450</v>
      </c>
      <c r="AG28" s="277">
        <v>542514</v>
      </c>
      <c r="AH28" s="277">
        <v>239879</v>
      </c>
      <c r="AI28" s="277">
        <v>53513</v>
      </c>
      <c r="AJ28" s="277">
        <v>214408</v>
      </c>
      <c r="AK28" s="277">
        <v>1178110</v>
      </c>
      <c r="AT28" s="252">
        <f t="shared" ref="AT28:AY28" si="34">AF28/SUM(AF18:AF29)*AM29</f>
        <v>8691.565614469333</v>
      </c>
      <c r="AU28" s="252">
        <f t="shared" si="34"/>
        <v>6130.7827433537805</v>
      </c>
      <c r="AV28" s="252">
        <f t="shared" si="34"/>
        <v>4527.9120958743461</v>
      </c>
      <c r="AW28" s="252">
        <f t="shared" si="34"/>
        <v>594.62548214539163</v>
      </c>
      <c r="AX28" s="252">
        <f t="shared" si="34"/>
        <v>2984.7455011611969</v>
      </c>
      <c r="AY28" s="252">
        <f t="shared" si="34"/>
        <v>13248.530621685662</v>
      </c>
    </row>
    <row r="29" spans="1:59">
      <c r="A29" s="163">
        <v>2004</v>
      </c>
      <c r="B29" s="312">
        <v>6682</v>
      </c>
      <c r="C29" s="312">
        <v>183748</v>
      </c>
      <c r="D29" s="312">
        <v>17161</v>
      </c>
      <c r="E29" s="312">
        <v>89362</v>
      </c>
      <c r="F29" s="160"/>
      <c r="G29" s="160"/>
      <c r="H29" s="312">
        <v>184439</v>
      </c>
      <c r="I29" s="312">
        <v>46854</v>
      </c>
      <c r="J29" s="160"/>
      <c r="K29" s="160"/>
      <c r="L29" s="160"/>
      <c r="M29" s="160"/>
      <c r="N29" s="160"/>
      <c r="O29" s="160"/>
      <c r="P29" s="311">
        <f t="shared" si="2"/>
        <v>183748</v>
      </c>
      <c r="Q29" s="311">
        <f t="shared" si="3"/>
        <v>89362</v>
      </c>
      <c r="R29" s="311">
        <f t="shared" si="4"/>
        <v>46854</v>
      </c>
      <c r="S29" s="311">
        <f t="shared" si="5"/>
        <v>6682</v>
      </c>
      <c r="T29" s="311">
        <f t="shared" si="6"/>
        <v>17161</v>
      </c>
      <c r="U29" s="311">
        <f t="shared" si="7"/>
        <v>184439</v>
      </c>
      <c r="AE29" s="165">
        <v>29646</v>
      </c>
      <c r="AF29" s="277">
        <v>1079536</v>
      </c>
      <c r="AG29" s="277">
        <v>633207</v>
      </c>
      <c r="AH29" s="277">
        <v>320529</v>
      </c>
      <c r="AI29" s="277">
        <v>61903</v>
      </c>
      <c r="AJ29" s="277">
        <v>223857</v>
      </c>
      <c r="AK29" s="277">
        <v>1080159</v>
      </c>
      <c r="AM29" s="277">
        <v>151323</v>
      </c>
      <c r="AN29" s="277">
        <v>92817</v>
      </c>
      <c r="AO29" s="277">
        <v>54421</v>
      </c>
      <c r="AP29" s="277">
        <v>8847</v>
      </c>
      <c r="AQ29" s="277">
        <v>39202</v>
      </c>
      <c r="AR29" s="277">
        <v>148143</v>
      </c>
      <c r="AT29" s="252">
        <f t="shared" ref="AT29:AY29" si="35">AF29/SUM(AF18:AF29)*AM29</f>
        <v>10420.187658594887</v>
      </c>
      <c r="AU29" s="252">
        <f t="shared" si="35"/>
        <v>7155.6762564114797</v>
      </c>
      <c r="AV29" s="252">
        <f t="shared" si="35"/>
        <v>6050.2467334719113</v>
      </c>
      <c r="AW29" s="252">
        <f t="shared" si="35"/>
        <v>687.85344161691876</v>
      </c>
      <c r="AX29" s="252">
        <f t="shared" si="35"/>
        <v>3116.2837844364112</v>
      </c>
      <c r="AY29" s="252">
        <f t="shared" si="35"/>
        <v>12147.014784518731</v>
      </c>
      <c r="AZ29" s="25">
        <f t="shared" ref="AZ29" si="36">SUM(AT18:AY29)-SUM(AM29:AR29)</f>
        <v>0</v>
      </c>
    </row>
    <row r="30" spans="1:59">
      <c r="A30" s="163">
        <v>2005</v>
      </c>
      <c r="B30" s="312">
        <v>5417</v>
      </c>
      <c r="C30" s="312">
        <v>184258</v>
      </c>
      <c r="D30" s="312">
        <v>15110</v>
      </c>
      <c r="E30" s="312">
        <v>92357</v>
      </c>
      <c r="F30" s="160"/>
      <c r="G30" s="160"/>
      <c r="H30" s="312">
        <v>169211</v>
      </c>
      <c r="I30" s="312">
        <v>49323</v>
      </c>
      <c r="J30" s="160"/>
      <c r="K30" s="160"/>
      <c r="L30" s="160"/>
      <c r="M30" s="160"/>
      <c r="N30" s="160"/>
      <c r="O30" s="160"/>
      <c r="P30" s="311">
        <f t="shared" si="2"/>
        <v>184258</v>
      </c>
      <c r="Q30" s="311">
        <f t="shared" si="3"/>
        <v>92357</v>
      </c>
      <c r="R30" s="311">
        <f t="shared" si="4"/>
        <v>49323</v>
      </c>
      <c r="S30" s="311">
        <f t="shared" si="5"/>
        <v>5417</v>
      </c>
      <c r="T30" s="311">
        <f t="shared" si="6"/>
        <v>15110</v>
      </c>
      <c r="U30" s="311">
        <f t="shared" si="7"/>
        <v>169211</v>
      </c>
      <c r="AE30" s="165">
        <v>29677</v>
      </c>
      <c r="AF30" s="277">
        <v>1208919</v>
      </c>
      <c r="AG30" s="277">
        <v>647427</v>
      </c>
      <c r="AH30" s="277">
        <v>294894</v>
      </c>
      <c r="AI30" s="277">
        <v>67113</v>
      </c>
      <c r="AJ30" s="277">
        <v>196271</v>
      </c>
      <c r="AK30" s="277">
        <v>654711</v>
      </c>
      <c r="AT30" s="252">
        <f t="shared" ref="AT30" si="37">AF30/SUM(AF30:AF41)*AM41</f>
        <v>11932.675357756849</v>
      </c>
      <c r="AU30" s="252">
        <f t="shared" ref="AU30:AY30" si="38">AG30/SUM(AG30:AG41)*AN41</f>
        <v>7080.7646495055678</v>
      </c>
      <c r="AV30" s="252">
        <f t="shared" si="38"/>
        <v>3678.2588579686376</v>
      </c>
      <c r="AW30" s="252">
        <f t="shared" si="38"/>
        <v>617.75850627778868</v>
      </c>
      <c r="AX30" s="252">
        <f t="shared" si="38"/>
        <v>2341.3409078471004</v>
      </c>
      <c r="AY30" s="252">
        <f t="shared" si="38"/>
        <v>6551.8439851667663</v>
      </c>
    </row>
    <row r="31" spans="1:59">
      <c r="A31" s="163">
        <v>2006</v>
      </c>
      <c r="B31" s="312">
        <v>5978</v>
      </c>
      <c r="C31" s="312">
        <v>187499</v>
      </c>
      <c r="D31" s="312">
        <v>14469</v>
      </c>
      <c r="E31" s="312">
        <v>97890</v>
      </c>
      <c r="F31" s="160"/>
      <c r="G31" s="160"/>
      <c r="H31" s="312">
        <v>157518</v>
      </c>
      <c r="I31" s="312">
        <v>49927</v>
      </c>
      <c r="J31" s="160"/>
      <c r="K31" s="160"/>
      <c r="L31" s="160"/>
      <c r="M31" s="160"/>
      <c r="N31" s="160"/>
      <c r="O31" s="160"/>
      <c r="P31" s="311">
        <f t="shared" si="2"/>
        <v>187499</v>
      </c>
      <c r="Q31" s="311">
        <f t="shared" si="3"/>
        <v>97890</v>
      </c>
      <c r="R31" s="311">
        <f t="shared" si="4"/>
        <v>49927</v>
      </c>
      <c r="S31" s="311">
        <f t="shared" si="5"/>
        <v>5978</v>
      </c>
      <c r="T31" s="311">
        <f t="shared" si="6"/>
        <v>14469</v>
      </c>
      <c r="U31" s="311">
        <f t="shared" si="7"/>
        <v>157518</v>
      </c>
      <c r="AE31" s="165">
        <v>29707</v>
      </c>
      <c r="AF31" s="277">
        <v>1310536</v>
      </c>
      <c r="AG31" s="277">
        <v>692906</v>
      </c>
      <c r="AH31" s="277">
        <v>326150</v>
      </c>
      <c r="AI31" s="277">
        <v>69615</v>
      </c>
      <c r="AJ31" s="277">
        <v>189688</v>
      </c>
      <c r="AK31" s="277">
        <v>695434</v>
      </c>
      <c r="AT31" s="252">
        <f t="shared" ref="AT31:AY31" si="39">AF31/SUM(AF30:AF41)*AM41</f>
        <v>12935.689349454538</v>
      </c>
      <c r="AU31" s="252">
        <f t="shared" si="39"/>
        <v>7578.1583255414207</v>
      </c>
      <c r="AV31" s="252">
        <f t="shared" si="39"/>
        <v>4068.1198211101992</v>
      </c>
      <c r="AW31" s="252">
        <f t="shared" si="39"/>
        <v>640.78879523383341</v>
      </c>
      <c r="AX31" s="252">
        <f t="shared" si="39"/>
        <v>2262.8114908860748</v>
      </c>
      <c r="AY31" s="252">
        <f t="shared" si="39"/>
        <v>6959.3684388691572</v>
      </c>
    </row>
    <row r="32" spans="1:59">
      <c r="A32" s="163">
        <v>2007</v>
      </c>
      <c r="B32" s="312">
        <v>5471</v>
      </c>
      <c r="C32" s="312">
        <v>166021</v>
      </c>
      <c r="D32" s="312">
        <v>14036</v>
      </c>
      <c r="E32" s="312">
        <v>91666</v>
      </c>
      <c r="F32" s="160"/>
      <c r="G32" s="160"/>
      <c r="H32" s="312">
        <v>149956</v>
      </c>
      <c r="I32" s="312">
        <v>49811</v>
      </c>
      <c r="J32" s="160"/>
      <c r="K32" s="160"/>
      <c r="L32" s="160"/>
      <c r="M32" s="160"/>
      <c r="N32" s="160"/>
      <c r="O32" s="160"/>
      <c r="P32" s="311">
        <f t="shared" si="2"/>
        <v>166021</v>
      </c>
      <c r="Q32" s="311">
        <f t="shared" si="3"/>
        <v>91666</v>
      </c>
      <c r="R32" s="311">
        <f t="shared" si="4"/>
        <v>49811</v>
      </c>
      <c r="S32" s="311">
        <f t="shared" si="5"/>
        <v>5471</v>
      </c>
      <c r="T32" s="311">
        <f t="shared" si="6"/>
        <v>14036</v>
      </c>
      <c r="U32" s="311">
        <f t="shared" si="7"/>
        <v>149956</v>
      </c>
      <c r="AE32" s="165">
        <v>29738</v>
      </c>
      <c r="AF32" s="277">
        <v>1387000</v>
      </c>
      <c r="AG32" s="277">
        <v>755603</v>
      </c>
      <c r="AH32" s="277">
        <v>355898</v>
      </c>
      <c r="AI32" s="277">
        <v>70455</v>
      </c>
      <c r="AJ32" s="277">
        <v>208817</v>
      </c>
      <c r="AK32" s="277">
        <v>917371</v>
      </c>
      <c r="AT32" s="252">
        <f t="shared" ref="AT32:AY32" si="40">AF32/SUM(AF30:AF41)*AM41</f>
        <v>13690.429814742551</v>
      </c>
      <c r="AU32" s="252">
        <f t="shared" si="40"/>
        <v>8263.8614260146023</v>
      </c>
      <c r="AV32" s="252">
        <f t="shared" si="40"/>
        <v>4439.1712650420905</v>
      </c>
      <c r="AW32" s="252">
        <f t="shared" si="40"/>
        <v>648.52078672986761</v>
      </c>
      <c r="AX32" s="252">
        <f t="shared" si="40"/>
        <v>2491.0036854854156</v>
      </c>
      <c r="AY32" s="252">
        <f t="shared" si="40"/>
        <v>9180.3431873245172</v>
      </c>
    </row>
    <row r="33" spans="1:59">
      <c r="A33" s="163">
        <v>2008</v>
      </c>
      <c r="B33" s="312">
        <v>5347</v>
      </c>
      <c r="C33" s="312">
        <v>163870</v>
      </c>
      <c r="D33" s="312">
        <v>15323</v>
      </c>
      <c r="E33" s="312">
        <v>99888</v>
      </c>
      <c r="F33" s="160"/>
      <c r="G33" s="160"/>
      <c r="H33" s="312">
        <v>146507</v>
      </c>
      <c r="I33" s="312">
        <v>50582</v>
      </c>
      <c r="J33" s="160"/>
      <c r="K33" s="160"/>
      <c r="L33" s="160"/>
      <c r="M33" s="160"/>
      <c r="N33" s="160"/>
      <c r="O33" s="160"/>
      <c r="P33" s="311">
        <f t="shared" si="2"/>
        <v>163870</v>
      </c>
      <c r="Q33" s="311">
        <f t="shared" si="3"/>
        <v>99888</v>
      </c>
      <c r="R33" s="311">
        <f t="shared" si="4"/>
        <v>50582</v>
      </c>
      <c r="S33" s="311">
        <f t="shared" si="5"/>
        <v>5347</v>
      </c>
      <c r="T33" s="311">
        <f t="shared" si="6"/>
        <v>15323</v>
      </c>
      <c r="U33" s="311">
        <f t="shared" si="7"/>
        <v>146507</v>
      </c>
      <c r="AE33" s="165">
        <v>29768</v>
      </c>
      <c r="AF33" s="277">
        <v>1428103</v>
      </c>
      <c r="AG33" s="277">
        <v>779942</v>
      </c>
      <c r="AH33" s="277">
        <v>374372</v>
      </c>
      <c r="AI33" s="277">
        <v>73923</v>
      </c>
      <c r="AJ33" s="277">
        <v>243030</v>
      </c>
      <c r="AK33" s="277">
        <v>1147269</v>
      </c>
      <c r="AT33" s="252">
        <f t="shared" ref="AT33:AY33" si="41">AF33/SUM(AF30:AF41)*AM41</f>
        <v>14096.13834875507</v>
      </c>
      <c r="AU33" s="252">
        <f t="shared" si="41"/>
        <v>8530.0516386630024</v>
      </c>
      <c r="AV33" s="252">
        <f t="shared" si="41"/>
        <v>4669.6003485165338</v>
      </c>
      <c r="AW33" s="252">
        <f t="shared" si="41"/>
        <v>680.44286590635159</v>
      </c>
      <c r="AX33" s="252">
        <f t="shared" si="41"/>
        <v>2899.1347719942373</v>
      </c>
      <c r="AY33" s="252">
        <f t="shared" si="41"/>
        <v>11480.985498973274</v>
      </c>
    </row>
    <row r="34" spans="1:59">
      <c r="A34" s="163">
        <v>2009</v>
      </c>
      <c r="B34" s="312">
        <v>5615</v>
      </c>
      <c r="C34" s="312">
        <v>128404</v>
      </c>
      <c r="D34" s="312">
        <v>16501</v>
      </c>
      <c r="E34" s="312">
        <v>76382</v>
      </c>
      <c r="F34" s="160"/>
      <c r="G34" s="160"/>
      <c r="H34" s="312">
        <v>157232</v>
      </c>
      <c r="I34" s="312">
        <v>45515</v>
      </c>
      <c r="J34" s="160"/>
      <c r="K34" s="160"/>
      <c r="L34" s="160"/>
      <c r="M34" s="160"/>
      <c r="N34" s="160"/>
      <c r="O34" s="160"/>
      <c r="P34" s="311">
        <f t="shared" si="2"/>
        <v>128404</v>
      </c>
      <c r="Q34" s="311">
        <f t="shared" si="3"/>
        <v>76382</v>
      </c>
      <c r="R34" s="311">
        <f t="shared" si="4"/>
        <v>45515</v>
      </c>
      <c r="S34" s="311">
        <f t="shared" si="5"/>
        <v>5615</v>
      </c>
      <c r="T34" s="311">
        <f t="shared" si="6"/>
        <v>16501</v>
      </c>
      <c r="U34" s="311">
        <f t="shared" si="7"/>
        <v>157232</v>
      </c>
      <c r="AE34" s="165">
        <v>29799</v>
      </c>
      <c r="AF34" s="277">
        <v>1417520</v>
      </c>
      <c r="AG34" s="277">
        <v>775258</v>
      </c>
      <c r="AH34" s="277">
        <v>394058</v>
      </c>
      <c r="AI34" s="277">
        <v>80019</v>
      </c>
      <c r="AJ34" s="277">
        <v>277780</v>
      </c>
      <c r="AK34" s="277">
        <v>1342764</v>
      </c>
      <c r="AT34" s="252">
        <f t="shared" ref="AT34:AY34" si="42">AF34/SUM(AF30:AF41)*AM41</f>
        <v>13991.678493867239</v>
      </c>
      <c r="AU34" s="252">
        <f t="shared" si="42"/>
        <v>8478.8237757251209</v>
      </c>
      <c r="AV34" s="252">
        <f t="shared" si="42"/>
        <v>4915.1468970321721</v>
      </c>
      <c r="AW34" s="252">
        <f t="shared" si="42"/>
        <v>736.55503276328534</v>
      </c>
      <c r="AX34" s="252">
        <f t="shared" si="42"/>
        <v>3313.6717975746169</v>
      </c>
      <c r="AY34" s="252">
        <f t="shared" si="42"/>
        <v>13437.349054618706</v>
      </c>
    </row>
    <row r="35" spans="1:59">
      <c r="A35" s="163">
        <v>2010</v>
      </c>
      <c r="B35" s="312">
        <v>5154</v>
      </c>
      <c r="C35" s="312">
        <v>129779</v>
      </c>
      <c r="D35" s="312">
        <v>16942</v>
      </c>
      <c r="E35" s="312">
        <v>69116</v>
      </c>
      <c r="F35" s="160"/>
      <c r="G35" s="160"/>
      <c r="H35" s="312">
        <v>157724</v>
      </c>
      <c r="I35" s="312">
        <v>40567</v>
      </c>
      <c r="J35" s="160"/>
      <c r="K35" s="160"/>
      <c r="L35" s="160"/>
      <c r="M35" s="160"/>
      <c r="N35" s="160"/>
      <c r="O35" s="160"/>
      <c r="P35" s="311">
        <f t="shared" si="2"/>
        <v>129779</v>
      </c>
      <c r="Q35" s="311">
        <f t="shared" si="3"/>
        <v>69116</v>
      </c>
      <c r="R35" s="311">
        <f t="shared" si="4"/>
        <v>40567</v>
      </c>
      <c r="S35" s="311">
        <f t="shared" si="5"/>
        <v>5154</v>
      </c>
      <c r="T35" s="311">
        <f t="shared" si="6"/>
        <v>16942</v>
      </c>
      <c r="U35" s="311">
        <f t="shared" si="7"/>
        <v>157724</v>
      </c>
      <c r="AE35" s="165">
        <v>29830</v>
      </c>
      <c r="AF35" s="277">
        <v>1376819</v>
      </c>
      <c r="AG35" s="277">
        <v>776629</v>
      </c>
      <c r="AH35" s="277">
        <v>425701</v>
      </c>
      <c r="AI35" s="277">
        <v>88352</v>
      </c>
      <c r="AJ35" s="277">
        <v>319206</v>
      </c>
      <c r="AK35" s="277">
        <v>1511568</v>
      </c>
      <c r="AT35" s="252">
        <f t="shared" ref="AT35:AY35" si="43">AF35/SUM(AF30:AF41)*AM41</f>
        <v>13589.937914278315</v>
      </c>
      <c r="AU35" s="252">
        <f t="shared" si="43"/>
        <v>8493.8180968369561</v>
      </c>
      <c r="AV35" s="252">
        <f t="shared" si="43"/>
        <v>5309.8349715358972</v>
      </c>
      <c r="AW35" s="252">
        <f t="shared" si="43"/>
        <v>813.25822935430074</v>
      </c>
      <c r="AX35" s="252">
        <f t="shared" si="43"/>
        <v>3807.8476485585829</v>
      </c>
      <c r="AY35" s="252">
        <f t="shared" si="43"/>
        <v>15126.609617022714</v>
      </c>
    </row>
    <row r="36" spans="1:59">
      <c r="A36" s="163">
        <v>2011</v>
      </c>
      <c r="B36" s="312">
        <v>4363</v>
      </c>
      <c r="C36" s="312">
        <v>140216</v>
      </c>
      <c r="D36" s="312">
        <v>19021</v>
      </c>
      <c r="E36" s="312">
        <v>74153</v>
      </c>
      <c r="F36" s="160"/>
      <c r="G36" s="160"/>
      <c r="H36" s="312">
        <v>139939</v>
      </c>
      <c r="I36" s="312">
        <v>43447</v>
      </c>
      <c r="J36" s="160"/>
      <c r="K36" s="160"/>
      <c r="L36" s="160"/>
      <c r="M36" s="160"/>
      <c r="N36" s="160"/>
      <c r="O36" s="160"/>
      <c r="P36" s="311">
        <f t="shared" si="2"/>
        <v>140216</v>
      </c>
      <c r="Q36" s="311">
        <f t="shared" si="3"/>
        <v>74153</v>
      </c>
      <c r="R36" s="311">
        <f t="shared" si="4"/>
        <v>43447</v>
      </c>
      <c r="S36" s="311">
        <f t="shared" si="5"/>
        <v>4363</v>
      </c>
      <c r="T36" s="311">
        <f t="shared" si="6"/>
        <v>19021</v>
      </c>
      <c r="U36" s="311">
        <f t="shared" si="7"/>
        <v>139939</v>
      </c>
      <c r="AE36" s="165">
        <v>29860</v>
      </c>
      <c r="AF36" s="277">
        <v>1342889</v>
      </c>
      <c r="AG36" s="277">
        <v>787216</v>
      </c>
      <c r="AH36" s="277">
        <v>434517</v>
      </c>
      <c r="AI36" s="277">
        <v>97002</v>
      </c>
      <c r="AJ36" s="277">
        <v>365043</v>
      </c>
      <c r="AK36" s="277">
        <v>1678208</v>
      </c>
      <c r="AT36" s="252">
        <f t="shared" ref="AT36:AY36" si="44">AF36/SUM(AF30:AF41)*AM41</f>
        <v>13255.030716286812</v>
      </c>
      <c r="AU36" s="252">
        <f t="shared" si="44"/>
        <v>8609.6057537377583</v>
      </c>
      <c r="AV36" s="252">
        <f t="shared" si="44"/>
        <v>5419.7983146078195</v>
      </c>
      <c r="AW36" s="252">
        <f t="shared" si="44"/>
        <v>892.87933225989082</v>
      </c>
      <c r="AX36" s="252">
        <f t="shared" si="44"/>
        <v>4354.6428612644204</v>
      </c>
      <c r="AY36" s="252">
        <f t="shared" si="44"/>
        <v>16794.214532303184</v>
      </c>
    </row>
    <row r="37" spans="1:59">
      <c r="A37" s="163">
        <v>2012</v>
      </c>
      <c r="B37" s="312">
        <v>4493</v>
      </c>
      <c r="C37" s="312">
        <v>147847</v>
      </c>
      <c r="D37" s="312">
        <v>22798</v>
      </c>
      <c r="E37" s="312">
        <v>73750</v>
      </c>
      <c r="F37" s="160"/>
      <c r="G37" s="160"/>
      <c r="H37" s="312">
        <v>133207</v>
      </c>
      <c r="I37" s="312">
        <v>42398</v>
      </c>
      <c r="J37" s="160"/>
      <c r="K37" s="160"/>
      <c r="L37" s="160"/>
      <c r="M37" s="160"/>
      <c r="N37" s="160"/>
      <c r="O37" s="160"/>
      <c r="P37" s="311">
        <f t="shared" si="2"/>
        <v>147847</v>
      </c>
      <c r="Q37" s="311">
        <f t="shared" si="3"/>
        <v>73750</v>
      </c>
      <c r="R37" s="311">
        <f t="shared" si="4"/>
        <v>42398</v>
      </c>
      <c r="S37" s="311">
        <f t="shared" si="5"/>
        <v>4493</v>
      </c>
      <c r="T37" s="311">
        <f t="shared" si="6"/>
        <v>22798</v>
      </c>
      <c r="U37" s="311">
        <f t="shared" si="7"/>
        <v>133207</v>
      </c>
      <c r="AE37" s="165">
        <v>29891</v>
      </c>
      <c r="AF37" s="277">
        <v>1255103</v>
      </c>
      <c r="AG37" s="277">
        <v>749913</v>
      </c>
      <c r="AH37" s="277">
        <v>451815</v>
      </c>
      <c r="AI37" s="277">
        <v>97092</v>
      </c>
      <c r="AJ37" s="277">
        <v>369760</v>
      </c>
      <c r="AK37" s="277">
        <v>1717462</v>
      </c>
      <c r="AT37" s="252">
        <f t="shared" ref="AT37:AY37" si="45">AF37/SUM(AF30:AF41)*AM41</f>
        <v>12388.536071934261</v>
      </c>
      <c r="AU37" s="252">
        <f t="shared" si="45"/>
        <v>8201.6311655285754</v>
      </c>
      <c r="AV37" s="252">
        <f t="shared" si="45"/>
        <v>5635.5589666561546</v>
      </c>
      <c r="AW37" s="252">
        <f t="shared" si="45"/>
        <v>893.70775992018025</v>
      </c>
      <c r="AX37" s="252">
        <f t="shared" si="45"/>
        <v>4410.9125346360079</v>
      </c>
      <c r="AY37" s="252">
        <f t="shared" si="45"/>
        <v>17187.038364182801</v>
      </c>
    </row>
    <row r="38" spans="1:59">
      <c r="A38" s="163">
        <v>2013</v>
      </c>
      <c r="B38" s="312">
        <v>6496</v>
      </c>
      <c r="C38" s="312">
        <v>165689</v>
      </c>
      <c r="D38" s="312">
        <v>26728</v>
      </c>
      <c r="E38" s="312">
        <v>88330</v>
      </c>
      <c r="F38" s="160"/>
      <c r="G38" s="160"/>
      <c r="H38" s="312">
        <v>150460</v>
      </c>
      <c r="I38" s="312">
        <v>45294</v>
      </c>
      <c r="J38" s="160"/>
      <c r="K38" s="160"/>
      <c r="L38" s="160"/>
      <c r="M38" s="160"/>
      <c r="N38" s="160"/>
      <c r="O38" s="160"/>
      <c r="P38" s="311">
        <f t="shared" si="2"/>
        <v>165689</v>
      </c>
      <c r="Q38" s="311">
        <f t="shared" si="3"/>
        <v>88330</v>
      </c>
      <c r="R38" s="311">
        <f t="shared" si="4"/>
        <v>45294</v>
      </c>
      <c r="S38" s="311">
        <f t="shared" si="5"/>
        <v>6496</v>
      </c>
      <c r="T38" s="311">
        <f t="shared" si="6"/>
        <v>26728</v>
      </c>
      <c r="U38" s="311">
        <f t="shared" si="7"/>
        <v>150460</v>
      </c>
      <c r="AE38" s="165">
        <v>29921</v>
      </c>
      <c r="AF38" s="277">
        <v>1225488</v>
      </c>
      <c r="AG38" s="277">
        <v>725947</v>
      </c>
      <c r="AH38" s="277">
        <v>436275</v>
      </c>
      <c r="AI38" s="277">
        <v>98054</v>
      </c>
      <c r="AJ38" s="277">
        <v>370470</v>
      </c>
      <c r="AK38" s="277">
        <v>1775559</v>
      </c>
      <c r="AT38" s="252">
        <f t="shared" ref="AT38:AY38" si="46">AF38/SUM(AF30:AF41)*AM41</f>
        <v>12096.220225529358</v>
      </c>
      <c r="AU38" s="252">
        <f t="shared" si="46"/>
        <v>7939.52037065896</v>
      </c>
      <c r="AV38" s="252">
        <f t="shared" si="46"/>
        <v>5441.7261228111365</v>
      </c>
      <c r="AW38" s="252">
        <f t="shared" si="46"/>
        <v>902.56273113349562</v>
      </c>
      <c r="AX38" s="252">
        <f t="shared" si="46"/>
        <v>4419.3822119931901</v>
      </c>
      <c r="AY38" s="252">
        <f t="shared" si="46"/>
        <v>17768.428443173736</v>
      </c>
      <c r="BA38" s="252">
        <f t="shared" ref="BA38" si="47">SUM(AT27:AT38)</f>
        <v>145000.65267814984</v>
      </c>
      <c r="BB38" s="252">
        <f t="shared" ref="BB38:BF38" si="48">SUM(AU27:AU38)</f>
        <v>92034.929022377852</v>
      </c>
      <c r="BC38" s="252">
        <f t="shared" si="48"/>
        <v>57901.601158670004</v>
      </c>
      <c r="BD38" s="252">
        <f t="shared" si="48"/>
        <v>8737.2694077176457</v>
      </c>
      <c r="BE38" s="252">
        <f t="shared" si="48"/>
        <v>39638.587856831698</v>
      </c>
      <c r="BF38" s="252">
        <f t="shared" si="48"/>
        <v>152864.85020857508</v>
      </c>
      <c r="BG38" s="252">
        <f t="shared" ref="BG38" si="49">SUM(BA38:BF38)</f>
        <v>496177.89033232216</v>
      </c>
    </row>
    <row r="39" spans="1:59">
      <c r="A39" s="163">
        <v>2014</v>
      </c>
      <c r="B39" s="312">
        <v>7460</v>
      </c>
      <c r="C39" s="312">
        <v>148761</v>
      </c>
      <c r="D39" s="312">
        <v>34076</v>
      </c>
      <c r="E39" s="312">
        <v>91602</v>
      </c>
      <c r="F39" s="162" t="s">
        <v>211</v>
      </c>
      <c r="G39" s="162" t="s">
        <v>211</v>
      </c>
      <c r="H39" s="312">
        <v>144568</v>
      </c>
      <c r="I39" s="312">
        <v>48474</v>
      </c>
      <c r="P39" s="311">
        <f t="shared" si="2"/>
        <v>148761</v>
      </c>
      <c r="Q39" s="311">
        <f t="shared" si="3"/>
        <v>91602</v>
      </c>
      <c r="R39" s="311">
        <f t="shared" si="4"/>
        <v>48474</v>
      </c>
      <c r="S39" s="311">
        <f t="shared" si="5"/>
        <v>7460</v>
      </c>
      <c r="T39" s="311">
        <f t="shared" si="6"/>
        <v>34076</v>
      </c>
      <c r="U39" s="311">
        <f t="shared" si="7"/>
        <v>144568</v>
      </c>
      <c r="AE39" s="165">
        <v>29952</v>
      </c>
      <c r="AF39" s="277">
        <v>861082</v>
      </c>
      <c r="AG39" s="277">
        <v>505286</v>
      </c>
      <c r="AH39" s="277">
        <v>313255</v>
      </c>
      <c r="AI39" s="277">
        <v>69877</v>
      </c>
      <c r="AJ39" s="277">
        <v>255601</v>
      </c>
      <c r="AK39" s="277">
        <v>1239766</v>
      </c>
      <c r="AT39" s="252">
        <f t="shared" ref="AT39:AY39" si="50">AF39/SUM(AF30:AF41)*AM41</f>
        <v>8499.3386342740778</v>
      </c>
      <c r="AU39" s="252">
        <f t="shared" si="50"/>
        <v>5526.2002460355689</v>
      </c>
      <c r="AV39" s="252">
        <f t="shared" si="50"/>
        <v>3907.2784748179533</v>
      </c>
      <c r="AW39" s="252">
        <f t="shared" si="50"/>
        <v>643.20044020045361</v>
      </c>
      <c r="AX39" s="252">
        <f t="shared" si="50"/>
        <v>3049.0957777085091</v>
      </c>
      <c r="AY39" s="252">
        <f t="shared" si="50"/>
        <v>12406.624312275586</v>
      </c>
    </row>
    <row r="40" spans="1:59">
      <c r="A40" s="163">
        <v>2015</v>
      </c>
      <c r="B40" s="312">
        <v>7898</v>
      </c>
      <c r="C40" s="312">
        <v>156910</v>
      </c>
      <c r="D40" s="312">
        <v>34905</v>
      </c>
      <c r="E40" s="312">
        <v>95919</v>
      </c>
      <c r="F40" s="312">
        <v>13284</v>
      </c>
      <c r="G40" s="312">
        <v>62000</v>
      </c>
      <c r="H40" s="312">
        <v>145961</v>
      </c>
      <c r="I40" s="312">
        <v>49591</v>
      </c>
      <c r="K40" s="311">
        <f>F40/SUM(Z4:Z5)*SUM(X4:X5)</f>
        <v>2360.5347766077939</v>
      </c>
      <c r="L40" s="311">
        <f>F40/SUM(Z4:Z5)*SUM(Y4:Y5)</f>
        <v>10923.465223392206</v>
      </c>
      <c r="M40" s="311">
        <f>G40/SUM(AC4:AC5)*SUM(AA4:AA5)</f>
        <v>24182.311377985654</v>
      </c>
      <c r="N40" s="311">
        <f>G40/SUM(AC4:AC5)*SUM(AB4:AB5)</f>
        <v>37817.688622014342</v>
      </c>
      <c r="O40" s="162">
        <f>SUM(K40:N40)-SUM(F40:G40)</f>
        <v>0</v>
      </c>
      <c r="P40" s="311">
        <f t="shared" si="2"/>
        <v>181092.31137798566</v>
      </c>
      <c r="Q40" s="311">
        <f t="shared" si="3"/>
        <v>133736.68862201434</v>
      </c>
      <c r="R40" s="311">
        <f t="shared" si="4"/>
        <v>49591</v>
      </c>
      <c r="S40" s="311">
        <f t="shared" si="5"/>
        <v>10258.534776607794</v>
      </c>
      <c r="T40" s="311">
        <f t="shared" si="6"/>
        <v>45828.46522339221</v>
      </c>
      <c r="U40" s="311">
        <f t="shared" si="7"/>
        <v>145961</v>
      </c>
      <c r="AE40" s="165">
        <v>29983</v>
      </c>
      <c r="AF40" s="277">
        <v>1008303</v>
      </c>
      <c r="AG40" s="277">
        <v>591943</v>
      </c>
      <c r="AH40" s="277">
        <v>388533</v>
      </c>
      <c r="AI40" s="277">
        <v>78408</v>
      </c>
      <c r="AJ40" s="277">
        <v>279222</v>
      </c>
      <c r="AK40" s="277">
        <v>1401433</v>
      </c>
      <c r="AT40" s="252">
        <f t="shared" ref="AT40:AY40" si="51">AF40/SUM(AF30:AF41)*AM41</f>
        <v>9952.4884307818011</v>
      </c>
      <c r="AU40" s="252">
        <f t="shared" si="51"/>
        <v>6473.9485207170446</v>
      </c>
      <c r="AV40" s="252">
        <f t="shared" si="51"/>
        <v>4846.2327102726013</v>
      </c>
      <c r="AW40" s="252">
        <f t="shared" si="51"/>
        <v>721.72617764410552</v>
      </c>
      <c r="AX40" s="252">
        <f t="shared" si="51"/>
        <v>3330.8735929958229</v>
      </c>
      <c r="AY40" s="252">
        <f t="shared" si="51"/>
        <v>14024.463269540634</v>
      </c>
    </row>
    <row r="41" spans="1:59">
      <c r="A41" s="163">
        <v>2016</v>
      </c>
      <c r="B41" s="312">
        <v>7583</v>
      </c>
      <c r="C41" s="312">
        <v>164626</v>
      </c>
      <c r="D41" s="312">
        <v>34795</v>
      </c>
      <c r="E41" s="312">
        <v>102428</v>
      </c>
      <c r="F41" s="312">
        <v>13433</v>
      </c>
      <c r="G41" s="312">
        <v>60196</v>
      </c>
      <c r="H41" s="312">
        <v>154051</v>
      </c>
      <c r="I41" s="312">
        <v>50287</v>
      </c>
      <c r="K41" s="311">
        <f>F41/SUM(Z6:Z9)*SUM(X6:X9)</f>
        <v>2685.9599161107471</v>
      </c>
      <c r="L41" s="311">
        <f>F41/SUM(Z6:Z9)*SUM(Y6:Y9)</f>
        <v>10747.040083889253</v>
      </c>
      <c r="M41" s="311">
        <f>G41/SUM(AC6:AC9)*SUM(AA6:AA9)</f>
        <v>21226.446847103431</v>
      </c>
      <c r="N41" s="311">
        <f>G41/SUM(AC6:AC9)*SUM(AB6:AB9)</f>
        <v>38969.553152896573</v>
      </c>
      <c r="O41" s="162">
        <f t="shared" ref="O41:O45" si="52">SUM(K41:N41)-SUM(F41:G41)</f>
        <v>0</v>
      </c>
      <c r="P41" s="311">
        <f t="shared" si="2"/>
        <v>185852.44684710342</v>
      </c>
      <c r="Q41" s="311">
        <f t="shared" si="3"/>
        <v>141397.55315289658</v>
      </c>
      <c r="R41" s="311">
        <f t="shared" si="4"/>
        <v>50287</v>
      </c>
      <c r="S41" s="311">
        <f t="shared" si="5"/>
        <v>10268.959916110747</v>
      </c>
      <c r="T41" s="311">
        <f t="shared" si="6"/>
        <v>45542.040083889253</v>
      </c>
      <c r="U41" s="311">
        <f t="shared" si="7"/>
        <v>154051</v>
      </c>
      <c r="AE41" s="165">
        <v>30011</v>
      </c>
      <c r="AF41" s="277">
        <v>1182493</v>
      </c>
      <c r="AG41" s="277">
        <v>682250</v>
      </c>
      <c r="AH41" s="277">
        <v>494123</v>
      </c>
      <c r="AI41" s="277">
        <v>83283</v>
      </c>
      <c r="AJ41" s="277">
        <v>287220</v>
      </c>
      <c r="AK41" s="277">
        <v>1297435</v>
      </c>
      <c r="AM41" s="277">
        <v>148100</v>
      </c>
      <c r="AN41" s="277">
        <v>92638</v>
      </c>
      <c r="AO41" s="277">
        <v>58494</v>
      </c>
      <c r="AP41" s="277">
        <v>8958</v>
      </c>
      <c r="AQ41" s="277">
        <v>40107</v>
      </c>
      <c r="AR41" s="277">
        <v>153901</v>
      </c>
      <c r="AT41" s="252">
        <f t="shared" ref="AT41:AY41" si="53">AF41/SUM(AF30:AF41)*AM41</f>
        <v>11671.836642339124</v>
      </c>
      <c r="AU41" s="252">
        <f t="shared" si="53"/>
        <v>7461.616031035428</v>
      </c>
      <c r="AV41" s="252">
        <f t="shared" si="53"/>
        <v>6163.2732496288054</v>
      </c>
      <c r="AW41" s="252">
        <f t="shared" si="53"/>
        <v>766.59934257644682</v>
      </c>
      <c r="AX41" s="252">
        <f t="shared" si="53"/>
        <v>3426.2827190560206</v>
      </c>
      <c r="AY41" s="252">
        <f t="shared" si="53"/>
        <v>12983.731296548925</v>
      </c>
      <c r="AZ41" s="25">
        <f t="shared" ref="AZ41" si="54">SUM(AT30:AY41)-SUM(AM41:AR41)</f>
        <v>0</v>
      </c>
    </row>
    <row r="42" spans="1:59">
      <c r="A42" s="163">
        <v>2017</v>
      </c>
      <c r="B42" s="312">
        <v>6207</v>
      </c>
      <c r="C42" s="312">
        <v>169422</v>
      </c>
      <c r="D42" s="312">
        <v>42333</v>
      </c>
      <c r="E42" s="312">
        <v>114527</v>
      </c>
      <c r="F42" s="312">
        <v>13196</v>
      </c>
      <c r="G42" s="312">
        <v>62907</v>
      </c>
      <c r="H42" s="312">
        <v>156064</v>
      </c>
      <c r="I42" s="312">
        <v>48595</v>
      </c>
      <c r="K42" s="311">
        <f>F42/SUM(Z10:Z13)*SUM(X10:X13)</f>
        <v>2901.9452443002533</v>
      </c>
      <c r="L42" s="311">
        <f>F42/SUM(Z10:Z13)*SUM(Y10:Y13)</f>
        <v>10294.054755699748</v>
      </c>
      <c r="M42" s="311">
        <f>G42/SUM(AC10:AC13)*SUM(AA10:AA13)</f>
        <v>21806.348559840713</v>
      </c>
      <c r="N42" s="311">
        <f>G42/SUM(AC10:AC13)*SUM(AB10:AB13)</f>
        <v>41100.651440159294</v>
      </c>
      <c r="O42" s="162">
        <f t="shared" si="52"/>
        <v>0</v>
      </c>
      <c r="P42" s="311">
        <f t="shared" si="2"/>
        <v>191228.3485598407</v>
      </c>
      <c r="Q42" s="311">
        <f t="shared" si="3"/>
        <v>155627.6514401593</v>
      </c>
      <c r="R42" s="311">
        <f t="shared" si="4"/>
        <v>48595</v>
      </c>
      <c r="S42" s="311">
        <f t="shared" si="5"/>
        <v>9108.9452443002538</v>
      </c>
      <c r="T42" s="311">
        <f t="shared" si="6"/>
        <v>52627.054755699748</v>
      </c>
      <c r="U42" s="311">
        <f t="shared" si="7"/>
        <v>156064</v>
      </c>
      <c r="AE42" s="165">
        <v>30042</v>
      </c>
      <c r="AF42" s="277">
        <v>1271444</v>
      </c>
      <c r="AG42" s="277">
        <v>683458</v>
      </c>
      <c r="AH42" s="277">
        <v>457394</v>
      </c>
      <c r="AI42" s="277">
        <v>78860</v>
      </c>
      <c r="AJ42" s="277">
        <v>239154</v>
      </c>
      <c r="AK42" s="277">
        <v>834697</v>
      </c>
      <c r="AT42" s="252">
        <f t="shared" ref="AT42" si="55">AF42/SUM(AF42:AF53)*AM53</f>
        <v>12247.580003888836</v>
      </c>
      <c r="AU42" s="252">
        <f t="shared" ref="AU42:AY42" si="56">AG42/SUM(AG42:AG53)*AN53</f>
        <v>7268.8802033591446</v>
      </c>
      <c r="AV42" s="252">
        <f t="shared" si="56"/>
        <v>4635.9764835402866</v>
      </c>
      <c r="AW42" s="252">
        <f t="shared" si="56"/>
        <v>711.09673960739508</v>
      </c>
      <c r="AX42" s="252">
        <f t="shared" si="56"/>
        <v>2568.0224159055388</v>
      </c>
      <c r="AY42" s="252">
        <f t="shared" si="56"/>
        <v>8024.7040826798457</v>
      </c>
    </row>
    <row r="43" spans="1:59">
      <c r="A43" s="163">
        <v>2018</v>
      </c>
      <c r="B43" s="312">
        <v>5214</v>
      </c>
      <c r="C43" s="312">
        <v>167366</v>
      </c>
      <c r="D43" s="312">
        <v>38778</v>
      </c>
      <c r="E43" s="312">
        <v>115216</v>
      </c>
      <c r="F43" s="312">
        <v>13049</v>
      </c>
      <c r="G43" s="312">
        <v>65233</v>
      </c>
      <c r="H43" s="312">
        <v>158869</v>
      </c>
      <c r="I43" s="312">
        <v>54546</v>
      </c>
      <c r="K43" s="311">
        <f>F43/SUM(Z14:Z17)*SUM(X14:X17)</f>
        <v>2390.1277893708898</v>
      </c>
      <c r="L43" s="311">
        <f>F43/SUM(Z14:Z17)*SUM(Y14:Y17)</f>
        <v>10658.872210629113</v>
      </c>
      <c r="M43" s="311">
        <f>G43/SUM(AC14:AC17)*SUM(AA14:AA17)</f>
        <v>24126.306277479576</v>
      </c>
      <c r="N43" s="311">
        <f>G43/SUM(AC14:AC17)*SUM(AB14:AB17)</f>
        <v>41106.693722520431</v>
      </c>
      <c r="O43" s="162">
        <f t="shared" si="52"/>
        <v>0</v>
      </c>
      <c r="P43" s="311">
        <f t="shared" si="2"/>
        <v>191492.30627747957</v>
      </c>
      <c r="Q43" s="311">
        <f t="shared" si="3"/>
        <v>156322.69372252043</v>
      </c>
      <c r="R43" s="311">
        <f t="shared" si="4"/>
        <v>54546</v>
      </c>
      <c r="S43" s="311">
        <f t="shared" si="5"/>
        <v>7604.1277893708902</v>
      </c>
      <c r="T43" s="311">
        <f t="shared" si="6"/>
        <v>49436.87221062911</v>
      </c>
      <c r="U43" s="311">
        <f t="shared" si="7"/>
        <v>158869</v>
      </c>
      <c r="AE43" s="165">
        <v>30072</v>
      </c>
      <c r="AF43" s="277">
        <v>1332374</v>
      </c>
      <c r="AG43" s="277">
        <v>664229</v>
      </c>
      <c r="AH43" s="277">
        <v>470890</v>
      </c>
      <c r="AI43" s="277">
        <v>73386</v>
      </c>
      <c r="AJ43" s="277">
        <v>207925</v>
      </c>
      <c r="AK43" s="277">
        <v>830094</v>
      </c>
      <c r="AT43" s="252">
        <f t="shared" ref="AT43:AY43" si="57">AF43/SUM(AF42:AF53)*AM53</f>
        <v>12834.507190329567</v>
      </c>
      <c r="AU43" s="252">
        <f t="shared" si="57"/>
        <v>7064.3712248551346</v>
      </c>
      <c r="AV43" s="252">
        <f t="shared" si="57"/>
        <v>4772.766950013086</v>
      </c>
      <c r="AW43" s="252">
        <f t="shared" si="57"/>
        <v>661.73656267852266</v>
      </c>
      <c r="AX43" s="252">
        <f t="shared" si="57"/>
        <v>2232.6871422897343</v>
      </c>
      <c r="AY43" s="252">
        <f t="shared" si="57"/>
        <v>7980.4512425563325</v>
      </c>
    </row>
    <row r="44" spans="1:59">
      <c r="A44" s="163">
        <v>2019</v>
      </c>
      <c r="B44" s="312">
        <v>4400</v>
      </c>
      <c r="C44" s="312">
        <v>162700</v>
      </c>
      <c r="D44" s="312">
        <v>40600</v>
      </c>
      <c r="E44" s="312">
        <v>115900</v>
      </c>
      <c r="F44" s="312">
        <v>14100</v>
      </c>
      <c r="G44" s="312">
        <v>64900</v>
      </c>
      <c r="H44" s="312">
        <v>168100</v>
      </c>
      <c r="I44" s="312">
        <v>54200</v>
      </c>
      <c r="K44" s="311">
        <f>F44/SUM(Z18:Z21)*SUM(X18:X21)</f>
        <v>2676.4275377856575</v>
      </c>
      <c r="L44" s="311">
        <f>F44/SUM(Z18:Z21)*SUM(Y18:Y21)</f>
        <v>11423.572462214344</v>
      </c>
      <c r="M44" s="311">
        <f>G44/SUM(AC18:AC21)*SUM(AA18:AA21)</f>
        <v>19818.416050653948</v>
      </c>
      <c r="N44" s="311">
        <f>G44/SUM(AC18:AC21)*SUM(AB18:AB21)</f>
        <v>45081.583949346052</v>
      </c>
      <c r="O44" s="162">
        <f t="shared" si="52"/>
        <v>0</v>
      </c>
      <c r="P44" s="311">
        <f t="shared" si="2"/>
        <v>182518.41605065396</v>
      </c>
      <c r="Q44" s="311">
        <f t="shared" si="3"/>
        <v>160981.58394934604</v>
      </c>
      <c r="R44" s="311">
        <f t="shared" si="4"/>
        <v>54200</v>
      </c>
      <c r="S44" s="311">
        <f t="shared" si="5"/>
        <v>7076.4275377856575</v>
      </c>
      <c r="T44" s="311">
        <f t="shared" si="6"/>
        <v>52023.572462214346</v>
      </c>
      <c r="U44" s="311">
        <f t="shared" si="7"/>
        <v>168100</v>
      </c>
      <c r="AE44" s="165">
        <v>30103</v>
      </c>
      <c r="AF44" s="277">
        <v>1393403</v>
      </c>
      <c r="AG44" s="277">
        <v>684357</v>
      </c>
      <c r="AH44" s="277">
        <v>477863</v>
      </c>
      <c r="AI44" s="277">
        <v>73473</v>
      </c>
      <c r="AJ44" s="277">
        <v>213439</v>
      </c>
      <c r="AK44" s="277">
        <v>972405</v>
      </c>
      <c r="AT44" s="252">
        <f t="shared" ref="AT44:AY44" si="58">AF44/SUM(AF42:AF53)*AM53</f>
        <v>13422.388025079135</v>
      </c>
      <c r="AU44" s="252">
        <f t="shared" si="58"/>
        <v>7278.4414687226636</v>
      </c>
      <c r="AV44" s="252">
        <f t="shared" si="58"/>
        <v>4843.4427000660517</v>
      </c>
      <c r="AW44" s="252">
        <f t="shared" si="58"/>
        <v>662.52105946201027</v>
      </c>
      <c r="AX44" s="252">
        <f t="shared" si="58"/>
        <v>2291.8961691147224</v>
      </c>
      <c r="AY44" s="252">
        <f t="shared" si="58"/>
        <v>9348.6167717366843</v>
      </c>
    </row>
    <row r="45" spans="1:59">
      <c r="A45" s="163">
        <v>2020</v>
      </c>
      <c r="B45" s="312">
        <v>4500</v>
      </c>
      <c r="C45" s="312">
        <v>151200</v>
      </c>
      <c r="D45" s="312">
        <v>41600</v>
      </c>
      <c r="E45" s="312">
        <v>105200</v>
      </c>
      <c r="F45" s="312">
        <v>14300</v>
      </c>
      <c r="G45" s="312">
        <v>58600</v>
      </c>
      <c r="H45" s="312">
        <v>179100</v>
      </c>
      <c r="I45" s="312">
        <v>54500</v>
      </c>
      <c r="K45" s="311">
        <f>F45/SUM(Z22:Z25)*SUM(X22:X25)</f>
        <v>2193.1810584091409</v>
      </c>
      <c r="L45" s="311">
        <f>F45/SUM(Z22:Z25)*SUM(Y22:Y25)</f>
        <v>12106.818941590858</v>
      </c>
      <c r="M45" s="311">
        <f>G45/SUM(AC22:AC25)*SUM(AA22:AA25)</f>
        <v>19455.255569326371</v>
      </c>
      <c r="N45" s="311">
        <f>G45/SUM(AC22:AC25)*SUM(AB22:AB25)</f>
        <v>39144.744430673629</v>
      </c>
      <c r="O45" s="162">
        <f t="shared" si="52"/>
        <v>0</v>
      </c>
      <c r="P45" s="311">
        <f t="shared" si="2"/>
        <v>170655.25556932637</v>
      </c>
      <c r="Q45" s="311">
        <f t="shared" si="3"/>
        <v>144344.74443067363</v>
      </c>
      <c r="R45" s="311">
        <f t="shared" si="4"/>
        <v>54500</v>
      </c>
      <c r="S45" s="311">
        <f t="shared" si="5"/>
        <v>6693.1810584091409</v>
      </c>
      <c r="T45" s="311">
        <f t="shared" si="6"/>
        <v>53706.818941590856</v>
      </c>
      <c r="U45" s="311">
        <f t="shared" si="7"/>
        <v>179100</v>
      </c>
      <c r="AE45" s="165">
        <v>30133</v>
      </c>
      <c r="AF45" s="277">
        <v>1447507</v>
      </c>
      <c r="AG45" s="277">
        <v>720421</v>
      </c>
      <c r="AH45" s="277">
        <v>486139</v>
      </c>
      <c r="AI45" s="277">
        <v>79337</v>
      </c>
      <c r="AJ45" s="277">
        <v>241185</v>
      </c>
      <c r="AK45" s="277">
        <v>1201330</v>
      </c>
      <c r="AT45" s="252">
        <f t="shared" ref="AT45:AY45" si="59">AF45/SUM(AF42:AF53)*AM53</f>
        <v>13943.561642265895</v>
      </c>
      <c r="AU45" s="252">
        <f t="shared" si="59"/>
        <v>7661.9981695791084</v>
      </c>
      <c r="AV45" s="252">
        <f t="shared" si="59"/>
        <v>4927.3251763945118</v>
      </c>
      <c r="AW45" s="252">
        <f t="shared" si="59"/>
        <v>715.3979461099658</v>
      </c>
      <c r="AX45" s="252">
        <f t="shared" si="59"/>
        <v>2589.8311814988556</v>
      </c>
      <c r="AY45" s="252">
        <f t="shared" si="59"/>
        <v>11549.481734864003</v>
      </c>
    </row>
    <row r="46" spans="1:59">
      <c r="AE46" s="165">
        <v>30164</v>
      </c>
      <c r="AF46" s="277">
        <v>1458958</v>
      </c>
      <c r="AG46" s="277">
        <v>742812</v>
      </c>
      <c r="AH46" s="277">
        <v>496419</v>
      </c>
      <c r="AI46" s="277">
        <v>85104</v>
      </c>
      <c r="AJ46" s="277">
        <v>281805</v>
      </c>
      <c r="AK46" s="277">
        <v>1407267</v>
      </c>
      <c r="AT46" s="252">
        <f t="shared" ref="AT46:AY46" si="60">AF46/SUM(AF42:AF53)*AM53</f>
        <v>14053.866963321741</v>
      </c>
      <c r="AU46" s="252">
        <f t="shared" si="60"/>
        <v>7900.1364262582529</v>
      </c>
      <c r="AV46" s="252">
        <f t="shared" si="60"/>
        <v>5031.5194558358553</v>
      </c>
      <c r="AW46" s="252">
        <f t="shared" si="60"/>
        <v>767.40016393035444</v>
      </c>
      <c r="AX46" s="252">
        <f t="shared" si="60"/>
        <v>3026.006493365197</v>
      </c>
      <c r="AY46" s="252">
        <f t="shared" si="60"/>
        <v>13529.342073016456</v>
      </c>
    </row>
    <row r="47" spans="1:59">
      <c r="AE47" s="165">
        <v>30195</v>
      </c>
      <c r="AF47" s="277">
        <v>1432762</v>
      </c>
      <c r="AG47" s="277">
        <v>762688</v>
      </c>
      <c r="AH47" s="277">
        <v>522277</v>
      </c>
      <c r="AI47" s="277">
        <v>91652</v>
      </c>
      <c r="AJ47" s="277">
        <v>331602</v>
      </c>
      <c r="AK47" s="277">
        <v>1594558</v>
      </c>
      <c r="AT47" s="252">
        <f t="shared" ref="AT47:AY47" si="61">AF47/SUM(AF42:AF53)*AM53</f>
        <v>13801.52584111591</v>
      </c>
      <c r="AU47" s="252">
        <f t="shared" si="61"/>
        <v>8111.526537899299</v>
      </c>
      <c r="AV47" s="252">
        <f t="shared" si="61"/>
        <v>5293.6065840259607</v>
      </c>
      <c r="AW47" s="252">
        <f t="shared" si="61"/>
        <v>826.44481839331695</v>
      </c>
      <c r="AX47" s="252">
        <f t="shared" si="61"/>
        <v>3560.7239233260093</v>
      </c>
      <c r="AY47" s="252">
        <f t="shared" si="61"/>
        <v>15329.941395104821</v>
      </c>
    </row>
    <row r="48" spans="1:59">
      <c r="AE48" s="165">
        <v>30225</v>
      </c>
      <c r="AF48" s="277">
        <v>1430129</v>
      </c>
      <c r="AG48" s="277">
        <v>772489</v>
      </c>
      <c r="AH48" s="277">
        <v>518117</v>
      </c>
      <c r="AI48" s="277">
        <v>97560</v>
      </c>
      <c r="AJ48" s="277">
        <v>373999</v>
      </c>
      <c r="AK48" s="277">
        <v>1765800</v>
      </c>
      <c r="AT48" s="252">
        <f t="shared" ref="AT48:AY48" si="62">AF48/SUM(AF42:AF53)*AM53</f>
        <v>13776.162649225242</v>
      </c>
      <c r="AU48" s="252">
        <f t="shared" si="62"/>
        <v>8215.7645377078061</v>
      </c>
      <c r="AV48" s="252">
        <f t="shared" si="62"/>
        <v>5251.4423619952213</v>
      </c>
      <c r="AW48" s="252">
        <f t="shared" si="62"/>
        <v>879.71846203522011</v>
      </c>
      <c r="AX48" s="252">
        <f t="shared" si="62"/>
        <v>4015.9805628434215</v>
      </c>
      <c r="AY48" s="252">
        <f t="shared" si="62"/>
        <v>16976.247032391479</v>
      </c>
    </row>
    <row r="49" spans="31:59">
      <c r="AE49" s="165">
        <v>30256</v>
      </c>
      <c r="AF49" s="277">
        <v>1377296</v>
      </c>
      <c r="AG49" s="277">
        <v>752429</v>
      </c>
      <c r="AH49" s="277">
        <v>515949</v>
      </c>
      <c r="AI49" s="277">
        <v>91122</v>
      </c>
      <c r="AJ49" s="277">
        <v>368964</v>
      </c>
      <c r="AK49" s="277">
        <v>1747348</v>
      </c>
      <c r="AT49" s="252">
        <f t="shared" ref="AT49:AY49" si="63">AF49/SUM(AF42:AF53)*AM53</f>
        <v>13267.232335074197</v>
      </c>
      <c r="AU49" s="252">
        <f t="shared" si="63"/>
        <v>8002.4175041236149</v>
      </c>
      <c r="AV49" s="252">
        <f t="shared" si="63"/>
        <v>5229.4683155138182</v>
      </c>
      <c r="AW49" s="252">
        <f t="shared" si="63"/>
        <v>821.6657000571272</v>
      </c>
      <c r="AX49" s="252">
        <f t="shared" si="63"/>
        <v>3961.9150115079456</v>
      </c>
      <c r="AY49" s="252">
        <f t="shared" si="63"/>
        <v>16798.851115389731</v>
      </c>
    </row>
    <row r="50" spans="31:59">
      <c r="AE50" s="165">
        <v>30286</v>
      </c>
      <c r="AF50" s="277">
        <v>1366031</v>
      </c>
      <c r="AG50" s="277">
        <v>738100</v>
      </c>
      <c r="AH50" s="277">
        <v>488741</v>
      </c>
      <c r="AI50" s="277">
        <v>88715</v>
      </c>
      <c r="AJ50" s="277">
        <v>367823</v>
      </c>
      <c r="AK50" s="277">
        <v>1807481</v>
      </c>
      <c r="AT50" s="252">
        <f t="shared" ref="AT50:AY50" si="64">AF50/SUM(AF42:AF53)*AM53</f>
        <v>13158.718716901627</v>
      </c>
      <c r="AU50" s="252">
        <f t="shared" si="64"/>
        <v>7850.0222078011884</v>
      </c>
      <c r="AV50" s="252">
        <f t="shared" si="64"/>
        <v>4953.6980864243151</v>
      </c>
      <c r="AW50" s="252">
        <f t="shared" si="64"/>
        <v>799.96128904729972</v>
      </c>
      <c r="AX50" s="252">
        <f t="shared" si="64"/>
        <v>3949.6630166571454</v>
      </c>
      <c r="AY50" s="252">
        <f t="shared" si="64"/>
        <v>17376.964527326982</v>
      </c>
      <c r="BA50" s="252">
        <f t="shared" ref="BA50" si="65">SUM(AT39:AT50)</f>
        <v>150629.20707459716</v>
      </c>
      <c r="BB50" s="252">
        <f t="shared" ref="BB50:BF50" si="66">SUM(AU39:AU50)</f>
        <v>88815.323078094254</v>
      </c>
      <c r="BC50" s="252">
        <f t="shared" si="66"/>
        <v>59856.03054852847</v>
      </c>
      <c r="BD50" s="252">
        <f t="shared" si="66"/>
        <v>8977.4687017422184</v>
      </c>
      <c r="BE50" s="252">
        <f t="shared" si="66"/>
        <v>38002.978006268924</v>
      </c>
      <c r="BF50" s="252">
        <f t="shared" si="66"/>
        <v>156329.41885343147</v>
      </c>
      <c r="BG50" s="252">
        <f t="shared" ref="BG50" si="67">SUM(BA50:BF50)</f>
        <v>502610.42626266251</v>
      </c>
    </row>
    <row r="51" spans="31:59">
      <c r="AE51" s="165">
        <v>30317</v>
      </c>
      <c r="AF51" s="277">
        <v>951397</v>
      </c>
      <c r="AG51" s="277">
        <v>504338</v>
      </c>
      <c r="AH51" s="277">
        <v>345139</v>
      </c>
      <c r="AI51" s="277">
        <v>63045</v>
      </c>
      <c r="AJ51" s="277">
        <v>254294</v>
      </c>
      <c r="AK51" s="277">
        <v>1262648</v>
      </c>
      <c r="AT51" s="252">
        <f t="shared" ref="AT51:AY51" si="68">AF51/SUM(AF42:AF53)*AM53</f>
        <v>9164.6276776325412</v>
      </c>
      <c r="AU51" s="252">
        <f t="shared" si="68"/>
        <v>5363.8592334887353</v>
      </c>
      <c r="AV51" s="252">
        <f t="shared" si="68"/>
        <v>3498.2013046795778</v>
      </c>
      <c r="AW51" s="252">
        <f t="shared" si="68"/>
        <v>568.48965189637613</v>
      </c>
      <c r="AX51" s="252">
        <f t="shared" si="68"/>
        <v>2730.5948979748741</v>
      </c>
      <c r="AY51" s="252">
        <f t="shared" si="68"/>
        <v>12138.987633341849</v>
      </c>
    </row>
    <row r="52" spans="31:59">
      <c r="AE52" s="165">
        <v>30348</v>
      </c>
      <c r="AF52" s="277">
        <v>1098991</v>
      </c>
      <c r="AG52" s="277">
        <v>586841</v>
      </c>
      <c r="AH52" s="277">
        <v>423904</v>
      </c>
      <c r="AI52" s="277">
        <v>69930</v>
      </c>
      <c r="AJ52" s="277">
        <v>281810</v>
      </c>
      <c r="AK52" s="277">
        <v>1466686</v>
      </c>
      <c r="AT52" s="252">
        <f t="shared" ref="AT52:AY52" si="69">AF52/SUM(AF42:AF53)*AM53</f>
        <v>10586.372813945243</v>
      </c>
      <c r="AU52" s="252">
        <f t="shared" si="69"/>
        <v>6241.3153806371192</v>
      </c>
      <c r="AV52" s="252">
        <f t="shared" si="69"/>
        <v>4296.5342249322493</v>
      </c>
      <c r="AW52" s="252">
        <f t="shared" si="69"/>
        <v>630.57310424480272</v>
      </c>
      <c r="AX52" s="252">
        <f t="shared" si="69"/>
        <v>3026.0601830884698</v>
      </c>
      <c r="AY52" s="252">
        <f t="shared" si="69"/>
        <v>14100.591151291273</v>
      </c>
    </row>
    <row r="53" spans="31:59">
      <c r="AE53" s="165">
        <v>30376</v>
      </c>
      <c r="AF53" s="277">
        <v>1243921</v>
      </c>
      <c r="AG53" s="277">
        <v>659706</v>
      </c>
      <c r="AH53" s="277">
        <v>494199</v>
      </c>
      <c r="AI53" s="277">
        <v>74080</v>
      </c>
      <c r="AJ53" s="277">
        <v>284749</v>
      </c>
      <c r="AK53" s="277">
        <v>1441018</v>
      </c>
      <c r="AM53" s="277">
        <v>152239</v>
      </c>
      <c r="AN53" s="277">
        <v>87975</v>
      </c>
      <c r="AO53" s="277">
        <v>57743</v>
      </c>
      <c r="AP53" s="277">
        <v>8713</v>
      </c>
      <c r="AQ53" s="277">
        <v>37011</v>
      </c>
      <c r="AR53" s="277">
        <v>157008</v>
      </c>
      <c r="AT53" s="252">
        <f t="shared" ref="AT53:AY53" si="70">AF53/SUM(AF42:AF53)*AM53</f>
        <v>11982.456141220066</v>
      </c>
      <c r="AU53" s="252">
        <f t="shared" si="70"/>
        <v>7016.2671055679311</v>
      </c>
      <c r="AV53" s="252">
        <f t="shared" si="70"/>
        <v>5009.0183565790676</v>
      </c>
      <c r="AW53" s="252">
        <f t="shared" si="70"/>
        <v>667.99450253760881</v>
      </c>
      <c r="AX53" s="252">
        <f t="shared" si="70"/>
        <v>3057.6190024280854</v>
      </c>
      <c r="AY53" s="252">
        <f t="shared" si="70"/>
        <v>13853.821240300545</v>
      </c>
      <c r="AZ53" s="25">
        <f t="shared" ref="AZ53" si="71">SUM(AT42:AY53)-SUM(AM53:AR53)</f>
        <v>0</v>
      </c>
    </row>
    <row r="54" spans="31:59">
      <c r="AE54" s="165">
        <v>30407</v>
      </c>
      <c r="AF54" s="277">
        <v>1271627</v>
      </c>
      <c r="AG54" s="277">
        <v>644702</v>
      </c>
      <c r="AH54" s="277">
        <v>452673</v>
      </c>
      <c r="AI54" s="277">
        <v>70036</v>
      </c>
      <c r="AJ54" s="277">
        <v>230494</v>
      </c>
      <c r="AK54" s="277">
        <v>949473</v>
      </c>
      <c r="AT54" s="252">
        <f t="shared" ref="AT54" si="72">AF54/SUM(AF54:AF65)*AM65</f>
        <v>11949.752358008394</v>
      </c>
      <c r="AU54" s="252">
        <f t="shared" ref="AU54:AY54" si="73">AG54/SUM(AG54:AG65)*AN65</f>
        <v>7094.7553038124834</v>
      </c>
      <c r="AV54" s="252">
        <f t="shared" si="73"/>
        <v>3745.3266228192069</v>
      </c>
      <c r="AW54" s="252">
        <f t="shared" si="73"/>
        <v>860.1600469617573</v>
      </c>
      <c r="AX54" s="252">
        <f t="shared" si="73"/>
        <v>2355.0992360063287</v>
      </c>
      <c r="AY54" s="252">
        <f t="shared" si="73"/>
        <v>9618.6048951360353</v>
      </c>
    </row>
    <row r="55" spans="31:59">
      <c r="AE55" s="165">
        <v>30437</v>
      </c>
      <c r="AF55" s="277">
        <v>1267121</v>
      </c>
      <c r="AG55" s="277">
        <v>650085</v>
      </c>
      <c r="AH55" s="277">
        <v>455132</v>
      </c>
      <c r="AI55" s="277">
        <v>64779</v>
      </c>
      <c r="AJ55" s="277">
        <v>196301</v>
      </c>
      <c r="AK55" s="277">
        <v>911364</v>
      </c>
      <c r="AT55" s="252">
        <f t="shared" ref="AT55:AY55" si="74">AF55/SUM(AF54:AF65)*AM65</f>
        <v>11907.408507079477</v>
      </c>
      <c r="AU55" s="252">
        <f t="shared" si="74"/>
        <v>7153.9936306680274</v>
      </c>
      <c r="AV55" s="252">
        <f t="shared" si="74"/>
        <v>3765.6719011227783</v>
      </c>
      <c r="AW55" s="252">
        <f t="shared" si="74"/>
        <v>795.59523219680852</v>
      </c>
      <c r="AX55" s="252">
        <f t="shared" si="74"/>
        <v>2005.7282841517708</v>
      </c>
      <c r="AY55" s="252">
        <f t="shared" si="74"/>
        <v>9232.5429281830639</v>
      </c>
    </row>
    <row r="56" spans="31:59">
      <c r="AE56" s="165">
        <v>30468</v>
      </c>
      <c r="AF56" s="277">
        <v>1294343</v>
      </c>
      <c r="AG56" s="277">
        <v>677920</v>
      </c>
      <c r="AH56" s="277">
        <v>436934</v>
      </c>
      <c r="AI56" s="277">
        <v>60720</v>
      </c>
      <c r="AJ56" s="277">
        <v>193984</v>
      </c>
      <c r="AK56" s="277">
        <v>984225</v>
      </c>
      <c r="AT56" s="252">
        <f t="shared" ref="AT56:AY56" si="75">AF56/SUM(AF54:AF65)*AM65</f>
        <v>12163.219494648712</v>
      </c>
      <c r="AU56" s="252">
        <f t="shared" si="75"/>
        <v>7460.309593518492</v>
      </c>
      <c r="AV56" s="252">
        <f t="shared" si="75"/>
        <v>3615.1052583540159</v>
      </c>
      <c r="AW56" s="252">
        <f t="shared" si="75"/>
        <v>745.74387531437992</v>
      </c>
      <c r="AX56" s="252">
        <f t="shared" si="75"/>
        <v>1982.0540673399378</v>
      </c>
      <c r="AY56" s="252">
        <f t="shared" si="75"/>
        <v>9970.6588843656064</v>
      </c>
    </row>
    <row r="57" spans="31:59">
      <c r="AE57" s="165">
        <v>30498</v>
      </c>
      <c r="AF57" s="277">
        <v>1341185</v>
      </c>
      <c r="AG57" s="277">
        <v>715967</v>
      </c>
      <c r="AH57" s="277">
        <v>442956</v>
      </c>
      <c r="AI57" s="277">
        <v>58765</v>
      </c>
      <c r="AJ57" s="277">
        <v>213867</v>
      </c>
      <c r="AK57" s="277">
        <v>1142720</v>
      </c>
      <c r="AT57" s="252">
        <f t="shared" ref="AT57:AY57" si="76">AF57/SUM(AF54:AF65)*AM65</f>
        <v>12603.403841122821</v>
      </c>
      <c r="AU57" s="252">
        <f t="shared" si="76"/>
        <v>7879.0056035264552</v>
      </c>
      <c r="AV57" s="252">
        <f t="shared" si="76"/>
        <v>3664.9300920035098</v>
      </c>
      <c r="AW57" s="252">
        <f t="shared" si="76"/>
        <v>721.73318235918214</v>
      </c>
      <c r="AX57" s="252">
        <f t="shared" si="76"/>
        <v>2185.2109309004372</v>
      </c>
      <c r="AY57" s="252">
        <f t="shared" si="76"/>
        <v>11576.28725173844</v>
      </c>
    </row>
    <row r="58" spans="31:59">
      <c r="AE58" s="165">
        <v>30529</v>
      </c>
      <c r="AF58" s="277">
        <v>1346866</v>
      </c>
      <c r="AG58" s="277">
        <v>740296</v>
      </c>
      <c r="AH58" s="277">
        <v>459196</v>
      </c>
      <c r="AI58" s="277">
        <v>60484</v>
      </c>
      <c r="AJ58" s="277">
        <v>254136</v>
      </c>
      <c r="AK58" s="277">
        <v>1295645</v>
      </c>
      <c r="AT58" s="252">
        <f t="shared" ref="AT58:AY58" si="77">AF58/SUM(AF54:AF65)*AM65</f>
        <v>12656.789419712963</v>
      </c>
      <c r="AU58" s="252">
        <f t="shared" si="77"/>
        <v>8146.7390707507757</v>
      </c>
      <c r="AV58" s="252">
        <f t="shared" si="77"/>
        <v>3799.296631104768</v>
      </c>
      <c r="AW58" s="252">
        <f t="shared" si="77"/>
        <v>742.84539780162959</v>
      </c>
      <c r="AX58" s="252">
        <f t="shared" si="77"/>
        <v>2596.6641189866295</v>
      </c>
      <c r="AY58" s="252">
        <f t="shared" si="77"/>
        <v>13125.488917913968</v>
      </c>
    </row>
    <row r="59" spans="31:59">
      <c r="AE59" s="165">
        <v>30560</v>
      </c>
      <c r="AF59" s="277">
        <v>1319085</v>
      </c>
      <c r="AG59" s="277">
        <v>763849</v>
      </c>
      <c r="AH59" s="277">
        <v>480279</v>
      </c>
      <c r="AI59" s="277">
        <v>65208</v>
      </c>
      <c r="AJ59" s="277">
        <v>296595</v>
      </c>
      <c r="AK59" s="277">
        <v>1439510</v>
      </c>
      <c r="AT59" s="252">
        <f t="shared" ref="AT59:AY59" si="78">AF59/SUM(AF54:AF65)*AM65</f>
        <v>12395.725388941493</v>
      </c>
      <c r="AU59" s="252">
        <f t="shared" si="78"/>
        <v>8405.9328869180827</v>
      </c>
      <c r="AV59" s="252">
        <f t="shared" si="78"/>
        <v>3973.7331916880089</v>
      </c>
      <c r="AW59" s="252">
        <f t="shared" si="78"/>
        <v>800.86407479413845</v>
      </c>
      <c r="AX59" s="252">
        <f t="shared" si="78"/>
        <v>3030.4938866230659</v>
      </c>
      <c r="AY59" s="252">
        <f t="shared" si="78"/>
        <v>14582.908553057618</v>
      </c>
    </row>
    <row r="60" spans="31:59">
      <c r="AE60" s="165">
        <v>30590</v>
      </c>
      <c r="AF60" s="277">
        <v>1318285</v>
      </c>
      <c r="AG60" s="277">
        <v>792192</v>
      </c>
      <c r="AH60" s="277">
        <v>477336</v>
      </c>
      <c r="AI60" s="277">
        <v>70707</v>
      </c>
      <c r="AJ60" s="277">
        <v>335321</v>
      </c>
      <c r="AK60" s="277">
        <v>1589933</v>
      </c>
      <c r="AT60" s="252">
        <f t="shared" ref="AT60:AY60" si="79">AF60/SUM(AF54:AF65)*AM65</f>
        <v>12388.20761691683</v>
      </c>
      <c r="AU60" s="252">
        <f t="shared" si="79"/>
        <v>8717.8392398934993</v>
      </c>
      <c r="AV60" s="252">
        <f t="shared" si="79"/>
        <v>3949.3833933767405</v>
      </c>
      <c r="AW60" s="252">
        <f t="shared" si="79"/>
        <v>868.40105717809388</v>
      </c>
      <c r="AX60" s="252">
        <f t="shared" si="79"/>
        <v>3426.1812928617578</v>
      </c>
      <c r="AY60" s="252">
        <f t="shared" si="79"/>
        <v>16106.763790795865</v>
      </c>
    </row>
    <row r="61" spans="31:59">
      <c r="AE61" s="165">
        <v>30621</v>
      </c>
      <c r="AF61" s="277">
        <v>1265735</v>
      </c>
      <c r="AG61" s="277">
        <v>794141</v>
      </c>
      <c r="AH61" s="277">
        <v>468099</v>
      </c>
      <c r="AI61" s="277">
        <v>67654</v>
      </c>
      <c r="AJ61" s="277">
        <v>345588</v>
      </c>
      <c r="AK61" s="277">
        <v>1610043</v>
      </c>
      <c r="AT61" s="252">
        <f t="shared" ref="AT61:AY61" si="80">AF61/SUM(AF54:AF65)*AM65</f>
        <v>11894.383967046748</v>
      </c>
      <c r="AU61" s="252">
        <f t="shared" si="80"/>
        <v>8739.2874098807661</v>
      </c>
      <c r="AV61" s="252">
        <f t="shared" si="80"/>
        <v>3872.9582873620652</v>
      </c>
      <c r="AW61" s="252">
        <f t="shared" si="80"/>
        <v>830.90507477798189</v>
      </c>
      <c r="AX61" s="252">
        <f t="shared" si="80"/>
        <v>3531.0855587258452</v>
      </c>
      <c r="AY61" s="252">
        <f t="shared" si="80"/>
        <v>16310.487482192237</v>
      </c>
    </row>
    <row r="62" spans="31:59">
      <c r="AE62" s="165">
        <v>30651</v>
      </c>
      <c r="AF62" s="277">
        <v>1253344</v>
      </c>
      <c r="AG62" s="277">
        <v>792836</v>
      </c>
      <c r="AH62" s="277">
        <v>474420</v>
      </c>
      <c r="AI62" s="277">
        <v>65754</v>
      </c>
      <c r="AJ62" s="277">
        <v>356625</v>
      </c>
      <c r="AK62" s="277">
        <v>1687771</v>
      </c>
      <c r="AT62" s="252">
        <f t="shared" ref="AT62:AY62" si="81">AF62/SUM(AF54:AF65)*AM65</f>
        <v>11777.943075599742</v>
      </c>
      <c r="AU62" s="252">
        <f t="shared" si="81"/>
        <v>8724.926269894424</v>
      </c>
      <c r="AV62" s="252">
        <f t="shared" si="81"/>
        <v>3925.2569877105288</v>
      </c>
      <c r="AW62" s="252">
        <f t="shared" si="81"/>
        <v>807.56987446346727</v>
      </c>
      <c r="AX62" s="252">
        <f t="shared" si="81"/>
        <v>3643.8573890893335</v>
      </c>
      <c r="AY62" s="252">
        <f t="shared" si="81"/>
        <v>17097.90842127016</v>
      </c>
      <c r="BA62" s="252">
        <f t="shared" ref="BA62" si="82">SUM(AT51:AT62)</f>
        <v>141470.29030187501</v>
      </c>
      <c r="BB62" s="252">
        <f t="shared" ref="BB62:BF62" si="83">SUM(AU51:AU62)</f>
        <v>90944.23072855678</v>
      </c>
      <c r="BC62" s="252">
        <f t="shared" si="83"/>
        <v>47115.416251732517</v>
      </c>
      <c r="BD62" s="252">
        <f t="shared" si="83"/>
        <v>9040.8750745262241</v>
      </c>
      <c r="BE62" s="252">
        <f t="shared" si="83"/>
        <v>33570.648848176534</v>
      </c>
      <c r="BF62" s="252">
        <f t="shared" si="83"/>
        <v>157715.05114958668</v>
      </c>
      <c r="BG62" s="252">
        <f t="shared" ref="BG62" si="84">SUM(BA62:BF62)</f>
        <v>479856.51235445373</v>
      </c>
    </row>
    <row r="63" spans="31:59">
      <c r="AE63" s="165">
        <v>30682</v>
      </c>
      <c r="AF63" s="277">
        <v>878797</v>
      </c>
      <c r="AG63" s="277">
        <v>555426</v>
      </c>
      <c r="AH63" s="277">
        <v>332103</v>
      </c>
      <c r="AI63" s="277">
        <v>47720</v>
      </c>
      <c r="AJ63" s="277">
        <v>249416</v>
      </c>
      <c r="AK63" s="277">
        <v>1182324</v>
      </c>
      <c r="AT63" s="252">
        <f t="shared" ref="AT63:AY63" si="85">AF63/SUM(AF54:AF65)*AM65</f>
        <v>8258.2443774477124</v>
      </c>
      <c r="AU63" s="252">
        <f t="shared" si="85"/>
        <v>6112.2992628770389</v>
      </c>
      <c r="AV63" s="252">
        <f t="shared" si="85"/>
        <v>2747.7543556123896</v>
      </c>
      <c r="AW63" s="252">
        <f t="shared" si="85"/>
        <v>586.08197842559639</v>
      </c>
      <c r="AX63" s="252">
        <f t="shared" si="85"/>
        <v>2548.4369703669272</v>
      </c>
      <c r="AY63" s="252">
        <f t="shared" si="85"/>
        <v>11977.494266858372</v>
      </c>
    </row>
    <row r="64" spans="31:59">
      <c r="AE64" s="165">
        <v>30713</v>
      </c>
      <c r="AF64" s="277">
        <v>1025020</v>
      </c>
      <c r="AG64" s="277">
        <v>655771</v>
      </c>
      <c r="AH64" s="277">
        <v>402102</v>
      </c>
      <c r="AI64" s="277">
        <v>53807</v>
      </c>
      <c r="AJ64" s="277">
        <v>274505</v>
      </c>
      <c r="AK64" s="277">
        <v>1370659</v>
      </c>
      <c r="AT64" s="252">
        <f t="shared" ref="AT64:AY64" si="86">AF64/SUM(AF54:AF65)*AM65</f>
        <v>9632.3333509006698</v>
      </c>
      <c r="AU64" s="252">
        <f t="shared" si="86"/>
        <v>7216.5663831295942</v>
      </c>
      <c r="AV64" s="252">
        <f t="shared" si="86"/>
        <v>3326.9121986264895</v>
      </c>
      <c r="AW64" s="252">
        <f t="shared" si="86"/>
        <v>660.84059122267513</v>
      </c>
      <c r="AX64" s="252">
        <f t="shared" si="86"/>
        <v>2804.7867440363616</v>
      </c>
      <c r="AY64" s="252">
        <f t="shared" si="86"/>
        <v>13885.415769550333</v>
      </c>
    </row>
    <row r="65" spans="31:59">
      <c r="AE65" s="165">
        <v>30742</v>
      </c>
      <c r="AF65" s="277">
        <v>1180838</v>
      </c>
      <c r="AG65" s="277">
        <v>751619</v>
      </c>
      <c r="AH65" s="277">
        <v>476283</v>
      </c>
      <c r="AI65" s="277">
        <v>57098</v>
      </c>
      <c r="AJ65" s="277">
        <v>275446</v>
      </c>
      <c r="AK65" s="277">
        <v>1330979</v>
      </c>
      <c r="AM65" s="277">
        <v>138724</v>
      </c>
      <c r="AN65" s="277">
        <v>93923</v>
      </c>
      <c r="AO65" s="277">
        <v>44327</v>
      </c>
      <c r="AP65" s="277">
        <v>9122</v>
      </c>
      <c r="AQ65" s="277">
        <v>32924</v>
      </c>
      <c r="AR65" s="277">
        <v>156968</v>
      </c>
      <c r="AT65" s="252">
        <f t="shared" ref="AT65:AY65" si="87">AF65/SUM(AF54:AF65)*AM65</f>
        <v>11096.588602574431</v>
      </c>
      <c r="AU65" s="252">
        <f t="shared" si="87"/>
        <v>8271.3453451303631</v>
      </c>
      <c r="AV65" s="252">
        <f t="shared" si="87"/>
        <v>3940.6710802194975</v>
      </c>
      <c r="AW65" s="252">
        <f t="shared" si="87"/>
        <v>701.25961450428963</v>
      </c>
      <c r="AX65" s="252">
        <f t="shared" si="87"/>
        <v>2814.4015209116033</v>
      </c>
      <c r="AY65" s="252">
        <f t="shared" si="87"/>
        <v>13483.4388389383</v>
      </c>
      <c r="AZ65" s="25">
        <f t="shared" ref="AZ65" si="88">SUM(AT54:AY65)-SUM(AM65:AR65)</f>
        <v>0</v>
      </c>
    </row>
    <row r="66" spans="31:59">
      <c r="AE66" s="165">
        <v>30773</v>
      </c>
      <c r="AF66" s="277">
        <v>1243538</v>
      </c>
      <c r="AG66" s="277">
        <v>752434</v>
      </c>
      <c r="AH66" s="277">
        <v>443892</v>
      </c>
      <c r="AI66" s="277">
        <v>54851</v>
      </c>
      <c r="AJ66" s="277">
        <v>226648</v>
      </c>
      <c r="AK66" s="277">
        <v>901401</v>
      </c>
      <c r="AT66" s="252">
        <f t="shared" ref="AT66" si="89">AF66/SUM(AF66:AF77)*AM77</f>
        <v>11652.646214973416</v>
      </c>
      <c r="AU66" s="252">
        <f t="shared" ref="AU66:AY66" si="90">AG66/SUM(AG66:AG77)*AN77</f>
        <v>8041.9234087581508</v>
      </c>
      <c r="AV66" s="252">
        <f t="shared" si="90"/>
        <v>3814.5822278143737</v>
      </c>
      <c r="AW66" s="252">
        <f t="shared" si="90"/>
        <v>647.70789700983016</v>
      </c>
      <c r="AX66" s="252">
        <f t="shared" si="90"/>
        <v>2320.5489007926408</v>
      </c>
      <c r="AY66" s="252">
        <f t="shared" si="90"/>
        <v>9201.9878279246441</v>
      </c>
    </row>
    <row r="67" spans="31:59">
      <c r="AE67" s="165">
        <v>30803</v>
      </c>
      <c r="AF67" s="277">
        <v>1283805</v>
      </c>
      <c r="AG67" s="277">
        <v>758527</v>
      </c>
      <c r="AH67" s="277">
        <v>464039</v>
      </c>
      <c r="AI67" s="277">
        <v>52610</v>
      </c>
      <c r="AJ67" s="277">
        <v>191427</v>
      </c>
      <c r="AK67" s="277">
        <v>912067</v>
      </c>
      <c r="AT67" s="252">
        <f t="shared" ref="AT67:AY67" si="91">AF67/SUM(AF66:AF77)*AM77</f>
        <v>12029.970514784387</v>
      </c>
      <c r="AU67" s="252">
        <f t="shared" si="91"/>
        <v>8107.0446543817716</v>
      </c>
      <c r="AV67" s="252">
        <f t="shared" si="91"/>
        <v>3987.7153055534995</v>
      </c>
      <c r="AW67" s="252">
        <f t="shared" si="91"/>
        <v>621.24505408629125</v>
      </c>
      <c r="AX67" s="252">
        <f t="shared" si="91"/>
        <v>1959.9366172745085</v>
      </c>
      <c r="AY67" s="252">
        <f t="shared" si="91"/>
        <v>9310.872111581577</v>
      </c>
    </row>
    <row r="68" spans="31:59">
      <c r="AE68" s="165">
        <v>30834</v>
      </c>
      <c r="AF68" s="277">
        <v>1338484</v>
      </c>
      <c r="AG68" s="277">
        <v>796876</v>
      </c>
      <c r="AH68" s="277">
        <v>440433</v>
      </c>
      <c r="AI68" s="277">
        <v>51141</v>
      </c>
      <c r="AJ68" s="277">
        <v>194939</v>
      </c>
      <c r="AK68" s="277">
        <v>1012519</v>
      </c>
      <c r="AT68" s="252">
        <f t="shared" ref="AT68:AY68" si="92">AF68/SUM(AF66:AF77)*AM77</f>
        <v>12542.343311103061</v>
      </c>
      <c r="AU68" s="252">
        <f t="shared" si="92"/>
        <v>8516.9141190822866</v>
      </c>
      <c r="AV68" s="252">
        <f t="shared" si="92"/>
        <v>3784.8573399452293</v>
      </c>
      <c r="AW68" s="252">
        <f t="shared" si="92"/>
        <v>603.89837124172254</v>
      </c>
      <c r="AX68" s="252">
        <f t="shared" si="92"/>
        <v>1995.8944361812876</v>
      </c>
      <c r="AY68" s="252">
        <f t="shared" si="92"/>
        <v>10336.34033414921</v>
      </c>
    </row>
    <row r="69" spans="31:59">
      <c r="AE69" s="165">
        <v>30864</v>
      </c>
      <c r="AF69" s="277">
        <v>1392154</v>
      </c>
      <c r="AG69" s="277">
        <v>841884</v>
      </c>
      <c r="AH69" s="277">
        <v>448407</v>
      </c>
      <c r="AI69" s="277">
        <v>54024</v>
      </c>
      <c r="AJ69" s="277">
        <v>217935</v>
      </c>
      <c r="AK69" s="277">
        <v>1163595</v>
      </c>
      <c r="AT69" s="252">
        <f t="shared" ref="AT69:AY69" si="93">AF69/SUM(AF66:AF77)*AM77</f>
        <v>13045.261213376752</v>
      </c>
      <c r="AU69" s="252">
        <f t="shared" si="93"/>
        <v>8997.9541688160662</v>
      </c>
      <c r="AV69" s="252">
        <f t="shared" si="93"/>
        <v>3853.381842942787</v>
      </c>
      <c r="AW69" s="252">
        <f t="shared" si="93"/>
        <v>637.94226956772093</v>
      </c>
      <c r="AX69" s="252">
        <f t="shared" si="93"/>
        <v>2231.3403369729454</v>
      </c>
      <c r="AY69" s="252">
        <f t="shared" si="93"/>
        <v>11878.60566677203</v>
      </c>
    </row>
    <row r="70" spans="31:59">
      <c r="AE70" s="165">
        <v>30895</v>
      </c>
      <c r="AF70" s="277">
        <v>1397281</v>
      </c>
      <c r="AG70" s="277">
        <v>873126</v>
      </c>
      <c r="AH70" s="277">
        <v>451840</v>
      </c>
      <c r="AI70" s="277">
        <v>60786</v>
      </c>
      <c r="AJ70" s="277">
        <v>248983</v>
      </c>
      <c r="AK70" s="277">
        <v>1287935</v>
      </c>
      <c r="AT70" s="252">
        <f t="shared" ref="AT70:AY70" si="94">AF70/SUM(AF66:AF77)*AM77</f>
        <v>13093.304069440796</v>
      </c>
      <c r="AU70" s="252">
        <f t="shared" si="94"/>
        <v>9331.864878773913</v>
      </c>
      <c r="AV70" s="252">
        <f t="shared" si="94"/>
        <v>3882.8833000271384</v>
      </c>
      <c r="AW70" s="252">
        <f t="shared" si="94"/>
        <v>717.79132974129061</v>
      </c>
      <c r="AX70" s="252">
        <f t="shared" si="94"/>
        <v>2549.227114141991</v>
      </c>
      <c r="AY70" s="252">
        <f t="shared" si="94"/>
        <v>13147.935483939029</v>
      </c>
    </row>
    <row r="71" spans="31:59">
      <c r="AE71" s="165">
        <v>30926</v>
      </c>
      <c r="AF71" s="277">
        <v>1369710</v>
      </c>
      <c r="AG71" s="277">
        <v>900118</v>
      </c>
      <c r="AH71" s="277">
        <v>460078</v>
      </c>
      <c r="AI71" s="277">
        <v>65726</v>
      </c>
      <c r="AJ71" s="277">
        <v>280704</v>
      </c>
      <c r="AK71" s="277">
        <v>1426832</v>
      </c>
      <c r="AT71" s="252">
        <f t="shared" ref="AT71:AY71" si="95">AF71/SUM(AF66:AF77)*AM77</f>
        <v>12834.948386869752</v>
      </c>
      <c r="AU71" s="252">
        <f t="shared" si="95"/>
        <v>9620.3521037653391</v>
      </c>
      <c r="AV71" s="252">
        <f t="shared" si="95"/>
        <v>3953.6764848395137</v>
      </c>
      <c r="AW71" s="252">
        <f t="shared" si="95"/>
        <v>776.12530744869002</v>
      </c>
      <c r="AX71" s="252">
        <f t="shared" si="95"/>
        <v>2874.0044414603144</v>
      </c>
      <c r="AY71" s="252">
        <f t="shared" si="95"/>
        <v>14565.871012449925</v>
      </c>
    </row>
    <row r="72" spans="31:59">
      <c r="AE72" s="165">
        <v>30956</v>
      </c>
      <c r="AF72" s="277">
        <v>1370981</v>
      </c>
      <c r="AG72" s="277">
        <v>918583</v>
      </c>
      <c r="AH72" s="277">
        <v>441126</v>
      </c>
      <c r="AI72" s="277">
        <v>70103</v>
      </c>
      <c r="AJ72" s="277">
        <v>313106</v>
      </c>
      <c r="AK72" s="277">
        <v>1588907</v>
      </c>
      <c r="AT72" s="252">
        <f t="shared" ref="AT72:AY72" si="96">AF72/SUM(AF66:AF77)*AM77</f>
        <v>12846.858367376362</v>
      </c>
      <c r="AU72" s="252">
        <f t="shared" si="96"/>
        <v>9817.7037860959081</v>
      </c>
      <c r="AV72" s="252">
        <f t="shared" si="96"/>
        <v>3790.8126297091262</v>
      </c>
      <c r="AW72" s="252">
        <f t="shared" si="96"/>
        <v>827.81110105704761</v>
      </c>
      <c r="AX72" s="252">
        <f t="shared" si="96"/>
        <v>3205.754227399229</v>
      </c>
      <c r="AY72" s="252">
        <f t="shared" si="96"/>
        <v>16220.420072425324</v>
      </c>
    </row>
    <row r="73" spans="31:59">
      <c r="AE73" s="165">
        <v>30987</v>
      </c>
      <c r="AF73" s="277">
        <v>1305033</v>
      </c>
      <c r="AG73" s="277">
        <v>899054</v>
      </c>
      <c r="AH73" s="277">
        <v>436237</v>
      </c>
      <c r="AI73" s="277">
        <v>70177</v>
      </c>
      <c r="AJ73" s="277">
        <v>320381</v>
      </c>
      <c r="AK73" s="277">
        <v>1612003</v>
      </c>
      <c r="AT73" s="252">
        <f t="shared" ref="AT73:AY73" si="97">AF73/SUM(AF66:AF77)*AM77</f>
        <v>12228.888741530538</v>
      </c>
      <c r="AU73" s="252">
        <f t="shared" si="97"/>
        <v>9608.9802007055114</v>
      </c>
      <c r="AV73" s="252">
        <f t="shared" si="97"/>
        <v>3748.799048676387</v>
      </c>
      <c r="AW73" s="252">
        <f t="shared" si="97"/>
        <v>828.68492987290756</v>
      </c>
      <c r="AX73" s="252">
        <f t="shared" si="97"/>
        <v>3280.2397435002599</v>
      </c>
      <c r="AY73" s="252">
        <f t="shared" si="97"/>
        <v>16456.196503640451</v>
      </c>
    </row>
    <row r="74" spans="31:59">
      <c r="AE74" s="165">
        <v>31017</v>
      </c>
      <c r="AF74" s="277">
        <v>1282039</v>
      </c>
      <c r="AG74" s="277">
        <v>884962</v>
      </c>
      <c r="AH74" s="277">
        <v>422368</v>
      </c>
      <c r="AI74" s="277">
        <v>71416</v>
      </c>
      <c r="AJ74" s="277">
        <v>327099</v>
      </c>
      <c r="AK74" s="277">
        <v>1660130</v>
      </c>
      <c r="AT74" s="252">
        <f t="shared" ref="AT74:AY74" si="98">AF74/SUM(AF66:AF77)*AM77</f>
        <v>12013.422107565915</v>
      </c>
      <c r="AU74" s="252">
        <f t="shared" si="98"/>
        <v>9458.3666124356841</v>
      </c>
      <c r="AV74" s="252">
        <f t="shared" si="98"/>
        <v>3629.61591197296</v>
      </c>
      <c r="AW74" s="252">
        <f t="shared" si="98"/>
        <v>843.31565828980376</v>
      </c>
      <c r="AX74" s="252">
        <f t="shared" si="98"/>
        <v>3349.0223822860639</v>
      </c>
      <c r="AY74" s="252">
        <f t="shared" si="98"/>
        <v>16947.50289024811</v>
      </c>
      <c r="BA74" s="252">
        <f t="shared" ref="BA74" si="99">SUM(AT63:AT74)</f>
        <v>141274.80925794379</v>
      </c>
      <c r="BB74" s="252">
        <f t="shared" ref="BB74:BF74" si="100">SUM(AU63:AU74)</f>
        <v>103101.31492395164</v>
      </c>
      <c r="BC74" s="252">
        <f t="shared" si="100"/>
        <v>44461.661725939397</v>
      </c>
      <c r="BD74" s="252">
        <f t="shared" si="100"/>
        <v>8452.7041024678656</v>
      </c>
      <c r="BE74" s="252">
        <f t="shared" si="100"/>
        <v>31933.593435324135</v>
      </c>
      <c r="BF74" s="252">
        <f t="shared" si="100"/>
        <v>157412.08077847731</v>
      </c>
      <c r="BG74" s="252">
        <f t="shared" ref="BG74" si="101">SUM(BA74:BF74)</f>
        <v>486636.16422410414</v>
      </c>
    </row>
    <row r="75" spans="31:59">
      <c r="AE75" s="165">
        <v>31048</v>
      </c>
      <c r="AF75" s="277">
        <v>906050</v>
      </c>
      <c r="AG75" s="277">
        <v>625140</v>
      </c>
      <c r="AH75" s="277">
        <v>290249</v>
      </c>
      <c r="AI75" s="277">
        <v>51197</v>
      </c>
      <c r="AJ75" s="277">
        <v>227959</v>
      </c>
      <c r="AK75" s="277">
        <v>1140305</v>
      </c>
      <c r="AT75" s="252">
        <f t="shared" ref="AT75:AY75" si="102">AF75/SUM(AF66:AF77)*AM77</f>
        <v>8490.1949945049237</v>
      </c>
      <c r="AU75" s="252">
        <f t="shared" si="102"/>
        <v>6681.4205628016152</v>
      </c>
      <c r="AV75" s="252">
        <f t="shared" si="102"/>
        <v>2494.25237904917</v>
      </c>
      <c r="AW75" s="252">
        <f t="shared" si="102"/>
        <v>604.55964710237322</v>
      </c>
      <c r="AX75" s="252">
        <f t="shared" si="102"/>
        <v>2333.9716515291975</v>
      </c>
      <c r="AY75" s="252">
        <f t="shared" si="102"/>
        <v>11640.848778869349</v>
      </c>
    </row>
    <row r="76" spans="31:59">
      <c r="AE76" s="165">
        <v>31079</v>
      </c>
      <c r="AF76" s="277">
        <v>1059290</v>
      </c>
      <c r="AG76" s="277">
        <v>739452</v>
      </c>
      <c r="AH76" s="277">
        <v>357237</v>
      </c>
      <c r="AI76" s="277">
        <v>60358</v>
      </c>
      <c r="AJ76" s="277">
        <v>252213</v>
      </c>
      <c r="AK76" s="277">
        <v>1275492</v>
      </c>
      <c r="AT76" s="252">
        <f t="shared" ref="AT76:AY76" si="103">AF76/SUM(AF66:AF77)*AM77</f>
        <v>9926.1394577883329</v>
      </c>
      <c r="AU76" s="252">
        <f t="shared" si="103"/>
        <v>7903.1733659736692</v>
      </c>
      <c r="AV76" s="252">
        <f t="shared" si="103"/>
        <v>3069.9132025756794</v>
      </c>
      <c r="AW76" s="252">
        <f t="shared" si="103"/>
        <v>712.73729280631767</v>
      </c>
      <c r="AX76" s="252">
        <f t="shared" si="103"/>
        <v>2582.297659434957</v>
      </c>
      <c r="AY76" s="252">
        <f t="shared" si="103"/>
        <v>13020.91062536569</v>
      </c>
    </row>
    <row r="77" spans="31:59">
      <c r="AE77" s="165">
        <v>31107</v>
      </c>
      <c r="AF77" s="277">
        <v>1227037</v>
      </c>
      <c r="AG77" s="277">
        <v>838174</v>
      </c>
      <c r="AH77" s="277">
        <v>410719</v>
      </c>
      <c r="AI77" s="277">
        <v>67001</v>
      </c>
      <c r="AJ77" s="277">
        <v>250305</v>
      </c>
      <c r="AK77" s="277">
        <v>1185332</v>
      </c>
      <c r="AM77" s="277">
        <v>142202</v>
      </c>
      <c r="AN77" s="277">
        <v>105044</v>
      </c>
      <c r="AO77" s="277">
        <v>43540</v>
      </c>
      <c r="AP77" s="277">
        <v>8613</v>
      </c>
      <c r="AQ77" s="277">
        <v>31245</v>
      </c>
      <c r="AR77" s="277">
        <v>154828</v>
      </c>
      <c r="AT77" s="252">
        <f t="shared" ref="AT77:AY77" si="104">AF77/SUM(AF66:AF77)*AM77</f>
        <v>11498.022620685764</v>
      </c>
      <c r="AU77" s="252">
        <f t="shared" si="104"/>
        <v>8958.3021384100866</v>
      </c>
      <c r="AV77" s="252">
        <f t="shared" si="104"/>
        <v>3529.5103268941357</v>
      </c>
      <c r="AW77" s="252">
        <f t="shared" si="104"/>
        <v>791.18114177600467</v>
      </c>
      <c r="AX77" s="252">
        <f t="shared" si="104"/>
        <v>2562.7624890266043</v>
      </c>
      <c r="AY77" s="252">
        <f t="shared" si="104"/>
        <v>12100.508692634658</v>
      </c>
      <c r="AZ77" s="25">
        <f t="shared" ref="AZ77" si="105">SUM(AT66:AY77)-SUM(AM77:AR77)</f>
        <v>0</v>
      </c>
    </row>
    <row r="78" spans="31:59">
      <c r="AE78" s="165">
        <v>31138</v>
      </c>
      <c r="AF78" s="277">
        <v>1295443</v>
      </c>
      <c r="AG78" s="277">
        <v>820399</v>
      </c>
      <c r="AH78" s="277">
        <v>413933</v>
      </c>
      <c r="AI78" s="277">
        <v>64002</v>
      </c>
      <c r="AJ78" s="277">
        <v>205403</v>
      </c>
      <c r="AK78" s="277">
        <v>743973</v>
      </c>
      <c r="AT78" s="252">
        <f t="shared" ref="AT78" si="106">AF78/SUM(AF78:AF89)*AM89</f>
        <v>12229.418141548065</v>
      </c>
      <c r="AU78" s="252">
        <f t="shared" ref="AU78:AY78" si="107">AG78/SUM(AG78:AG89)*AN89</f>
        <v>8912.2989435837389</v>
      </c>
      <c r="AV78" s="252">
        <f t="shared" si="107"/>
        <v>3623.6595040596508</v>
      </c>
      <c r="AW78" s="252">
        <f t="shared" si="107"/>
        <v>696.51521465020869</v>
      </c>
      <c r="AX78" s="252">
        <f t="shared" si="107"/>
        <v>2019.4463608474043</v>
      </c>
      <c r="AY78" s="252">
        <f t="shared" si="107"/>
        <v>7821.4553601836797</v>
      </c>
    </row>
    <row r="79" spans="31:59">
      <c r="AE79" s="165">
        <v>31168</v>
      </c>
      <c r="AF79" s="277">
        <v>1334904</v>
      </c>
      <c r="AG79" s="277">
        <v>816327</v>
      </c>
      <c r="AH79" s="277">
        <v>458348</v>
      </c>
      <c r="AI79" s="277">
        <v>59126</v>
      </c>
      <c r="AJ79" s="277">
        <v>176179</v>
      </c>
      <c r="AK79" s="277">
        <v>737005</v>
      </c>
      <c r="AT79" s="252">
        <f t="shared" ref="AT79:AY79" si="108">AF79/SUM(AF78:AF89)*AM89</f>
        <v>12601.943269464638</v>
      </c>
      <c r="AU79" s="252">
        <f t="shared" si="108"/>
        <v>8868.0632956876871</v>
      </c>
      <c r="AV79" s="252">
        <f t="shared" si="108"/>
        <v>4012.4780734242804</v>
      </c>
      <c r="AW79" s="252">
        <f t="shared" si="108"/>
        <v>643.45111998700418</v>
      </c>
      <c r="AX79" s="252">
        <f t="shared" si="108"/>
        <v>1732.1267966277749</v>
      </c>
      <c r="AY79" s="252">
        <f t="shared" si="108"/>
        <v>7748.2001466883512</v>
      </c>
    </row>
    <row r="80" spans="31:59">
      <c r="AE80" s="165">
        <v>31199</v>
      </c>
      <c r="AF80" s="277">
        <v>1384367</v>
      </c>
      <c r="AG80" s="277">
        <v>842779</v>
      </c>
      <c r="AH80" s="277">
        <v>444168</v>
      </c>
      <c r="AI80" s="277">
        <v>56627</v>
      </c>
      <c r="AJ80" s="277">
        <v>181825</v>
      </c>
      <c r="AK80" s="277">
        <v>907266</v>
      </c>
      <c r="AT80" s="252">
        <f t="shared" ref="AT80:AY80" si="109">AF80/SUM(AF78:AF89)*AM89</f>
        <v>13068.890645408923</v>
      </c>
      <c r="AU80" s="252">
        <f t="shared" si="109"/>
        <v>9155.4211930713718</v>
      </c>
      <c r="AV80" s="252">
        <f t="shared" si="109"/>
        <v>3888.3432695609358</v>
      </c>
      <c r="AW80" s="252">
        <f t="shared" si="109"/>
        <v>616.25522733660466</v>
      </c>
      <c r="AX80" s="252">
        <f t="shared" si="109"/>
        <v>1787.6361813657993</v>
      </c>
      <c r="AY80" s="252">
        <f t="shared" si="109"/>
        <v>9538.1694212187886</v>
      </c>
    </row>
    <row r="81" spans="31:59">
      <c r="AE81" s="165">
        <v>31229</v>
      </c>
      <c r="AF81" s="277">
        <v>1429188</v>
      </c>
      <c r="AG81" s="277">
        <v>880910</v>
      </c>
      <c r="AH81" s="277">
        <v>477515</v>
      </c>
      <c r="AI81" s="277">
        <v>57118</v>
      </c>
      <c r="AJ81" s="277">
        <v>204762</v>
      </c>
      <c r="AK81" s="277">
        <v>1055826</v>
      </c>
      <c r="AT81" s="252">
        <f t="shared" ref="AT81:AY81" si="110">AF81/SUM(AF78:AF89)*AM89</f>
        <v>13492.015978227369</v>
      </c>
      <c r="AU81" s="252">
        <f t="shared" si="110"/>
        <v>9569.652403760063</v>
      </c>
      <c r="AV81" s="252">
        <f t="shared" si="110"/>
        <v>4180.2701598593103</v>
      </c>
      <c r="AW81" s="252">
        <f t="shared" si="110"/>
        <v>621.5986380174154</v>
      </c>
      <c r="AX81" s="252">
        <f t="shared" si="110"/>
        <v>2013.1442858178129</v>
      </c>
      <c r="AY81" s="252">
        <f t="shared" si="110"/>
        <v>11099.994122261551</v>
      </c>
    </row>
    <row r="82" spans="31:59">
      <c r="AE82" s="165">
        <v>31260</v>
      </c>
      <c r="AF82" s="277">
        <v>1414254</v>
      </c>
      <c r="AG82" s="277">
        <v>905537</v>
      </c>
      <c r="AH82" s="277">
        <v>486529</v>
      </c>
      <c r="AI82" s="277">
        <v>58563</v>
      </c>
      <c r="AJ82" s="277">
        <v>240648</v>
      </c>
      <c r="AK82" s="277">
        <v>1256612</v>
      </c>
      <c r="AT82" s="252">
        <f t="shared" ref="AT82:AY82" si="111">AF82/SUM(AF78:AF89)*AM89</f>
        <v>13351.033989420546</v>
      </c>
      <c r="AU82" s="252">
        <f t="shared" si="111"/>
        <v>9837.1846485380756</v>
      </c>
      <c r="AV82" s="252">
        <f t="shared" si="111"/>
        <v>4259.1806762220886</v>
      </c>
      <c r="AW82" s="252">
        <f t="shared" si="111"/>
        <v>637.32415417580967</v>
      </c>
      <c r="AX82" s="252">
        <f t="shared" si="111"/>
        <v>2365.9621711718241</v>
      </c>
      <c r="AY82" s="252">
        <f t="shared" si="111"/>
        <v>13210.875479447686</v>
      </c>
    </row>
    <row r="83" spans="31:59">
      <c r="AE83" s="165">
        <v>31291</v>
      </c>
      <c r="AF83" s="277">
        <v>1370137</v>
      </c>
      <c r="AG83" s="277">
        <v>912854</v>
      </c>
      <c r="AH83" s="277">
        <v>504034</v>
      </c>
      <c r="AI83" s="277">
        <v>62344</v>
      </c>
      <c r="AJ83" s="277">
        <v>273177</v>
      </c>
      <c r="AK83" s="277">
        <v>1418202</v>
      </c>
      <c r="AT83" s="252">
        <f t="shared" ref="AT83:AY83" si="112">AF83/SUM(AF78:AF89)*AM89</f>
        <v>12934.554653663838</v>
      </c>
      <c r="AU83" s="252">
        <f t="shared" si="112"/>
        <v>9916.6719362727054</v>
      </c>
      <c r="AV83" s="252">
        <f t="shared" si="112"/>
        <v>4412.4232532057167</v>
      </c>
      <c r="AW83" s="252">
        <f t="shared" si="112"/>
        <v>678.47168123109611</v>
      </c>
      <c r="AX83" s="252">
        <f t="shared" si="112"/>
        <v>2685.775273570549</v>
      </c>
      <c r="AY83" s="252">
        <f t="shared" si="112"/>
        <v>14909.685747632258</v>
      </c>
    </row>
    <row r="84" spans="31:59">
      <c r="AE84" s="165">
        <v>31321</v>
      </c>
      <c r="AF84" s="277">
        <v>1379044</v>
      </c>
      <c r="AG84" s="277">
        <v>929165</v>
      </c>
      <c r="AH84" s="277">
        <v>498874</v>
      </c>
      <c r="AI84" s="277">
        <v>68732</v>
      </c>
      <c r="AJ84" s="277">
        <v>307388</v>
      </c>
      <c r="AK84" s="277">
        <v>1607194</v>
      </c>
      <c r="AT84" s="252">
        <f t="shared" ref="AT84:AY84" si="113">AF84/SUM(AF78:AF89)*AM89</f>
        <v>13018.639732966261</v>
      </c>
      <c r="AU84" s="252">
        <f t="shared" si="113"/>
        <v>10093.8643853966</v>
      </c>
      <c r="AV84" s="252">
        <f t="shared" si="113"/>
        <v>4367.2514910100281</v>
      </c>
      <c r="AW84" s="252">
        <f t="shared" si="113"/>
        <v>747.99043363235751</v>
      </c>
      <c r="AX84" s="252">
        <f t="shared" si="113"/>
        <v>3022.1251781530063</v>
      </c>
      <c r="AY84" s="252">
        <f t="shared" si="113"/>
        <v>16896.575717337924</v>
      </c>
    </row>
    <row r="85" spans="31:59">
      <c r="AE85" s="165">
        <v>31352</v>
      </c>
      <c r="AF85" s="277">
        <v>1338210</v>
      </c>
      <c r="AG85" s="277">
        <v>904950</v>
      </c>
      <c r="AH85" s="277">
        <v>499753</v>
      </c>
      <c r="AI85" s="277">
        <v>70701</v>
      </c>
      <c r="AJ85" s="277">
        <v>314238</v>
      </c>
      <c r="AK85" s="277">
        <v>1603976</v>
      </c>
      <c r="AT85" s="252">
        <f t="shared" ref="AT85:AY85" si="114">AF85/SUM(AF78:AF89)*AM89</f>
        <v>12633.153022711951</v>
      </c>
      <c r="AU85" s="252">
        <f t="shared" si="114"/>
        <v>9830.8078495903883</v>
      </c>
      <c r="AV85" s="252">
        <f t="shared" si="114"/>
        <v>4374.9464481747591</v>
      </c>
      <c r="AW85" s="252">
        <f t="shared" si="114"/>
        <v>769.41848990632172</v>
      </c>
      <c r="AX85" s="252">
        <f t="shared" si="114"/>
        <v>3089.4718457859267</v>
      </c>
      <c r="AY85" s="252">
        <f t="shared" si="114"/>
        <v>16862.74459262094</v>
      </c>
    </row>
    <row r="86" spans="31:59">
      <c r="AE86" s="165">
        <v>31382</v>
      </c>
      <c r="AF86" s="277">
        <v>1331899</v>
      </c>
      <c r="AG86" s="277">
        <v>885382</v>
      </c>
      <c r="AH86" s="277">
        <v>497814</v>
      </c>
      <c r="AI86" s="277">
        <v>76154</v>
      </c>
      <c r="AJ86" s="277">
        <v>314491</v>
      </c>
      <c r="AK86" s="277">
        <v>1687019</v>
      </c>
      <c r="AT86" s="252">
        <f t="shared" ref="AT86:AY86" si="115">AF86/SUM(AF78:AF89)*AM89</f>
        <v>12573.575057574688</v>
      </c>
      <c r="AU86" s="252">
        <f t="shared" si="115"/>
        <v>9618.2334001724248</v>
      </c>
      <c r="AV86" s="252">
        <f t="shared" si="115"/>
        <v>4357.9720204814566</v>
      </c>
      <c r="AW86" s="252">
        <f t="shared" si="115"/>
        <v>828.76190832273983</v>
      </c>
      <c r="AX86" s="252">
        <f t="shared" si="115"/>
        <v>3091.9592482547046</v>
      </c>
      <c r="AY86" s="252">
        <f t="shared" si="115"/>
        <v>17735.783153799548</v>
      </c>
      <c r="BA86" s="252">
        <f t="shared" ref="BA86" si="116">SUM(AT75:AT86)</f>
        <v>145817.58156396533</v>
      </c>
      <c r="BB86" s="252">
        <f t="shared" ref="BB86:BF86" si="117">SUM(AU75:AU86)</f>
        <v>109345.09412325843</v>
      </c>
      <c r="BC86" s="252">
        <f t="shared" si="117"/>
        <v>46570.200804517212</v>
      </c>
      <c r="BD86" s="252">
        <f t="shared" si="117"/>
        <v>8348.2649489442538</v>
      </c>
      <c r="BE86" s="252">
        <f t="shared" si="117"/>
        <v>29286.679141585566</v>
      </c>
      <c r="BF86" s="252">
        <f t="shared" si="117"/>
        <v>152585.75183806042</v>
      </c>
      <c r="BG86" s="252">
        <f t="shared" ref="BG86" si="118">SUM(BA86:BF86)</f>
        <v>491953.57242033118</v>
      </c>
    </row>
    <row r="87" spans="31:59">
      <c r="AE87" s="165">
        <v>31413</v>
      </c>
      <c r="AF87" s="277">
        <v>952325</v>
      </c>
      <c r="AG87" s="277">
        <v>625263</v>
      </c>
      <c r="AH87" s="277">
        <v>341802</v>
      </c>
      <c r="AI87" s="277">
        <v>56989</v>
      </c>
      <c r="AJ87" s="277">
        <v>217494</v>
      </c>
      <c r="AK87" s="277">
        <v>1182916</v>
      </c>
      <c r="AT87" s="252">
        <f t="shared" ref="AT87:AY87" si="119">AF87/SUM(AF78:AF89)*AM89</f>
        <v>8990.2686815628022</v>
      </c>
      <c r="AU87" s="252">
        <f t="shared" si="119"/>
        <v>6792.4641233863031</v>
      </c>
      <c r="AV87" s="252">
        <f t="shared" si="119"/>
        <v>2992.2090430253124</v>
      </c>
      <c r="AW87" s="252">
        <f t="shared" si="119"/>
        <v>620.19476840881134</v>
      </c>
      <c r="AX87" s="252">
        <f t="shared" si="119"/>
        <v>2138.3206029422422</v>
      </c>
      <c r="AY87" s="252">
        <f t="shared" si="119"/>
        <v>12436.102773685385</v>
      </c>
    </row>
    <row r="88" spans="31:59">
      <c r="AE88" s="165">
        <v>31444</v>
      </c>
      <c r="AF88" s="277">
        <v>1121012</v>
      </c>
      <c r="AG88" s="277">
        <v>748080</v>
      </c>
      <c r="AH88" s="277">
        <v>452562</v>
      </c>
      <c r="AI88" s="277">
        <v>68253</v>
      </c>
      <c r="AJ88" s="277">
        <v>234691</v>
      </c>
      <c r="AK88" s="277">
        <v>1386544</v>
      </c>
      <c r="AT88" s="252">
        <f t="shared" ref="AT88:AY88" si="120">AF88/SUM(AF78:AF89)*AM89</f>
        <v>10582.730764451297</v>
      </c>
      <c r="AU88" s="252">
        <f t="shared" si="120"/>
        <v>8126.6707952058987</v>
      </c>
      <c r="AV88" s="252">
        <f t="shared" si="120"/>
        <v>3961.8261710862475</v>
      </c>
      <c r="AW88" s="252">
        <f t="shared" si="120"/>
        <v>742.77761547327736</v>
      </c>
      <c r="AX88" s="252">
        <f t="shared" si="120"/>
        <v>2307.395149406962</v>
      </c>
      <c r="AY88" s="252">
        <f t="shared" si="120"/>
        <v>14576.862333620333</v>
      </c>
    </row>
    <row r="89" spans="31:59">
      <c r="AE89" s="165">
        <v>31472</v>
      </c>
      <c r="AF89" s="277">
        <v>1284994</v>
      </c>
      <c r="AG89" s="277">
        <v>841697</v>
      </c>
      <c r="AH89" s="277">
        <v>481304</v>
      </c>
      <c r="AI89" s="277">
        <v>77025</v>
      </c>
      <c r="AJ89" s="277">
        <v>227494</v>
      </c>
      <c r="AK89" s="277">
        <v>1308992</v>
      </c>
      <c r="AM89" s="277">
        <v>147607</v>
      </c>
      <c r="AN89" s="277">
        <v>109865</v>
      </c>
      <c r="AO89" s="277">
        <v>48644</v>
      </c>
      <c r="AP89" s="277">
        <v>8441</v>
      </c>
      <c r="AQ89" s="277">
        <v>28490</v>
      </c>
      <c r="AR89" s="277">
        <v>156598</v>
      </c>
      <c r="AT89" s="252">
        <f t="shared" ref="AT89:AY89" si="121">AF89/SUM(AF78:AF89)*AM89</f>
        <v>12130.776062999619</v>
      </c>
      <c r="AU89" s="252">
        <f t="shared" si="121"/>
        <v>9143.6670253347474</v>
      </c>
      <c r="AV89" s="252">
        <f t="shared" si="121"/>
        <v>4213.4398898902145</v>
      </c>
      <c r="AW89" s="252">
        <f t="shared" si="121"/>
        <v>838.2407488583533</v>
      </c>
      <c r="AX89" s="252">
        <f t="shared" si="121"/>
        <v>2236.6369060559941</v>
      </c>
      <c r="AY89" s="252">
        <f t="shared" si="121"/>
        <v>13761.551151503556</v>
      </c>
      <c r="AZ89" s="25">
        <f t="shared" ref="AZ89" si="122">SUM(AT78:AY89)-SUM(AM89:AR89)</f>
        <v>0</v>
      </c>
    </row>
    <row r="90" spans="31:59">
      <c r="AE90" s="165">
        <v>31503</v>
      </c>
      <c r="AF90" s="277">
        <v>1332053</v>
      </c>
      <c r="AG90" s="277">
        <v>823658</v>
      </c>
      <c r="AH90" s="277">
        <v>333491</v>
      </c>
      <c r="AI90" s="277">
        <v>76139</v>
      </c>
      <c r="AJ90" s="277">
        <v>187076</v>
      </c>
      <c r="AK90" s="277">
        <v>841457</v>
      </c>
      <c r="AT90" s="252">
        <f t="shared" ref="AT90" si="123">AF90/SUM(AF90:AF101)*AM101</f>
        <v>12527.976177350982</v>
      </c>
      <c r="AU90" s="252">
        <f t="shared" ref="AU90:AY90" si="124">AG90/SUM(AG90:AG101)*AN101</f>
        <v>9085.792412623734</v>
      </c>
      <c r="AV90" s="252">
        <f t="shared" si="124"/>
        <v>3488.0264162202889</v>
      </c>
      <c r="AW90" s="252">
        <f t="shared" si="124"/>
        <v>709.5841323958474</v>
      </c>
      <c r="AX90" s="252">
        <f t="shared" si="124"/>
        <v>1902.1125040048951</v>
      </c>
      <c r="AY90" s="252">
        <f t="shared" si="124"/>
        <v>8732.3838217638677</v>
      </c>
    </row>
    <row r="91" spans="31:59">
      <c r="AE91" s="165">
        <v>31533</v>
      </c>
      <c r="AF91" s="277">
        <v>1366239</v>
      </c>
      <c r="AG91" s="277">
        <v>818974</v>
      </c>
      <c r="AH91" s="277">
        <v>363091</v>
      </c>
      <c r="AI91" s="277">
        <v>70718</v>
      </c>
      <c r="AJ91" s="277">
        <v>164649</v>
      </c>
      <c r="AK91" s="277">
        <v>818915</v>
      </c>
      <c r="AT91" s="252">
        <f t="shared" ref="AT91:AY91" si="125">AF91/SUM(AF90:AF101)*AM101</f>
        <v>12849.495961923309</v>
      </c>
      <c r="AU91" s="252">
        <f t="shared" si="125"/>
        <v>9034.1230891172181</v>
      </c>
      <c r="AV91" s="252">
        <f t="shared" si="125"/>
        <v>3797.6167257642364</v>
      </c>
      <c r="AW91" s="252">
        <f t="shared" si="125"/>
        <v>659.06264430540909</v>
      </c>
      <c r="AX91" s="252">
        <f t="shared" si="125"/>
        <v>1674.0839106667984</v>
      </c>
      <c r="AY91" s="252">
        <f t="shared" si="125"/>
        <v>8498.4498285708687</v>
      </c>
    </row>
    <row r="92" spans="31:59">
      <c r="AE92" s="165">
        <v>31564</v>
      </c>
      <c r="AF92" s="277">
        <v>1427966</v>
      </c>
      <c r="AG92" s="277">
        <v>866076</v>
      </c>
      <c r="AH92" s="277">
        <v>362004</v>
      </c>
      <c r="AI92" s="277">
        <v>66266</v>
      </c>
      <c r="AJ92" s="277">
        <v>172991</v>
      </c>
      <c r="AK92" s="277">
        <v>942895</v>
      </c>
      <c r="AT92" s="252">
        <f t="shared" ref="AT92:AY92" si="126">AF92/SUM(AF90:AF101)*AM101</f>
        <v>13430.039217709184</v>
      </c>
      <c r="AU92" s="252">
        <f t="shared" si="126"/>
        <v>9553.7064528669816</v>
      </c>
      <c r="AV92" s="252">
        <f t="shared" si="126"/>
        <v>3786.2476491941597</v>
      </c>
      <c r="AW92" s="252">
        <f t="shared" si="126"/>
        <v>617.57183726268045</v>
      </c>
      <c r="AX92" s="252">
        <f t="shared" si="126"/>
        <v>1758.9019659406381</v>
      </c>
      <c r="AY92" s="252">
        <f t="shared" si="126"/>
        <v>9785.076413437695</v>
      </c>
    </row>
    <row r="93" spans="31:59">
      <c r="AE93" s="165">
        <v>31594</v>
      </c>
      <c r="AF93" s="277">
        <v>1505201</v>
      </c>
      <c r="AG93" s="277">
        <v>913469</v>
      </c>
      <c r="AH93" s="277">
        <v>358618</v>
      </c>
      <c r="AI93" s="277">
        <v>65670</v>
      </c>
      <c r="AJ93" s="277">
        <v>201974</v>
      </c>
      <c r="AK93" s="277">
        <v>1152550</v>
      </c>
      <c r="AT93" s="252">
        <f t="shared" ref="AT93:AY93" si="127">AF93/SUM(AF90:AF101)*AM101</f>
        <v>14156.435419705427</v>
      </c>
      <c r="AU93" s="252">
        <f t="shared" si="127"/>
        <v>10076.499845041255</v>
      </c>
      <c r="AV93" s="252">
        <f t="shared" si="127"/>
        <v>3750.8330279740312</v>
      </c>
      <c r="AW93" s="252">
        <f t="shared" si="127"/>
        <v>612.01736264510043</v>
      </c>
      <c r="AX93" s="252">
        <f t="shared" si="127"/>
        <v>2053.5892946389954</v>
      </c>
      <c r="AY93" s="252">
        <f t="shared" si="127"/>
        <v>11960.811988935795</v>
      </c>
    </row>
    <row r="94" spans="31:59">
      <c r="AE94" s="165">
        <v>31625</v>
      </c>
      <c r="AF94" s="277">
        <v>1538780</v>
      </c>
      <c r="AG94" s="277">
        <v>947823</v>
      </c>
      <c r="AH94" s="277">
        <v>381096</v>
      </c>
      <c r="AI94" s="277">
        <v>68074</v>
      </c>
      <c r="AJ94" s="277">
        <v>238630</v>
      </c>
      <c r="AK94" s="277">
        <v>1348845</v>
      </c>
      <c r="AT94" s="252">
        <f t="shared" ref="AT94:AY94" si="128">AF94/SUM(AF90:AF101)*AM101</f>
        <v>14472.246361206457</v>
      </c>
      <c r="AU94" s="252">
        <f t="shared" si="128"/>
        <v>10455.459695541433</v>
      </c>
      <c r="AV94" s="252">
        <f t="shared" si="128"/>
        <v>3985.9333988500057</v>
      </c>
      <c r="AW94" s="252">
        <f t="shared" si="128"/>
        <v>634.42165288111107</v>
      </c>
      <c r="AX94" s="252">
        <f t="shared" si="128"/>
        <v>2426.2925593378527</v>
      </c>
      <c r="AY94" s="252">
        <f t="shared" si="128"/>
        <v>13997.901563677151</v>
      </c>
    </row>
    <row r="95" spans="31:59">
      <c r="AE95" s="165">
        <v>31656</v>
      </c>
      <c r="AF95" s="277">
        <v>1545353</v>
      </c>
      <c r="AG95" s="277">
        <v>972193</v>
      </c>
      <c r="AH95" s="277">
        <v>416288</v>
      </c>
      <c r="AI95" s="277">
        <v>74559</v>
      </c>
      <c r="AJ95" s="277">
        <v>279328</v>
      </c>
      <c r="AK95" s="277">
        <v>1563551</v>
      </c>
      <c r="AT95" s="252">
        <f t="shared" ref="AT95:AY95" si="129">AF95/SUM(AF90:AF101)*AM101</f>
        <v>14534.065513607846</v>
      </c>
      <c r="AU95" s="252">
        <f t="shared" si="129"/>
        <v>10724.285787312094</v>
      </c>
      <c r="AV95" s="252">
        <f t="shared" si="129"/>
        <v>4354.0111749807693</v>
      </c>
      <c r="AW95" s="252">
        <f t="shared" si="129"/>
        <v>694.85918290628967</v>
      </c>
      <c r="AX95" s="252">
        <f t="shared" si="129"/>
        <v>2840.0932322621788</v>
      </c>
      <c r="AY95" s="252">
        <f t="shared" si="129"/>
        <v>16226.054874940392</v>
      </c>
    </row>
    <row r="96" spans="31:59">
      <c r="AE96" s="165">
        <v>31686</v>
      </c>
      <c r="AF96" s="277">
        <v>1571715</v>
      </c>
      <c r="AG96" s="277">
        <v>993706</v>
      </c>
      <c r="AH96" s="277">
        <v>421952</v>
      </c>
      <c r="AI96" s="277">
        <v>80445</v>
      </c>
      <c r="AJ96" s="277">
        <v>322468</v>
      </c>
      <c r="AK96" s="277">
        <v>1768927</v>
      </c>
      <c r="AT96" s="252">
        <f t="shared" ref="AT96:AY96" si="130">AF96/SUM(AF90:AF101)*AM101</f>
        <v>14782.000474144197</v>
      </c>
      <c r="AU96" s="252">
        <f t="shared" si="130"/>
        <v>10961.596239189907</v>
      </c>
      <c r="AV96" s="252">
        <f t="shared" si="130"/>
        <v>4413.2516990772865</v>
      </c>
      <c r="AW96" s="252">
        <f t="shared" si="130"/>
        <v>749.71427954903459</v>
      </c>
      <c r="AX96" s="252">
        <f t="shared" si="130"/>
        <v>3278.7231656730451</v>
      </c>
      <c r="AY96" s="252">
        <f t="shared" si="130"/>
        <v>18357.384294956599</v>
      </c>
    </row>
    <row r="97" spans="31:59">
      <c r="AE97" s="165">
        <v>31717</v>
      </c>
      <c r="AF97" s="277">
        <v>1534174</v>
      </c>
      <c r="AG97" s="277">
        <v>966755</v>
      </c>
      <c r="AH97" s="277">
        <v>443843</v>
      </c>
      <c r="AI97" s="277">
        <v>79128</v>
      </c>
      <c r="AJ97" s="277">
        <v>323290</v>
      </c>
      <c r="AK97" s="277">
        <v>1786918</v>
      </c>
      <c r="AT97" s="252">
        <f t="shared" ref="AT97:AY97" si="131">AF97/SUM(AF90:AF101)*AM101</f>
        <v>14428.926869960327</v>
      </c>
      <c r="AU97" s="252">
        <f t="shared" si="131"/>
        <v>10664.299070568195</v>
      </c>
      <c r="AV97" s="252">
        <f t="shared" si="131"/>
        <v>4642.2125594227782</v>
      </c>
      <c r="AW97" s="252">
        <f t="shared" si="131"/>
        <v>737.44038177830828</v>
      </c>
      <c r="AX97" s="252">
        <f t="shared" si="131"/>
        <v>3287.0809265739194</v>
      </c>
      <c r="AY97" s="252">
        <f t="shared" si="131"/>
        <v>18544.089399718163</v>
      </c>
    </row>
    <row r="98" spans="31:59">
      <c r="AE98" s="165">
        <v>31747</v>
      </c>
      <c r="AF98" s="277">
        <v>1542930</v>
      </c>
      <c r="AG98" s="277">
        <v>942172</v>
      </c>
      <c r="AH98" s="277">
        <v>468845</v>
      </c>
      <c r="AI98" s="277">
        <v>82226</v>
      </c>
      <c r="AJ98" s="277">
        <v>327682</v>
      </c>
      <c r="AK98" s="277">
        <v>1878267</v>
      </c>
      <c r="AT98" s="252">
        <f t="shared" ref="AT98:AY98" si="132">AF98/SUM(AF90:AF101)*AM101</f>
        <v>14511.277166389138</v>
      </c>
      <c r="AU98" s="252">
        <f t="shared" si="132"/>
        <v>10393.123370363097</v>
      </c>
      <c r="AV98" s="252">
        <f t="shared" si="132"/>
        <v>4903.7117796666225</v>
      </c>
      <c r="AW98" s="252">
        <f t="shared" si="132"/>
        <v>766.3124662837829</v>
      </c>
      <c r="AX98" s="252">
        <f t="shared" si="132"/>
        <v>3331.736992117279</v>
      </c>
      <c r="AY98" s="252">
        <f t="shared" si="132"/>
        <v>19492.081429892383</v>
      </c>
      <c r="BA98" s="252">
        <f t="shared" ref="BA98" si="133">SUM(AT87:AT98)</f>
        <v>157396.23867101056</v>
      </c>
      <c r="BB98" s="252">
        <f t="shared" ref="BB98:BF98" si="134">SUM(AU87:AU98)</f>
        <v>115011.68790655087</v>
      </c>
      <c r="BC98" s="252">
        <f t="shared" si="134"/>
        <v>48289.319535151953</v>
      </c>
      <c r="BD98" s="252">
        <f t="shared" si="134"/>
        <v>8382.1970727480075</v>
      </c>
      <c r="BE98" s="252">
        <f t="shared" si="134"/>
        <v>29234.967209620798</v>
      </c>
      <c r="BF98" s="252">
        <f t="shared" si="134"/>
        <v>166368.74987470222</v>
      </c>
      <c r="BG98" s="252">
        <f t="shared" ref="BG98" si="135">SUM(BA98:BF98)</f>
        <v>524683.16026978439</v>
      </c>
    </row>
    <row r="99" spans="31:59">
      <c r="AE99" s="165">
        <v>31778</v>
      </c>
      <c r="AF99" s="277">
        <v>1099517</v>
      </c>
      <c r="AG99" s="277">
        <v>664047</v>
      </c>
      <c r="AH99" s="277">
        <v>313914</v>
      </c>
      <c r="AI99" s="277">
        <v>62225</v>
      </c>
      <c r="AJ99" s="277">
        <v>230745</v>
      </c>
      <c r="AK99" s="277">
        <v>1340673</v>
      </c>
      <c r="AT99" s="252">
        <f t="shared" ref="AT99:AY99" si="136">AF99/SUM(AF90:AF101)*AM101</f>
        <v>10340.972005312417</v>
      </c>
      <c r="AU99" s="252">
        <f t="shared" si="136"/>
        <v>7325.119399344816</v>
      </c>
      <c r="AV99" s="252">
        <f t="shared" si="136"/>
        <v>3283.2679875060371</v>
      </c>
      <c r="AW99" s="252">
        <f t="shared" si="136"/>
        <v>579.91138100489377</v>
      </c>
      <c r="AX99" s="252">
        <f t="shared" si="136"/>
        <v>2346.1210937619444</v>
      </c>
      <c r="AY99" s="252">
        <f t="shared" si="136"/>
        <v>13913.095042854988</v>
      </c>
    </row>
    <row r="100" spans="31:59">
      <c r="AE100" s="165">
        <v>31809</v>
      </c>
      <c r="AF100" s="277">
        <v>1281260</v>
      </c>
      <c r="AG100" s="277">
        <v>793185</v>
      </c>
      <c r="AH100" s="277">
        <v>390117</v>
      </c>
      <c r="AI100" s="277">
        <v>71800</v>
      </c>
      <c r="AJ100" s="277">
        <v>250548</v>
      </c>
      <c r="AK100" s="277">
        <v>1524594</v>
      </c>
      <c r="AT100" s="252">
        <f t="shared" ref="AT100:AY100" si="137">AF100/SUM(AF90:AF101)*AM101</f>
        <v>12050.26733695485</v>
      </c>
      <c r="AU100" s="252">
        <f t="shared" si="137"/>
        <v>8749.6439721425122</v>
      </c>
      <c r="AV100" s="252">
        <f t="shared" si="137"/>
        <v>4080.2852293363553</v>
      </c>
      <c r="AW100" s="252">
        <f t="shared" si="137"/>
        <v>669.14643882927066</v>
      </c>
      <c r="AX100" s="252">
        <f t="shared" si="137"/>
        <v>2547.4699248081984</v>
      </c>
      <c r="AY100" s="252">
        <f t="shared" si="137"/>
        <v>15821.771023781681</v>
      </c>
    </row>
    <row r="101" spans="31:59">
      <c r="AE101" s="165">
        <v>31837</v>
      </c>
      <c r="AF101" s="277">
        <v>1450003</v>
      </c>
      <c r="AG101" s="277">
        <v>900764</v>
      </c>
      <c r="AH101" s="277">
        <v>448852</v>
      </c>
      <c r="AI101" s="277">
        <v>83261</v>
      </c>
      <c r="AJ101" s="277">
        <v>243892</v>
      </c>
      <c r="AK101" s="277">
        <v>1378813</v>
      </c>
      <c r="AM101" s="277">
        <v>161721</v>
      </c>
      <c r="AN101" s="277">
        <v>116960</v>
      </c>
      <c r="AO101" s="277">
        <v>49180</v>
      </c>
      <c r="AP101" s="277">
        <v>8206</v>
      </c>
      <c r="AQ101" s="277">
        <v>29926</v>
      </c>
      <c r="AR101" s="277">
        <v>169638</v>
      </c>
      <c r="AT101" s="252">
        <f t="shared" ref="AT101:AY101" si="138">AF101/SUM(AF90:AF101)*AM101</f>
        <v>13637.297495735871</v>
      </c>
      <c r="AU101" s="252">
        <f t="shared" si="138"/>
        <v>9936.35066588876</v>
      </c>
      <c r="AV101" s="252">
        <f t="shared" si="138"/>
        <v>4694.6023520074286</v>
      </c>
      <c r="AW101" s="252">
        <f t="shared" si="138"/>
        <v>775.95824015827168</v>
      </c>
      <c r="AX101" s="252">
        <f t="shared" si="138"/>
        <v>2479.7944302142546</v>
      </c>
      <c r="AY101" s="252">
        <f t="shared" si="138"/>
        <v>14308.900317470418</v>
      </c>
      <c r="AZ101" s="25">
        <f t="shared" ref="AZ101" si="139">SUM(AT90:AY101)-SUM(AM101:AR101)</f>
        <v>0</v>
      </c>
    </row>
    <row r="102" spans="31:59">
      <c r="AE102" s="165">
        <v>31868</v>
      </c>
      <c r="AF102" s="277">
        <v>1503289</v>
      </c>
      <c r="AG102" s="277">
        <v>896822</v>
      </c>
      <c r="AH102" s="277">
        <v>417612</v>
      </c>
      <c r="AI102" s="277">
        <v>79771</v>
      </c>
      <c r="AJ102" s="277">
        <v>195988</v>
      </c>
      <c r="AK102" s="277">
        <v>872357</v>
      </c>
      <c r="AT102" s="252">
        <f t="shared" ref="AT102" si="140">AF102/SUM(AF102:AF113)*AM113</f>
        <v>14566.081014182093</v>
      </c>
      <c r="AU102" s="252">
        <f t="shared" ref="AU102:AY102" si="141">AG102/SUM(AG102:AG113)*AN113</f>
        <v>9627.4873253477399</v>
      </c>
      <c r="AV102" s="252">
        <f t="shared" si="141"/>
        <v>3667.6587501995859</v>
      </c>
      <c r="AW102" s="252">
        <f t="shared" si="141"/>
        <v>760.61819172235892</v>
      </c>
      <c r="AX102" s="252">
        <f t="shared" si="141"/>
        <v>1958.6700374552233</v>
      </c>
      <c r="AY102" s="252">
        <f t="shared" si="141"/>
        <v>8792.8351727471636</v>
      </c>
    </row>
    <row r="103" spans="31:59">
      <c r="AE103" s="165">
        <v>31898</v>
      </c>
      <c r="AF103" s="277">
        <v>1565299</v>
      </c>
      <c r="AG103" s="277">
        <v>893578</v>
      </c>
      <c r="AH103" s="277">
        <v>463087</v>
      </c>
      <c r="AI103" s="277">
        <v>74103</v>
      </c>
      <c r="AJ103" s="277">
        <v>171136</v>
      </c>
      <c r="AK103" s="277">
        <v>839312</v>
      </c>
      <c r="AT103" s="252">
        <f t="shared" ref="AT103:AY103" si="142">AF103/SUM(AF102:AF113)*AM113</f>
        <v>15166.925351957083</v>
      </c>
      <c r="AU103" s="252">
        <f t="shared" si="142"/>
        <v>9592.662612212438</v>
      </c>
      <c r="AV103" s="252">
        <f t="shared" si="142"/>
        <v>4067.0409079568499</v>
      </c>
      <c r="AW103" s="252">
        <f t="shared" si="142"/>
        <v>706.57369045394898</v>
      </c>
      <c r="AX103" s="252">
        <f t="shared" si="142"/>
        <v>1710.3034651608114</v>
      </c>
      <c r="AY103" s="252">
        <f t="shared" si="142"/>
        <v>8459.7613987264031</v>
      </c>
    </row>
    <row r="104" spans="31:59">
      <c r="AE104" s="165">
        <v>31929</v>
      </c>
      <c r="AF104" s="277">
        <v>1669167</v>
      </c>
      <c r="AG104" s="277">
        <v>939472</v>
      </c>
      <c r="AH104" s="277">
        <v>447804</v>
      </c>
      <c r="AI104" s="277">
        <v>70006</v>
      </c>
      <c r="AJ104" s="277">
        <v>178312</v>
      </c>
      <c r="AK104" s="277">
        <v>947574</v>
      </c>
      <c r="AT104" s="252">
        <f t="shared" ref="AT104:AY104" si="143">AF104/SUM(AF102:AF113)*AM113</f>
        <v>16173.351729573806</v>
      </c>
      <c r="AU104" s="252">
        <f t="shared" si="143"/>
        <v>10085.339981087765</v>
      </c>
      <c r="AV104" s="252">
        <f t="shared" si="143"/>
        <v>3932.8186426021657</v>
      </c>
      <c r="AW104" s="252">
        <f t="shared" si="143"/>
        <v>667.50870779751358</v>
      </c>
      <c r="AX104" s="252">
        <f t="shared" si="143"/>
        <v>1782.0191630034276</v>
      </c>
      <c r="AY104" s="252">
        <f t="shared" si="143"/>
        <v>9550.9774048706222</v>
      </c>
    </row>
    <row r="105" spans="31:59">
      <c r="AE105" s="165">
        <v>31959</v>
      </c>
      <c r="AF105" s="277">
        <v>1792133</v>
      </c>
      <c r="AG105" s="277">
        <v>997492</v>
      </c>
      <c r="AH105" s="277">
        <v>453410</v>
      </c>
      <c r="AI105" s="277">
        <v>66918</v>
      </c>
      <c r="AJ105" s="277">
        <v>202952</v>
      </c>
      <c r="AK105" s="277">
        <v>1193108</v>
      </c>
      <c r="AT105" s="252">
        <f t="shared" ref="AT105:AY105" si="144">AF105/SUM(AF102:AF113)*AM113</f>
        <v>17364.827698592348</v>
      </c>
      <c r="AU105" s="252">
        <f t="shared" si="144"/>
        <v>10708.191354734572</v>
      </c>
      <c r="AV105" s="252">
        <f t="shared" si="144"/>
        <v>3982.0530873825328</v>
      </c>
      <c r="AW105" s="252">
        <f t="shared" si="144"/>
        <v>638.06456172890921</v>
      </c>
      <c r="AX105" s="252">
        <f t="shared" si="144"/>
        <v>2028.2670441129687</v>
      </c>
      <c r="AY105" s="252">
        <f t="shared" si="144"/>
        <v>12025.812812055183</v>
      </c>
    </row>
    <row r="106" spans="31:59">
      <c r="AE106" s="165">
        <v>31990</v>
      </c>
      <c r="AF106" s="277">
        <v>1873622</v>
      </c>
      <c r="AG106" s="277">
        <v>1035167</v>
      </c>
      <c r="AH106" s="277">
        <v>490062</v>
      </c>
      <c r="AI106" s="277">
        <v>68933</v>
      </c>
      <c r="AJ106" s="277">
        <v>244580</v>
      </c>
      <c r="AK106" s="277">
        <v>1433694</v>
      </c>
      <c r="AT106" s="252">
        <f t="shared" ref="AT106:AY106" si="145">AF106/SUM(AF102:AF113)*AM113</f>
        <v>18154.413317701306</v>
      </c>
      <c r="AU106" s="252">
        <f t="shared" si="145"/>
        <v>11112.636813234114</v>
      </c>
      <c r="AV106" s="252">
        <f t="shared" si="145"/>
        <v>4303.9476414478258</v>
      </c>
      <c r="AW106" s="252">
        <f t="shared" si="145"/>
        <v>657.2776298403852</v>
      </c>
      <c r="AX106" s="252">
        <f t="shared" si="145"/>
        <v>2444.2900471498178</v>
      </c>
      <c r="AY106" s="252">
        <f t="shared" si="145"/>
        <v>14450.7753478869</v>
      </c>
    </row>
    <row r="107" spans="31:59">
      <c r="AE107" s="165">
        <v>32021</v>
      </c>
      <c r="AF107" s="277">
        <v>1934198</v>
      </c>
      <c r="AG107" s="277">
        <v>1075326</v>
      </c>
      <c r="AH107" s="277">
        <v>536427</v>
      </c>
      <c r="AI107" s="277">
        <v>70963</v>
      </c>
      <c r="AJ107" s="277">
        <v>287230</v>
      </c>
      <c r="AK107" s="277">
        <v>1684389</v>
      </c>
      <c r="AT107" s="252">
        <f t="shared" ref="AT107:AY107" si="146">AF107/SUM(AF102:AF113)*AM113</f>
        <v>18741.362948487596</v>
      </c>
      <c r="AU107" s="252">
        <f t="shared" si="146"/>
        <v>11543.748297451315</v>
      </c>
      <c r="AV107" s="252">
        <f t="shared" si="146"/>
        <v>4711.1461844806026</v>
      </c>
      <c r="AW107" s="252">
        <f t="shared" si="146"/>
        <v>676.63372327279035</v>
      </c>
      <c r="AX107" s="252">
        <f t="shared" si="146"/>
        <v>2870.5267407099609</v>
      </c>
      <c r="AY107" s="252">
        <f t="shared" si="146"/>
        <v>16977.630538630885</v>
      </c>
    </row>
    <row r="108" spans="31:59">
      <c r="AE108" s="165">
        <v>32051</v>
      </c>
      <c r="AF108" s="277">
        <v>2014913</v>
      </c>
      <c r="AG108" s="277">
        <v>1118079</v>
      </c>
      <c r="AH108" s="277">
        <v>550766</v>
      </c>
      <c r="AI108" s="277">
        <v>77264</v>
      </c>
      <c r="AJ108" s="277">
        <v>326040</v>
      </c>
      <c r="AK108" s="277">
        <v>2018023</v>
      </c>
      <c r="AT108" s="252">
        <f t="shared" ref="AT108:AY108" si="147">AF108/SUM(AF102:AF113)*AM113</f>
        <v>19523.448914033615</v>
      </c>
      <c r="AU108" s="252">
        <f t="shared" si="147"/>
        <v>12002.706670038733</v>
      </c>
      <c r="AV108" s="252">
        <f t="shared" si="147"/>
        <v>4837.0778119700235</v>
      </c>
      <c r="AW108" s="252">
        <f t="shared" si="147"/>
        <v>736.71389308440837</v>
      </c>
      <c r="AX108" s="252">
        <f t="shared" si="147"/>
        <v>3258.3871411101754</v>
      </c>
      <c r="AY108" s="252">
        <f t="shared" si="147"/>
        <v>20340.46108853686</v>
      </c>
    </row>
    <row r="109" spans="31:59">
      <c r="AE109" s="165">
        <v>32082</v>
      </c>
      <c r="AF109" s="277">
        <v>2012771</v>
      </c>
      <c r="AG109" s="277">
        <v>1102142</v>
      </c>
      <c r="AH109" s="277">
        <v>568102</v>
      </c>
      <c r="AI109" s="277">
        <v>79436</v>
      </c>
      <c r="AJ109" s="277">
        <v>338824</v>
      </c>
      <c r="AK109" s="277">
        <v>2086444</v>
      </c>
      <c r="AT109" s="252">
        <f t="shared" ref="AT109:AY109" si="148">AF109/SUM(AF102:AF113)*AM113</f>
        <v>19502.694058824549</v>
      </c>
      <c r="AU109" s="252">
        <f t="shared" si="148"/>
        <v>11831.621141913789</v>
      </c>
      <c r="AV109" s="252">
        <f t="shared" si="148"/>
        <v>4989.3304581905813</v>
      </c>
      <c r="AW109" s="252">
        <f t="shared" si="148"/>
        <v>757.42395955494226</v>
      </c>
      <c r="AX109" s="252">
        <f t="shared" si="148"/>
        <v>3386.1482170884369</v>
      </c>
      <c r="AY109" s="252">
        <f t="shared" si="148"/>
        <v>21030.103718050388</v>
      </c>
    </row>
    <row r="110" spans="31:59">
      <c r="AE110" s="165">
        <v>32112</v>
      </c>
      <c r="AF110" s="277">
        <v>2052413</v>
      </c>
      <c r="AG110" s="277">
        <v>1086535</v>
      </c>
      <c r="AH110" s="277">
        <v>577818</v>
      </c>
      <c r="AI110" s="277">
        <v>83614</v>
      </c>
      <c r="AJ110" s="277">
        <v>353656</v>
      </c>
      <c r="AK110" s="277">
        <v>2239350</v>
      </c>
      <c r="AT110" s="252">
        <f t="shared" ref="AT110:AY110" si="149">AF110/SUM(AF102:AF113)*AM113</f>
        <v>19886.804222315543</v>
      </c>
      <c r="AU110" s="252">
        <f t="shared" si="149"/>
        <v>11664.078201746508</v>
      </c>
      <c r="AV110" s="252">
        <f t="shared" si="149"/>
        <v>5074.6607945241631</v>
      </c>
      <c r="AW110" s="252">
        <f t="shared" si="149"/>
        <v>797.2612789443948</v>
      </c>
      <c r="AX110" s="252">
        <f t="shared" si="149"/>
        <v>3534.3766494186607</v>
      </c>
      <c r="AY110" s="252">
        <f t="shared" si="149"/>
        <v>22571.304459173665</v>
      </c>
      <c r="BA110" s="252">
        <f t="shared" ref="BA110" si="150">SUM(AT99:AT110)</f>
        <v>195108.44609367108</v>
      </c>
      <c r="BB110" s="252">
        <f t="shared" ref="BB110:BF110" si="151">SUM(AU99:AU110)</f>
        <v>124179.58643514306</v>
      </c>
      <c r="BC110" s="252">
        <f t="shared" si="151"/>
        <v>51623.889847604158</v>
      </c>
      <c r="BD110" s="252">
        <f t="shared" si="151"/>
        <v>8423.0916963920881</v>
      </c>
      <c r="BE110" s="252">
        <f t="shared" si="151"/>
        <v>30346.37395399388</v>
      </c>
      <c r="BF110" s="252">
        <f t="shared" si="151"/>
        <v>178243.42832478514</v>
      </c>
      <c r="BG110" s="252">
        <f t="shared" ref="BG110" si="152">SUM(BA110:BF110)</f>
        <v>587924.81635158951</v>
      </c>
    </row>
    <row r="111" spans="31:59">
      <c r="AE111" s="165">
        <v>32143</v>
      </c>
      <c r="AF111" s="277">
        <v>1468471</v>
      </c>
      <c r="AG111" s="277">
        <v>781359</v>
      </c>
      <c r="AH111" s="277">
        <v>410775</v>
      </c>
      <c r="AI111" s="277">
        <v>62908</v>
      </c>
      <c r="AJ111" s="277">
        <v>254658</v>
      </c>
      <c r="AK111" s="277">
        <v>1595739</v>
      </c>
      <c r="AT111" s="252">
        <f t="shared" ref="AT111:AY111" si="153">AF111/SUM(AF102:AF113)*AM113</f>
        <v>14228.712877548489</v>
      </c>
      <c r="AU111" s="252">
        <f t="shared" si="153"/>
        <v>8387.9787394225223</v>
      </c>
      <c r="AV111" s="252">
        <f t="shared" si="153"/>
        <v>3607.6131028639866</v>
      </c>
      <c r="AW111" s="252">
        <f t="shared" si="153"/>
        <v>599.82912593386254</v>
      </c>
      <c r="AX111" s="252">
        <f t="shared" si="153"/>
        <v>2545.0078290419428</v>
      </c>
      <c r="AY111" s="252">
        <f t="shared" si="153"/>
        <v>16084.091725892482</v>
      </c>
    </row>
    <row r="112" spans="31:59">
      <c r="AE112" s="165">
        <v>32174</v>
      </c>
      <c r="AF112" s="277">
        <v>1692581</v>
      </c>
      <c r="AG112" s="277">
        <v>944310</v>
      </c>
      <c r="AH112" s="277">
        <v>528236</v>
      </c>
      <c r="AI112" s="277">
        <v>73738</v>
      </c>
      <c r="AJ112" s="277">
        <v>284752</v>
      </c>
      <c r="AK112" s="277">
        <v>1868587</v>
      </c>
      <c r="AT112" s="252">
        <f t="shared" ref="AT112:AY112" si="154">AF112/SUM(AF102:AF113)*AM113</f>
        <v>16400.221094590153</v>
      </c>
      <c r="AU112" s="252">
        <f t="shared" si="154"/>
        <v>10137.276467570069</v>
      </c>
      <c r="AV112" s="252">
        <f t="shared" si="154"/>
        <v>4639.2090925797838</v>
      </c>
      <c r="AW112" s="252">
        <f t="shared" si="154"/>
        <v>703.09340764467413</v>
      </c>
      <c r="AX112" s="252">
        <f t="shared" si="154"/>
        <v>2845.7620390301945</v>
      </c>
      <c r="AY112" s="252">
        <f t="shared" si="154"/>
        <v>18834.235865520775</v>
      </c>
    </row>
    <row r="113" spans="31:59">
      <c r="AE113" s="165">
        <v>32203</v>
      </c>
      <c r="AF113" s="277">
        <v>1883916</v>
      </c>
      <c r="AG113" s="277">
        <v>1082827</v>
      </c>
      <c r="AH113" s="277">
        <v>612180</v>
      </c>
      <c r="AI113" s="277">
        <v>80860</v>
      </c>
      <c r="AJ113" s="277">
        <v>283199</v>
      </c>
      <c r="AK113" s="277">
        <v>1686907</v>
      </c>
      <c r="AM113" s="277">
        <v>207963</v>
      </c>
      <c r="AN113" s="277">
        <v>128318</v>
      </c>
      <c r="AO113" s="277">
        <v>53189</v>
      </c>
      <c r="AP113" s="277">
        <v>8472</v>
      </c>
      <c r="AQ113" s="277">
        <v>31194</v>
      </c>
      <c r="AR113" s="277">
        <v>186121</v>
      </c>
      <c r="AT113" s="252">
        <f t="shared" ref="AT113:AY113" si="155">AF113/SUM(AF102:AF113)*AM113</f>
        <v>18254.156772193415</v>
      </c>
      <c r="AU113" s="252">
        <f t="shared" si="155"/>
        <v>11624.272395240434</v>
      </c>
      <c r="AV113" s="252">
        <f t="shared" si="155"/>
        <v>5376.4435258018993</v>
      </c>
      <c r="AW113" s="252">
        <f t="shared" si="155"/>
        <v>771.00183002181177</v>
      </c>
      <c r="AX113" s="252">
        <f t="shared" si="155"/>
        <v>2830.2416267183798</v>
      </c>
      <c r="AY113" s="252">
        <f t="shared" si="155"/>
        <v>17003.010467908665</v>
      </c>
      <c r="AZ113" s="25">
        <f t="shared" ref="AZ113" si="156">SUM(AT102:AY113)-SUM(AM113:AR113)</f>
        <v>0</v>
      </c>
    </row>
    <row r="114" spans="31:59">
      <c r="AE114" s="165">
        <v>32234</v>
      </c>
      <c r="AF114" s="277">
        <v>1882985</v>
      </c>
      <c r="AG114" s="277">
        <v>1082397</v>
      </c>
      <c r="AH114" s="277">
        <v>512678</v>
      </c>
      <c r="AI114" s="277">
        <v>79109</v>
      </c>
      <c r="AJ114" s="277">
        <v>241233</v>
      </c>
      <c r="AK114" s="277">
        <v>964711</v>
      </c>
      <c r="AT114" s="252">
        <f t="shared" ref="AT114" si="157">AF114/SUM(AF114:AF125)*AM125</f>
        <v>17740.39660320375</v>
      </c>
      <c r="AU114" s="252">
        <f t="shared" ref="AU114:AY114" si="158">AG114/SUM(AG114:AG125)*AN125</f>
        <v>11494.291388122398</v>
      </c>
      <c r="AV114" s="252">
        <f t="shared" si="158"/>
        <v>3876.2050791319193</v>
      </c>
      <c r="AW114" s="252">
        <f t="shared" si="158"/>
        <v>744.70237609011463</v>
      </c>
      <c r="AX114" s="252">
        <f t="shared" si="158"/>
        <v>2195.7664083551103</v>
      </c>
      <c r="AY114" s="252">
        <f t="shared" si="158"/>
        <v>10697.878924432915</v>
      </c>
    </row>
    <row r="115" spans="31:59">
      <c r="AE115" s="165">
        <v>32264</v>
      </c>
      <c r="AF115" s="277">
        <v>1848564</v>
      </c>
      <c r="AG115" s="277">
        <v>1095167</v>
      </c>
      <c r="AH115" s="277">
        <v>507730</v>
      </c>
      <c r="AI115" s="277">
        <v>74412</v>
      </c>
      <c r="AJ115" s="277">
        <v>216666</v>
      </c>
      <c r="AK115" s="277">
        <v>849255</v>
      </c>
      <c r="AT115" s="252">
        <f t="shared" ref="AT115:AY115" si="159">AF115/SUM(AF114:AF125)*AM125</f>
        <v>17416.101831084547</v>
      </c>
      <c r="AU115" s="252">
        <f t="shared" si="159"/>
        <v>11629.899765664393</v>
      </c>
      <c r="AV115" s="252">
        <f t="shared" si="159"/>
        <v>3838.794730469514</v>
      </c>
      <c r="AW115" s="252">
        <f t="shared" si="159"/>
        <v>700.48658445458295</v>
      </c>
      <c r="AX115" s="252">
        <f t="shared" si="159"/>
        <v>1972.1510930621778</v>
      </c>
      <c r="AY115" s="252">
        <f t="shared" si="159"/>
        <v>9417.5635666736198</v>
      </c>
    </row>
    <row r="116" spans="31:59">
      <c r="AE116" s="165">
        <v>32295</v>
      </c>
      <c r="AF116" s="277">
        <v>1887761</v>
      </c>
      <c r="AG116" s="277">
        <v>1152430</v>
      </c>
      <c r="AH116" s="277">
        <v>543150</v>
      </c>
      <c r="AI116" s="277">
        <v>72335</v>
      </c>
      <c r="AJ116" s="277">
        <v>226359</v>
      </c>
      <c r="AK116" s="277">
        <v>931432</v>
      </c>
      <c r="AT116" s="252">
        <f t="shared" ref="AT116:AY116" si="160">AF116/SUM(AF114:AF125)*AM125</f>
        <v>17785.39331543295</v>
      </c>
      <c r="AU116" s="252">
        <f t="shared" si="160"/>
        <v>12237.992367323537</v>
      </c>
      <c r="AV116" s="252">
        <f t="shared" si="160"/>
        <v>4106.59476070848</v>
      </c>
      <c r="AW116" s="252">
        <f t="shared" si="160"/>
        <v>680.93448753591179</v>
      </c>
      <c r="AX116" s="252">
        <f t="shared" si="160"/>
        <v>2060.3793362800875</v>
      </c>
      <c r="AY116" s="252">
        <f t="shared" si="160"/>
        <v>10328.841240892245</v>
      </c>
    </row>
    <row r="117" spans="31:59">
      <c r="AE117" s="165">
        <v>32325</v>
      </c>
      <c r="AF117" s="277">
        <v>1976936</v>
      </c>
      <c r="AG117" s="277">
        <v>1219578</v>
      </c>
      <c r="AH117" s="277">
        <v>588132</v>
      </c>
      <c r="AI117" s="277">
        <v>72131</v>
      </c>
      <c r="AJ117" s="277">
        <v>257443</v>
      </c>
      <c r="AK117" s="277">
        <v>1178502</v>
      </c>
      <c r="AT117" s="252">
        <f t="shared" ref="AT117:AY117" si="161">AF117/SUM(AF114:AF125)*AM125</f>
        <v>18625.548636421005</v>
      </c>
      <c r="AU117" s="252">
        <f t="shared" si="161"/>
        <v>12951.056684879519</v>
      </c>
      <c r="AV117" s="252">
        <f t="shared" si="161"/>
        <v>4446.6902141305345</v>
      </c>
      <c r="AW117" s="252">
        <f t="shared" si="161"/>
        <v>679.01410825261428</v>
      </c>
      <c r="AX117" s="252">
        <f t="shared" si="161"/>
        <v>2343.3141048951206</v>
      </c>
      <c r="AY117" s="252">
        <f t="shared" si="161"/>
        <v>13068.65134553461</v>
      </c>
    </row>
    <row r="118" spans="31:59">
      <c r="AE118" s="165">
        <v>32356</v>
      </c>
      <c r="AF118" s="277">
        <v>2058994</v>
      </c>
      <c r="AG118" s="277">
        <v>1269168</v>
      </c>
      <c r="AH118" s="277">
        <v>614138</v>
      </c>
      <c r="AI118" s="277">
        <v>74195</v>
      </c>
      <c r="AJ118" s="277">
        <v>291051</v>
      </c>
      <c r="AK118" s="277">
        <v>1404011</v>
      </c>
      <c r="AT118" s="252">
        <f t="shared" ref="AT118:AY118" si="162">AF118/SUM(AF114:AF125)*AM125</f>
        <v>19398.651695906712</v>
      </c>
      <c r="AU118" s="252">
        <f t="shared" si="162"/>
        <v>13477.667447785358</v>
      </c>
      <c r="AV118" s="252">
        <f t="shared" si="162"/>
        <v>4643.313804937834</v>
      </c>
      <c r="AW118" s="252">
        <f t="shared" si="162"/>
        <v>698.44382806009492</v>
      </c>
      <c r="AX118" s="252">
        <f t="shared" si="162"/>
        <v>2649.2229873946067</v>
      </c>
      <c r="AY118" s="252">
        <f t="shared" si="162"/>
        <v>15569.367081511438</v>
      </c>
    </row>
    <row r="119" spans="31:59">
      <c r="AE119" s="165">
        <v>32387</v>
      </c>
      <c r="AF119" s="277">
        <v>2118681</v>
      </c>
      <c r="AG119" s="277">
        <v>1310465</v>
      </c>
      <c r="AH119" s="277">
        <v>658221</v>
      </c>
      <c r="AI119" s="277">
        <v>74088</v>
      </c>
      <c r="AJ119" s="277">
        <v>325404</v>
      </c>
      <c r="AK119" s="277">
        <v>1619181</v>
      </c>
      <c r="AT119" s="252">
        <f t="shared" ref="AT119:AY119" si="163">AF119/SUM(AF114:AF125)*AM125</f>
        <v>19960.988120283659</v>
      </c>
      <c r="AU119" s="252">
        <f t="shared" si="163"/>
        <v>13916.212409989883</v>
      </c>
      <c r="AV119" s="252">
        <f t="shared" si="163"/>
        <v>4976.6121881401014</v>
      </c>
      <c r="AW119" s="252">
        <f t="shared" si="163"/>
        <v>697.4365702987576</v>
      </c>
      <c r="AX119" s="252">
        <f t="shared" si="163"/>
        <v>2961.9130564408115</v>
      </c>
      <c r="AY119" s="252">
        <f t="shared" si="163"/>
        <v>17955.431517565583</v>
      </c>
    </row>
    <row r="120" spans="31:59">
      <c r="AE120" s="165">
        <v>32417</v>
      </c>
      <c r="AF120" s="277">
        <v>2178443</v>
      </c>
      <c r="AG120" s="277">
        <v>1359771</v>
      </c>
      <c r="AH120" s="277">
        <v>648893</v>
      </c>
      <c r="AI120" s="277">
        <v>77040</v>
      </c>
      <c r="AJ120" s="277">
        <v>366158</v>
      </c>
      <c r="AK120" s="277">
        <v>1818150</v>
      </c>
      <c r="AT120" s="252">
        <f t="shared" ref="AT120:AY120" si="164">AF120/SUM(AF114:AF125)*AM125</f>
        <v>20524.031151322495</v>
      </c>
      <c r="AU120" s="252">
        <f t="shared" si="164"/>
        <v>14439.807293551792</v>
      </c>
      <c r="AV120" s="252">
        <f t="shared" si="164"/>
        <v>4906.0859689964245</v>
      </c>
      <c r="AW120" s="252">
        <f t="shared" si="164"/>
        <v>725.2255881629452</v>
      </c>
      <c r="AX120" s="252">
        <f t="shared" si="164"/>
        <v>3332.8667162058691</v>
      </c>
      <c r="AY120" s="252">
        <f t="shared" si="164"/>
        <v>20161.839728641742</v>
      </c>
    </row>
    <row r="121" spans="31:59">
      <c r="AE121" s="165">
        <v>32448</v>
      </c>
      <c r="AF121" s="277">
        <v>2144800</v>
      </c>
      <c r="AG121" s="277">
        <v>1349939</v>
      </c>
      <c r="AH121" s="277">
        <v>660912</v>
      </c>
      <c r="AI121" s="277">
        <v>76089</v>
      </c>
      <c r="AJ121" s="277">
        <v>370767</v>
      </c>
      <c r="AK121" s="277">
        <v>1879028</v>
      </c>
      <c r="AT121" s="252">
        <f t="shared" ref="AT121:AY121" si="165">AF121/SUM(AF114:AF125)*AM125</f>
        <v>20207.066245642636</v>
      </c>
      <c r="AU121" s="252">
        <f t="shared" si="165"/>
        <v>14335.398400208574</v>
      </c>
      <c r="AV121" s="252">
        <f t="shared" si="165"/>
        <v>4996.9580345933227</v>
      </c>
      <c r="AW121" s="252">
        <f t="shared" si="165"/>
        <v>716.27323179816119</v>
      </c>
      <c r="AX121" s="252">
        <f t="shared" si="165"/>
        <v>3374.8190501573131</v>
      </c>
      <c r="AY121" s="252">
        <f t="shared" si="165"/>
        <v>20836.928406143736</v>
      </c>
    </row>
    <row r="122" spans="31:59">
      <c r="AE122" s="165">
        <v>32478</v>
      </c>
      <c r="AF122" s="277">
        <v>2144179</v>
      </c>
      <c r="AG122" s="277">
        <v>1358340</v>
      </c>
      <c r="AH122" s="277">
        <v>669538</v>
      </c>
      <c r="AI122" s="277">
        <v>78129</v>
      </c>
      <c r="AJ122" s="277">
        <v>375630</v>
      </c>
      <c r="AK122" s="277">
        <v>2032772</v>
      </c>
      <c r="AT122" s="252">
        <f t="shared" ref="AT122:AY122" si="166">AF122/SUM(AF114:AF125)*AM125</f>
        <v>20201.215542482183</v>
      </c>
      <c r="AU122" s="252">
        <f t="shared" si="166"/>
        <v>14424.611084604056</v>
      </c>
      <c r="AV122" s="252">
        <f t="shared" si="166"/>
        <v>5062.1766416187693</v>
      </c>
      <c r="AW122" s="252">
        <f t="shared" si="166"/>
        <v>735.47702463113626</v>
      </c>
      <c r="AX122" s="252">
        <f t="shared" si="166"/>
        <v>3419.0833591193168</v>
      </c>
      <c r="AY122" s="252">
        <f t="shared" si="166"/>
        <v>22541.827279856192</v>
      </c>
      <c r="BA122" s="252">
        <f t="shared" ref="BA122" si="167">SUM(AT111:AT122)</f>
        <v>220742.48388611202</v>
      </c>
      <c r="BB122" s="252">
        <f t="shared" ref="BB122:BF122" si="168">SUM(AU111:AU122)</f>
        <v>149056.4644443625</v>
      </c>
      <c r="BC122" s="252">
        <f t="shared" si="168"/>
        <v>54476.697143972568</v>
      </c>
      <c r="BD122" s="252">
        <f t="shared" si="168"/>
        <v>8451.9181628846673</v>
      </c>
      <c r="BE122" s="252">
        <f t="shared" si="168"/>
        <v>32530.527606700925</v>
      </c>
      <c r="BF122" s="252">
        <f t="shared" si="168"/>
        <v>192499.66715057401</v>
      </c>
      <c r="BG122" s="252">
        <f t="shared" ref="BG122" si="169">SUM(BA122:BF122)</f>
        <v>657757.75839460676</v>
      </c>
    </row>
    <row r="123" spans="31:59">
      <c r="AE123" s="165">
        <v>32509</v>
      </c>
      <c r="AF123" s="277">
        <v>1523271</v>
      </c>
      <c r="AG123" s="277">
        <v>988533</v>
      </c>
      <c r="AH123" s="277">
        <v>486782</v>
      </c>
      <c r="AI123" s="277">
        <v>55223</v>
      </c>
      <c r="AJ123" s="277">
        <v>269195</v>
      </c>
      <c r="AK123" s="277">
        <v>1490656</v>
      </c>
      <c r="AT123" s="252">
        <f t="shared" ref="AT123:AY123" si="170">AF123/SUM(AF114:AF125)*AM125</f>
        <v>14351.379152865678</v>
      </c>
      <c r="AU123" s="252">
        <f t="shared" si="170"/>
        <v>10497.522026368142</v>
      </c>
      <c r="AV123" s="252">
        <f t="shared" si="170"/>
        <v>3680.4131654371631</v>
      </c>
      <c r="AW123" s="252">
        <f t="shared" si="170"/>
        <v>519.84855471342576</v>
      </c>
      <c r="AX123" s="252">
        <f t="shared" si="170"/>
        <v>2450.283909320673</v>
      </c>
      <c r="AY123" s="252">
        <f t="shared" si="170"/>
        <v>16530.191327744236</v>
      </c>
    </row>
    <row r="124" spans="31:59">
      <c r="AE124" s="165">
        <v>32540</v>
      </c>
      <c r="AF124" s="277">
        <v>1745703</v>
      </c>
      <c r="AG124" s="277">
        <v>1194703</v>
      </c>
      <c r="AH124" s="277">
        <v>664405</v>
      </c>
      <c r="AI124" s="277">
        <v>62983</v>
      </c>
      <c r="AJ124" s="277">
        <v>299517</v>
      </c>
      <c r="AK124" s="277">
        <v>1691525</v>
      </c>
      <c r="AT124" s="252">
        <f t="shared" ref="AT124:AY124" si="171">AF124/SUM(AF114:AF125)*AM125</f>
        <v>16447.004926434674</v>
      </c>
      <c r="AU124" s="252">
        <f t="shared" si="171"/>
        <v>12686.901759949438</v>
      </c>
      <c r="AV124" s="252">
        <f t="shared" si="171"/>
        <v>5023.3675632670856</v>
      </c>
      <c r="AW124" s="252">
        <f t="shared" si="171"/>
        <v>592.89827647023333</v>
      </c>
      <c r="AX124" s="252">
        <f t="shared" si="171"/>
        <v>2726.2827529040287</v>
      </c>
      <c r="AY124" s="252">
        <f t="shared" si="171"/>
        <v>18757.669030052923</v>
      </c>
    </row>
    <row r="125" spans="31:59">
      <c r="AE125" s="165">
        <v>32568</v>
      </c>
      <c r="AF125" s="277">
        <v>1950260</v>
      </c>
      <c r="AG125" s="277">
        <v>1378683</v>
      </c>
      <c r="AH125" s="277">
        <v>740644</v>
      </c>
      <c r="AI125" s="277">
        <v>66102</v>
      </c>
      <c r="AJ125" s="277">
        <v>302553</v>
      </c>
      <c r="AK125" s="277">
        <v>1570429</v>
      </c>
      <c r="AM125" s="277">
        <v>221032</v>
      </c>
      <c r="AN125" s="277">
        <v>156732</v>
      </c>
      <c r="AO125" s="277">
        <v>55157</v>
      </c>
      <c r="AP125" s="277">
        <v>8113</v>
      </c>
      <c r="AQ125" s="277">
        <v>32240</v>
      </c>
      <c r="AR125" s="277">
        <v>193281</v>
      </c>
      <c r="AT125" s="252">
        <f t="shared" ref="AT125:AY125" si="172">AF125/SUM(AF114:AF125)*AM125</f>
        <v>18374.222778919717</v>
      </c>
      <c r="AU125" s="252">
        <f t="shared" si="172"/>
        <v>14640.639371552907</v>
      </c>
      <c r="AV125" s="252">
        <f t="shared" si="172"/>
        <v>5599.7878485688507</v>
      </c>
      <c r="AW125" s="252">
        <f t="shared" si="172"/>
        <v>622.25936953202233</v>
      </c>
      <c r="AX125" s="252">
        <f t="shared" si="172"/>
        <v>2753.9172258648841</v>
      </c>
      <c r="AY125" s="252">
        <f t="shared" si="172"/>
        <v>17414.810550950759</v>
      </c>
      <c r="AZ125" s="25">
        <f t="shared" ref="AZ125" si="173">SUM(AT114:AY125)-SUM(AM125:AR125)</f>
        <v>0</v>
      </c>
    </row>
    <row r="126" spans="31:59">
      <c r="AE126" s="165">
        <v>32599</v>
      </c>
      <c r="AF126" s="277">
        <v>2008460</v>
      </c>
      <c r="AG126" s="277">
        <v>1367658</v>
      </c>
      <c r="AH126" s="277">
        <v>556337</v>
      </c>
      <c r="AI126" s="277">
        <v>63956</v>
      </c>
      <c r="AJ126" s="277">
        <v>256101</v>
      </c>
      <c r="AK126" s="277">
        <v>911130</v>
      </c>
      <c r="AT126" s="252">
        <f t="shared" ref="AT126" si="174">AF126/SUM(AF126:AF137)*AM137</f>
        <v>18348.304409309207</v>
      </c>
      <c r="AU126" s="252">
        <f t="shared" ref="AU126:AY126" si="175">AG126/SUM(AG126:AG137)*AN137</f>
        <v>14119.683088215192</v>
      </c>
      <c r="AV126" s="252">
        <f t="shared" si="175"/>
        <v>4903.0797971209313</v>
      </c>
      <c r="AW126" s="252">
        <f t="shared" si="175"/>
        <v>772.62248532662102</v>
      </c>
      <c r="AX126" s="252">
        <f t="shared" si="175"/>
        <v>2180.5858245825457</v>
      </c>
      <c r="AY126" s="252">
        <f t="shared" si="175"/>
        <v>9831.4425390393299</v>
      </c>
    </row>
    <row r="127" spans="31:59">
      <c r="AE127" s="165">
        <v>32629</v>
      </c>
      <c r="AF127" s="277">
        <v>2048238</v>
      </c>
      <c r="AG127" s="277">
        <v>1365814</v>
      </c>
      <c r="AH127" s="277">
        <v>586655</v>
      </c>
      <c r="AI127" s="277">
        <v>61366</v>
      </c>
      <c r="AJ127" s="277">
        <v>232088</v>
      </c>
      <c r="AK127" s="277">
        <v>854037</v>
      </c>
      <c r="AT127" s="252">
        <f t="shared" ref="AT127:AY127" si="176">AF127/SUM(AF126:AF137)*AM137</f>
        <v>18711.696686373973</v>
      </c>
      <c r="AU127" s="252">
        <f t="shared" si="176"/>
        <v>14100.645656624349</v>
      </c>
      <c r="AV127" s="252">
        <f t="shared" si="176"/>
        <v>5170.2767897514996</v>
      </c>
      <c r="AW127" s="252">
        <f t="shared" si="176"/>
        <v>741.33390822680326</v>
      </c>
      <c r="AX127" s="252">
        <f t="shared" si="176"/>
        <v>1976.1258365086971</v>
      </c>
      <c r="AY127" s="252">
        <f t="shared" si="176"/>
        <v>9215.3871475130127</v>
      </c>
    </row>
    <row r="128" spans="31:59">
      <c r="AE128" s="165">
        <v>32660</v>
      </c>
      <c r="AF128" s="277">
        <v>2124750</v>
      </c>
      <c r="AG128" s="277">
        <v>1420636</v>
      </c>
      <c r="AH128" s="277">
        <v>593382</v>
      </c>
      <c r="AI128" s="277">
        <v>60490</v>
      </c>
      <c r="AJ128" s="277">
        <v>233633</v>
      </c>
      <c r="AK128" s="277">
        <v>960683</v>
      </c>
      <c r="AT128" s="252">
        <f t="shared" ref="AT128:AY128" si="177">AF128/SUM(AF126:AF137)*AM137</f>
        <v>19410.672751102702</v>
      </c>
      <c r="AU128" s="252">
        <f t="shared" si="177"/>
        <v>14666.627258941691</v>
      </c>
      <c r="AV128" s="252">
        <f t="shared" si="177"/>
        <v>5229.5628300386497</v>
      </c>
      <c r="AW128" s="252">
        <f t="shared" si="177"/>
        <v>730.75136245867952</v>
      </c>
      <c r="AX128" s="252">
        <f t="shared" si="177"/>
        <v>1989.2808226234722</v>
      </c>
      <c r="AY128" s="252">
        <f t="shared" si="177"/>
        <v>10366.138435494298</v>
      </c>
    </row>
    <row r="129" spans="31:59">
      <c r="AE129" s="165">
        <v>32690</v>
      </c>
      <c r="AF129" s="277">
        <v>2218563</v>
      </c>
      <c r="AG129" s="277">
        <v>1493909</v>
      </c>
      <c r="AH129" s="277">
        <v>634669</v>
      </c>
      <c r="AI129" s="277">
        <v>60575</v>
      </c>
      <c r="AJ129" s="277">
        <v>259015</v>
      </c>
      <c r="AK129" s="277">
        <v>1197629</v>
      </c>
      <c r="AT129" s="252">
        <f t="shared" ref="AT129:AY129" si="178">AF129/SUM(AF126:AF137)*AM137</f>
        <v>20267.702257067733</v>
      </c>
      <c r="AU129" s="252">
        <f t="shared" si="178"/>
        <v>15423.096741021855</v>
      </c>
      <c r="AV129" s="252">
        <f t="shared" si="178"/>
        <v>5593.4312327940515</v>
      </c>
      <c r="AW129" s="252">
        <f t="shared" si="178"/>
        <v>731.77820765307513</v>
      </c>
      <c r="AX129" s="252">
        <f t="shared" si="178"/>
        <v>2205.3972352870474</v>
      </c>
      <c r="AY129" s="252">
        <f t="shared" si="178"/>
        <v>12922.876753687327</v>
      </c>
    </row>
    <row r="130" spans="31:59">
      <c r="AE130" s="165">
        <v>32721</v>
      </c>
      <c r="AF130" s="277">
        <v>2282982</v>
      </c>
      <c r="AG130" s="277">
        <v>1554158</v>
      </c>
      <c r="AH130" s="277">
        <v>641099</v>
      </c>
      <c r="AI130" s="277">
        <v>62465</v>
      </c>
      <c r="AJ130" s="277">
        <v>298474</v>
      </c>
      <c r="AK130" s="277">
        <v>1453145</v>
      </c>
      <c r="AT130" s="252">
        <f t="shared" ref="AT130:AY130" si="179">AF130/SUM(AF126:AF137)*AM137</f>
        <v>20856.202611440382</v>
      </c>
      <c r="AU130" s="252">
        <f t="shared" si="179"/>
        <v>16045.106619501617</v>
      </c>
      <c r="AV130" s="252">
        <f t="shared" si="179"/>
        <v>5650.0997684037411</v>
      </c>
      <c r="AW130" s="252">
        <f t="shared" si="179"/>
        <v>754.6104125637529</v>
      </c>
      <c r="AX130" s="252">
        <f t="shared" si="179"/>
        <v>2541.3730262921686</v>
      </c>
      <c r="AY130" s="252">
        <f t="shared" si="179"/>
        <v>15679.992502049441</v>
      </c>
    </row>
    <row r="131" spans="31:59">
      <c r="AE131" s="165">
        <v>32752</v>
      </c>
      <c r="AF131" s="277">
        <v>2325549</v>
      </c>
      <c r="AG131" s="277">
        <v>1614372</v>
      </c>
      <c r="AH131" s="277">
        <v>652367</v>
      </c>
      <c r="AI131" s="277">
        <v>65176</v>
      </c>
      <c r="AJ131" s="277">
        <v>343652</v>
      </c>
      <c r="AK131" s="277">
        <v>1713631</v>
      </c>
      <c r="AT131" s="252">
        <f t="shared" ref="AT131:AY131" si="180">AF131/SUM(AF126:AF137)*AM137</f>
        <v>21245.07382311055</v>
      </c>
      <c r="AU131" s="252">
        <f t="shared" si="180"/>
        <v>16666.755158444677</v>
      </c>
      <c r="AV131" s="252">
        <f t="shared" si="180"/>
        <v>5749.4063095001602</v>
      </c>
      <c r="AW131" s="252">
        <f t="shared" si="180"/>
        <v>787.3607339991222</v>
      </c>
      <c r="AX131" s="252">
        <f t="shared" si="180"/>
        <v>2926.0435523072579</v>
      </c>
      <c r="AY131" s="252">
        <f t="shared" si="180"/>
        <v>18490.736458701289</v>
      </c>
    </row>
    <row r="132" spans="31:59">
      <c r="AE132" s="165">
        <v>32782</v>
      </c>
      <c r="AF132" s="277">
        <v>2368168</v>
      </c>
      <c r="AG132" s="277">
        <v>1667511</v>
      </c>
      <c r="AH132" s="277">
        <v>659937</v>
      </c>
      <c r="AI132" s="277">
        <v>69912</v>
      </c>
      <c r="AJ132" s="277">
        <v>394932</v>
      </c>
      <c r="AK132" s="277">
        <v>1964178</v>
      </c>
      <c r="AT132" s="252">
        <f t="shared" ref="AT132:AY132" si="181">AF132/SUM(AF126:AF137)*AM137</f>
        <v>21634.420081248798</v>
      </c>
      <c r="AU132" s="252">
        <f t="shared" si="181"/>
        <v>17215.361491040014</v>
      </c>
      <c r="AV132" s="252">
        <f t="shared" si="181"/>
        <v>5816.1218327607112</v>
      </c>
      <c r="AW132" s="252">
        <f t="shared" si="181"/>
        <v>844.57413212450331</v>
      </c>
      <c r="AX132" s="252">
        <f t="shared" si="181"/>
        <v>3362.6698875601187</v>
      </c>
      <c r="AY132" s="252">
        <f t="shared" si="181"/>
        <v>21194.234789157628</v>
      </c>
    </row>
    <row r="133" spans="31:59">
      <c r="AE133" s="165">
        <v>32813</v>
      </c>
      <c r="AF133" s="277">
        <v>2316669</v>
      </c>
      <c r="AG133" s="277">
        <v>1653331</v>
      </c>
      <c r="AH133" s="277">
        <v>678794</v>
      </c>
      <c r="AI133" s="277">
        <v>70915</v>
      </c>
      <c r="AJ133" s="277">
        <v>409394</v>
      </c>
      <c r="AK133" s="277">
        <v>2046248</v>
      </c>
      <c r="AT133" s="252">
        <f t="shared" ref="AT133:AY133" si="182">AF133/SUM(AF126:AF137)*AM137</f>
        <v>21163.95050317654</v>
      </c>
      <c r="AU133" s="252">
        <f t="shared" si="182"/>
        <v>17068.967358741666</v>
      </c>
      <c r="AV133" s="252">
        <f t="shared" si="182"/>
        <v>5982.3113469118634</v>
      </c>
      <c r="AW133" s="252">
        <f t="shared" si="182"/>
        <v>856.69090541837102</v>
      </c>
      <c r="AX133" s="252">
        <f t="shared" si="182"/>
        <v>3485.8073692377097</v>
      </c>
      <c r="AY133" s="252">
        <f t="shared" si="182"/>
        <v>22079.801600895753</v>
      </c>
    </row>
    <row r="134" spans="31:59">
      <c r="AE134" s="165">
        <v>32843</v>
      </c>
      <c r="AF134" s="277">
        <v>2326159</v>
      </c>
      <c r="AG134" s="277">
        <v>1655505</v>
      </c>
      <c r="AH134" s="277">
        <v>685853</v>
      </c>
      <c r="AI134" s="277">
        <v>73277</v>
      </c>
      <c r="AJ134" s="277">
        <v>421632</v>
      </c>
      <c r="AK134" s="277">
        <v>2218413</v>
      </c>
      <c r="AT134" s="252">
        <f t="shared" ref="AT134:AY134" si="183">AF134/SUM(AF126:AF137)*AM137</f>
        <v>21250.646483601511</v>
      </c>
      <c r="AU134" s="252">
        <f t="shared" si="183"/>
        <v>17091.411705964278</v>
      </c>
      <c r="AV134" s="252">
        <f t="shared" si="183"/>
        <v>6044.5233520236516</v>
      </c>
      <c r="AW134" s="252">
        <f t="shared" si="183"/>
        <v>885.22512129086886</v>
      </c>
      <c r="AX134" s="252">
        <f t="shared" si="183"/>
        <v>3590.0084825533204</v>
      </c>
      <c r="AY134" s="252">
        <f t="shared" si="183"/>
        <v>23937.528055664785</v>
      </c>
      <c r="BA134" s="252">
        <f t="shared" ref="BA134" si="184">SUM(AT123:AT134)</f>
        <v>232061.27646465146</v>
      </c>
      <c r="BB134" s="252">
        <f t="shared" ref="BB134:BF134" si="185">SUM(AU123:AU134)</f>
        <v>180222.71823636582</v>
      </c>
      <c r="BC134" s="252">
        <f t="shared" si="185"/>
        <v>64442.381836578359</v>
      </c>
      <c r="BD134" s="252">
        <f t="shared" si="185"/>
        <v>8839.9534697774779</v>
      </c>
      <c r="BE134" s="252">
        <f t="shared" si="185"/>
        <v>32187.775925041926</v>
      </c>
      <c r="BF134" s="252">
        <f t="shared" si="185"/>
        <v>196420.80919095079</v>
      </c>
      <c r="BG134" s="252">
        <f t="shared" ref="BG134" si="186">SUM(BA134:BF134)</f>
        <v>714174.91512336582</v>
      </c>
    </row>
    <row r="135" spans="31:59">
      <c r="AE135" s="165">
        <v>32874</v>
      </c>
      <c r="AF135" s="277">
        <v>1663609</v>
      </c>
      <c r="AG135" s="277">
        <v>1210850</v>
      </c>
      <c r="AH135" s="277">
        <v>502228</v>
      </c>
      <c r="AI135" s="277">
        <v>54200</v>
      </c>
      <c r="AJ135" s="277">
        <v>302769</v>
      </c>
      <c r="AK135" s="277">
        <v>1622701</v>
      </c>
      <c r="AT135" s="252">
        <f t="shared" ref="AT135:AY135" si="187">AF135/SUM(AF126:AF137)*AM137</f>
        <v>15197.914994606055</v>
      </c>
      <c r="AU135" s="252">
        <f t="shared" si="187"/>
        <v>12500.799371893678</v>
      </c>
      <c r="AV135" s="252">
        <f t="shared" si="187"/>
        <v>4426.2092227345129</v>
      </c>
      <c r="AW135" s="252">
        <f t="shared" si="187"/>
        <v>654.7648180734077</v>
      </c>
      <c r="AX135" s="252">
        <f t="shared" si="187"/>
        <v>2577.9430362358321</v>
      </c>
      <c r="AY135" s="252">
        <f t="shared" si="187"/>
        <v>17509.566845062349</v>
      </c>
    </row>
    <row r="136" spans="31:59">
      <c r="AE136" s="165">
        <v>32905</v>
      </c>
      <c r="AF136" s="277">
        <v>1920653</v>
      </c>
      <c r="AG136" s="277">
        <v>1454504</v>
      </c>
      <c r="AH136" s="277">
        <v>627134</v>
      </c>
      <c r="AI136" s="277">
        <v>62640</v>
      </c>
      <c r="AJ136" s="277">
        <v>343568</v>
      </c>
      <c r="AK136" s="277">
        <v>1915743</v>
      </c>
      <c r="AT136" s="252">
        <f t="shared" ref="AT136:AY136" si="188">AF136/SUM(AF126:AF137)*AM137</f>
        <v>17546.142770407652</v>
      </c>
      <c r="AU136" s="252">
        <f t="shared" si="188"/>
        <v>15016.280042628601</v>
      </c>
      <c r="AV136" s="252">
        <f t="shared" si="188"/>
        <v>5527.0241696806752</v>
      </c>
      <c r="AW136" s="252">
        <f t="shared" si="188"/>
        <v>756.7245056110379</v>
      </c>
      <c r="AX136" s="252">
        <f t="shared" si="188"/>
        <v>2925.3283297612115</v>
      </c>
      <c r="AY136" s="252">
        <f t="shared" si="188"/>
        <v>20671.602541971861</v>
      </c>
    </row>
    <row r="137" spans="31:59">
      <c r="AE137" s="165">
        <v>32933</v>
      </c>
      <c r="AF137" s="277">
        <v>2144519</v>
      </c>
      <c r="AG137" s="277">
        <v>1646967</v>
      </c>
      <c r="AH137" s="277">
        <v>692029</v>
      </c>
      <c r="AI137" s="277">
        <v>67345</v>
      </c>
      <c r="AJ137" s="277">
        <v>348396</v>
      </c>
      <c r="AK137" s="277">
        <v>1747546</v>
      </c>
      <c r="AM137" s="277">
        <v>235224</v>
      </c>
      <c r="AN137" s="277">
        <v>186918</v>
      </c>
      <c r="AO137" s="277">
        <v>66191</v>
      </c>
      <c r="AP137" s="277">
        <v>9330</v>
      </c>
      <c r="AQ137" s="277">
        <v>32727</v>
      </c>
      <c r="AR137" s="277">
        <v>200756</v>
      </c>
      <c r="AT137" s="252">
        <f t="shared" ref="AT137:AY137" si="189">AF137/SUM(AF126:AF137)*AM137</f>
        <v>19591.2726285549</v>
      </c>
      <c r="AU137" s="252">
        <f t="shared" si="189"/>
        <v>17003.265506982381</v>
      </c>
      <c r="AV137" s="252">
        <f t="shared" si="189"/>
        <v>6098.9533482795523</v>
      </c>
      <c r="AW137" s="252">
        <f t="shared" si="189"/>
        <v>813.56340725375719</v>
      </c>
      <c r="AX137" s="252">
        <f t="shared" si="189"/>
        <v>2966.4365970506187</v>
      </c>
      <c r="AY137" s="252">
        <f t="shared" si="189"/>
        <v>18856.692330762926</v>
      </c>
      <c r="AZ137" s="25">
        <f t="shared" ref="AZ137" si="190">SUM(AT126:AY137)-SUM(AM137:AR137)</f>
        <v>0</v>
      </c>
    </row>
    <row r="138" spans="31:59">
      <c r="AE138" s="165">
        <v>32964</v>
      </c>
      <c r="AF138" s="277">
        <v>2185135</v>
      </c>
      <c r="AG138" s="277">
        <v>1652323</v>
      </c>
      <c r="AH138" s="277">
        <v>617606</v>
      </c>
      <c r="AI138" s="277">
        <v>65302</v>
      </c>
      <c r="AJ138" s="277">
        <v>297465</v>
      </c>
      <c r="AK138" s="277">
        <v>1025760</v>
      </c>
      <c r="AT138" s="252">
        <f t="shared" ref="AT138" si="191">AF138/SUM(AF138:AF149)*AM149</f>
        <v>19686.2794422648</v>
      </c>
      <c r="AU138" s="252">
        <f t="shared" ref="AU138:AY138" si="192">AG138/SUM(AG138:AG149)*AN149</f>
        <v>16515.976575565968</v>
      </c>
      <c r="AV138" s="252">
        <f t="shared" si="192"/>
        <v>6407.0181978611681</v>
      </c>
      <c r="AW138" s="252">
        <f t="shared" si="192"/>
        <v>785.69211642082132</v>
      </c>
      <c r="AX138" s="252">
        <f t="shared" si="192"/>
        <v>2646.2955420249696</v>
      </c>
      <c r="AY138" s="252">
        <f t="shared" si="192"/>
        <v>11222.480154649775</v>
      </c>
    </row>
    <row r="139" spans="31:59">
      <c r="AE139" s="165">
        <v>32994</v>
      </c>
      <c r="AF139" s="277">
        <v>2364809</v>
      </c>
      <c r="AG139" s="277">
        <v>1675383</v>
      </c>
      <c r="AH139" s="277">
        <v>640234</v>
      </c>
      <c r="AI139" s="277">
        <v>62519</v>
      </c>
      <c r="AJ139" s="277">
        <v>260608</v>
      </c>
      <c r="AK139" s="277">
        <v>943787</v>
      </c>
      <c r="AT139" s="252">
        <f t="shared" ref="AT139:AY139" si="193">AF139/SUM(AF138:AF149)*AM149</f>
        <v>21304.995252733941</v>
      </c>
      <c r="AU139" s="252">
        <f t="shared" si="193"/>
        <v>16746.475345983465</v>
      </c>
      <c r="AV139" s="252">
        <f t="shared" si="193"/>
        <v>6641.7601009210512</v>
      </c>
      <c r="AW139" s="252">
        <f t="shared" si="193"/>
        <v>752.20797872214223</v>
      </c>
      <c r="AX139" s="252">
        <f t="shared" si="193"/>
        <v>2318.4098586927648</v>
      </c>
      <c r="AY139" s="252">
        <f t="shared" si="193"/>
        <v>10325.64233126311</v>
      </c>
    </row>
    <row r="140" spans="31:59">
      <c r="AE140" s="165">
        <v>33025</v>
      </c>
      <c r="AF140" s="277">
        <v>2483299</v>
      </c>
      <c r="AG140" s="277">
        <v>1734800</v>
      </c>
      <c r="AH140" s="277">
        <v>635813</v>
      </c>
      <c r="AI140" s="277">
        <v>61524</v>
      </c>
      <c r="AJ140" s="277">
        <v>256387</v>
      </c>
      <c r="AK140" s="277">
        <v>1008701</v>
      </c>
      <c r="AT140" s="252">
        <f t="shared" ref="AT140:AY140" si="194">AF140/SUM(AF138:AF149)*AM149</f>
        <v>22372.493256799571</v>
      </c>
      <c r="AU140" s="252">
        <f t="shared" si="194"/>
        <v>17340.384515189729</v>
      </c>
      <c r="AV140" s="252">
        <f t="shared" si="194"/>
        <v>6595.8968362300602</v>
      </c>
      <c r="AW140" s="252">
        <f t="shared" si="194"/>
        <v>740.23646704043688</v>
      </c>
      <c r="AX140" s="252">
        <f t="shared" si="194"/>
        <v>2280.8591771575007</v>
      </c>
      <c r="AY140" s="252">
        <f t="shared" si="194"/>
        <v>11035.84362275326</v>
      </c>
    </row>
    <row r="141" spans="31:59">
      <c r="AE141" s="165">
        <v>33055</v>
      </c>
      <c r="AF141" s="277">
        <v>2559464</v>
      </c>
      <c r="AG141" s="277">
        <v>1833759</v>
      </c>
      <c r="AH141" s="277">
        <v>633057</v>
      </c>
      <c r="AI141" s="277">
        <v>63083</v>
      </c>
      <c r="AJ141" s="277">
        <v>270251</v>
      </c>
      <c r="AK141" s="277">
        <v>1238063</v>
      </c>
      <c r="AT141" s="252">
        <f t="shared" ref="AT141:AY141" si="195">AF141/SUM(AF138:AF149)*AM149</f>
        <v>23058.677622397168</v>
      </c>
      <c r="AU141" s="252">
        <f t="shared" si="195"/>
        <v>18329.54010156203</v>
      </c>
      <c r="AV141" s="252">
        <f t="shared" si="195"/>
        <v>6567.3062102430958</v>
      </c>
      <c r="AW141" s="252">
        <f t="shared" si="195"/>
        <v>758.99384062011382</v>
      </c>
      <c r="AX141" s="252">
        <f t="shared" si="195"/>
        <v>2404.1955071278639</v>
      </c>
      <c r="AY141" s="252">
        <f t="shared" si="195"/>
        <v>13545.212766832557</v>
      </c>
    </row>
    <row r="142" spans="31:59">
      <c r="AE142" s="165">
        <v>33086</v>
      </c>
      <c r="AF142" s="277">
        <v>2595855</v>
      </c>
      <c r="AG142" s="277">
        <v>1929627</v>
      </c>
      <c r="AH142" s="277">
        <v>655190</v>
      </c>
      <c r="AI142" s="277">
        <v>66776</v>
      </c>
      <c r="AJ142" s="277">
        <v>309931</v>
      </c>
      <c r="AK142" s="277">
        <v>1491517</v>
      </c>
      <c r="AT142" s="252">
        <f t="shared" ref="AT142:AY142" si="196">AF142/SUM(AF138:AF149)*AM149</f>
        <v>23386.530773430608</v>
      </c>
      <c r="AU142" s="252">
        <f t="shared" si="196"/>
        <v>19287.799256912618</v>
      </c>
      <c r="AV142" s="252">
        <f t="shared" si="196"/>
        <v>6796.9130044990789</v>
      </c>
      <c r="AW142" s="252">
        <f t="shared" si="196"/>
        <v>803.42679804778982</v>
      </c>
      <c r="AX142" s="252">
        <f t="shared" si="196"/>
        <v>2757.195043569297</v>
      </c>
      <c r="AY142" s="252">
        <f t="shared" si="196"/>
        <v>16318.164027475013</v>
      </c>
    </row>
    <row r="143" spans="31:59">
      <c r="AE143" s="165">
        <v>33117</v>
      </c>
      <c r="AF143" s="277">
        <v>2597923</v>
      </c>
      <c r="AG143" s="277">
        <v>1991964</v>
      </c>
      <c r="AH143" s="277">
        <v>678794</v>
      </c>
      <c r="AI143" s="277">
        <v>70751</v>
      </c>
      <c r="AJ143" s="277">
        <v>367911</v>
      </c>
      <c r="AK143" s="277">
        <v>1714804</v>
      </c>
      <c r="AT143" s="252">
        <f t="shared" ref="AT143:AY143" si="197">AF143/SUM(AF138:AF149)*AM149</f>
        <v>23405.161762310749</v>
      </c>
      <c r="AU143" s="252">
        <f t="shared" si="197"/>
        <v>19910.895607802282</v>
      </c>
      <c r="AV143" s="252">
        <f t="shared" si="197"/>
        <v>7041.7798897662478</v>
      </c>
      <c r="AW143" s="252">
        <f t="shared" si="197"/>
        <v>851.25268642445155</v>
      </c>
      <c r="AX143" s="252">
        <f t="shared" si="197"/>
        <v>3272.9942654159263</v>
      </c>
      <c r="AY143" s="252">
        <f t="shared" si="197"/>
        <v>18761.068728663678</v>
      </c>
    </row>
    <row r="144" spans="31:59">
      <c r="AE144" s="165">
        <v>33147</v>
      </c>
      <c r="AF144" s="277">
        <v>2609552</v>
      </c>
      <c r="AG144" s="277">
        <v>2010337</v>
      </c>
      <c r="AH144" s="277">
        <v>704957</v>
      </c>
      <c r="AI144" s="277">
        <v>75592</v>
      </c>
      <c r="AJ144" s="277">
        <v>412633</v>
      </c>
      <c r="AK144" s="277">
        <v>1997350</v>
      </c>
      <c r="AT144" s="252">
        <f t="shared" ref="AT144:AY144" si="198">AF144/SUM(AF138:AF149)*AM149</f>
        <v>23509.929542623679</v>
      </c>
      <c r="AU144" s="252">
        <f t="shared" si="198"/>
        <v>20094.544953373865</v>
      </c>
      <c r="AV144" s="252">
        <f t="shared" si="198"/>
        <v>7313.1937314560009</v>
      </c>
      <c r="AW144" s="252">
        <f t="shared" si="198"/>
        <v>909.49800104870803</v>
      </c>
      <c r="AX144" s="252">
        <f t="shared" si="198"/>
        <v>3670.8482288416767</v>
      </c>
      <c r="AY144" s="252">
        <f t="shared" si="198"/>
        <v>21852.305351046765</v>
      </c>
    </row>
    <row r="145" spans="31:59">
      <c r="AE145" s="165">
        <v>33178</v>
      </c>
      <c r="AF145" s="277">
        <v>2519303</v>
      </c>
      <c r="AG145" s="277">
        <v>1962067</v>
      </c>
      <c r="AH145" s="277">
        <v>709272</v>
      </c>
      <c r="AI145" s="277">
        <v>78826</v>
      </c>
      <c r="AJ145" s="277">
        <v>430424</v>
      </c>
      <c r="AK145" s="277">
        <v>2166010</v>
      </c>
      <c r="AT145" s="252">
        <f t="shared" ref="AT145:AY145" si="199">AF145/SUM(AF138:AF149)*AM149</f>
        <v>22696.859854304672</v>
      </c>
      <c r="AU145" s="252">
        <f t="shared" si="199"/>
        <v>19612.056850682944</v>
      </c>
      <c r="AV145" s="252">
        <f t="shared" si="199"/>
        <v>7357.9573566859544</v>
      </c>
      <c r="AW145" s="252">
        <f t="shared" si="199"/>
        <v>948.40842193175797</v>
      </c>
      <c r="AX145" s="252">
        <f t="shared" si="199"/>
        <v>3829.1197699916142</v>
      </c>
      <c r="AY145" s="252">
        <f t="shared" si="199"/>
        <v>23697.555217373421</v>
      </c>
    </row>
    <row r="146" spans="31:59">
      <c r="AE146" s="165">
        <v>33208</v>
      </c>
      <c r="AF146" s="277">
        <v>2512706</v>
      </c>
      <c r="AG146" s="277">
        <v>1973452</v>
      </c>
      <c r="AH146" s="277">
        <v>693835</v>
      </c>
      <c r="AI146" s="277">
        <v>82565</v>
      </c>
      <c r="AJ146" s="277">
        <v>443034</v>
      </c>
      <c r="AK146" s="277">
        <v>2428621</v>
      </c>
      <c r="AT146" s="252">
        <f t="shared" ref="AT146:AY146" si="200">AF146/SUM(AF138:AF149)*AM149</f>
        <v>22637.426279042447</v>
      </c>
      <c r="AU146" s="252">
        <f t="shared" si="200"/>
        <v>19725.856872417688</v>
      </c>
      <c r="AV146" s="252">
        <f t="shared" si="200"/>
        <v>7197.8145797045427</v>
      </c>
      <c r="AW146" s="252">
        <f t="shared" si="200"/>
        <v>993.3948361808998</v>
      </c>
      <c r="AX146" s="252">
        <f t="shared" si="200"/>
        <v>3941.3003182407692</v>
      </c>
      <c r="AY146" s="252">
        <f t="shared" si="200"/>
        <v>26570.690001233907</v>
      </c>
      <c r="BA146" s="252">
        <f t="shared" ref="BA146" si="201">SUM(AT135:AT146)</f>
        <v>254393.6841794762</v>
      </c>
      <c r="BB146" s="252">
        <f t="shared" ref="BB146:BF146" si="202">SUM(AU135:AU146)</f>
        <v>212083.87500099523</v>
      </c>
      <c r="BC146" s="252">
        <f t="shared" si="202"/>
        <v>77971.82664806195</v>
      </c>
      <c r="BD146" s="252">
        <f t="shared" si="202"/>
        <v>9768.1638773753239</v>
      </c>
      <c r="BE146" s="252">
        <f t="shared" si="202"/>
        <v>35590.925674110047</v>
      </c>
      <c r="BF146" s="252">
        <f t="shared" si="202"/>
        <v>210366.82391908861</v>
      </c>
      <c r="BG146" s="252">
        <f t="shared" ref="BG146" si="203">SUM(BA146:BF146)</f>
        <v>800175.2992991074</v>
      </c>
    </row>
    <row r="147" spans="31:59">
      <c r="AE147" s="165">
        <v>33239</v>
      </c>
      <c r="AF147" s="277">
        <v>1904360</v>
      </c>
      <c r="AG147" s="277">
        <v>1534288</v>
      </c>
      <c r="AH147" s="277">
        <v>536526</v>
      </c>
      <c r="AI147" s="277">
        <v>64764</v>
      </c>
      <c r="AJ147" s="277">
        <v>326704</v>
      </c>
      <c r="AK147" s="277">
        <v>1862608</v>
      </c>
      <c r="AT147" s="252">
        <f t="shared" ref="AT147:AY147" si="204">AF147/SUM(AF138:AF149)*AM149</f>
        <v>17156.726297767138</v>
      </c>
      <c r="AU147" s="252">
        <f t="shared" si="204"/>
        <v>15336.144729675711</v>
      </c>
      <c r="AV147" s="252">
        <f t="shared" si="204"/>
        <v>5565.8977497395772</v>
      </c>
      <c r="AW147" s="252">
        <f t="shared" si="204"/>
        <v>779.21907794367826</v>
      </c>
      <c r="AX147" s="252">
        <f t="shared" si="204"/>
        <v>2906.4102962087159</v>
      </c>
      <c r="AY147" s="252">
        <f t="shared" si="204"/>
        <v>20378.140418706043</v>
      </c>
    </row>
    <row r="148" spans="31:59">
      <c r="AE148" s="165">
        <v>33270</v>
      </c>
      <c r="AF148" s="277">
        <v>2026451</v>
      </c>
      <c r="AG148" s="277">
        <v>1720970</v>
      </c>
      <c r="AH148" s="277">
        <v>577978</v>
      </c>
      <c r="AI148" s="277">
        <v>71365</v>
      </c>
      <c r="AJ148" s="277">
        <v>328090</v>
      </c>
      <c r="AK148" s="277">
        <v>1689338</v>
      </c>
      <c r="AT148" s="252">
        <f t="shared" ref="AT148:AY148" si="205">AF148/SUM(AF138:AF149)*AM149</f>
        <v>18256.666367092628</v>
      </c>
      <c r="AU148" s="252">
        <f t="shared" si="205"/>
        <v>17202.145226600227</v>
      </c>
      <c r="AV148" s="252">
        <f t="shared" si="205"/>
        <v>5995.9190227481631</v>
      </c>
      <c r="AW148" s="252">
        <f t="shared" si="205"/>
        <v>858.64013182401641</v>
      </c>
      <c r="AX148" s="252">
        <f t="shared" si="205"/>
        <v>2918.7403707426834</v>
      </c>
      <c r="AY148" s="252">
        <f t="shared" si="205"/>
        <v>18482.454160325753</v>
      </c>
    </row>
    <row r="149" spans="31:59">
      <c r="AE149" s="165">
        <v>33298</v>
      </c>
      <c r="AF149" s="277">
        <v>2191681</v>
      </c>
      <c r="AG149" s="277">
        <v>1899852</v>
      </c>
      <c r="AH149" s="277">
        <v>686772</v>
      </c>
      <c r="AI149" s="277">
        <v>79875</v>
      </c>
      <c r="AJ149" s="277">
        <v>328415</v>
      </c>
      <c r="AK149" s="277">
        <v>1762276</v>
      </c>
      <c r="AM149" s="277">
        <v>257217</v>
      </c>
      <c r="AN149" s="277">
        <v>219092</v>
      </c>
      <c r="AO149" s="277">
        <v>80606</v>
      </c>
      <c r="AP149" s="277">
        <v>10142</v>
      </c>
      <c r="AQ149" s="277">
        <v>35868</v>
      </c>
      <c r="AR149" s="277">
        <v>211470</v>
      </c>
      <c r="AT149" s="252">
        <f t="shared" ref="AT149:AY149" si="206">AF149/SUM(AF138:AF149)*AM149</f>
        <v>19745.253549232591</v>
      </c>
      <c r="AU149" s="252">
        <f t="shared" si="206"/>
        <v>18990.179964233481</v>
      </c>
      <c r="AV149" s="252">
        <f t="shared" si="206"/>
        <v>7124.5433201450596</v>
      </c>
      <c r="AW149" s="252">
        <f t="shared" si="206"/>
        <v>961.02964379518403</v>
      </c>
      <c r="AX149" s="252">
        <f t="shared" si="206"/>
        <v>2921.6316219862183</v>
      </c>
      <c r="AY149" s="252">
        <f t="shared" si="206"/>
        <v>19280.443219676716</v>
      </c>
      <c r="AZ149" s="25">
        <f t="shared" ref="AZ149" si="207">SUM(AT138:AY149)-SUM(AM149:AR149)</f>
        <v>0</v>
      </c>
    </row>
    <row r="150" spans="31:59">
      <c r="AE150" s="165">
        <v>33329</v>
      </c>
      <c r="AF150" s="277">
        <v>2235108</v>
      </c>
      <c r="AG150" s="277">
        <v>1913544</v>
      </c>
      <c r="AH150" s="277">
        <v>627021</v>
      </c>
      <c r="AI150" s="277">
        <v>85478</v>
      </c>
      <c r="AJ150" s="277">
        <v>309249</v>
      </c>
      <c r="AK150" s="277">
        <v>1198667</v>
      </c>
      <c r="AT150" s="252">
        <f t="shared" ref="AT150" si="208">AF150/SUM(AF150:AF161)*AM161</f>
        <v>19473.617528748255</v>
      </c>
      <c r="AU150" s="252">
        <f t="shared" ref="AU150:AY150" si="209">AG150/SUM(AG150:AG161)*AN161</f>
        <v>18216.025525804384</v>
      </c>
      <c r="AV150" s="252">
        <f t="shared" si="209"/>
        <v>6094.8966634322878</v>
      </c>
      <c r="AW150" s="252">
        <f t="shared" si="209"/>
        <v>869.15321188506675</v>
      </c>
      <c r="AX150" s="252">
        <f t="shared" si="209"/>
        <v>3047.5464204446189</v>
      </c>
      <c r="AY150" s="252">
        <f t="shared" si="209"/>
        <v>11740.076620883165</v>
      </c>
    </row>
    <row r="151" spans="31:59">
      <c r="AE151" s="165">
        <v>33359</v>
      </c>
      <c r="AF151" s="277">
        <v>2324218</v>
      </c>
      <c r="AG151" s="277">
        <v>1896227</v>
      </c>
      <c r="AH151" s="277">
        <v>737416</v>
      </c>
      <c r="AI151" s="277">
        <v>83251</v>
      </c>
      <c r="AJ151" s="277">
        <v>271168</v>
      </c>
      <c r="AK151" s="277">
        <v>1165375</v>
      </c>
      <c r="AT151" s="252">
        <f t="shared" ref="AT151:AY151" si="210">AF151/SUM(AF150:AF161)*AM161</f>
        <v>20249.997935416188</v>
      </c>
      <c r="AU151" s="252">
        <f t="shared" si="210"/>
        <v>18051.17595138626</v>
      </c>
      <c r="AV151" s="252">
        <f t="shared" si="210"/>
        <v>7167.9805269067292</v>
      </c>
      <c r="AW151" s="252">
        <f t="shared" si="210"/>
        <v>846.50873958964542</v>
      </c>
      <c r="AX151" s="252">
        <f t="shared" si="210"/>
        <v>2672.2707841872616</v>
      </c>
      <c r="AY151" s="252">
        <f t="shared" si="210"/>
        <v>11414.00555121791</v>
      </c>
    </row>
    <row r="152" spans="31:59">
      <c r="AE152" s="165">
        <v>33390</v>
      </c>
      <c r="AF152" s="277">
        <v>2376783</v>
      </c>
      <c r="AG152" s="277">
        <v>1903868</v>
      </c>
      <c r="AH152" s="277">
        <v>716458</v>
      </c>
      <c r="AI152" s="277">
        <v>82762</v>
      </c>
      <c r="AJ152" s="277">
        <v>271593</v>
      </c>
      <c r="AK152" s="277">
        <v>1250498</v>
      </c>
      <c r="AT152" s="252">
        <f t="shared" ref="AT152:AY152" si="211">AF152/SUM(AF150:AF161)*AM161</f>
        <v>20707.976120541316</v>
      </c>
      <c r="AU152" s="252">
        <f t="shared" si="211"/>
        <v>18123.914624258516</v>
      </c>
      <c r="AV152" s="252">
        <f t="shared" si="211"/>
        <v>6964.2603257137644</v>
      </c>
      <c r="AW152" s="252">
        <f t="shared" si="211"/>
        <v>841.53651374660035</v>
      </c>
      <c r="AX152" s="252">
        <f t="shared" si="211"/>
        <v>2676.4590183567789</v>
      </c>
      <c r="AY152" s="252">
        <f t="shared" si="211"/>
        <v>12247.72379172961</v>
      </c>
    </row>
    <row r="153" spans="31:59">
      <c r="AE153" s="165">
        <v>33420</v>
      </c>
      <c r="AF153" s="277">
        <v>2410777</v>
      </c>
      <c r="AG153" s="277">
        <v>1956318</v>
      </c>
      <c r="AH153" s="277">
        <v>733702</v>
      </c>
      <c r="AI153" s="277">
        <v>84319</v>
      </c>
      <c r="AJ153" s="277">
        <v>297691</v>
      </c>
      <c r="AK153" s="277">
        <v>1492860</v>
      </c>
      <c r="AT153" s="252">
        <f t="shared" ref="AT153:AY153" si="212">AF153/SUM(AF150:AF161)*AM161</f>
        <v>21004.15248171593</v>
      </c>
      <c r="AU153" s="252">
        <f t="shared" si="212"/>
        <v>18623.213589335068</v>
      </c>
      <c r="AV153" s="252">
        <f t="shared" si="212"/>
        <v>7131.8789510297038</v>
      </c>
      <c r="AW153" s="252">
        <f t="shared" si="212"/>
        <v>857.36832486647972</v>
      </c>
      <c r="AX153" s="252">
        <f t="shared" si="212"/>
        <v>2933.646160371025</v>
      </c>
      <c r="AY153" s="252">
        <f t="shared" si="212"/>
        <v>14621.484352411169</v>
      </c>
    </row>
    <row r="154" spans="31:59">
      <c r="AE154" s="165">
        <v>33451</v>
      </c>
      <c r="AF154" s="277">
        <v>2417748</v>
      </c>
      <c r="AG154" s="277">
        <v>2019104</v>
      </c>
      <c r="AH154" s="277">
        <v>766264</v>
      </c>
      <c r="AI154" s="277">
        <v>91102</v>
      </c>
      <c r="AJ154" s="277">
        <v>342044</v>
      </c>
      <c r="AK154" s="277">
        <v>1788441</v>
      </c>
      <c r="AT154" s="252">
        <f t="shared" ref="AT154:AY154" si="213">AF154/SUM(AF150:AF161)*AM161</f>
        <v>21064.888064870258</v>
      </c>
      <c r="AU154" s="252">
        <f t="shared" si="213"/>
        <v>19220.906340932706</v>
      </c>
      <c r="AV154" s="252">
        <f t="shared" si="213"/>
        <v>7448.3947059321426</v>
      </c>
      <c r="AW154" s="252">
        <f t="shared" si="213"/>
        <v>926.33889315558815</v>
      </c>
      <c r="AX154" s="252">
        <f t="shared" si="213"/>
        <v>3370.7302783018195</v>
      </c>
      <c r="AY154" s="252">
        <f t="shared" si="213"/>
        <v>17516.486540406058</v>
      </c>
    </row>
    <row r="155" spans="31:59">
      <c r="AE155" s="165">
        <v>33482</v>
      </c>
      <c r="AF155" s="277">
        <v>2372514</v>
      </c>
      <c r="AG155" s="277">
        <v>2069012</v>
      </c>
      <c r="AH155" s="277">
        <v>780050</v>
      </c>
      <c r="AI155" s="277">
        <v>97929</v>
      </c>
      <c r="AJ155" s="277">
        <v>391491</v>
      </c>
      <c r="AK155" s="277">
        <v>2057541</v>
      </c>
      <c r="AT155" s="252">
        <f t="shared" ref="AT155:AY155" si="214">AF155/SUM(AF150:AF161)*AM161</f>
        <v>20670.782001406926</v>
      </c>
      <c r="AU155" s="252">
        <f t="shared" si="214"/>
        <v>19696.006679331949</v>
      </c>
      <c r="AV155" s="252">
        <f t="shared" si="214"/>
        <v>7582.4001784794373</v>
      </c>
      <c r="AW155" s="252">
        <f t="shared" si="214"/>
        <v>995.75686008906052</v>
      </c>
      <c r="AX155" s="252">
        <f t="shared" si="214"/>
        <v>3858.0140782550125</v>
      </c>
      <c r="AY155" s="252">
        <f t="shared" si="214"/>
        <v>20152.126479337938</v>
      </c>
    </row>
    <row r="156" spans="31:59">
      <c r="AE156" s="165">
        <v>33512</v>
      </c>
      <c r="AF156" s="277">
        <v>2348724</v>
      </c>
      <c r="AG156" s="277">
        <v>2093437</v>
      </c>
      <c r="AH156" s="277">
        <v>799583</v>
      </c>
      <c r="AI156" s="277">
        <v>106848</v>
      </c>
      <c r="AJ156" s="277">
        <v>452033</v>
      </c>
      <c r="AK156" s="277">
        <v>2384369</v>
      </c>
      <c r="AT156" s="252">
        <f t="shared" ref="AT156:AY156" si="215">AF156/SUM(AF150:AF161)*AM161</f>
        <v>20463.509081705095</v>
      </c>
      <c r="AU156" s="252">
        <f t="shared" si="215"/>
        <v>19928.521021028704</v>
      </c>
      <c r="AV156" s="252">
        <f t="shared" si="215"/>
        <v>7772.2688057292789</v>
      </c>
      <c r="AW156" s="252">
        <f t="shared" si="215"/>
        <v>1086.4465989318378</v>
      </c>
      <c r="AX156" s="252">
        <f t="shared" si="215"/>
        <v>4454.6354267041852</v>
      </c>
      <c r="AY156" s="252">
        <f t="shared" si="215"/>
        <v>23353.170440546513</v>
      </c>
    </row>
    <row r="157" spans="31:59">
      <c r="AE157" s="165">
        <v>33543</v>
      </c>
      <c r="AF157" s="277">
        <v>2269565</v>
      </c>
      <c r="AG157" s="277">
        <v>2045286</v>
      </c>
      <c r="AH157" s="277">
        <v>813504</v>
      </c>
      <c r="AI157" s="277">
        <v>111298</v>
      </c>
      <c r="AJ157" s="277">
        <v>484510</v>
      </c>
      <c r="AK157" s="277">
        <v>2592290</v>
      </c>
      <c r="AT157" s="252">
        <f t="shared" ref="AT157:AY157" si="216">AF157/SUM(AF150:AF161)*AM161</f>
        <v>19773.827826947749</v>
      </c>
      <c r="AU157" s="252">
        <f t="shared" si="216"/>
        <v>19470.146483995322</v>
      </c>
      <c r="AV157" s="252">
        <f t="shared" si="216"/>
        <v>7907.5865326501334</v>
      </c>
      <c r="AW157" s="252">
        <f t="shared" si="216"/>
        <v>1131.6948709186479</v>
      </c>
      <c r="AX157" s="252">
        <f t="shared" si="216"/>
        <v>4774.6854999357238</v>
      </c>
      <c r="AY157" s="252">
        <f t="shared" si="216"/>
        <v>25389.60630729737</v>
      </c>
    </row>
    <row r="158" spans="31:59">
      <c r="AE158" s="165">
        <v>33573</v>
      </c>
      <c r="AF158" s="277">
        <v>2272857</v>
      </c>
      <c r="AG158" s="277">
        <v>2015817</v>
      </c>
      <c r="AH158" s="277">
        <v>801194</v>
      </c>
      <c r="AI158" s="277">
        <v>114704</v>
      </c>
      <c r="AJ158" s="277">
        <v>505802</v>
      </c>
      <c r="AK158" s="277">
        <v>2964242</v>
      </c>
      <c r="AT158" s="252">
        <f t="shared" ref="AT158:AY158" si="217">AF158/SUM(AF150:AF161)*AM161</f>
        <v>19802.509729077152</v>
      </c>
      <c r="AU158" s="252">
        <f t="shared" si="217"/>
        <v>19189.615669851552</v>
      </c>
      <c r="AV158" s="252">
        <f t="shared" si="217"/>
        <v>7787.9283745870844</v>
      </c>
      <c r="AW158" s="252">
        <f t="shared" si="217"/>
        <v>1166.3275932528218</v>
      </c>
      <c r="AX158" s="252">
        <f t="shared" si="217"/>
        <v>4984.5111044942078</v>
      </c>
      <c r="AY158" s="252">
        <f t="shared" si="217"/>
        <v>29032.607223557465</v>
      </c>
      <c r="BA158" s="252">
        <f t="shared" ref="BA158" si="218">SUM(AT147:AT158)</f>
        <v>238369.90698452125</v>
      </c>
      <c r="BB158" s="252">
        <f t="shared" ref="BB158:BF158" si="219">SUM(AU147:AU158)</f>
        <v>222047.99580643384</v>
      </c>
      <c r="BC158" s="252">
        <f t="shared" si="219"/>
        <v>84543.955157093369</v>
      </c>
      <c r="BD158" s="252">
        <f t="shared" si="219"/>
        <v>11320.020459998626</v>
      </c>
      <c r="BE158" s="252">
        <f t="shared" si="219"/>
        <v>41519.281059988258</v>
      </c>
      <c r="BF158" s="252">
        <f t="shared" si="219"/>
        <v>223608.32510609567</v>
      </c>
      <c r="BG158" s="252">
        <f t="shared" ref="BG158" si="220">SUM(BA158:BF158)</f>
        <v>821409.48457413109</v>
      </c>
    </row>
    <row r="159" spans="31:59">
      <c r="AE159" s="165">
        <v>33604</v>
      </c>
      <c r="AF159" s="277">
        <v>1705998</v>
      </c>
      <c r="AG159" s="277">
        <v>1537602</v>
      </c>
      <c r="AH159" s="277">
        <v>629721</v>
      </c>
      <c r="AI159" s="277">
        <v>86766</v>
      </c>
      <c r="AJ159" s="277">
        <v>385256</v>
      </c>
      <c r="AK159" s="277">
        <v>2289880</v>
      </c>
      <c r="AT159" s="252">
        <f t="shared" ref="AT159:AY159" si="221">AF159/SUM(AF150:AF161)*AM161</f>
        <v>14863.690057397434</v>
      </c>
      <c r="AU159" s="252">
        <f t="shared" si="221"/>
        <v>14637.237126780399</v>
      </c>
      <c r="AV159" s="252">
        <f t="shared" si="221"/>
        <v>6121.1417509034691</v>
      </c>
      <c r="AW159" s="252">
        <f t="shared" si="221"/>
        <v>882.24979038372112</v>
      </c>
      <c r="AX159" s="252">
        <f t="shared" si="221"/>
        <v>3796.5702193210395</v>
      </c>
      <c r="AY159" s="252">
        <f t="shared" si="221"/>
        <v>22427.719001714355</v>
      </c>
    </row>
    <row r="160" spans="31:59">
      <c r="AE160" s="165">
        <v>33635</v>
      </c>
      <c r="AF160" s="277">
        <v>1813002</v>
      </c>
      <c r="AG160" s="277">
        <v>1715247</v>
      </c>
      <c r="AH160" s="277">
        <v>728567</v>
      </c>
      <c r="AI160" s="277">
        <v>92354</v>
      </c>
      <c r="AJ160" s="277">
        <v>413723</v>
      </c>
      <c r="AK160" s="277">
        <v>2177954</v>
      </c>
      <c r="AT160" s="252">
        <f t="shared" ref="AT160:AY160" si="222">AF160/SUM(AF150:AF161)*AM161</f>
        <v>15795.973853100451</v>
      </c>
      <c r="AU160" s="252">
        <f t="shared" si="222"/>
        <v>16328.332734998199</v>
      </c>
      <c r="AV160" s="252">
        <f t="shared" si="222"/>
        <v>7081.9646828206251</v>
      </c>
      <c r="AW160" s="252">
        <f t="shared" si="222"/>
        <v>939.06941821794453</v>
      </c>
      <c r="AX160" s="252">
        <f t="shared" si="222"/>
        <v>4077.1030713296059</v>
      </c>
      <c r="AY160" s="252">
        <f t="shared" si="222"/>
        <v>21331.484754947764</v>
      </c>
    </row>
    <row r="161" spans="31:59">
      <c r="AE161" s="165">
        <v>33664</v>
      </c>
      <c r="AF161" s="277">
        <v>1998492</v>
      </c>
      <c r="AG161" s="277">
        <v>1890736</v>
      </c>
      <c r="AH161" s="277">
        <v>786315</v>
      </c>
      <c r="AI161" s="277">
        <v>98597</v>
      </c>
      <c r="AJ161" s="277">
        <v>426075</v>
      </c>
      <c r="AK161" s="277">
        <v>2138852</v>
      </c>
      <c r="AM161" s="277">
        <v>231283</v>
      </c>
      <c r="AN161" s="277">
        <v>219484</v>
      </c>
      <c r="AO161" s="277">
        <v>86704</v>
      </c>
      <c r="AP161" s="277">
        <v>11545</v>
      </c>
      <c r="AQ161" s="277">
        <v>44845</v>
      </c>
      <c r="AR161" s="277">
        <v>230175</v>
      </c>
      <c r="AT161" s="252">
        <f t="shared" ref="AT161:AY161" si="223">AF161/SUM(AF150:AF161)*AM161</f>
        <v>17412.075319073243</v>
      </c>
      <c r="AU161" s="252">
        <f t="shared" si="223"/>
        <v>17998.904252296932</v>
      </c>
      <c r="AV161" s="252">
        <f t="shared" si="223"/>
        <v>7643.298501815344</v>
      </c>
      <c r="AW161" s="252">
        <f t="shared" si="223"/>
        <v>1002.5491849625861</v>
      </c>
      <c r="AX161" s="252">
        <f t="shared" si="223"/>
        <v>4198.8279382987212</v>
      </c>
      <c r="AY161" s="252">
        <f t="shared" si="223"/>
        <v>20948.508935950682</v>
      </c>
      <c r="AZ161" s="25">
        <f t="shared" ref="AZ161" si="224">SUM(AT150:AY161)-SUM(AM161:AR161)</f>
        <v>0</v>
      </c>
    </row>
    <row r="162" spans="31:59">
      <c r="AE162" s="165">
        <v>33695</v>
      </c>
      <c r="AF162" s="277">
        <v>2060035</v>
      </c>
      <c r="AG162" s="277">
        <v>1864825</v>
      </c>
      <c r="AH162" s="277">
        <v>701252</v>
      </c>
      <c r="AI162" s="277">
        <v>98684</v>
      </c>
      <c r="AJ162" s="277">
        <v>373824</v>
      </c>
      <c r="AK162" s="277">
        <v>1551731</v>
      </c>
      <c r="AT162" s="252">
        <f t="shared" ref="AT162" si="225">AF162/SUM(AF162:AF173)*AM173</f>
        <v>18686.249724922873</v>
      </c>
      <c r="AU162" s="252">
        <f t="shared" ref="AU162:AY162" si="226">AG162/SUM(AG162:AG173)*AN173</f>
        <v>18630.209105112634</v>
      </c>
      <c r="AV162" s="252">
        <f t="shared" si="226"/>
        <v>7202.3308906801758</v>
      </c>
      <c r="AW162" s="252">
        <f t="shared" si="226"/>
        <v>1078.4378896037181</v>
      </c>
      <c r="AX162" s="252">
        <f t="shared" si="226"/>
        <v>3692.1919014770642</v>
      </c>
      <c r="AY162" s="252">
        <f t="shared" si="226"/>
        <v>15925.782035026892</v>
      </c>
    </row>
    <row r="163" spans="31:59">
      <c r="AE163" s="165">
        <v>33725</v>
      </c>
      <c r="AF163" s="277">
        <v>2114232</v>
      </c>
      <c r="AG163" s="277">
        <v>1777570</v>
      </c>
      <c r="AH163" s="277">
        <v>718921</v>
      </c>
      <c r="AI163" s="277">
        <v>94631</v>
      </c>
      <c r="AJ163" s="277">
        <v>344269</v>
      </c>
      <c r="AK163" s="277">
        <v>1381428</v>
      </c>
      <c r="AT163" s="252">
        <f t="shared" ref="AT163:AY163" si="227">AF163/SUM(AF162:AF173)*AM173</f>
        <v>19177.862088956321</v>
      </c>
      <c r="AU163" s="252">
        <f t="shared" si="227"/>
        <v>17758.503237019595</v>
      </c>
      <c r="AV163" s="252">
        <f t="shared" si="227"/>
        <v>7383.8034347975936</v>
      </c>
      <c r="AW163" s="252">
        <f t="shared" si="227"/>
        <v>1034.1459196130013</v>
      </c>
      <c r="AX163" s="252">
        <f t="shared" si="227"/>
        <v>3400.2825226031705</v>
      </c>
      <c r="AY163" s="252">
        <f t="shared" si="227"/>
        <v>14177.922091575878</v>
      </c>
    </row>
    <row r="164" spans="31:59">
      <c r="AE164" s="165">
        <v>33756</v>
      </c>
      <c r="AF164" s="277">
        <v>2149678</v>
      </c>
      <c r="AG164" s="277">
        <v>1765888</v>
      </c>
      <c r="AH164" s="277">
        <v>714424</v>
      </c>
      <c r="AI164" s="277">
        <v>96261</v>
      </c>
      <c r="AJ164" s="277">
        <v>341948</v>
      </c>
      <c r="AK164" s="277">
        <v>1432808</v>
      </c>
      <c r="AT164" s="252">
        <f t="shared" ref="AT164:AY164" si="228">AF164/SUM(AF162:AF173)*AM173</f>
        <v>19499.387115351317</v>
      </c>
      <c r="AU164" s="252">
        <f t="shared" si="228"/>
        <v>17641.796252307398</v>
      </c>
      <c r="AV164" s="252">
        <f t="shared" si="228"/>
        <v>7337.6162124932171</v>
      </c>
      <c r="AW164" s="252">
        <f t="shared" si="228"/>
        <v>1051.9588757158556</v>
      </c>
      <c r="AX164" s="252">
        <f t="shared" si="228"/>
        <v>3377.3584262280624</v>
      </c>
      <c r="AY164" s="252">
        <f t="shared" si="228"/>
        <v>14705.247176245632</v>
      </c>
    </row>
    <row r="165" spans="31:59">
      <c r="AE165" s="165">
        <v>33786</v>
      </c>
      <c r="AF165" s="277">
        <v>2227034</v>
      </c>
      <c r="AG165" s="277">
        <v>1800639</v>
      </c>
      <c r="AH165" s="277">
        <v>728810</v>
      </c>
      <c r="AI165" s="277">
        <v>100099</v>
      </c>
      <c r="AJ165" s="277">
        <v>355937</v>
      </c>
      <c r="AK165" s="277">
        <v>1654426</v>
      </c>
      <c r="AT165" s="252">
        <f t="shared" ref="AT165:AY165" si="229">AF165/SUM(AF162:AF173)*AM173</f>
        <v>20201.071083692212</v>
      </c>
      <c r="AU165" s="252">
        <f t="shared" si="229"/>
        <v>17988.970060365398</v>
      </c>
      <c r="AV165" s="252">
        <f t="shared" si="229"/>
        <v>7485.3701329003252</v>
      </c>
      <c r="AW165" s="252">
        <f t="shared" si="229"/>
        <v>1093.9012840120238</v>
      </c>
      <c r="AX165" s="252">
        <f t="shared" si="229"/>
        <v>3515.5252440614886</v>
      </c>
      <c r="AY165" s="252">
        <f t="shared" si="229"/>
        <v>16979.765094002378</v>
      </c>
    </row>
    <row r="166" spans="31:59">
      <c r="AE166" s="165">
        <v>33817</v>
      </c>
      <c r="AF166" s="277">
        <v>2285823</v>
      </c>
      <c r="AG166" s="277">
        <v>1806695</v>
      </c>
      <c r="AH166" s="277">
        <v>749328</v>
      </c>
      <c r="AI166" s="277">
        <v>104717</v>
      </c>
      <c r="AJ166" s="277">
        <v>392756</v>
      </c>
      <c r="AK166" s="277">
        <v>1918666</v>
      </c>
      <c r="AT166" s="252">
        <f t="shared" ref="AT166:AY166" si="230">AF166/SUM(AF162:AF173)*AM173</f>
        <v>20734.336749119491</v>
      </c>
      <c r="AU166" s="252">
        <f t="shared" si="230"/>
        <v>18049.471472744881</v>
      </c>
      <c r="AV166" s="252">
        <f t="shared" si="230"/>
        <v>7696.1038280840485</v>
      </c>
      <c r="AW166" s="252">
        <f t="shared" si="230"/>
        <v>1144.3676835721346</v>
      </c>
      <c r="AX166" s="252">
        <f t="shared" si="230"/>
        <v>3879.1798345117645</v>
      </c>
      <c r="AY166" s="252">
        <f t="shared" si="230"/>
        <v>19691.722672303964</v>
      </c>
    </row>
    <row r="167" spans="31:59">
      <c r="AE167" s="165">
        <v>33848</v>
      </c>
      <c r="AF167" s="277">
        <v>2285908</v>
      </c>
      <c r="AG167" s="277">
        <v>1809900</v>
      </c>
      <c r="AH167" s="277">
        <v>749160</v>
      </c>
      <c r="AI167" s="277">
        <v>106319</v>
      </c>
      <c r="AJ167" s="277">
        <v>449437</v>
      </c>
      <c r="AK167" s="277">
        <v>2155122</v>
      </c>
      <c r="AT167" s="252">
        <f t="shared" ref="AT167:AY167" si="231">AF167/SUM(AF162:AF173)*AM173</f>
        <v>20735.107770595641</v>
      </c>
      <c r="AU167" s="252">
        <f t="shared" si="231"/>
        <v>18081.490466581778</v>
      </c>
      <c r="AV167" s="252">
        <f t="shared" si="231"/>
        <v>7694.3783548024958</v>
      </c>
      <c r="AW167" s="252">
        <f t="shared" si="231"/>
        <v>1161.874650245001</v>
      </c>
      <c r="AX167" s="252">
        <f t="shared" si="231"/>
        <v>4439.0077994568228</v>
      </c>
      <c r="AY167" s="252">
        <f t="shared" si="231"/>
        <v>22118.52649131275</v>
      </c>
    </row>
    <row r="168" spans="31:59">
      <c r="AE168" s="165">
        <v>33878</v>
      </c>
      <c r="AF168" s="277">
        <v>2261087</v>
      </c>
      <c r="AG168" s="277">
        <v>1786509</v>
      </c>
      <c r="AH168" s="277">
        <v>781127</v>
      </c>
      <c r="AI168" s="277">
        <v>112165</v>
      </c>
      <c r="AJ168" s="277">
        <v>506090</v>
      </c>
      <c r="AK168" s="277">
        <v>2462059</v>
      </c>
      <c r="AT168" s="252">
        <f t="shared" ref="AT168:AY168" si="232">AF168/SUM(AF162:AF173)*AM173</f>
        <v>20509.96042871926</v>
      </c>
      <c r="AU168" s="252">
        <f t="shared" si="232"/>
        <v>17847.806758363746</v>
      </c>
      <c r="AV168" s="252">
        <f t="shared" si="232"/>
        <v>8022.700999989067</v>
      </c>
      <c r="AW168" s="252">
        <f t="shared" si="232"/>
        <v>1225.7608719488571</v>
      </c>
      <c r="AX168" s="252">
        <f t="shared" si="232"/>
        <v>4998.5592134762019</v>
      </c>
      <c r="AY168" s="252">
        <f t="shared" si="232"/>
        <v>25268.693472886906</v>
      </c>
    </row>
    <row r="169" spans="31:59">
      <c r="AE169" s="165">
        <v>33909</v>
      </c>
      <c r="AF169" s="277">
        <v>2165604</v>
      </c>
      <c r="AG169" s="277">
        <v>1706567</v>
      </c>
      <c r="AH169" s="277">
        <v>746154</v>
      </c>
      <c r="AI169" s="277">
        <v>112633</v>
      </c>
      <c r="AJ169" s="277">
        <v>529910</v>
      </c>
      <c r="AK169" s="277">
        <v>2658267</v>
      </c>
      <c r="AT169" s="252">
        <f t="shared" ref="AT169:AY169" si="233">AF169/SUM(AF162:AF173)*AM173</f>
        <v>19643.849327458938</v>
      </c>
      <c r="AU169" s="252">
        <f t="shared" si="233"/>
        <v>17049.160142042685</v>
      </c>
      <c r="AV169" s="252">
        <f t="shared" si="233"/>
        <v>7663.5047078718862</v>
      </c>
      <c r="AW169" s="252">
        <f t="shared" si="233"/>
        <v>1230.8752667072229</v>
      </c>
      <c r="AX169" s="252">
        <f t="shared" si="233"/>
        <v>5233.8250366795901</v>
      </c>
      <c r="AY169" s="252">
        <f t="shared" si="233"/>
        <v>27282.422554492259</v>
      </c>
    </row>
    <row r="170" spans="31:59">
      <c r="AE170" s="165">
        <v>33939</v>
      </c>
      <c r="AF170" s="277">
        <v>2179039</v>
      </c>
      <c r="AG170" s="277">
        <v>1656206</v>
      </c>
      <c r="AH170" s="277">
        <v>797818</v>
      </c>
      <c r="AI170" s="277">
        <v>113410</v>
      </c>
      <c r="AJ170" s="277">
        <v>525334</v>
      </c>
      <c r="AK170" s="277">
        <v>3023016</v>
      </c>
      <c r="AT170" s="252">
        <f t="shared" ref="AT170:AY170" si="234">AF170/SUM(AF162:AF173)*AM173</f>
        <v>19765.716074894946</v>
      </c>
      <c r="AU170" s="252">
        <f t="shared" si="234"/>
        <v>16546.037349961618</v>
      </c>
      <c r="AV170" s="252">
        <f t="shared" si="234"/>
        <v>8194.1288246460281</v>
      </c>
      <c r="AW170" s="252">
        <f t="shared" si="234"/>
        <v>1239.3664733893809</v>
      </c>
      <c r="AX170" s="252">
        <f t="shared" si="234"/>
        <v>5188.6287139684782</v>
      </c>
      <c r="AY170" s="252">
        <f t="shared" si="234"/>
        <v>31025.927757065401</v>
      </c>
      <c r="BA170" s="252">
        <f t="shared" ref="BA170" si="235">SUM(AT159:AT170)</f>
        <v>227025.27959328212</v>
      </c>
      <c r="BB170" s="252">
        <f t="shared" ref="BB170:BF170" si="236">SUM(AU159:AU170)</f>
        <v>208557.91895857526</v>
      </c>
      <c r="BC170" s="252">
        <f t="shared" si="236"/>
        <v>89526.342321804288</v>
      </c>
      <c r="BD170" s="252">
        <f t="shared" si="236"/>
        <v>13084.557308371446</v>
      </c>
      <c r="BE170" s="252">
        <f t="shared" si="236"/>
        <v>49797.059921412016</v>
      </c>
      <c r="BF170" s="252">
        <f t="shared" si="236"/>
        <v>251883.7220375248</v>
      </c>
      <c r="BG170" s="252">
        <f t="shared" ref="BG170" si="237">SUM(BA170:BF170)</f>
        <v>839874.88014096988</v>
      </c>
    </row>
    <row r="171" spans="31:59">
      <c r="AE171" s="165">
        <v>33970</v>
      </c>
      <c r="AF171" s="277">
        <v>1643858</v>
      </c>
      <c r="AG171" s="277">
        <v>1259844</v>
      </c>
      <c r="AH171" s="277">
        <v>626095</v>
      </c>
      <c r="AI171" s="277">
        <v>88595</v>
      </c>
      <c r="AJ171" s="277">
        <v>400280</v>
      </c>
      <c r="AK171" s="277">
        <v>2422211</v>
      </c>
      <c r="AT171" s="252">
        <f t="shared" ref="AT171:AY171" si="238">AF171/SUM(AF162:AF173)*AM173</f>
        <v>14911.17437340252</v>
      </c>
      <c r="AU171" s="252">
        <f t="shared" si="238"/>
        <v>12586.251878766921</v>
      </c>
      <c r="AV171" s="252">
        <f t="shared" si="238"/>
        <v>6430.4178226948434</v>
      </c>
      <c r="AW171" s="252">
        <f t="shared" si="238"/>
        <v>968.18334106280042</v>
      </c>
      <c r="AX171" s="252">
        <f t="shared" si="238"/>
        <v>3953.4930189694605</v>
      </c>
      <c r="AY171" s="252">
        <f t="shared" si="238"/>
        <v>24859.724030031317</v>
      </c>
    </row>
    <row r="172" spans="31:59">
      <c r="AE172" s="165">
        <v>34001</v>
      </c>
      <c r="AF172" s="277">
        <v>1715140</v>
      </c>
      <c r="AG172" s="277">
        <v>1356895</v>
      </c>
      <c r="AH172" s="277">
        <v>653879</v>
      </c>
      <c r="AI172" s="277">
        <v>97138</v>
      </c>
      <c r="AJ172" s="277">
        <v>424692</v>
      </c>
      <c r="AK172" s="277">
        <v>2306120</v>
      </c>
      <c r="AT172" s="252">
        <f t="shared" ref="AT172:AY172" si="239">AF172/SUM(AF162:AF173)*AM173</f>
        <v>15557.762054141904</v>
      </c>
      <c r="AU172" s="252">
        <f t="shared" si="239"/>
        <v>13555.822977320558</v>
      </c>
      <c r="AV172" s="252">
        <f t="shared" si="239"/>
        <v>6715.7782373056516</v>
      </c>
      <c r="AW172" s="252">
        <f t="shared" si="239"/>
        <v>1061.5429017908268</v>
      </c>
      <c r="AX172" s="252">
        <f t="shared" si="239"/>
        <v>4194.6059188872232</v>
      </c>
      <c r="AY172" s="252">
        <f t="shared" si="239"/>
        <v>23668.254656648744</v>
      </c>
    </row>
    <row r="173" spans="31:59">
      <c r="AE173" s="165">
        <v>34029</v>
      </c>
      <c r="AF173" s="277">
        <v>1896464</v>
      </c>
      <c r="AG173" s="277">
        <v>1477077</v>
      </c>
      <c r="AH173" s="277">
        <v>722627</v>
      </c>
      <c r="AI173" s="277">
        <v>106567</v>
      </c>
      <c r="AJ173" s="277">
        <v>436005</v>
      </c>
      <c r="AK173" s="277">
        <v>2338932</v>
      </c>
      <c r="AM173" s="277">
        <v>226625</v>
      </c>
      <c r="AN173" s="277">
        <v>200492</v>
      </c>
      <c r="AO173" s="277">
        <v>89248</v>
      </c>
      <c r="AP173" s="277">
        <v>13455</v>
      </c>
      <c r="AQ173" s="277">
        <v>50179</v>
      </c>
      <c r="AR173" s="277">
        <v>259709</v>
      </c>
      <c r="AT173" s="252">
        <f t="shared" ref="AT173:AY173" si="240">AF173/SUM(AF162:AF173)*AM173</f>
        <v>17202.523208744577</v>
      </c>
      <c r="AU173" s="252">
        <f t="shared" si="240"/>
        <v>14756.480299412789</v>
      </c>
      <c r="AV173" s="252">
        <f t="shared" si="240"/>
        <v>7421.8665537346678</v>
      </c>
      <c r="AW173" s="252">
        <f t="shared" si="240"/>
        <v>1164.5848423391776</v>
      </c>
      <c r="AX173" s="252">
        <f t="shared" si="240"/>
        <v>4306.3423696806722</v>
      </c>
      <c r="AY173" s="252">
        <f t="shared" si="240"/>
        <v>24005.011968407871</v>
      </c>
      <c r="AZ173" s="25">
        <f t="shared" ref="AZ173" si="241">SUM(AT162:AY173)-SUM(AM173:AR173)</f>
        <v>0</v>
      </c>
    </row>
    <row r="174" spans="31:59">
      <c r="AE174" s="165">
        <v>34060</v>
      </c>
      <c r="AF174" s="277">
        <v>1960971</v>
      </c>
      <c r="AG174" s="277">
        <v>1427789</v>
      </c>
      <c r="AH174" s="277">
        <v>672500</v>
      </c>
      <c r="AI174" s="277">
        <v>105802</v>
      </c>
      <c r="AJ174" s="277">
        <v>403636</v>
      </c>
      <c r="AK174" s="277">
        <v>1835014</v>
      </c>
      <c r="AT174" s="252">
        <f t="shared" ref="AT174" si="242">AF174/SUM(AF174:AF185)*AM185</f>
        <v>18475.882623933943</v>
      </c>
      <c r="AU174" s="252">
        <f t="shared" ref="AU174:AY174" si="243">AG174/SUM(AG174:AG185)*AN185</f>
        <v>13688.327225276424</v>
      </c>
      <c r="AV174" s="252">
        <f t="shared" si="243"/>
        <v>7433.9870288860193</v>
      </c>
      <c r="AW174" s="252">
        <f t="shared" si="243"/>
        <v>1206.9100448583783</v>
      </c>
      <c r="AX174" s="252">
        <f t="shared" si="243"/>
        <v>4091.7257589407886</v>
      </c>
      <c r="AY174" s="252">
        <f t="shared" si="243"/>
        <v>17488.771079193662</v>
      </c>
    </row>
    <row r="175" spans="31:59">
      <c r="AE175" s="165">
        <v>34090</v>
      </c>
      <c r="AF175" s="277">
        <v>2002908</v>
      </c>
      <c r="AG175" s="277">
        <v>1381057</v>
      </c>
      <c r="AH175" s="277">
        <v>674575</v>
      </c>
      <c r="AI175" s="277">
        <v>105743</v>
      </c>
      <c r="AJ175" s="277">
        <v>374740</v>
      </c>
      <c r="AK175" s="277">
        <v>1507455</v>
      </c>
      <c r="AT175" s="252">
        <f t="shared" ref="AT175:AY175" si="244">AF175/SUM(AF174:AF185)*AM185</f>
        <v>18871.004780049418</v>
      </c>
      <c r="AU175" s="252">
        <f t="shared" si="244"/>
        <v>13240.30380732628</v>
      </c>
      <c r="AV175" s="252">
        <f t="shared" si="244"/>
        <v>7456.9246096814668</v>
      </c>
      <c r="AW175" s="252">
        <f t="shared" si="244"/>
        <v>1206.2370170078023</v>
      </c>
      <c r="AX175" s="252">
        <f t="shared" si="244"/>
        <v>3798.8021655785687</v>
      </c>
      <c r="AY175" s="252">
        <f t="shared" si="244"/>
        <v>14366.939656692473</v>
      </c>
    </row>
    <row r="176" spans="31:59">
      <c r="AE176" s="165">
        <v>34121</v>
      </c>
      <c r="AF176" s="277">
        <v>2065672</v>
      </c>
      <c r="AG176" s="277">
        <v>1359153</v>
      </c>
      <c r="AH176" s="277">
        <v>670994</v>
      </c>
      <c r="AI176" s="277">
        <v>103532</v>
      </c>
      <c r="AJ176" s="277">
        <v>370626</v>
      </c>
      <c r="AK176" s="277">
        <v>1605417</v>
      </c>
      <c r="AT176" s="252">
        <f t="shared" ref="AT176:AY176" si="245">AF176/SUM(AF174:AF185)*AM185</f>
        <v>19462.354829085631</v>
      </c>
      <c r="AU176" s="252">
        <f t="shared" si="245"/>
        <v>13030.30840916699</v>
      </c>
      <c r="AV176" s="252">
        <f t="shared" si="245"/>
        <v>7417.3393196436355</v>
      </c>
      <c r="AW176" s="252">
        <f t="shared" si="245"/>
        <v>1181.0155834887585</v>
      </c>
      <c r="AX176" s="252">
        <f t="shared" si="245"/>
        <v>3757.0978583010155</v>
      </c>
      <c r="AY176" s="252">
        <f t="shared" si="245"/>
        <v>15300.575581246712</v>
      </c>
    </row>
    <row r="177" spans="31:59">
      <c r="AE177" s="165">
        <v>34151</v>
      </c>
      <c r="AF177" s="277">
        <v>2207089</v>
      </c>
      <c r="AG177" s="277">
        <v>1380314</v>
      </c>
      <c r="AH177" s="277">
        <v>680956</v>
      </c>
      <c r="AI177" s="277">
        <v>105114</v>
      </c>
      <c r="AJ177" s="277">
        <v>384984</v>
      </c>
      <c r="AK177" s="277">
        <v>1904684</v>
      </c>
      <c r="AT177" s="252">
        <f t="shared" ref="AT177:AY177" si="246">AF177/SUM(AF174:AF185)*AM185</f>
        <v>20794.757956428599</v>
      </c>
      <c r="AU177" s="252">
        <f t="shared" si="246"/>
        <v>13233.180606959571</v>
      </c>
      <c r="AV177" s="252">
        <f t="shared" si="246"/>
        <v>7527.4618159733946</v>
      </c>
      <c r="AW177" s="252">
        <f t="shared" si="246"/>
        <v>1199.0618556855597</v>
      </c>
      <c r="AX177" s="252">
        <f t="shared" si="246"/>
        <v>3902.6473099031318</v>
      </c>
      <c r="AY177" s="252">
        <f t="shared" si="246"/>
        <v>18152.767474364176</v>
      </c>
    </row>
    <row r="178" spans="31:59">
      <c r="AE178" s="165">
        <v>34182</v>
      </c>
      <c r="AF178" s="277">
        <v>2346711</v>
      </c>
      <c r="AG178" s="277">
        <v>1367016</v>
      </c>
      <c r="AH178" s="277">
        <v>693420</v>
      </c>
      <c r="AI178" s="277">
        <v>109794</v>
      </c>
      <c r="AJ178" s="277">
        <v>418372</v>
      </c>
      <c r="AK178" s="277">
        <v>2179021</v>
      </c>
      <c r="AT178" s="252">
        <f t="shared" ref="AT178:AY178" si="247">AF178/SUM(AF174:AF185)*AM185</f>
        <v>22110.248947228007</v>
      </c>
      <c r="AU178" s="252">
        <f t="shared" si="247"/>
        <v>13105.691618431347</v>
      </c>
      <c r="AV178" s="252">
        <f t="shared" si="247"/>
        <v>7665.2420603273504</v>
      </c>
      <c r="AW178" s="252">
        <f t="shared" si="247"/>
        <v>1252.4477936634541</v>
      </c>
      <c r="AX178" s="252">
        <f t="shared" si="247"/>
        <v>4241.1070598746783</v>
      </c>
      <c r="AY178" s="252">
        <f t="shared" si="247"/>
        <v>20767.36169084032</v>
      </c>
    </row>
    <row r="179" spans="31:59">
      <c r="AE179" s="165">
        <v>34213</v>
      </c>
      <c r="AF179" s="277">
        <v>2433728</v>
      </c>
      <c r="AG179" s="277">
        <v>1342584</v>
      </c>
      <c r="AH179" s="277">
        <v>709219</v>
      </c>
      <c r="AI179" s="277">
        <v>115903</v>
      </c>
      <c r="AJ179" s="277">
        <v>459538</v>
      </c>
      <c r="AK179" s="277">
        <v>2512735</v>
      </c>
      <c r="AT179" s="252">
        <f t="shared" ref="AT179:AY179" si="248">AF179/SUM(AF174:AF185)*AM185</f>
        <v>22930.105986565592</v>
      </c>
      <c r="AU179" s="252">
        <f t="shared" si="248"/>
        <v>12871.46008228143</v>
      </c>
      <c r="AV179" s="252">
        <f t="shared" si="248"/>
        <v>7839.8882477910975</v>
      </c>
      <c r="AW179" s="252">
        <f t="shared" si="248"/>
        <v>1322.134694327334</v>
      </c>
      <c r="AX179" s="252">
        <f t="shared" si="248"/>
        <v>4658.4136990063625</v>
      </c>
      <c r="AY179" s="252">
        <f t="shared" si="248"/>
        <v>23947.853911565628</v>
      </c>
    </row>
    <row r="180" spans="31:59">
      <c r="AE180" s="165">
        <v>34243</v>
      </c>
      <c r="AF180" s="277">
        <v>2446094</v>
      </c>
      <c r="AG180" s="277">
        <v>1327647</v>
      </c>
      <c r="AH180" s="277">
        <v>708012</v>
      </c>
      <c r="AI180" s="277">
        <v>122003</v>
      </c>
      <c r="AJ180" s="277">
        <v>501832</v>
      </c>
      <c r="AK180" s="277">
        <v>2921251</v>
      </c>
      <c r="AT180" s="252">
        <f t="shared" ref="AT180:AY180" si="249">AF180/SUM(AF174:AF185)*AM185</f>
        <v>23046.61600355593</v>
      </c>
      <c r="AU180" s="252">
        <f t="shared" si="249"/>
        <v>12728.257869794883</v>
      </c>
      <c r="AV180" s="252">
        <f t="shared" si="249"/>
        <v>7826.5457610344201</v>
      </c>
      <c r="AW180" s="252">
        <f t="shared" si="249"/>
        <v>1391.7189297258722</v>
      </c>
      <c r="AX180" s="252">
        <f t="shared" si="249"/>
        <v>5087.1550631281007</v>
      </c>
      <c r="AY180" s="252">
        <f t="shared" si="249"/>
        <v>27841.253529327605</v>
      </c>
    </row>
    <row r="181" spans="31:59">
      <c r="AE181" s="165">
        <v>34274</v>
      </c>
      <c r="AF181" s="277">
        <v>2342233</v>
      </c>
      <c r="AG181" s="277">
        <v>1263110</v>
      </c>
      <c r="AH181" s="277">
        <v>683609</v>
      </c>
      <c r="AI181" s="277">
        <v>125758</v>
      </c>
      <c r="AJ181" s="277">
        <v>506070</v>
      </c>
      <c r="AK181" s="277">
        <v>3135812</v>
      </c>
      <c r="AT181" s="252">
        <f t="shared" ref="AT181:AY181" si="250">AF181/SUM(AF174:AF185)*AM185</f>
        <v>22068.058112998446</v>
      </c>
      <c r="AU181" s="252">
        <f t="shared" si="250"/>
        <v>12109.536494201107</v>
      </c>
      <c r="AV181" s="252">
        <f t="shared" si="250"/>
        <v>7556.7887566241525</v>
      </c>
      <c r="AW181" s="252">
        <f t="shared" si="250"/>
        <v>1434.5531598769394</v>
      </c>
      <c r="AX181" s="252">
        <f t="shared" si="250"/>
        <v>5130.1163791811559</v>
      </c>
      <c r="AY181" s="252">
        <f t="shared" si="250"/>
        <v>29886.147035057191</v>
      </c>
    </row>
    <row r="182" spans="31:59">
      <c r="AE182" s="165">
        <v>34304</v>
      </c>
      <c r="AF182" s="277">
        <v>2329260</v>
      </c>
      <c r="AG182" s="277">
        <v>1222708</v>
      </c>
      <c r="AH182" s="277">
        <v>704041</v>
      </c>
      <c r="AI182" s="277">
        <v>129817</v>
      </c>
      <c r="AJ182" s="277">
        <v>508277</v>
      </c>
      <c r="AK182" s="277">
        <v>3448405</v>
      </c>
      <c r="AT182" s="252">
        <f t="shared" ref="AT182:AY182" si="251">AF182/SUM(AF174:AF185)*AM185</f>
        <v>21945.829061533484</v>
      </c>
      <c r="AU182" s="252">
        <f t="shared" si="251"/>
        <v>11722.199292026542</v>
      </c>
      <c r="AV182" s="252">
        <f t="shared" si="251"/>
        <v>7782.649311232627</v>
      </c>
      <c r="AW182" s="252">
        <f t="shared" si="251"/>
        <v>1480.8551945462286</v>
      </c>
      <c r="AX182" s="252">
        <f t="shared" si="251"/>
        <v>5152.4891079515883</v>
      </c>
      <c r="AY182" s="252">
        <f t="shared" si="251"/>
        <v>32865.34360683179</v>
      </c>
      <c r="BA182" s="252">
        <f t="shared" ref="BA182" si="252">SUM(AT171:AT182)</f>
        <v>237376.31793766806</v>
      </c>
      <c r="BB182" s="252">
        <f t="shared" ref="BB182:BF182" si="253">SUM(AU171:AU182)</f>
        <v>156627.82056096484</v>
      </c>
      <c r="BC182" s="252">
        <f t="shared" si="253"/>
        <v>89074.889524929327</v>
      </c>
      <c r="BD182" s="252">
        <f t="shared" si="253"/>
        <v>14869.245358373133</v>
      </c>
      <c r="BE182" s="252">
        <f t="shared" si="253"/>
        <v>52273.995709402741</v>
      </c>
      <c r="BF182" s="252">
        <f t="shared" si="253"/>
        <v>273150.00422020745</v>
      </c>
      <c r="BG182" s="252">
        <f t="shared" ref="BG182" si="254">SUM(BA182:BF182)</f>
        <v>823372.27331154561</v>
      </c>
    </row>
    <row r="183" spans="31:59">
      <c r="AE183" s="165">
        <v>34335</v>
      </c>
      <c r="AF183" s="277">
        <v>1728325</v>
      </c>
      <c r="AG183" s="277">
        <v>933274</v>
      </c>
      <c r="AH183" s="277">
        <v>561453</v>
      </c>
      <c r="AI183" s="277">
        <v>97814</v>
      </c>
      <c r="AJ183" s="277">
        <v>376574</v>
      </c>
      <c r="AK183" s="277">
        <v>2617315</v>
      </c>
      <c r="AT183" s="252">
        <f t="shared" ref="AT183:AY183" si="255">AF183/SUM(AF174:AF185)*AM185</f>
        <v>16283.93782264533</v>
      </c>
      <c r="AU183" s="252">
        <f t="shared" si="255"/>
        <v>8947.3724078576233</v>
      </c>
      <c r="AV183" s="252">
        <f t="shared" si="255"/>
        <v>6206.4450845043002</v>
      </c>
      <c r="AW183" s="252">
        <f t="shared" si="255"/>
        <v>1115.7889182414076</v>
      </c>
      <c r="AX183" s="252">
        <f t="shared" si="255"/>
        <v>3817.3937308549498</v>
      </c>
      <c r="AY183" s="252">
        <f t="shared" si="255"/>
        <v>24944.563298775793</v>
      </c>
    </row>
    <row r="184" spans="31:59">
      <c r="AE184" s="165">
        <v>34366</v>
      </c>
      <c r="AF184" s="277">
        <v>1792094</v>
      </c>
      <c r="AG184" s="277">
        <v>1016551</v>
      </c>
      <c r="AH184" s="277">
        <v>596180</v>
      </c>
      <c r="AI184" s="277">
        <v>102611</v>
      </c>
      <c r="AJ184" s="277">
        <v>389918</v>
      </c>
      <c r="AK184" s="277">
        <v>2488314</v>
      </c>
      <c r="AT184" s="252">
        <f t="shared" ref="AT184:AY184" si="256">AF184/SUM(AF174:AF185)*AM185</f>
        <v>16884.756783785317</v>
      </c>
      <c r="AU184" s="252">
        <f t="shared" si="256"/>
        <v>9745.7556608028026</v>
      </c>
      <c r="AV184" s="252">
        <f t="shared" si="256"/>
        <v>6590.3262258457498</v>
      </c>
      <c r="AW184" s="252">
        <f t="shared" si="256"/>
        <v>1170.5095046687497</v>
      </c>
      <c r="AX184" s="252">
        <f t="shared" si="256"/>
        <v>3952.6640945670711</v>
      </c>
      <c r="AY184" s="252">
        <f t="shared" si="256"/>
        <v>23715.107306621474</v>
      </c>
    </row>
    <row r="185" spans="31:59">
      <c r="AE185" s="165">
        <v>34394</v>
      </c>
      <c r="AF185" s="277">
        <v>1949462</v>
      </c>
      <c r="AG185" s="277">
        <v>1088403</v>
      </c>
      <c r="AH185" s="277">
        <v>673804</v>
      </c>
      <c r="AI185" s="277">
        <v>110085</v>
      </c>
      <c r="AJ185" s="277">
        <v>410212</v>
      </c>
      <c r="AK185" s="277">
        <v>2711407</v>
      </c>
      <c r="AM185" s="277">
        <v>241241</v>
      </c>
      <c r="AN185" s="277">
        <v>144857</v>
      </c>
      <c r="AO185" s="277">
        <v>88752</v>
      </c>
      <c r="AP185" s="277">
        <v>15217</v>
      </c>
      <c r="AQ185" s="277">
        <v>51748</v>
      </c>
      <c r="AR185" s="277">
        <v>275118</v>
      </c>
      <c r="AT185" s="252">
        <f t="shared" ref="AT185:AY185" si="257">AF185/SUM(AF174:AF185)*AM185</f>
        <v>18367.447092190305</v>
      </c>
      <c r="AU185" s="252">
        <f t="shared" si="257"/>
        <v>10434.606525874997</v>
      </c>
      <c r="AV185" s="252">
        <f t="shared" si="257"/>
        <v>7448.4017784557846</v>
      </c>
      <c r="AW185" s="252">
        <f t="shared" si="257"/>
        <v>1255.7673039095155</v>
      </c>
      <c r="AX185" s="252">
        <f t="shared" si="257"/>
        <v>4158.3877727125891</v>
      </c>
      <c r="AY185" s="252">
        <f t="shared" si="257"/>
        <v>25841.315829483181</v>
      </c>
      <c r="AZ185" s="25">
        <f t="shared" ref="AZ185" si="258">SUM(AT174:AY185)-SUM(AM185:AR185)</f>
        <v>0</v>
      </c>
    </row>
    <row r="186" spans="31:59">
      <c r="AE186" s="165">
        <v>34425</v>
      </c>
      <c r="AF186" s="277">
        <v>2024792</v>
      </c>
      <c r="AG186" s="277">
        <v>1043389</v>
      </c>
      <c r="AH186" s="277">
        <v>568259</v>
      </c>
      <c r="AI186" s="277">
        <v>109437</v>
      </c>
      <c r="AJ186" s="277">
        <v>390253</v>
      </c>
      <c r="AK186" s="277">
        <v>2047499</v>
      </c>
      <c r="AT186" s="252">
        <f t="shared" ref="AT186" si="259">AF186/SUM(AF186:AF197)*AM197</f>
        <v>19427.116941263106</v>
      </c>
      <c r="AU186" s="252">
        <f t="shared" ref="AU186:AY186" si="260">AG186/SUM(AG186:AG197)*AN197</f>
        <v>10428.555716204111</v>
      </c>
      <c r="AV186" s="252">
        <f t="shared" si="260"/>
        <v>6439.2462793743989</v>
      </c>
      <c r="AW186" s="252">
        <f t="shared" si="260"/>
        <v>1451.4045980627807</v>
      </c>
      <c r="AX186" s="252">
        <f t="shared" si="260"/>
        <v>3417.4861627197088</v>
      </c>
      <c r="AY186" s="252">
        <f t="shared" si="260"/>
        <v>20379.650583882143</v>
      </c>
    </row>
    <row r="187" spans="31:59">
      <c r="AE187" s="165">
        <v>34455</v>
      </c>
      <c r="AF187" s="277">
        <v>2144551</v>
      </c>
      <c r="AG187" s="277">
        <v>1002855</v>
      </c>
      <c r="AH187" s="277">
        <v>587155</v>
      </c>
      <c r="AI187" s="277">
        <v>110503</v>
      </c>
      <c r="AJ187" s="277">
        <v>370080</v>
      </c>
      <c r="AK187" s="277">
        <v>1782524</v>
      </c>
      <c r="AT187" s="252">
        <f t="shared" ref="AT187:AY187" si="261">AF187/SUM(AF186:AF197)*AM197</f>
        <v>20576.159459096405</v>
      </c>
      <c r="AU187" s="252">
        <f t="shared" si="261"/>
        <v>10023.42294462935</v>
      </c>
      <c r="AV187" s="252">
        <f t="shared" si="261"/>
        <v>6653.3669491659166</v>
      </c>
      <c r="AW187" s="252">
        <f t="shared" si="261"/>
        <v>1465.5423878554004</v>
      </c>
      <c r="AX187" s="252">
        <f t="shared" si="261"/>
        <v>3240.8291008635674</v>
      </c>
      <c r="AY187" s="252">
        <f t="shared" si="261"/>
        <v>17742.238837422599</v>
      </c>
    </row>
    <row r="188" spans="31:59">
      <c r="AE188" s="165">
        <v>34486</v>
      </c>
      <c r="AF188" s="277">
        <v>2277288</v>
      </c>
      <c r="AG188" s="277">
        <v>1008778</v>
      </c>
      <c r="AH188" s="277">
        <v>588247</v>
      </c>
      <c r="AI188" s="277">
        <v>110269</v>
      </c>
      <c r="AJ188" s="277">
        <v>378871</v>
      </c>
      <c r="AK188" s="277">
        <v>1742666</v>
      </c>
      <c r="AT188" s="252">
        <f t="shared" ref="AT188:AY188" si="262">AF188/SUM(AF186:AF197)*AM197</f>
        <v>21849.721000939931</v>
      </c>
      <c r="AU188" s="252">
        <f t="shared" si="262"/>
        <v>10082.62266353292</v>
      </c>
      <c r="AV188" s="252">
        <f t="shared" si="262"/>
        <v>6665.740984486215</v>
      </c>
      <c r="AW188" s="252">
        <f t="shared" si="262"/>
        <v>1462.4389705838498</v>
      </c>
      <c r="AX188" s="252">
        <f t="shared" si="262"/>
        <v>3317.8128033757043</v>
      </c>
      <c r="AY188" s="252">
        <f t="shared" si="262"/>
        <v>17345.514778962803</v>
      </c>
    </row>
    <row r="189" spans="31:59">
      <c r="AE189" s="165">
        <v>34516</v>
      </c>
      <c r="AF189" s="277">
        <v>2432075</v>
      </c>
      <c r="AG189" s="277">
        <v>1042682</v>
      </c>
      <c r="AH189" s="277">
        <v>590088</v>
      </c>
      <c r="AI189" s="277">
        <v>112046</v>
      </c>
      <c r="AJ189" s="277">
        <v>397897</v>
      </c>
      <c r="AK189" s="277">
        <v>1838017</v>
      </c>
      <c r="AT189" s="252">
        <f t="shared" ref="AT189:AY189" si="263">AF189/SUM(AF186:AF197)*AM197</f>
        <v>23334.843991344525</v>
      </c>
      <c r="AU189" s="252">
        <f t="shared" si="263"/>
        <v>10421.489330712835</v>
      </c>
      <c r="AV189" s="252">
        <f t="shared" si="263"/>
        <v>6686.6023389044085</v>
      </c>
      <c r="AW189" s="252">
        <f t="shared" si="263"/>
        <v>1486.0063743938736</v>
      </c>
      <c r="AX189" s="252">
        <f t="shared" si="263"/>
        <v>3484.425466780996</v>
      </c>
      <c r="AY189" s="252">
        <f t="shared" si="263"/>
        <v>18294.584870241844</v>
      </c>
    </row>
    <row r="190" spans="31:59">
      <c r="AE190" s="165">
        <v>34547</v>
      </c>
      <c r="AF190" s="277">
        <v>2525184</v>
      </c>
      <c r="AG190" s="277">
        <v>1055011</v>
      </c>
      <c r="AH190" s="277">
        <v>593502</v>
      </c>
      <c r="AI190" s="277">
        <v>115589</v>
      </c>
      <c r="AJ190" s="277">
        <v>431538</v>
      </c>
      <c r="AK190" s="277">
        <v>1989257</v>
      </c>
      <c r="AT190" s="252">
        <f t="shared" ref="AT190:AY190" si="264">AF190/SUM(AF186:AF197)*AM197</f>
        <v>24228.189792436224</v>
      </c>
      <c r="AU190" s="252">
        <f t="shared" si="264"/>
        <v>10544.716299202133</v>
      </c>
      <c r="AV190" s="252">
        <f t="shared" si="264"/>
        <v>6725.2881965816014</v>
      </c>
      <c r="AW190" s="252">
        <f t="shared" si="264"/>
        <v>1532.9952948772238</v>
      </c>
      <c r="AX190" s="252">
        <f t="shared" si="264"/>
        <v>3779.0232072213098</v>
      </c>
      <c r="AY190" s="252">
        <f t="shared" si="264"/>
        <v>19799.942555059439</v>
      </c>
    </row>
    <row r="191" spans="31:59">
      <c r="AE191" s="165">
        <v>34578</v>
      </c>
      <c r="AF191" s="277">
        <v>2514447</v>
      </c>
      <c r="AG191" s="277">
        <v>1064781</v>
      </c>
      <c r="AH191" s="277">
        <v>602679</v>
      </c>
      <c r="AI191" s="277">
        <v>118560</v>
      </c>
      <c r="AJ191" s="277">
        <v>475825</v>
      </c>
      <c r="AK191" s="277">
        <v>2211038</v>
      </c>
      <c r="AT191" s="252">
        <f t="shared" ref="AT191:AY191" si="265">AF191/SUM(AF186:AF197)*AM197</f>
        <v>24125.172319728736</v>
      </c>
      <c r="AU191" s="252">
        <f t="shared" si="265"/>
        <v>10642.366350474778</v>
      </c>
      <c r="AV191" s="252">
        <f t="shared" si="265"/>
        <v>6829.2776857156387</v>
      </c>
      <c r="AW191" s="252">
        <f t="shared" si="265"/>
        <v>1572.3980842523395</v>
      </c>
      <c r="AX191" s="252">
        <f t="shared" si="265"/>
        <v>4166.8490783571306</v>
      </c>
      <c r="AY191" s="252">
        <f t="shared" si="265"/>
        <v>22007.425580029885</v>
      </c>
    </row>
    <row r="192" spans="31:59">
      <c r="AE192" s="165">
        <v>34608</v>
      </c>
      <c r="AF192" s="277">
        <v>2419716</v>
      </c>
      <c r="AG192" s="277">
        <v>1047402</v>
      </c>
      <c r="AH192" s="277">
        <v>624262</v>
      </c>
      <c r="AI192" s="277">
        <v>121777</v>
      </c>
      <c r="AJ192" s="277">
        <v>522973</v>
      </c>
      <c r="AK192" s="277">
        <v>2563111</v>
      </c>
      <c r="AT192" s="252">
        <f t="shared" ref="AT192:AY192" si="266">AF192/SUM(AF186:AF197)*AM197</f>
        <v>23216.264039291636</v>
      </c>
      <c r="AU192" s="252">
        <f t="shared" si="266"/>
        <v>10468.665199904943</v>
      </c>
      <c r="AV192" s="252">
        <f t="shared" si="266"/>
        <v>7073.8461878383278</v>
      </c>
      <c r="AW192" s="252">
        <f t="shared" si="266"/>
        <v>1615.0634405026751</v>
      </c>
      <c r="AX192" s="252">
        <f t="shared" si="266"/>
        <v>4579.7290244431542</v>
      </c>
      <c r="AY192" s="252">
        <f t="shared" si="266"/>
        <v>25511.761709141127</v>
      </c>
    </row>
    <row r="193" spans="31:59">
      <c r="AE193" s="165">
        <v>34639</v>
      </c>
      <c r="AF193" s="277">
        <v>2324439</v>
      </c>
      <c r="AG193" s="277">
        <v>1004107</v>
      </c>
      <c r="AH193" s="277">
        <v>668065</v>
      </c>
      <c r="AI193" s="277">
        <v>120202</v>
      </c>
      <c r="AJ193" s="277">
        <v>544552</v>
      </c>
      <c r="AK193" s="277">
        <v>2823366</v>
      </c>
      <c r="AT193" s="252">
        <f t="shared" ref="AT193:AY193" si="267">AF193/SUM(AF186:AF197)*AM197</f>
        <v>22302.117094413978</v>
      </c>
      <c r="AU193" s="252">
        <f t="shared" si="267"/>
        <v>10035.936543830307</v>
      </c>
      <c r="AV193" s="252">
        <f t="shared" si="267"/>
        <v>7570.2013793538808</v>
      </c>
      <c r="AW193" s="252">
        <f t="shared" si="267"/>
        <v>1594.1750550210838</v>
      </c>
      <c r="AX193" s="252">
        <f t="shared" si="267"/>
        <v>4768.6985747229173</v>
      </c>
      <c r="AY193" s="252">
        <f t="shared" si="267"/>
        <v>28102.193236926123</v>
      </c>
    </row>
    <row r="194" spans="31:59">
      <c r="AE194" s="165">
        <v>34669</v>
      </c>
      <c r="AF194" s="277">
        <v>2401317</v>
      </c>
      <c r="AG194" s="277">
        <v>998391</v>
      </c>
      <c r="AH194" s="277">
        <v>629707</v>
      </c>
      <c r="AI194" s="277">
        <v>121031</v>
      </c>
      <c r="AJ194" s="277">
        <v>567482</v>
      </c>
      <c r="AK194" s="277">
        <v>3125194</v>
      </c>
      <c r="AT194" s="252">
        <f t="shared" ref="AT194:AY194" si="268">AF194/SUM(AF186:AF197)*AM197</f>
        <v>23039.732561192999</v>
      </c>
      <c r="AU194" s="252">
        <f t="shared" si="268"/>
        <v>9978.8057666476616</v>
      </c>
      <c r="AV194" s="252">
        <f t="shared" si="268"/>
        <v>7135.5463914271731</v>
      </c>
      <c r="AW194" s="252">
        <f t="shared" si="268"/>
        <v>1605.1696401412357</v>
      </c>
      <c r="AX194" s="252">
        <f t="shared" si="268"/>
        <v>4969.498972698495</v>
      </c>
      <c r="AY194" s="252">
        <f t="shared" si="268"/>
        <v>31106.418966185076</v>
      </c>
      <c r="BA194" s="252">
        <f t="shared" ref="BA194" si="269">SUM(AT183:AT194)</f>
        <v>253635.45889832851</v>
      </c>
      <c r="BB194" s="252">
        <f t="shared" ref="BB194:BF194" si="270">SUM(AU183:AU194)</f>
        <v>121754.31540967448</v>
      </c>
      <c r="BC194" s="252">
        <f t="shared" si="270"/>
        <v>82024.289481653381</v>
      </c>
      <c r="BD194" s="252">
        <f t="shared" si="270"/>
        <v>17327.259572510138</v>
      </c>
      <c r="BE194" s="252">
        <f t="shared" si="270"/>
        <v>47652.797989317602</v>
      </c>
      <c r="BF194" s="252">
        <f t="shared" si="270"/>
        <v>274790.71755273151</v>
      </c>
      <c r="BG194" s="252">
        <f t="shared" ref="BG194" si="271">SUM(BA194:BF194)</f>
        <v>797184.83890421572</v>
      </c>
    </row>
    <row r="195" spans="31:59">
      <c r="AE195" s="165">
        <v>34700</v>
      </c>
      <c r="AF195" s="277">
        <v>1791838</v>
      </c>
      <c r="AG195" s="277">
        <v>768483</v>
      </c>
      <c r="AH195" s="277">
        <v>495891</v>
      </c>
      <c r="AI195" s="277">
        <v>94115</v>
      </c>
      <c r="AJ195" s="277">
        <v>419177</v>
      </c>
      <c r="AK195" s="277">
        <v>2389418</v>
      </c>
      <c r="AT195" s="252">
        <f t="shared" ref="AT195:AY195" si="272">AF195/SUM(AF186:AF197)*AM197</f>
        <v>17192.011014365427</v>
      </c>
      <c r="AU195" s="252">
        <f t="shared" si="272"/>
        <v>7680.9011619402572</v>
      </c>
      <c r="AV195" s="252">
        <f t="shared" si="272"/>
        <v>5619.2058141186499</v>
      </c>
      <c r="AW195" s="252">
        <f t="shared" si="272"/>
        <v>1248.1970791110739</v>
      </c>
      <c r="AX195" s="252">
        <f t="shared" si="272"/>
        <v>3670.7766429223075</v>
      </c>
      <c r="AY195" s="252">
        <f t="shared" si="272"/>
        <v>23782.919522226144</v>
      </c>
    </row>
    <row r="196" spans="31:59">
      <c r="AE196" s="165">
        <v>34731</v>
      </c>
      <c r="AF196" s="277">
        <v>1846426</v>
      </c>
      <c r="AG196" s="277">
        <v>850387</v>
      </c>
      <c r="AH196" s="277">
        <v>541112</v>
      </c>
      <c r="AI196" s="277">
        <v>99571</v>
      </c>
      <c r="AJ196" s="277">
        <v>424709</v>
      </c>
      <c r="AK196" s="277">
        <v>2139421</v>
      </c>
      <c r="AT196" s="252">
        <f t="shared" ref="AT196:AY196" si="273">AF196/SUM(AF186:AF197)*AM197</f>
        <v>17715.762322939179</v>
      </c>
      <c r="AU196" s="252">
        <f t="shared" si="273"/>
        <v>8499.5224310738031</v>
      </c>
      <c r="AV196" s="252">
        <f t="shared" si="273"/>
        <v>6131.6291210959071</v>
      </c>
      <c r="AW196" s="252">
        <f t="shared" si="273"/>
        <v>1320.5570989126998</v>
      </c>
      <c r="AX196" s="252">
        <f t="shared" si="273"/>
        <v>3719.2209430357352</v>
      </c>
      <c r="AY196" s="252">
        <f t="shared" si="273"/>
        <v>21294.590342569016</v>
      </c>
    </row>
    <row r="197" spans="31:59">
      <c r="AE197" s="165">
        <v>34759</v>
      </c>
      <c r="AF197" s="277">
        <v>2023207</v>
      </c>
      <c r="AG197" s="277">
        <v>933877</v>
      </c>
      <c r="AH197" s="277">
        <v>607689</v>
      </c>
      <c r="AI197" s="277">
        <v>108204</v>
      </c>
      <c r="AJ197" s="277">
        <v>437776</v>
      </c>
      <c r="AK197" s="277">
        <v>2254775</v>
      </c>
      <c r="AM197" s="277">
        <v>256419</v>
      </c>
      <c r="AN197" s="277">
        <v>118141</v>
      </c>
      <c r="AO197" s="277">
        <v>80416</v>
      </c>
      <c r="AP197" s="277">
        <v>17789</v>
      </c>
      <c r="AQ197" s="277">
        <v>46948</v>
      </c>
      <c r="AR197" s="277">
        <v>267810</v>
      </c>
      <c r="AT197" s="252">
        <f t="shared" ref="AT197:AY197" si="274">AF197/SUM(AF186:AF197)*AM197</f>
        <v>19411.909462987853</v>
      </c>
      <c r="AU197" s="252">
        <f t="shared" si="274"/>
        <v>9333.9955918469004</v>
      </c>
      <c r="AV197" s="252">
        <f t="shared" si="274"/>
        <v>6886.0486719378823</v>
      </c>
      <c r="AW197" s="252">
        <f t="shared" si="274"/>
        <v>1435.0519762857637</v>
      </c>
      <c r="AX197" s="252">
        <f t="shared" si="274"/>
        <v>3833.6500228589744</v>
      </c>
      <c r="AY197" s="252">
        <f t="shared" si="274"/>
        <v>22442.75901735379</v>
      </c>
      <c r="AZ197" s="25">
        <f t="shared" ref="AZ197" si="275">SUM(AT186:AY197)-SUM(AM197:AR197)</f>
        <v>0</v>
      </c>
    </row>
    <row r="198" spans="31:59">
      <c r="AE198" s="165">
        <v>34790</v>
      </c>
      <c r="AF198" s="277">
        <v>2055595</v>
      </c>
      <c r="AG198" s="277">
        <v>913119</v>
      </c>
      <c r="AH198" s="277">
        <v>532422</v>
      </c>
      <c r="AI198" s="277">
        <v>110207</v>
      </c>
      <c r="AJ198" s="277">
        <v>396919</v>
      </c>
      <c r="AK198" s="277">
        <v>1634413</v>
      </c>
      <c r="AT198" s="252">
        <f t="shared" ref="AT198" si="276">AF198/SUM(AF198:AF209)*AM209</f>
        <v>19703.146995739244</v>
      </c>
      <c r="AU198" s="252">
        <f t="shared" ref="AU198:AY198" si="277">AG198/SUM(AG198:AG209)*AN209</f>
        <v>8899.8638685123315</v>
      </c>
      <c r="AV198" s="252">
        <f t="shared" si="277"/>
        <v>6777.1799612998047</v>
      </c>
      <c r="AW198" s="252">
        <f t="shared" si="277"/>
        <v>1341.5363041120154</v>
      </c>
      <c r="AX198" s="252">
        <f t="shared" si="277"/>
        <v>3458.3713776087452</v>
      </c>
      <c r="AY198" s="252">
        <f t="shared" si="277"/>
        <v>17495.821856144277</v>
      </c>
    </row>
    <row r="199" spans="31:59">
      <c r="AE199" s="165">
        <v>34820</v>
      </c>
      <c r="AF199" s="277">
        <v>2073554</v>
      </c>
      <c r="AG199" s="277">
        <v>915907</v>
      </c>
      <c r="AH199" s="277">
        <v>540580</v>
      </c>
      <c r="AI199" s="277">
        <v>106181</v>
      </c>
      <c r="AJ199" s="277">
        <v>365072</v>
      </c>
      <c r="AK199" s="277">
        <v>1375662</v>
      </c>
      <c r="AT199" s="252">
        <f t="shared" ref="AT199:AY199" si="278">AF199/SUM(AF198:AF209)*AM209</f>
        <v>19875.28636020378</v>
      </c>
      <c r="AU199" s="252">
        <f t="shared" si="278"/>
        <v>8927.0375670832873</v>
      </c>
      <c r="AV199" s="252">
        <f t="shared" si="278"/>
        <v>6881.0228418049001</v>
      </c>
      <c r="AW199" s="252">
        <f t="shared" si="278"/>
        <v>1292.5282995355824</v>
      </c>
      <c r="AX199" s="252">
        <f t="shared" si="278"/>
        <v>3180.8871723610609</v>
      </c>
      <c r="AY199" s="252">
        <f t="shared" si="278"/>
        <v>14725.982530894669</v>
      </c>
    </row>
    <row r="200" spans="31:59">
      <c r="AE200" s="165">
        <v>34851</v>
      </c>
      <c r="AF200" s="277">
        <v>2091211</v>
      </c>
      <c r="AG200" s="277">
        <v>951866</v>
      </c>
      <c r="AH200" s="277">
        <v>564613</v>
      </c>
      <c r="AI200" s="277">
        <v>102208</v>
      </c>
      <c r="AJ200" s="277">
        <v>348776</v>
      </c>
      <c r="AK200" s="277">
        <v>1489429</v>
      </c>
      <c r="AT200" s="252">
        <f t="shared" ref="AT200:AY200" si="279">AF200/SUM(AF198:AF209)*AM209</f>
        <v>20044.531015159533</v>
      </c>
      <c r="AU200" s="252">
        <f t="shared" si="279"/>
        <v>9277.5178493332842</v>
      </c>
      <c r="AV200" s="252">
        <f t="shared" si="279"/>
        <v>7186.938010618207</v>
      </c>
      <c r="AW200" s="252">
        <f t="shared" si="279"/>
        <v>1244.1654574635086</v>
      </c>
      <c r="AX200" s="252">
        <f t="shared" si="279"/>
        <v>3038.899462098987</v>
      </c>
      <c r="AY200" s="252">
        <f t="shared" si="279"/>
        <v>15943.818637868833</v>
      </c>
    </row>
    <row r="201" spans="31:59">
      <c r="AE201" s="165">
        <v>34881</v>
      </c>
      <c r="AF201" s="277">
        <v>2146121</v>
      </c>
      <c r="AG201" s="277">
        <v>983808</v>
      </c>
      <c r="AH201" s="277">
        <v>594693</v>
      </c>
      <c r="AI201" s="277">
        <v>102805</v>
      </c>
      <c r="AJ201" s="277">
        <v>364242</v>
      </c>
      <c r="AK201" s="277">
        <v>1794470</v>
      </c>
      <c r="AT201" s="252">
        <f t="shared" ref="AT201:AY201" si="280">AF201/SUM(AF198:AF209)*AM209</f>
        <v>20570.850548694129</v>
      </c>
      <c r="AU201" s="252">
        <f t="shared" si="280"/>
        <v>9588.8457832477252</v>
      </c>
      <c r="AV201" s="252">
        <f t="shared" si="280"/>
        <v>7569.8252189527575</v>
      </c>
      <c r="AW201" s="252">
        <f t="shared" si="280"/>
        <v>1251.4326652956324</v>
      </c>
      <c r="AX201" s="252">
        <f t="shared" si="280"/>
        <v>3173.6553486302364</v>
      </c>
      <c r="AY201" s="252">
        <f t="shared" si="280"/>
        <v>19209.176289099036</v>
      </c>
    </row>
    <row r="202" spans="31:59">
      <c r="AE202" s="165">
        <v>34912</v>
      </c>
      <c r="AF202" s="277">
        <v>2209331</v>
      </c>
      <c r="AG202" s="277">
        <v>1004725</v>
      </c>
      <c r="AH202" s="277">
        <v>584877</v>
      </c>
      <c r="AI202" s="277">
        <v>103543</v>
      </c>
      <c r="AJ202" s="277">
        <v>390328</v>
      </c>
      <c r="AK202" s="277">
        <v>2063553</v>
      </c>
      <c r="AT202" s="252">
        <f t="shared" ref="AT202:AY202" si="281">AF202/SUM(AF198:AF209)*AM209</f>
        <v>21176.726668066221</v>
      </c>
      <c r="AU202" s="252">
        <f t="shared" si="281"/>
        <v>9792.716749176232</v>
      </c>
      <c r="AV202" s="252">
        <f t="shared" si="281"/>
        <v>7444.8777177223074</v>
      </c>
      <c r="AW202" s="252">
        <f t="shared" si="281"/>
        <v>1260.416248846901</v>
      </c>
      <c r="AX202" s="252">
        <f t="shared" si="281"/>
        <v>3400.9437267534845</v>
      </c>
      <c r="AY202" s="252">
        <f t="shared" si="281"/>
        <v>22089.616075442431</v>
      </c>
    </row>
    <row r="203" spans="31:59">
      <c r="AE203" s="165">
        <v>34943</v>
      </c>
      <c r="AF203" s="277">
        <v>2215927</v>
      </c>
      <c r="AG203" s="277">
        <v>1016670</v>
      </c>
      <c r="AH203" s="277">
        <v>592450</v>
      </c>
      <c r="AI203" s="277">
        <v>105906</v>
      </c>
      <c r="AJ203" s="277">
        <v>434734</v>
      </c>
      <c r="AK203" s="277">
        <v>2356169</v>
      </c>
      <c r="AT203" s="252">
        <f t="shared" ref="AT203:AY203" si="282">AF203/SUM(AF198:AF209)*AM209</f>
        <v>21239.950190979973</v>
      </c>
      <c r="AU203" s="252">
        <f t="shared" si="282"/>
        <v>9909.1406478240315</v>
      </c>
      <c r="AV203" s="252">
        <f t="shared" si="282"/>
        <v>7541.274154847225</v>
      </c>
      <c r="AW203" s="252">
        <f t="shared" si="282"/>
        <v>1289.1807582393781</v>
      </c>
      <c r="AX203" s="252">
        <f t="shared" si="282"/>
        <v>3787.8550093932527</v>
      </c>
      <c r="AY203" s="252">
        <f t="shared" si="282"/>
        <v>25221.968429625562</v>
      </c>
    </row>
    <row r="204" spans="31:59">
      <c r="AE204" s="165">
        <v>34973</v>
      </c>
      <c r="AF204" s="277">
        <v>2232293</v>
      </c>
      <c r="AG204" s="277">
        <v>1037323</v>
      </c>
      <c r="AH204" s="277">
        <v>610019</v>
      </c>
      <c r="AI204" s="277">
        <v>105918</v>
      </c>
      <c r="AJ204" s="277">
        <v>475305</v>
      </c>
      <c r="AK204" s="277">
        <v>2701259</v>
      </c>
      <c r="AT204" s="252">
        <f t="shared" ref="AT204:AY204" si="283">AF204/SUM(AF198:AF209)*AM209</f>
        <v>21396.820442042204</v>
      </c>
      <c r="AU204" s="252">
        <f t="shared" si="283"/>
        <v>10110.438494519134</v>
      </c>
      <c r="AV204" s="252">
        <f t="shared" si="283"/>
        <v>7764.9093065503412</v>
      </c>
      <c r="AW204" s="252">
        <f t="shared" si="283"/>
        <v>1289.3268327686669</v>
      </c>
      <c r="AX204" s="252">
        <f t="shared" si="283"/>
        <v>4141.3517811803531</v>
      </c>
      <c r="AY204" s="252">
        <f t="shared" si="283"/>
        <v>28916.036675740117</v>
      </c>
    </row>
    <row r="205" spans="31:59">
      <c r="AE205" s="165">
        <v>35004</v>
      </c>
      <c r="AF205" s="277">
        <v>2222849</v>
      </c>
      <c r="AG205" s="277">
        <v>999161</v>
      </c>
      <c r="AH205" s="277">
        <v>580689</v>
      </c>
      <c r="AI205" s="277">
        <v>101204</v>
      </c>
      <c r="AJ205" s="277">
        <v>470946</v>
      </c>
      <c r="AK205" s="277">
        <v>2879720</v>
      </c>
      <c r="AT205" s="252">
        <f t="shared" ref="AT205:AY205" si="284">AF205/SUM(AF198:AF209)*AM209</f>
        <v>21306.298466542285</v>
      </c>
      <c r="AU205" s="252">
        <f t="shared" si="284"/>
        <v>9738.4863119994752</v>
      </c>
      <c r="AV205" s="252">
        <f t="shared" si="284"/>
        <v>7391.5688204980688</v>
      </c>
      <c r="AW205" s="252">
        <f t="shared" si="284"/>
        <v>1231.9438885130021</v>
      </c>
      <c r="AX205" s="252">
        <f t="shared" si="284"/>
        <v>4103.3716370325637</v>
      </c>
      <c r="AY205" s="252">
        <f t="shared" si="284"/>
        <v>30826.399518099646</v>
      </c>
    </row>
    <row r="206" spans="31:59">
      <c r="AE206" s="165">
        <v>35034</v>
      </c>
      <c r="AF206" s="277">
        <v>2343334</v>
      </c>
      <c r="AG206" s="277">
        <v>982531</v>
      </c>
      <c r="AH206" s="277">
        <v>596191</v>
      </c>
      <c r="AI206" s="277">
        <v>99236</v>
      </c>
      <c r="AJ206" s="277">
        <v>463417</v>
      </c>
      <c r="AK206" s="277">
        <v>3287067</v>
      </c>
      <c r="AT206" s="252">
        <f t="shared" ref="AT206:AY206" si="285">AF206/SUM(AF198:AF209)*AM209</f>
        <v>22461.162953847244</v>
      </c>
      <c r="AU206" s="252">
        <f t="shared" si="285"/>
        <v>9576.3992936225059</v>
      </c>
      <c r="AV206" s="252">
        <f t="shared" si="285"/>
        <v>7588.8932055912264</v>
      </c>
      <c r="AW206" s="252">
        <f t="shared" si="285"/>
        <v>1207.987665709619</v>
      </c>
      <c r="AX206" s="252">
        <f t="shared" si="285"/>
        <v>4037.7711540574069</v>
      </c>
      <c r="AY206" s="252">
        <f t="shared" si="285"/>
        <v>35186.907263470493</v>
      </c>
      <c r="BA206" s="252">
        <f t="shared" ref="BA206" si="286">SUM(AT195:AT206)</f>
        <v>242094.45644156708</v>
      </c>
      <c r="BB206" s="252">
        <f t="shared" ref="BB206:BF206" si="287">SUM(AU195:AU206)</f>
        <v>111334.86575017897</v>
      </c>
      <c r="BC206" s="252">
        <f t="shared" si="287"/>
        <v>84783.372845037287</v>
      </c>
      <c r="BD206" s="252">
        <f t="shared" si="287"/>
        <v>15412.324274793842</v>
      </c>
      <c r="BE206" s="252">
        <f t="shared" si="287"/>
        <v>43546.754277933112</v>
      </c>
      <c r="BF206" s="252">
        <f t="shared" si="287"/>
        <v>277135.99615853402</v>
      </c>
      <c r="BG206" s="252">
        <f t="shared" ref="BG206" si="288">SUM(BA206:BF206)</f>
        <v>774307.76974804432</v>
      </c>
    </row>
    <row r="207" spans="31:59">
      <c r="AE207" s="165">
        <v>35065</v>
      </c>
      <c r="AF207" s="277">
        <v>1798461</v>
      </c>
      <c r="AG207" s="277">
        <v>747404</v>
      </c>
      <c r="AH207" s="277">
        <v>447774</v>
      </c>
      <c r="AI207" s="277">
        <v>75457</v>
      </c>
      <c r="AJ207" s="277">
        <v>347727</v>
      </c>
      <c r="AK207" s="277">
        <v>2615034</v>
      </c>
      <c r="AT207" s="252">
        <f t="shared" ref="AT207:AY207" si="289">AF207/SUM(AF198:AF209)*AM209</f>
        <v>17238.483966493495</v>
      </c>
      <c r="AU207" s="252">
        <f t="shared" si="289"/>
        <v>7284.6954830439308</v>
      </c>
      <c r="AV207" s="252">
        <f t="shared" si="289"/>
        <v>5699.6986976328153</v>
      </c>
      <c r="AW207" s="252">
        <f t="shared" si="289"/>
        <v>918.52881304617995</v>
      </c>
      <c r="AX207" s="252">
        <f t="shared" si="289"/>
        <v>3029.7594824681014</v>
      </c>
      <c r="AY207" s="252">
        <f t="shared" si="289"/>
        <v>27993.028085165985</v>
      </c>
    </row>
    <row r="208" spans="31:59">
      <c r="AE208" s="165">
        <v>35096</v>
      </c>
      <c r="AF208" s="277">
        <v>1894235</v>
      </c>
      <c r="AG208" s="277">
        <v>829177</v>
      </c>
      <c r="AH208" s="277">
        <v>493140</v>
      </c>
      <c r="AI208" s="277">
        <v>84843</v>
      </c>
      <c r="AJ208" s="277">
        <v>375091</v>
      </c>
      <c r="AK208" s="277">
        <v>2571094</v>
      </c>
      <c r="AT208" s="252">
        <f t="shared" ref="AT208:AY208" si="290">AF208/SUM(AF198:AF209)*AM209</f>
        <v>18156.490286011656</v>
      </c>
      <c r="AU208" s="252">
        <f t="shared" si="290"/>
        <v>8081.7094189272693</v>
      </c>
      <c r="AV208" s="252">
        <f t="shared" si="290"/>
        <v>6277.160835043228</v>
      </c>
      <c r="AW208" s="252">
        <f t="shared" si="290"/>
        <v>1032.7834407049982</v>
      </c>
      <c r="AX208" s="252">
        <f t="shared" si="290"/>
        <v>3268.1831265286924</v>
      </c>
      <c r="AY208" s="252">
        <f t="shared" si="290"/>
        <v>27522.66569061884</v>
      </c>
    </row>
    <row r="209" spans="31:59">
      <c r="AE209" s="165">
        <v>35125</v>
      </c>
      <c r="AF209" s="277">
        <v>2082314</v>
      </c>
      <c r="AG209" s="277">
        <v>913969</v>
      </c>
      <c r="AH209" s="277">
        <v>536937</v>
      </c>
      <c r="AI209" s="277">
        <v>98183</v>
      </c>
      <c r="AJ209" s="277">
        <v>401232</v>
      </c>
      <c r="AK209" s="277">
        <v>2819576</v>
      </c>
      <c r="AM209" s="277">
        <v>243129</v>
      </c>
      <c r="AN209" s="277">
        <v>110095</v>
      </c>
      <c r="AO209" s="277">
        <v>84958</v>
      </c>
      <c r="AP209" s="277">
        <v>14555</v>
      </c>
      <c r="AQ209" s="277">
        <v>42117</v>
      </c>
      <c r="AR209" s="277">
        <v>295314</v>
      </c>
      <c r="AT209" s="252">
        <f t="shared" ref="AT209:AY209" si="291">AF209/SUM(AF198:AF209)*AM209</f>
        <v>19959.252106220229</v>
      </c>
      <c r="AU209" s="252">
        <f t="shared" si="291"/>
        <v>8908.148532710793</v>
      </c>
      <c r="AV209" s="252">
        <f t="shared" si="291"/>
        <v>6834.6512294391168</v>
      </c>
      <c r="AW209" s="252">
        <f t="shared" si="291"/>
        <v>1195.169625764516</v>
      </c>
      <c r="AX209" s="252">
        <f t="shared" si="291"/>
        <v>3495.9507218871163</v>
      </c>
      <c r="AY209" s="252">
        <f t="shared" si="291"/>
        <v>30182.578947830112</v>
      </c>
      <c r="AZ209" s="25">
        <f t="shared" ref="AZ209" si="292">SUM(AT198:AY209)-SUM(AM209:AR209)</f>
        <v>0</v>
      </c>
    </row>
    <row r="210" spans="31:59">
      <c r="AE210" s="165">
        <v>35156</v>
      </c>
      <c r="AF210" s="277">
        <v>2168265</v>
      </c>
      <c r="AG210" s="277">
        <v>892494</v>
      </c>
      <c r="AH210" s="277">
        <v>445759</v>
      </c>
      <c r="AI210" s="277">
        <v>103412</v>
      </c>
      <c r="AJ210" s="277">
        <v>367940</v>
      </c>
      <c r="AK210" s="277">
        <v>1999401</v>
      </c>
      <c r="AT210" s="252">
        <f t="shared" ref="AT210" si="293">AF210/SUM(AF210:AF221)*AM221</f>
        <v>21231.696507672073</v>
      </c>
      <c r="AU210" s="252">
        <f t="shared" ref="AU210:AY210" si="294">AG210/SUM(AG210:AG221)*AN221</f>
        <v>9564.9658054998963</v>
      </c>
      <c r="AV210" s="252">
        <f t="shared" si="294"/>
        <v>6063.4747912719386</v>
      </c>
      <c r="AW210" s="252">
        <f t="shared" si="294"/>
        <v>1221.4737043316638</v>
      </c>
      <c r="AX210" s="252">
        <f t="shared" si="294"/>
        <v>3445.4665843524704</v>
      </c>
      <c r="AY210" s="252">
        <f t="shared" si="294"/>
        <v>22492.778995822744</v>
      </c>
    </row>
    <row r="211" spans="31:59">
      <c r="AE211" s="165">
        <v>35186</v>
      </c>
      <c r="AF211" s="277">
        <v>2294627</v>
      </c>
      <c r="AG211" s="277">
        <v>905167</v>
      </c>
      <c r="AH211" s="277">
        <v>481409</v>
      </c>
      <c r="AI211" s="277">
        <v>103250</v>
      </c>
      <c r="AJ211" s="277">
        <v>341214</v>
      </c>
      <c r="AK211" s="277">
        <v>1676723</v>
      </c>
      <c r="AT211" s="252">
        <f t="shared" ref="AT211:AY211" si="295">AF211/SUM(AF210:AF221)*AM221</f>
        <v>22469.035870758438</v>
      </c>
      <c r="AU211" s="252">
        <f t="shared" si="295"/>
        <v>9700.7838744763831</v>
      </c>
      <c r="AV211" s="252">
        <f t="shared" si="295"/>
        <v>6548.4069548599855</v>
      </c>
      <c r="AW211" s="252">
        <f t="shared" si="295"/>
        <v>1219.5602055104271</v>
      </c>
      <c r="AX211" s="252">
        <f t="shared" si="295"/>
        <v>3195.1987691287814</v>
      </c>
      <c r="AY211" s="252">
        <f t="shared" si="295"/>
        <v>18862.729325539447</v>
      </c>
    </row>
    <row r="212" spans="31:59">
      <c r="AE212" s="165">
        <v>35217</v>
      </c>
      <c r="AF212" s="277">
        <v>2371188</v>
      </c>
      <c r="AG212" s="277">
        <v>927597</v>
      </c>
      <c r="AH212" s="277">
        <v>506620</v>
      </c>
      <c r="AI212" s="277">
        <v>105482</v>
      </c>
      <c r="AJ212" s="277">
        <v>328896</v>
      </c>
      <c r="AK212" s="277">
        <v>1627712</v>
      </c>
      <c r="AT212" s="252">
        <f t="shared" ref="AT212:AY212" si="296">AF212/SUM(AF210:AF221)*AM221</f>
        <v>23218.72279386234</v>
      </c>
      <c r="AU212" s="252">
        <f t="shared" si="296"/>
        <v>9941.1688888488752</v>
      </c>
      <c r="AV212" s="252">
        <f t="shared" si="296"/>
        <v>6891.3417311914945</v>
      </c>
      <c r="AW212" s="252">
        <f t="shared" si="296"/>
        <v>1245.923967047466</v>
      </c>
      <c r="AX212" s="252">
        <f t="shared" si="296"/>
        <v>3079.8504585725668</v>
      </c>
      <c r="AY212" s="252">
        <f t="shared" si="296"/>
        <v>18311.367396959704</v>
      </c>
    </row>
    <row r="213" spans="31:59">
      <c r="AE213" s="165">
        <v>35247</v>
      </c>
      <c r="AF213" s="277">
        <v>2459434</v>
      </c>
      <c r="AG213" s="277">
        <v>962706</v>
      </c>
      <c r="AH213" s="277">
        <v>481890</v>
      </c>
      <c r="AI213" s="277">
        <v>107674</v>
      </c>
      <c r="AJ213" s="277">
        <v>335488</v>
      </c>
      <c r="AK213" s="277">
        <v>1752572</v>
      </c>
      <c r="AT213" s="252">
        <f t="shared" ref="AT213:AY213" si="297">AF213/SUM(AF210:AF221)*AM221</f>
        <v>24082.829482858393</v>
      </c>
      <c r="AU213" s="252">
        <f t="shared" si="297"/>
        <v>10317.436274921271</v>
      </c>
      <c r="AV213" s="252">
        <f t="shared" si="297"/>
        <v>6554.9497983574856</v>
      </c>
      <c r="AW213" s="252">
        <f t="shared" si="297"/>
        <v>1271.815259739755</v>
      </c>
      <c r="AX213" s="252">
        <f t="shared" si="297"/>
        <v>3141.5793157885569</v>
      </c>
      <c r="AY213" s="252">
        <f t="shared" si="297"/>
        <v>19716.012280811636</v>
      </c>
    </row>
    <row r="214" spans="31:59">
      <c r="AE214" s="165">
        <v>35278</v>
      </c>
      <c r="AF214" s="277">
        <v>2571844</v>
      </c>
      <c r="AG214" s="277">
        <v>994917</v>
      </c>
      <c r="AH214" s="277">
        <v>528153</v>
      </c>
      <c r="AI214" s="277">
        <v>109929</v>
      </c>
      <c r="AJ214" s="277">
        <v>346143</v>
      </c>
      <c r="AK214" s="277">
        <v>1947938</v>
      </c>
      <c r="AT214" s="252">
        <f t="shared" ref="AT214:AY214" si="298">AF214/SUM(AF210:AF221)*AM221</f>
        <v>25183.550568347215</v>
      </c>
      <c r="AU214" s="252">
        <f t="shared" si="298"/>
        <v>10662.645445583434</v>
      </c>
      <c r="AV214" s="252">
        <f t="shared" si="298"/>
        <v>7184.2461990327683</v>
      </c>
      <c r="AW214" s="252">
        <f t="shared" si="298"/>
        <v>1298.4506908625253</v>
      </c>
      <c r="AX214" s="252">
        <f t="shared" si="298"/>
        <v>3241.3549489251432</v>
      </c>
      <c r="AY214" s="252">
        <f t="shared" si="298"/>
        <v>21913.832658663752</v>
      </c>
    </row>
    <row r="215" spans="31:59">
      <c r="AE215" s="165">
        <v>35309</v>
      </c>
      <c r="AF215" s="277">
        <v>2584732</v>
      </c>
      <c r="AG215" s="277">
        <v>1014471</v>
      </c>
      <c r="AH215" s="277">
        <v>548532</v>
      </c>
      <c r="AI215" s="277">
        <v>112739</v>
      </c>
      <c r="AJ215" s="277">
        <v>381421</v>
      </c>
      <c r="AK215" s="277">
        <v>2180517</v>
      </c>
      <c r="AT215" s="252">
        <f t="shared" ref="AT215:AY215" si="299">AF215/SUM(AF210:AF221)*AM221</f>
        <v>25309.750135554583</v>
      </c>
      <c r="AU215" s="252">
        <f t="shared" si="299"/>
        <v>10872.208021198223</v>
      </c>
      <c r="AV215" s="252">
        <f t="shared" si="299"/>
        <v>7461.453283514139</v>
      </c>
      <c r="AW215" s="252">
        <f t="shared" si="299"/>
        <v>1331.641627206199</v>
      </c>
      <c r="AX215" s="252">
        <f t="shared" si="299"/>
        <v>3571.7054684739455</v>
      </c>
      <c r="AY215" s="252">
        <f t="shared" si="299"/>
        <v>24530.290310765286</v>
      </c>
    </row>
    <row r="216" spans="31:59">
      <c r="AE216" s="165">
        <v>35339</v>
      </c>
      <c r="AF216" s="277">
        <v>2602845</v>
      </c>
      <c r="AG216" s="277">
        <v>1039501</v>
      </c>
      <c r="AH216" s="277">
        <v>562597</v>
      </c>
      <c r="AI216" s="277">
        <v>115931</v>
      </c>
      <c r="AJ216" s="277">
        <v>429251</v>
      </c>
      <c r="AK216" s="277">
        <v>2476802</v>
      </c>
      <c r="AT216" s="252">
        <f t="shared" ref="AT216:AY216" si="300">AF216/SUM(AF210:AF221)*AM221</f>
        <v>25487.113012713722</v>
      </c>
      <c r="AU216" s="252">
        <f t="shared" si="300"/>
        <v>11140.457549051254</v>
      </c>
      <c r="AV216" s="252">
        <f t="shared" si="300"/>
        <v>7652.7736448287496</v>
      </c>
      <c r="AW216" s="252">
        <f t="shared" si="300"/>
        <v>1369.344641017233</v>
      </c>
      <c r="AX216" s="252">
        <f t="shared" si="300"/>
        <v>4019.5955231828075</v>
      </c>
      <c r="AY216" s="252">
        <f t="shared" si="300"/>
        <v>27863.425097022442</v>
      </c>
    </row>
    <row r="217" spans="31:59">
      <c r="AE217" s="165">
        <v>35370</v>
      </c>
      <c r="AF217" s="277">
        <v>2579765</v>
      </c>
      <c r="AG217" s="277">
        <v>1008067</v>
      </c>
      <c r="AH217" s="277">
        <v>531383</v>
      </c>
      <c r="AI217" s="277">
        <v>114972</v>
      </c>
      <c r="AJ217" s="277">
        <v>445439</v>
      </c>
      <c r="AK217" s="277">
        <v>2612236</v>
      </c>
      <c r="AT217" s="252">
        <f t="shared" ref="AT217:AY217" si="301">AF217/SUM(AF210:AF221)*AM221</f>
        <v>25261.113167032003</v>
      </c>
      <c r="AU217" s="252">
        <f t="shared" si="301"/>
        <v>10803.575581071542</v>
      </c>
      <c r="AV217" s="252">
        <f t="shared" si="301"/>
        <v>7228.1825493382212</v>
      </c>
      <c r="AW217" s="252">
        <f t="shared" si="301"/>
        <v>1358.0172004643566</v>
      </c>
      <c r="AX217" s="252">
        <f t="shared" si="301"/>
        <v>4171.183317571832</v>
      </c>
      <c r="AY217" s="252">
        <f t="shared" si="301"/>
        <v>29387.024930432675</v>
      </c>
    </row>
    <row r="218" spans="31:59">
      <c r="AE218" s="165">
        <v>35400</v>
      </c>
      <c r="AF218" s="277">
        <v>2694624</v>
      </c>
      <c r="AG218" s="277">
        <v>1021781</v>
      </c>
      <c r="AH218" s="277">
        <v>534542</v>
      </c>
      <c r="AI218" s="277">
        <v>114539</v>
      </c>
      <c r="AJ218" s="277">
        <v>454389</v>
      </c>
      <c r="AK218" s="277">
        <v>2885437</v>
      </c>
      <c r="AT218" s="252">
        <f t="shared" ref="AT218:AY218" si="302">AF218/SUM(AF210:AF221)*AM221</f>
        <v>26385.814912056114</v>
      </c>
      <c r="AU218" s="252">
        <f t="shared" si="302"/>
        <v>10950.550172560814</v>
      </c>
      <c r="AV218" s="252">
        <f t="shared" si="302"/>
        <v>7271.1531160920686</v>
      </c>
      <c r="AW218" s="252">
        <f t="shared" si="302"/>
        <v>1352.9027252199398</v>
      </c>
      <c r="AX218" s="252">
        <f t="shared" si="302"/>
        <v>4254.9929765650231</v>
      </c>
      <c r="AY218" s="252">
        <f t="shared" si="302"/>
        <v>32460.470284535117</v>
      </c>
      <c r="BA218" s="252">
        <f t="shared" ref="BA218" si="303">SUM(AT207:AT218)</f>
        <v>273983.85280958028</v>
      </c>
      <c r="BB218" s="252">
        <f t="shared" ref="BB218:BF218" si="304">SUM(AU207:AU218)</f>
        <v>118228.34504789367</v>
      </c>
      <c r="BC218" s="252">
        <f t="shared" si="304"/>
        <v>81667.492830602016</v>
      </c>
      <c r="BD218" s="252">
        <f t="shared" si="304"/>
        <v>14815.611900915261</v>
      </c>
      <c r="BE218" s="252">
        <f t="shared" si="304"/>
        <v>41914.820693445035</v>
      </c>
      <c r="BF218" s="252">
        <f t="shared" si="304"/>
        <v>301236.20400416775</v>
      </c>
      <c r="BG218" s="252">
        <f t="shared" ref="BG218" si="305">SUM(BA218:BF218)</f>
        <v>831846.32728660409</v>
      </c>
    </row>
    <row r="219" spans="31:59">
      <c r="AE219" s="165">
        <v>35431</v>
      </c>
      <c r="AF219" s="277">
        <v>2005080</v>
      </c>
      <c r="AG219" s="277">
        <v>781418</v>
      </c>
      <c r="AH219" s="277">
        <v>414367</v>
      </c>
      <c r="AI219" s="277">
        <v>89995</v>
      </c>
      <c r="AJ219" s="277">
        <v>333302</v>
      </c>
      <c r="AK219" s="277">
        <v>2187871</v>
      </c>
      <c r="AT219" s="252">
        <f t="shared" ref="AT219:AY219" si="306">AF219/SUM(AF210:AF221)*AM221</f>
        <v>19633.785553704514</v>
      </c>
      <c r="AU219" s="252">
        <f t="shared" si="306"/>
        <v>8374.5509211290155</v>
      </c>
      <c r="AV219" s="252">
        <f t="shared" si="306"/>
        <v>5636.4624356097784</v>
      </c>
      <c r="AW219" s="252">
        <f t="shared" si="306"/>
        <v>1062.9958420814614</v>
      </c>
      <c r="AX219" s="252">
        <f t="shared" si="306"/>
        <v>3121.109157737259</v>
      </c>
      <c r="AY219" s="252">
        <f t="shared" si="306"/>
        <v>24613.021036985429</v>
      </c>
    </row>
    <row r="220" spans="31:59">
      <c r="AE220" s="165">
        <v>35462</v>
      </c>
      <c r="AF220" s="277">
        <v>2032882</v>
      </c>
      <c r="AG220" s="277">
        <v>851865</v>
      </c>
      <c r="AH220" s="277">
        <v>462295</v>
      </c>
      <c r="AI220" s="277">
        <v>98908</v>
      </c>
      <c r="AJ220" s="277">
        <v>349355</v>
      </c>
      <c r="AK220" s="277">
        <v>2027190</v>
      </c>
      <c r="AT220" s="252">
        <f t="shared" ref="AT220:AY220" si="307">AF220/SUM(AF210:AF221)*AM221</f>
        <v>19906.023322753179</v>
      </c>
      <c r="AU220" s="252">
        <f t="shared" si="307"/>
        <v>9129.5399138842058</v>
      </c>
      <c r="AV220" s="252">
        <f t="shared" si="307"/>
        <v>6288.4071406994826</v>
      </c>
      <c r="AW220" s="252">
        <f t="shared" si="307"/>
        <v>1168.2737124128359</v>
      </c>
      <c r="AX220" s="252">
        <f t="shared" si="307"/>
        <v>3271.432784085604</v>
      </c>
      <c r="AY220" s="252">
        <f t="shared" si="307"/>
        <v>22805.398543134626</v>
      </c>
    </row>
    <row r="221" spans="31:59">
      <c r="AE221" s="165">
        <v>35490</v>
      </c>
      <c r="AF221" s="277">
        <v>2147214</v>
      </c>
      <c r="AG221" s="277">
        <v>929645</v>
      </c>
      <c r="AH221" s="277">
        <v>507635</v>
      </c>
      <c r="AI221" s="277">
        <v>110111</v>
      </c>
      <c r="AJ221" s="277">
        <v>364316</v>
      </c>
      <c r="AK221" s="277">
        <v>2283840</v>
      </c>
      <c r="AM221" s="277">
        <v>279195</v>
      </c>
      <c r="AN221" s="277">
        <v>121421</v>
      </c>
      <c r="AO221" s="277">
        <v>81686</v>
      </c>
      <c r="AP221" s="277">
        <v>15201</v>
      </c>
      <c r="AQ221" s="277">
        <v>41925</v>
      </c>
      <c r="AR221" s="277">
        <v>288649</v>
      </c>
      <c r="AT221" s="252">
        <f t="shared" ref="AT221:AY221" si="308">AF221/SUM(AF210:AF221)*AM221</f>
        <v>21025.564672687418</v>
      </c>
      <c r="AU221" s="252">
        <f t="shared" si="308"/>
        <v>9963.1175517750835</v>
      </c>
      <c r="AV221" s="252">
        <f t="shared" si="308"/>
        <v>6905.148355203889</v>
      </c>
      <c r="AW221" s="252">
        <f t="shared" si="308"/>
        <v>1300.6004241061369</v>
      </c>
      <c r="AX221" s="252">
        <f t="shared" si="308"/>
        <v>3411.5306956160098</v>
      </c>
      <c r="AY221" s="252">
        <f t="shared" si="308"/>
        <v>25692.649139327139</v>
      </c>
      <c r="AZ221" s="25">
        <f t="shared" ref="AZ221" si="309">SUM(AT210:AY221)-SUM(AM221:AR221)</f>
        <v>0</v>
      </c>
    </row>
    <row r="222" spans="31:59">
      <c r="AE222" s="165">
        <v>35521</v>
      </c>
      <c r="AF222" s="277">
        <v>2091892</v>
      </c>
      <c r="AG222" s="277">
        <v>903400</v>
      </c>
      <c r="AH222" s="277">
        <v>450638</v>
      </c>
      <c r="AI222" s="277">
        <v>111722</v>
      </c>
      <c r="AJ222" s="277">
        <v>335262</v>
      </c>
      <c r="AK222" s="277">
        <v>1661502</v>
      </c>
      <c r="AT222" s="252">
        <f t="shared" ref="AT222" si="310">AF222/SUM(AF222:AF233)*AM233</f>
        <v>20253.16287274256</v>
      </c>
      <c r="AU222" s="252">
        <f t="shared" ref="AU222:AY222" si="311">AG222/SUM(AG222:AG233)*AN233</f>
        <v>9755.2889734152268</v>
      </c>
      <c r="AV222" s="252">
        <f t="shared" si="311"/>
        <v>6183.8450625795504</v>
      </c>
      <c r="AW222" s="252">
        <f t="shared" si="311"/>
        <v>1234.2030619609616</v>
      </c>
      <c r="AX222" s="252">
        <f t="shared" si="311"/>
        <v>3277.4423667919723</v>
      </c>
      <c r="AY222" s="252">
        <f t="shared" si="311"/>
        <v>18237.094663962675</v>
      </c>
    </row>
    <row r="223" spans="31:59">
      <c r="AE223" s="165">
        <v>35551</v>
      </c>
      <c r="AF223" s="277">
        <v>2080192</v>
      </c>
      <c r="AG223" s="277">
        <v>893049</v>
      </c>
      <c r="AH223" s="277">
        <v>469410</v>
      </c>
      <c r="AI223" s="277">
        <v>113378</v>
      </c>
      <c r="AJ223" s="277">
        <v>316394</v>
      </c>
      <c r="AK223" s="277">
        <v>1511680</v>
      </c>
      <c r="AT223" s="252">
        <f t="shared" ref="AT223:AY223" si="312">AF223/SUM(AF222:AF233)*AM233</f>
        <v>20139.8864676456</v>
      </c>
      <c r="AU223" s="252">
        <f t="shared" si="312"/>
        <v>9643.5145698688229</v>
      </c>
      <c r="AV223" s="252">
        <f t="shared" si="312"/>
        <v>6441.4423790835808</v>
      </c>
      <c r="AW223" s="252">
        <f t="shared" si="312"/>
        <v>1252.4970440827221</v>
      </c>
      <c r="AX223" s="252">
        <f t="shared" si="312"/>
        <v>3092.9932416998622</v>
      </c>
      <c r="AY223" s="252">
        <f t="shared" si="312"/>
        <v>16592.60793042626</v>
      </c>
    </row>
    <row r="224" spans="31:59">
      <c r="AE224" s="165">
        <v>35582</v>
      </c>
      <c r="AF224" s="277">
        <v>2116559</v>
      </c>
      <c r="AG224" s="277">
        <v>915558</v>
      </c>
      <c r="AH224" s="277">
        <v>444361</v>
      </c>
      <c r="AI224" s="277">
        <v>111600</v>
      </c>
      <c r="AJ224" s="277">
        <v>316689</v>
      </c>
      <c r="AK224" s="277">
        <v>1521362</v>
      </c>
      <c r="AT224" s="252">
        <f t="shared" ref="AT224:AY224" si="313">AF224/SUM(AF222:AF233)*AM233</f>
        <v>20491.982452616634</v>
      </c>
      <c r="AU224" s="252">
        <f t="shared" si="313"/>
        <v>9886.5761145916513</v>
      </c>
      <c r="AV224" s="252">
        <f t="shared" si="313"/>
        <v>6097.7094161009754</v>
      </c>
      <c r="AW224" s="252">
        <f t="shared" si="313"/>
        <v>1232.8553169012664</v>
      </c>
      <c r="AX224" s="252">
        <f t="shared" si="313"/>
        <v>3095.8770922352755</v>
      </c>
      <c r="AY224" s="252">
        <f t="shared" si="313"/>
        <v>16698.880177186413</v>
      </c>
    </row>
    <row r="225" spans="31:59">
      <c r="AE225" s="165">
        <v>35612</v>
      </c>
      <c r="AF225" s="277">
        <v>2107753</v>
      </c>
      <c r="AG225" s="277">
        <v>953843</v>
      </c>
      <c r="AH225" s="277">
        <v>441369</v>
      </c>
      <c r="AI225" s="277">
        <v>111462</v>
      </c>
      <c r="AJ225" s="277">
        <v>325274</v>
      </c>
      <c r="AK225" s="277">
        <v>1721067</v>
      </c>
      <c r="AT225" s="252">
        <f t="shared" ref="AT225:AY225" si="314">AF225/SUM(AF222:AF233)*AM233</f>
        <v>20406.725014729127</v>
      </c>
      <c r="AU225" s="252">
        <f t="shared" si="314"/>
        <v>10299.993469414767</v>
      </c>
      <c r="AV225" s="252">
        <f t="shared" si="314"/>
        <v>6056.6519277683492</v>
      </c>
      <c r="AW225" s="252">
        <f t="shared" si="314"/>
        <v>1231.3308183911197</v>
      </c>
      <c r="AX225" s="252">
        <f t="shared" si="314"/>
        <v>3179.802030698057</v>
      </c>
      <c r="AY225" s="252">
        <f t="shared" si="314"/>
        <v>18890.896190327938</v>
      </c>
    </row>
    <row r="226" spans="31:59">
      <c r="AE226" s="165">
        <v>35643</v>
      </c>
      <c r="AF226" s="277">
        <v>2067409</v>
      </c>
      <c r="AG226" s="277">
        <v>983294</v>
      </c>
      <c r="AH226" s="277">
        <v>463868</v>
      </c>
      <c r="AI226" s="277">
        <v>111094</v>
      </c>
      <c r="AJ226" s="277">
        <v>343428</v>
      </c>
      <c r="AK226" s="277">
        <v>1952584</v>
      </c>
      <c r="AT226" s="252">
        <f t="shared" ref="AT226:AY226" si="315">AF226/SUM(AF222:AF233)*AM233</f>
        <v>20016.124733769153</v>
      </c>
      <c r="AU226" s="252">
        <f t="shared" si="315"/>
        <v>10618.017617694655</v>
      </c>
      <c r="AV226" s="252">
        <f t="shared" si="315"/>
        <v>6365.3927131947394</v>
      </c>
      <c r="AW226" s="252">
        <f t="shared" si="315"/>
        <v>1227.2654890307285</v>
      </c>
      <c r="AX226" s="252">
        <f t="shared" si="315"/>
        <v>3357.2712599180149</v>
      </c>
      <c r="AY226" s="252">
        <f t="shared" si="315"/>
        <v>21432.089306747082</v>
      </c>
    </row>
    <row r="227" spans="31:59">
      <c r="AE227" s="165">
        <v>35674</v>
      </c>
      <c r="AF227" s="277">
        <v>2021452</v>
      </c>
      <c r="AG227" s="277">
        <v>1005631</v>
      </c>
      <c r="AH227" s="277">
        <v>483675</v>
      </c>
      <c r="AI227" s="277">
        <v>109484</v>
      </c>
      <c r="AJ227" s="277">
        <v>376900</v>
      </c>
      <c r="AK227" s="277">
        <v>2193581</v>
      </c>
      <c r="AT227" s="252">
        <f t="shared" ref="AT227:AY227" si="316">AF227/SUM(AF222:AF233)*AM233</f>
        <v>19571.180823594714</v>
      </c>
      <c r="AU227" s="252">
        <f t="shared" si="316"/>
        <v>10859.221834873288</v>
      </c>
      <c r="AV227" s="252">
        <f t="shared" si="316"/>
        <v>6637.1927370598223</v>
      </c>
      <c r="AW227" s="252">
        <f t="shared" si="316"/>
        <v>1209.4796730790167</v>
      </c>
      <c r="AX227" s="252">
        <f t="shared" si="316"/>
        <v>3684.4856501598579</v>
      </c>
      <c r="AY227" s="252">
        <f t="shared" si="316"/>
        <v>24077.337463373442</v>
      </c>
    </row>
    <row r="228" spans="31:59">
      <c r="AE228" s="165">
        <v>35704</v>
      </c>
      <c r="AF228" s="277">
        <v>1993198</v>
      </c>
      <c r="AG228" s="277">
        <v>1002321</v>
      </c>
      <c r="AH228" s="277">
        <v>572244</v>
      </c>
      <c r="AI228" s="277">
        <v>109839</v>
      </c>
      <c r="AJ228" s="277">
        <v>404939</v>
      </c>
      <c r="AK228" s="277">
        <v>2492555</v>
      </c>
      <c r="AT228" s="252">
        <f t="shared" ref="AT228:AY228" si="317">AF228/SUM(AF222:AF233)*AM233</f>
        <v>19297.632827901598</v>
      </c>
      <c r="AU228" s="252">
        <f t="shared" si="317"/>
        <v>10823.479078063452</v>
      </c>
      <c r="AV228" s="252">
        <f t="shared" si="317"/>
        <v>7852.5739817564699</v>
      </c>
      <c r="AW228" s="252">
        <f t="shared" si="317"/>
        <v>1213.4013902609158</v>
      </c>
      <c r="AX228" s="252">
        <f t="shared" si="317"/>
        <v>3958.588311727468</v>
      </c>
      <c r="AY228" s="252">
        <f t="shared" si="317"/>
        <v>27358.956829503353</v>
      </c>
    </row>
    <row r="229" spans="31:59">
      <c r="AE229" s="165">
        <v>35735</v>
      </c>
      <c r="AF229" s="277">
        <v>1950420</v>
      </c>
      <c r="AG229" s="277">
        <v>971095</v>
      </c>
      <c r="AH229" s="277">
        <v>489497</v>
      </c>
      <c r="AI229" s="277">
        <v>105587</v>
      </c>
      <c r="AJ229" s="277">
        <v>398532</v>
      </c>
      <c r="AK229" s="277">
        <v>2662735</v>
      </c>
      <c r="AT229" s="252">
        <f t="shared" ref="AT229:AY229" si="318">AF229/SUM(AF222:AF233)*AM233</f>
        <v>18883.46718198384</v>
      </c>
      <c r="AU229" s="252">
        <f t="shared" si="318"/>
        <v>10486.287741464092</v>
      </c>
      <c r="AV229" s="252">
        <f t="shared" si="318"/>
        <v>6717.0846812685622</v>
      </c>
      <c r="AW229" s="252">
        <f t="shared" si="318"/>
        <v>1166.4291608033514</v>
      </c>
      <c r="AX229" s="252">
        <f t="shared" si="318"/>
        <v>3895.9549884041085</v>
      </c>
      <c r="AY229" s="252">
        <f t="shared" si="318"/>
        <v>29226.898469003736</v>
      </c>
    </row>
    <row r="230" spans="31:59">
      <c r="AE230" s="165">
        <v>35765</v>
      </c>
      <c r="AF230" s="277">
        <v>2013216</v>
      </c>
      <c r="AG230" s="277">
        <v>983168</v>
      </c>
      <c r="AH230" s="277">
        <v>511089</v>
      </c>
      <c r="AI230" s="277">
        <v>103973</v>
      </c>
      <c r="AJ230" s="277">
        <v>399550</v>
      </c>
      <c r="AK230" s="277">
        <v>2913857</v>
      </c>
      <c r="AT230" s="252">
        <f t="shared" ref="AT230:AY230" si="319">AF230/SUM(AF222:AF233)*AM233</f>
        <v>19491.441979801675</v>
      </c>
      <c r="AU230" s="252">
        <f t="shared" si="319"/>
        <v>10616.657017284371</v>
      </c>
      <c r="AV230" s="252">
        <f t="shared" si="319"/>
        <v>7013.3792294229952</v>
      </c>
      <c r="AW230" s="252">
        <f t="shared" si="319"/>
        <v>1148.5991564890267</v>
      </c>
      <c r="AX230" s="252">
        <f t="shared" si="319"/>
        <v>3905.9067166924156</v>
      </c>
      <c r="AY230" s="252">
        <f t="shared" si="319"/>
        <v>31983.281360028624</v>
      </c>
      <c r="BA230" s="252">
        <f t="shared" ref="BA230" si="320">SUM(AT219:AT230)</f>
        <v>239116.97790393</v>
      </c>
      <c r="BB230" s="252">
        <f t="shared" ref="BB230:BF230" si="321">SUM(AU219:AU230)</f>
        <v>120456.24480345863</v>
      </c>
      <c r="BC230" s="252">
        <f t="shared" si="321"/>
        <v>78195.290059748178</v>
      </c>
      <c r="BD230" s="252">
        <f t="shared" si="321"/>
        <v>14447.931089599544</v>
      </c>
      <c r="BE230" s="252">
        <f t="shared" si="321"/>
        <v>41252.394295765909</v>
      </c>
      <c r="BF230" s="252">
        <f t="shared" si="321"/>
        <v>277609.11111000669</v>
      </c>
      <c r="BG230" s="252">
        <f t="shared" ref="BG230" si="322">SUM(BA230:BF230)</f>
        <v>771077.94926250889</v>
      </c>
    </row>
    <row r="231" spans="31:59">
      <c r="AE231" s="165">
        <v>35796</v>
      </c>
      <c r="AF231" s="277">
        <v>1521017</v>
      </c>
      <c r="AG231" s="277">
        <v>763539</v>
      </c>
      <c r="AH231" s="277">
        <v>391075</v>
      </c>
      <c r="AI231" s="277">
        <v>77265</v>
      </c>
      <c r="AJ231" s="277">
        <v>289725</v>
      </c>
      <c r="AK231" s="277">
        <v>2190215</v>
      </c>
      <c r="AT231" s="252">
        <f t="shared" ref="AT231:AY231" si="323">AF231/SUM(AF222:AF233)*AM233</f>
        <v>14726.097252253114</v>
      </c>
      <c r="AU231" s="252">
        <f t="shared" si="323"/>
        <v>8245.0117195843359</v>
      </c>
      <c r="AV231" s="252">
        <f t="shared" si="323"/>
        <v>5366.4964069792113</v>
      </c>
      <c r="AW231" s="252">
        <f t="shared" si="323"/>
        <v>853.55345932236878</v>
      </c>
      <c r="AX231" s="252">
        <f t="shared" si="323"/>
        <v>2832.2833775340009</v>
      </c>
      <c r="AY231" s="252">
        <f t="shared" si="323"/>
        <v>24040.391338337842</v>
      </c>
    </row>
    <row r="232" spans="31:59">
      <c r="AE232" s="165">
        <v>35827</v>
      </c>
      <c r="AF232" s="277">
        <v>1572213</v>
      </c>
      <c r="AG232" s="277">
        <v>825148</v>
      </c>
      <c r="AH232" s="277">
        <v>438215</v>
      </c>
      <c r="AI232" s="277">
        <v>83259</v>
      </c>
      <c r="AJ232" s="277">
        <v>308689</v>
      </c>
      <c r="AK232" s="277">
        <v>2036455</v>
      </c>
      <c r="AT232" s="252">
        <f t="shared" ref="AT232:AY232" si="324">AF232/SUM(AF222:AF233)*AM233</f>
        <v>15221.763819376525</v>
      </c>
      <c r="AU232" s="252">
        <f t="shared" si="324"/>
        <v>8910.291328133304</v>
      </c>
      <c r="AV232" s="252">
        <f t="shared" si="324"/>
        <v>6013.3714069792113</v>
      </c>
      <c r="AW232" s="252">
        <f t="shared" si="324"/>
        <v>919.76972069787234</v>
      </c>
      <c r="AX232" s="252">
        <f t="shared" si="324"/>
        <v>3017.6709760206859</v>
      </c>
      <c r="AY232" s="252">
        <f t="shared" si="324"/>
        <v>22352.680053289194</v>
      </c>
    </row>
    <row r="233" spans="31:59">
      <c r="AE233" s="165">
        <v>35855</v>
      </c>
      <c r="AF233" s="277">
        <v>1690763</v>
      </c>
      <c r="AG233" s="277">
        <v>891303</v>
      </c>
      <c r="AH233" s="277">
        <v>501359</v>
      </c>
      <c r="AI233" s="277">
        <v>91392</v>
      </c>
      <c r="AJ233" s="277">
        <v>330483</v>
      </c>
      <c r="AK233" s="277">
        <v>2234173</v>
      </c>
      <c r="AM233" s="277">
        <v>224869</v>
      </c>
      <c r="AN233" s="277">
        <v>119769</v>
      </c>
      <c r="AO233" s="277">
        <v>77625</v>
      </c>
      <c r="AP233" s="277">
        <v>13699</v>
      </c>
      <c r="AQ233" s="277">
        <v>40529</v>
      </c>
      <c r="AR233" s="277">
        <v>275414</v>
      </c>
      <c r="AT233" s="252">
        <f t="shared" ref="AT233:AY233" si="325">AF233/SUM(AF222:AF233)*AM233</f>
        <v>16369.534573585459</v>
      </c>
      <c r="AU233" s="252">
        <f t="shared" si="325"/>
        <v>9624.6605356120344</v>
      </c>
      <c r="AV233" s="252">
        <f t="shared" si="325"/>
        <v>6879.8600578065334</v>
      </c>
      <c r="AW233" s="252">
        <f t="shared" si="325"/>
        <v>1009.61570898065</v>
      </c>
      <c r="AX233" s="252">
        <f t="shared" si="325"/>
        <v>3230.7239881182818</v>
      </c>
      <c r="AY233" s="252">
        <f t="shared" si="325"/>
        <v>24522.886217813444</v>
      </c>
      <c r="AZ233" s="25">
        <f t="shared" ref="AZ233" si="326">SUM(AT222:AY233)-SUM(AM233:AR233)</f>
        <v>0</v>
      </c>
    </row>
    <row r="234" spans="31:59">
      <c r="AE234" s="165">
        <v>35886</v>
      </c>
      <c r="AF234" s="277">
        <v>1717467</v>
      </c>
      <c r="AG234" s="277">
        <v>846249</v>
      </c>
      <c r="AH234" s="277">
        <v>469422</v>
      </c>
      <c r="AI234" s="277">
        <v>94625</v>
      </c>
      <c r="AJ234" s="277">
        <v>307278</v>
      </c>
      <c r="AK234" s="277">
        <v>1639725</v>
      </c>
      <c r="AT234" s="252">
        <f t="shared" ref="AT234" si="327">AF234/SUM(AF234:AF245)*AM245</f>
        <v>16464.993384169287</v>
      </c>
      <c r="AU234" s="252">
        <f t="shared" ref="AU234:AY234" si="328">AG234/SUM(AG234:AG245)*AN245</f>
        <v>9049.7346926941118</v>
      </c>
      <c r="AV234" s="252">
        <f t="shared" si="328"/>
        <v>6231.3854659911121</v>
      </c>
      <c r="AW234" s="252">
        <f t="shared" si="328"/>
        <v>992.5927796947459</v>
      </c>
      <c r="AX234" s="252">
        <f t="shared" si="328"/>
        <v>2896.7877536682722</v>
      </c>
      <c r="AY234" s="252">
        <f t="shared" si="328"/>
        <v>18109.446185413468</v>
      </c>
    </row>
    <row r="235" spans="31:59">
      <c r="AE235" s="165">
        <v>35916</v>
      </c>
      <c r="AF235" s="277">
        <v>1755965</v>
      </c>
      <c r="AG235" s="277">
        <v>813104</v>
      </c>
      <c r="AH235" s="277">
        <v>425882</v>
      </c>
      <c r="AI235" s="277">
        <v>96911</v>
      </c>
      <c r="AJ235" s="277">
        <v>286563</v>
      </c>
      <c r="AK235" s="277">
        <v>1452388</v>
      </c>
      <c r="AT235" s="252">
        <f t="shared" ref="AT235:AY235" si="329">AF235/SUM(AF234:AF245)*AM245</f>
        <v>16834.065579037509</v>
      </c>
      <c r="AU235" s="252">
        <f t="shared" si="329"/>
        <v>8695.284103813834</v>
      </c>
      <c r="AV235" s="252">
        <f t="shared" si="329"/>
        <v>5653.4097358607542</v>
      </c>
      <c r="AW235" s="252">
        <f t="shared" si="329"/>
        <v>1016.5723526868959</v>
      </c>
      <c r="AX235" s="252">
        <f t="shared" si="329"/>
        <v>2701.5021871218937</v>
      </c>
      <c r="AY235" s="252">
        <f t="shared" si="329"/>
        <v>16040.459422366735</v>
      </c>
    </row>
    <row r="236" spans="31:59">
      <c r="AE236" s="165">
        <v>35947</v>
      </c>
      <c r="AF236" s="277">
        <v>1810697</v>
      </c>
      <c r="AG236" s="277">
        <v>820835</v>
      </c>
      <c r="AH236" s="277">
        <v>434087</v>
      </c>
      <c r="AI236" s="277">
        <v>96943</v>
      </c>
      <c r="AJ236" s="277">
        <v>283432</v>
      </c>
      <c r="AK236" s="277">
        <v>1475539</v>
      </c>
      <c r="AT236" s="252">
        <f t="shared" ref="AT236:AY236" si="330">AF236/SUM(AF234:AF245)*AM245</f>
        <v>17358.769703135589</v>
      </c>
      <c r="AU236" s="252">
        <f t="shared" si="330"/>
        <v>8777.9589417270454</v>
      </c>
      <c r="AV236" s="252">
        <f t="shared" si="330"/>
        <v>5762.3277621749385</v>
      </c>
      <c r="AW236" s="252">
        <f t="shared" si="330"/>
        <v>1016.9080247497782</v>
      </c>
      <c r="AX236" s="252">
        <f t="shared" si="330"/>
        <v>2671.9854548575095</v>
      </c>
      <c r="AY236" s="252">
        <f t="shared" si="330"/>
        <v>16296.143630778821</v>
      </c>
    </row>
    <row r="237" spans="31:59">
      <c r="AE237" s="165">
        <v>35977</v>
      </c>
      <c r="AF237" s="277">
        <v>1867149</v>
      </c>
      <c r="AG237" s="277">
        <v>837176</v>
      </c>
      <c r="AH237" s="277">
        <v>451937</v>
      </c>
      <c r="AI237" s="277">
        <v>98432</v>
      </c>
      <c r="AJ237" s="277">
        <v>294002</v>
      </c>
      <c r="AK237" s="277">
        <v>1632432</v>
      </c>
      <c r="AT237" s="252">
        <f t="shared" ref="AT237:AY237" si="331">AF237/SUM(AF234:AF245)*AM245</f>
        <v>17899.963103953844</v>
      </c>
      <c r="AU237" s="252">
        <f t="shared" si="331"/>
        <v>8952.7085894233096</v>
      </c>
      <c r="AV237" s="252">
        <f t="shared" si="331"/>
        <v>5999.2792270997643</v>
      </c>
      <c r="AW237" s="252">
        <f t="shared" si="331"/>
        <v>1032.5272654257672</v>
      </c>
      <c r="AX237" s="252">
        <f t="shared" si="331"/>
        <v>2771.6315296050466</v>
      </c>
      <c r="AY237" s="252">
        <f t="shared" si="331"/>
        <v>18028.900855537897</v>
      </c>
    </row>
    <row r="238" spans="31:59">
      <c r="AE238" s="165">
        <v>36008</v>
      </c>
      <c r="AF238" s="277">
        <v>1877677</v>
      </c>
      <c r="AG238" s="277">
        <v>848367</v>
      </c>
      <c r="AH238" s="277">
        <v>465065</v>
      </c>
      <c r="AI238" s="277">
        <v>100083</v>
      </c>
      <c r="AJ238" s="277">
        <v>311030</v>
      </c>
      <c r="AK238" s="277">
        <v>1875389</v>
      </c>
      <c r="AT238" s="252">
        <f t="shared" ref="AT238:AY238" si="332">AF238/SUM(AF234:AF245)*AM245</f>
        <v>18000.892816343388</v>
      </c>
      <c r="AU238" s="252">
        <f t="shared" si="332"/>
        <v>9072.3844542644365</v>
      </c>
      <c r="AV238" s="252">
        <f t="shared" si="332"/>
        <v>6173.5480692024594</v>
      </c>
      <c r="AW238" s="252">
        <f t="shared" si="332"/>
        <v>1049.8458459200979</v>
      </c>
      <c r="AX238" s="252">
        <f t="shared" si="332"/>
        <v>2932.1588106647491</v>
      </c>
      <c r="AY238" s="252">
        <f t="shared" si="332"/>
        <v>20712.165864529954</v>
      </c>
    </row>
    <row r="239" spans="31:59">
      <c r="AE239" s="165">
        <v>36039</v>
      </c>
      <c r="AF239" s="277">
        <v>1833718</v>
      </c>
      <c r="AG239" s="277">
        <v>854543</v>
      </c>
      <c r="AH239" s="277">
        <v>473083</v>
      </c>
      <c r="AI239" s="277">
        <v>103554</v>
      </c>
      <c r="AJ239" s="277">
        <v>344859</v>
      </c>
      <c r="AK239" s="277">
        <v>2199512</v>
      </c>
      <c r="AT239" s="252">
        <f t="shared" ref="AT239:AY239" si="333">AF239/SUM(AF234:AF245)*AM245</f>
        <v>17579.467167888604</v>
      </c>
      <c r="AU239" s="252">
        <f t="shared" si="333"/>
        <v>9138.4302179369242</v>
      </c>
      <c r="AV239" s="252">
        <f t="shared" si="333"/>
        <v>6279.9837468364785</v>
      </c>
      <c r="AW239" s="252">
        <f t="shared" si="333"/>
        <v>1086.2557749908558</v>
      </c>
      <c r="AX239" s="252">
        <f t="shared" si="333"/>
        <v>3251.0733861268518</v>
      </c>
      <c r="AY239" s="252">
        <f t="shared" si="333"/>
        <v>24291.844180073575</v>
      </c>
    </row>
    <row r="240" spans="31:59">
      <c r="AE240" s="165">
        <v>36069</v>
      </c>
      <c r="AF240" s="277">
        <v>1804433</v>
      </c>
      <c r="AG240" s="277">
        <v>856557</v>
      </c>
      <c r="AH240" s="277">
        <v>501300</v>
      </c>
      <c r="AI240" s="277">
        <v>109186</v>
      </c>
      <c r="AJ240" s="277">
        <v>383064</v>
      </c>
      <c r="AK240" s="277">
        <v>2663550</v>
      </c>
      <c r="AT240" s="252">
        <f t="shared" ref="AT240:AY240" si="334">AF240/SUM(AF234:AF245)*AM245</f>
        <v>17298.718058150018</v>
      </c>
      <c r="AU240" s="252">
        <f t="shared" si="334"/>
        <v>9159.9678099117282</v>
      </c>
      <c r="AV240" s="252">
        <f t="shared" si="334"/>
        <v>6654.5529057039184</v>
      </c>
      <c r="AW240" s="252">
        <f t="shared" si="334"/>
        <v>1145.3340580581298</v>
      </c>
      <c r="AX240" s="252">
        <f t="shared" si="334"/>
        <v>3611.2416250795145</v>
      </c>
      <c r="AY240" s="252">
        <f t="shared" si="334"/>
        <v>29416.77134102245</v>
      </c>
    </row>
    <row r="241" spans="31:59">
      <c r="AE241" s="165">
        <v>36100</v>
      </c>
      <c r="AF241" s="277">
        <v>1751629</v>
      </c>
      <c r="AG241" s="277">
        <v>820024</v>
      </c>
      <c r="AH241" s="277">
        <v>504935</v>
      </c>
      <c r="AI241" s="277">
        <v>106067</v>
      </c>
      <c r="AJ241" s="277">
        <v>387561</v>
      </c>
      <c r="AK241" s="277">
        <v>2955293</v>
      </c>
      <c r="AT241" s="252">
        <f t="shared" ref="AT241:AY241" si="335">AF241/SUM(AF234:AF245)*AM245</f>
        <v>16792.497262840599</v>
      </c>
      <c r="AU241" s="252">
        <f t="shared" si="335"/>
        <v>8769.286157669665</v>
      </c>
      <c r="AV241" s="252">
        <f t="shared" si="335"/>
        <v>6702.8060471605977</v>
      </c>
      <c r="AW241" s="252">
        <f t="shared" si="335"/>
        <v>1112.6165216790766</v>
      </c>
      <c r="AX241" s="252">
        <f t="shared" si="335"/>
        <v>3653.6359863037032</v>
      </c>
      <c r="AY241" s="252">
        <f t="shared" si="335"/>
        <v>32638.838552579928</v>
      </c>
    </row>
    <row r="242" spans="31:59">
      <c r="AE242" s="165">
        <v>36130</v>
      </c>
      <c r="AF242" s="277">
        <v>1809637</v>
      </c>
      <c r="AG242" s="277">
        <v>831747</v>
      </c>
      <c r="AH242" s="277">
        <v>517159</v>
      </c>
      <c r="AI242" s="277">
        <v>104128</v>
      </c>
      <c r="AJ242" s="277">
        <v>385838</v>
      </c>
      <c r="AK242" s="277">
        <v>3219786</v>
      </c>
      <c r="AT242" s="252">
        <f t="shared" ref="AT242:AY242" si="336">AF242/SUM(AF234:AF245)*AM245</f>
        <v>17348.607707017341</v>
      </c>
      <c r="AU242" s="252">
        <f t="shared" si="336"/>
        <v>8894.651197749421</v>
      </c>
      <c r="AV242" s="252">
        <f t="shared" si="336"/>
        <v>6865.0746582105185</v>
      </c>
      <c r="AW242" s="252">
        <f t="shared" si="336"/>
        <v>1092.276892618806</v>
      </c>
      <c r="AX242" s="252">
        <f t="shared" si="336"/>
        <v>3637.3928276669953</v>
      </c>
      <c r="AY242" s="252">
        <f t="shared" si="336"/>
        <v>35559.951391573391</v>
      </c>
      <c r="BA242" s="252">
        <f t="shared" ref="BA242" si="337">SUM(AT231:AT242)</f>
        <v>201895.37042775124</v>
      </c>
      <c r="BB242" s="252">
        <f t="shared" ref="BB242:BF242" si="338">SUM(AU231:AU242)</f>
        <v>107290.36974852016</v>
      </c>
      <c r="BC242" s="252">
        <f t="shared" si="338"/>
        <v>74582.095490005493</v>
      </c>
      <c r="BD242" s="252">
        <f t="shared" si="338"/>
        <v>12327.868404825043</v>
      </c>
      <c r="BE242" s="252">
        <f t="shared" si="338"/>
        <v>37208.087902767504</v>
      </c>
      <c r="BF242" s="252">
        <f t="shared" si="338"/>
        <v>282010.47903331672</v>
      </c>
      <c r="BG242" s="252">
        <f t="shared" ref="BG242" si="339">SUM(BA242:BF242)</f>
        <v>715314.27100718627</v>
      </c>
    </row>
    <row r="243" spans="31:59">
      <c r="AE243" s="165">
        <v>36161</v>
      </c>
      <c r="AF243" s="277">
        <v>1374618</v>
      </c>
      <c r="AG243" s="277">
        <v>633518</v>
      </c>
      <c r="AH243" s="277">
        <v>409851</v>
      </c>
      <c r="AI243" s="277">
        <v>80299</v>
      </c>
      <c r="AJ243" s="277">
        <v>280236</v>
      </c>
      <c r="AK243" s="277">
        <v>2336227</v>
      </c>
      <c r="AT243" s="252">
        <f t="shared" ref="AT243:AY243" si="340">AF243/SUM(AF234:AF245)*AM245</f>
        <v>13178.17243403222</v>
      </c>
      <c r="AU243" s="252">
        <f t="shared" si="340"/>
        <v>6774.8024789939936</v>
      </c>
      <c r="AV243" s="252">
        <f t="shared" si="340"/>
        <v>5440.6047535520784</v>
      </c>
      <c r="AW243" s="252">
        <f t="shared" si="340"/>
        <v>842.31659304315349</v>
      </c>
      <c r="AX243" s="252">
        <f t="shared" si="340"/>
        <v>2641.8559510833252</v>
      </c>
      <c r="AY243" s="252">
        <f t="shared" si="340"/>
        <v>25801.75159457223</v>
      </c>
    </row>
    <row r="244" spans="31:59">
      <c r="AE244" s="165">
        <v>36192</v>
      </c>
      <c r="AF244" s="277">
        <v>1423401</v>
      </c>
      <c r="AG244" s="277">
        <v>691081</v>
      </c>
      <c r="AH244" s="277">
        <v>438545</v>
      </c>
      <c r="AI244" s="277">
        <v>87085</v>
      </c>
      <c r="AJ244" s="277">
        <v>293582</v>
      </c>
      <c r="AK244" s="277">
        <v>2294764</v>
      </c>
      <c r="AT244" s="252">
        <f t="shared" ref="AT244:AY244" si="341">AF244/SUM(AF234:AF245)*AM245</f>
        <v>13645.844751613826</v>
      </c>
      <c r="AU244" s="252">
        <f t="shared" si="341"/>
        <v>7390.3776561765389</v>
      </c>
      <c r="AV244" s="252">
        <f t="shared" si="341"/>
        <v>5821.5058927427181</v>
      </c>
      <c r="AW244" s="252">
        <f t="shared" si="341"/>
        <v>913.50004987811838</v>
      </c>
      <c r="AX244" s="252">
        <f t="shared" si="341"/>
        <v>2767.6720829263363</v>
      </c>
      <c r="AY244" s="252">
        <f t="shared" si="341"/>
        <v>25343.826047797131</v>
      </c>
    </row>
    <row r="245" spans="31:59">
      <c r="AE245" s="165">
        <v>36220</v>
      </c>
      <c r="AF245" s="277">
        <v>1587498</v>
      </c>
      <c r="AG245" s="277">
        <v>752147</v>
      </c>
      <c r="AH245" s="277">
        <v>483218</v>
      </c>
      <c r="AI245" s="277">
        <v>95546</v>
      </c>
      <c r="AJ245" s="277">
        <v>311338</v>
      </c>
      <c r="AK245" s="277">
        <v>2618108</v>
      </c>
      <c r="AM245" s="277">
        <v>197621</v>
      </c>
      <c r="AN245" s="277">
        <v>102719</v>
      </c>
      <c r="AO245" s="277">
        <v>73999</v>
      </c>
      <c r="AP245" s="277">
        <v>12303</v>
      </c>
      <c r="AQ245" s="277">
        <v>36472</v>
      </c>
      <c r="AR245" s="277">
        <v>291155</v>
      </c>
      <c r="AT245" s="252">
        <f t="shared" ref="AT245:AY245" si="342">AF245/SUM(AF234:AF245)*AM245</f>
        <v>15219.008031817772</v>
      </c>
      <c r="AU245" s="252">
        <f t="shared" si="342"/>
        <v>8043.4136996389925</v>
      </c>
      <c r="AV245" s="252">
        <f t="shared" si="342"/>
        <v>6414.5217354646638</v>
      </c>
      <c r="AW245" s="252">
        <f t="shared" si="342"/>
        <v>1002.2538412545753</v>
      </c>
      <c r="AX245" s="252">
        <f t="shared" si="342"/>
        <v>2935.0624048958034</v>
      </c>
      <c r="AY245" s="252">
        <f t="shared" si="342"/>
        <v>28914.900933754427</v>
      </c>
      <c r="AZ245" s="25">
        <f t="shared" ref="AZ245" si="343">SUM(AT234:AY245)-SUM(AM245:AR245)</f>
        <v>0</v>
      </c>
    </row>
    <row r="246" spans="31:59">
      <c r="AE246" s="165">
        <v>36251</v>
      </c>
      <c r="AF246" s="277">
        <v>1696628</v>
      </c>
      <c r="AG246" s="277">
        <v>733730</v>
      </c>
      <c r="AH246" s="277">
        <v>449408</v>
      </c>
      <c r="AI246" s="277">
        <v>99350</v>
      </c>
      <c r="AJ246" s="277">
        <v>286619</v>
      </c>
      <c r="AK246" s="277">
        <v>1906174</v>
      </c>
      <c r="AT246" s="252">
        <f t="shared" ref="AT246" si="344">AF246/SUM(AF246:AF257)*AM257</f>
        <v>16587.142792094724</v>
      </c>
      <c r="AU246" s="252">
        <f t="shared" ref="AU246:AY246" si="345">AG246/SUM(AG246:AG257)*AN257</f>
        <v>7951.1842911520398</v>
      </c>
      <c r="AV246" s="252">
        <f t="shared" si="345"/>
        <v>5387.0583167205496</v>
      </c>
      <c r="AW246" s="252">
        <f t="shared" si="345"/>
        <v>988.40625385830049</v>
      </c>
      <c r="AX246" s="252">
        <f t="shared" si="345"/>
        <v>2720.78081722563</v>
      </c>
      <c r="AY246" s="252">
        <f t="shared" si="345"/>
        <v>19746.387591348222</v>
      </c>
    </row>
    <row r="247" spans="31:59">
      <c r="AE247" s="165">
        <v>36281</v>
      </c>
      <c r="AF247" s="277">
        <v>1786210</v>
      </c>
      <c r="AG247" s="277">
        <v>718627</v>
      </c>
      <c r="AH247" s="277">
        <v>429064</v>
      </c>
      <c r="AI247" s="277">
        <v>98416</v>
      </c>
      <c r="AJ247" s="277">
        <v>278005</v>
      </c>
      <c r="AK247" s="277">
        <v>1698866</v>
      </c>
      <c r="AT247" s="252">
        <f t="shared" ref="AT247:AY247" si="346">AF247/SUM(AF246:AF257)*AM257</f>
        <v>17462.944338221176</v>
      </c>
      <c r="AU247" s="252">
        <f t="shared" si="346"/>
        <v>7787.5181791636114</v>
      </c>
      <c r="AV247" s="252">
        <f t="shared" si="346"/>
        <v>5143.1945795477286</v>
      </c>
      <c r="AW247" s="252">
        <f t="shared" si="346"/>
        <v>979.11414071181184</v>
      </c>
      <c r="AX247" s="252">
        <f t="shared" si="346"/>
        <v>2639.010920744302</v>
      </c>
      <c r="AY247" s="252">
        <f t="shared" si="346"/>
        <v>17598.848007455454</v>
      </c>
    </row>
    <row r="248" spans="31:59">
      <c r="AE248" s="165">
        <v>36312</v>
      </c>
      <c r="AF248" s="277">
        <v>1872279</v>
      </c>
      <c r="AG248" s="277">
        <v>736199</v>
      </c>
      <c r="AH248" s="277">
        <v>427746</v>
      </c>
      <c r="AI248" s="277">
        <v>95382</v>
      </c>
      <c r="AJ248" s="277">
        <v>277018</v>
      </c>
      <c r="AK248" s="277">
        <v>1716661</v>
      </c>
      <c r="AT248" s="252">
        <f t="shared" ref="AT248:AY248" si="347">AF248/SUM(AF246:AF257)*AM257</f>
        <v>18304.400917372765</v>
      </c>
      <c r="AU248" s="252">
        <f t="shared" si="347"/>
        <v>7977.9400105786053</v>
      </c>
      <c r="AV248" s="252">
        <f t="shared" si="347"/>
        <v>5127.3956999963248</v>
      </c>
      <c r="AW248" s="252">
        <f t="shared" si="347"/>
        <v>948.92969607964187</v>
      </c>
      <c r="AX248" s="252">
        <f t="shared" si="347"/>
        <v>2629.6416512031983</v>
      </c>
      <c r="AY248" s="252">
        <f t="shared" si="347"/>
        <v>17783.189503660964</v>
      </c>
    </row>
    <row r="249" spans="31:59">
      <c r="AE249" s="165">
        <v>36342</v>
      </c>
      <c r="AF249" s="277">
        <v>1958880</v>
      </c>
      <c r="AG249" s="277">
        <v>741205</v>
      </c>
      <c r="AH249" s="277">
        <v>425777</v>
      </c>
      <c r="AI249" s="277">
        <v>95368</v>
      </c>
      <c r="AJ249" s="277">
        <v>286635</v>
      </c>
      <c r="AK249" s="277">
        <v>1851736</v>
      </c>
      <c r="AT249" s="252">
        <f t="shared" ref="AT249:AY249" si="348">AF249/SUM(AF246:AF257)*AM257</f>
        <v>19151.05861307164</v>
      </c>
      <c r="AU249" s="252">
        <f t="shared" si="348"/>
        <v>8032.1883424738626</v>
      </c>
      <c r="AV249" s="252">
        <f t="shared" si="348"/>
        <v>5103.7932767514721</v>
      </c>
      <c r="AW249" s="252">
        <f t="shared" si="348"/>
        <v>948.79041386973734</v>
      </c>
      <c r="AX249" s="252">
        <f t="shared" si="348"/>
        <v>2720.9327000145431</v>
      </c>
      <c r="AY249" s="252">
        <f t="shared" si="348"/>
        <v>19182.454892812926</v>
      </c>
    </row>
    <row r="250" spans="31:59">
      <c r="AE250" s="165">
        <v>36373</v>
      </c>
      <c r="AF250" s="277">
        <v>1935415</v>
      </c>
      <c r="AG250" s="277">
        <v>753852</v>
      </c>
      <c r="AH250" s="277">
        <v>448890</v>
      </c>
      <c r="AI250" s="277">
        <v>93660</v>
      </c>
      <c r="AJ250" s="277">
        <v>305617</v>
      </c>
      <c r="AK250" s="277">
        <v>2014745</v>
      </c>
      <c r="AT250" s="252">
        <f t="shared" ref="AT250:AY250" si="349">AF250/SUM(AF246:AF257)*AM257</f>
        <v>18921.652222503701</v>
      </c>
      <c r="AU250" s="252">
        <f t="shared" si="349"/>
        <v>8169.2396116467189</v>
      </c>
      <c r="AV250" s="252">
        <f t="shared" si="349"/>
        <v>5380.8490453945797</v>
      </c>
      <c r="AW250" s="252">
        <f t="shared" si="349"/>
        <v>931.79798426138325</v>
      </c>
      <c r="AX250" s="252">
        <f t="shared" si="349"/>
        <v>2901.1226437118448</v>
      </c>
      <c r="AY250" s="252">
        <f t="shared" si="349"/>
        <v>20871.093440436642</v>
      </c>
    </row>
    <row r="251" spans="31:59">
      <c r="AE251" s="165">
        <v>36404</v>
      </c>
      <c r="AF251" s="277">
        <v>1889471</v>
      </c>
      <c r="AG251" s="277">
        <v>759113</v>
      </c>
      <c r="AH251" s="277">
        <v>467862</v>
      </c>
      <c r="AI251" s="277">
        <v>92383</v>
      </c>
      <c r="AJ251" s="277">
        <v>329318</v>
      </c>
      <c r="AK251" s="277">
        <v>2243017</v>
      </c>
      <c r="AT251" s="252">
        <f t="shared" ref="AT251:AY251" si="350">AF251/SUM(AF246:AF257)*AM257</f>
        <v>18472.479104743063</v>
      </c>
      <c r="AU251" s="252">
        <f t="shared" si="350"/>
        <v>8226.251292449946</v>
      </c>
      <c r="AV251" s="252">
        <f t="shared" si="350"/>
        <v>5608.2666044607786</v>
      </c>
      <c r="AW251" s="252">
        <f t="shared" si="350"/>
        <v>919.0934569722333</v>
      </c>
      <c r="AX251" s="252">
        <f t="shared" si="350"/>
        <v>3126.1085174643335</v>
      </c>
      <c r="AY251" s="252">
        <f t="shared" si="350"/>
        <v>23235.802742028332</v>
      </c>
    </row>
    <row r="252" spans="31:59">
      <c r="AE252" s="165">
        <v>36434</v>
      </c>
      <c r="AF252" s="277">
        <v>1853259</v>
      </c>
      <c r="AG252" s="277">
        <v>767344</v>
      </c>
      <c r="AH252" s="277">
        <v>470502</v>
      </c>
      <c r="AI252" s="277">
        <v>93199</v>
      </c>
      <c r="AJ252" s="277">
        <v>351532</v>
      </c>
      <c r="AK252" s="277">
        <v>2566576</v>
      </c>
      <c r="AT252" s="252">
        <f t="shared" ref="AT252:AY252" si="351">AF252/SUM(AF246:AF257)*AM257</f>
        <v>18118.45122427231</v>
      </c>
      <c r="AU252" s="252">
        <f t="shared" si="351"/>
        <v>8315.4478605342156</v>
      </c>
      <c r="AV252" s="252">
        <f t="shared" si="351"/>
        <v>5639.9123116047149</v>
      </c>
      <c r="AW252" s="252">
        <f t="shared" si="351"/>
        <v>927.21162006381212</v>
      </c>
      <c r="AX252" s="252">
        <f t="shared" si="351"/>
        <v>3336.9787845221708</v>
      </c>
      <c r="AY252" s="252">
        <f t="shared" si="351"/>
        <v>26587.606629117883</v>
      </c>
    </row>
    <row r="253" spans="31:59">
      <c r="AE253" s="165">
        <v>36465</v>
      </c>
      <c r="AF253" s="277">
        <v>1772419</v>
      </c>
      <c r="AG253" s="277">
        <v>749241</v>
      </c>
      <c r="AH253" s="277">
        <v>468461</v>
      </c>
      <c r="AI253" s="277">
        <v>88856</v>
      </c>
      <c r="AJ253" s="277">
        <v>348877</v>
      </c>
      <c r="AK253" s="277">
        <v>2723420</v>
      </c>
      <c r="AT253" s="252">
        <f t="shared" ref="AT253:AY253" si="352">AF253/SUM(AF246:AF257)*AM257</f>
        <v>17328.116145921053</v>
      </c>
      <c r="AU253" s="252">
        <f t="shared" si="352"/>
        <v>8119.2717613932164</v>
      </c>
      <c r="AV253" s="252">
        <f t="shared" si="352"/>
        <v>5615.4468236195726</v>
      </c>
      <c r="AW253" s="252">
        <f t="shared" si="352"/>
        <v>884.00428880556763</v>
      </c>
      <c r="AX253" s="252">
        <f t="shared" si="352"/>
        <v>3311.77573423683</v>
      </c>
      <c r="AY253" s="252">
        <f t="shared" si="352"/>
        <v>28212.380870806955</v>
      </c>
    </row>
    <row r="254" spans="31:59">
      <c r="AE254" s="165">
        <v>36495</v>
      </c>
      <c r="AF254" s="277">
        <v>1825937</v>
      </c>
      <c r="AG254" s="277">
        <v>753287</v>
      </c>
      <c r="AH254" s="277">
        <v>497225</v>
      </c>
      <c r="AI254" s="277">
        <v>89580</v>
      </c>
      <c r="AJ254" s="277">
        <v>358042</v>
      </c>
      <c r="AK254" s="277">
        <v>2975365</v>
      </c>
      <c r="AT254" s="252">
        <f t="shared" ref="AT254:AY254" si="353">AF254/SUM(AF246:AF257)*AM257</f>
        <v>17851.336738736522</v>
      </c>
      <c r="AU254" s="252">
        <f t="shared" si="353"/>
        <v>8163.1168973996519</v>
      </c>
      <c r="AV254" s="252">
        <f t="shared" si="353"/>
        <v>5960.2411873651008</v>
      </c>
      <c r="AW254" s="252">
        <f t="shared" si="353"/>
        <v>891.20716880348823</v>
      </c>
      <c r="AX254" s="252">
        <f t="shared" si="353"/>
        <v>3398.7760942613672</v>
      </c>
      <c r="AY254" s="252">
        <f t="shared" si="353"/>
        <v>30822.322891683449</v>
      </c>
      <c r="BA254" s="252">
        <f t="shared" ref="BA254" si="354">SUM(AT243:AT254)</f>
        <v>204240.60731440075</v>
      </c>
      <c r="BB254" s="252">
        <f t="shared" ref="BB254:BF254" si="355">SUM(AU243:AU254)</f>
        <v>94950.7520816014</v>
      </c>
      <c r="BC254" s="252">
        <f t="shared" si="355"/>
        <v>66642.790227220277</v>
      </c>
      <c r="BD254" s="252">
        <f t="shared" si="355"/>
        <v>11176.625507601822</v>
      </c>
      <c r="BE254" s="252">
        <f t="shared" si="355"/>
        <v>35129.718302289686</v>
      </c>
      <c r="BF254" s="252">
        <f t="shared" si="355"/>
        <v>284100.56514547463</v>
      </c>
      <c r="BG254" s="252">
        <f t="shared" ref="BG254" si="356">SUM(BA254:BF254)</f>
        <v>696241.05857858853</v>
      </c>
    </row>
    <row r="255" spans="31:59">
      <c r="AE255" s="165">
        <v>36526</v>
      </c>
      <c r="AF255" s="277">
        <v>1416283</v>
      </c>
      <c r="AG255" s="277">
        <v>585143</v>
      </c>
      <c r="AH255" s="277">
        <v>379837</v>
      </c>
      <c r="AI255" s="277">
        <v>70633</v>
      </c>
      <c r="AJ255" s="277">
        <v>266436</v>
      </c>
      <c r="AK255" s="277">
        <v>2170733</v>
      </c>
      <c r="AT255" s="252">
        <f t="shared" ref="AT255:AY255" si="357">AF255/SUM(AF246:AF257)*AM257</f>
        <v>13846.340125835653</v>
      </c>
      <c r="AU255" s="252">
        <f t="shared" si="357"/>
        <v>6340.9971374723364</v>
      </c>
      <c r="AV255" s="252">
        <f t="shared" si="357"/>
        <v>4553.110024405848</v>
      </c>
      <c r="AW255" s="252">
        <f t="shared" si="357"/>
        <v>702.70859515624909</v>
      </c>
      <c r="AX255" s="252">
        <f t="shared" si="357"/>
        <v>2529.1901716855054</v>
      </c>
      <c r="AY255" s="252">
        <f t="shared" si="357"/>
        <v>22487.00022942822</v>
      </c>
    </row>
    <row r="256" spans="31:59">
      <c r="AE256" s="165">
        <v>36557</v>
      </c>
      <c r="AF256" s="277">
        <v>1526211</v>
      </c>
      <c r="AG256" s="277">
        <v>643330</v>
      </c>
      <c r="AH256" s="277">
        <v>429398</v>
      </c>
      <c r="AI256" s="277">
        <v>75460</v>
      </c>
      <c r="AJ256" s="277">
        <v>274682</v>
      </c>
      <c r="AK256" s="277">
        <v>2119808</v>
      </c>
      <c r="AT256" s="252">
        <f t="shared" ref="AT256:AY256" si="358">AF256/SUM(AF246:AF257)*AM257</f>
        <v>14921.055050291332</v>
      </c>
      <c r="AU256" s="252">
        <f t="shared" si="358"/>
        <v>6971.5500116212252</v>
      </c>
      <c r="AV256" s="252">
        <f t="shared" si="358"/>
        <v>5147.1982409818474</v>
      </c>
      <c r="AW256" s="252">
        <f t="shared" si="358"/>
        <v>750.73111138547915</v>
      </c>
      <c r="AX256" s="252">
        <f t="shared" si="358"/>
        <v>2607.4667640218213</v>
      </c>
      <c r="AY256" s="252">
        <f t="shared" si="358"/>
        <v>21959.459308143272</v>
      </c>
    </row>
    <row r="257" spans="31:59">
      <c r="AE257" s="165">
        <v>36586</v>
      </c>
      <c r="AF257" s="277">
        <v>1664498</v>
      </c>
      <c r="AG257" s="277">
        <v>719806</v>
      </c>
      <c r="AH257" s="277">
        <v>492244</v>
      </c>
      <c r="AI257" s="277">
        <v>84936</v>
      </c>
      <c r="AJ257" s="277">
        <v>295303</v>
      </c>
      <c r="AK257" s="277">
        <v>2456900</v>
      </c>
      <c r="AM257" s="277">
        <v>207238</v>
      </c>
      <c r="AN257" s="277">
        <v>93855</v>
      </c>
      <c r="AO257" s="277">
        <v>64567</v>
      </c>
      <c r="AP257" s="277">
        <v>10717</v>
      </c>
      <c r="AQ257" s="277">
        <v>34725</v>
      </c>
      <c r="AR257" s="277">
        <v>273938</v>
      </c>
      <c r="AT257" s="252">
        <f t="shared" ref="AT257:AY257" si="359">AF257/SUM(AF246:AF257)*AM257</f>
        <v>16273.022726936066</v>
      </c>
      <c r="AU257" s="252">
        <f t="shared" si="359"/>
        <v>7800.2946041145715</v>
      </c>
      <c r="AV257" s="252">
        <f t="shared" si="359"/>
        <v>5900.5338891514839</v>
      </c>
      <c r="AW257" s="252">
        <f t="shared" si="359"/>
        <v>845.00527003229604</v>
      </c>
      <c r="AX257" s="252">
        <f t="shared" si="359"/>
        <v>2803.2152009084534</v>
      </c>
      <c r="AY257" s="252">
        <f t="shared" si="359"/>
        <v>25451.453893077676</v>
      </c>
      <c r="AZ257" s="25">
        <f t="shared" ref="AZ257" si="360">SUM(AT246:AY257)-SUM(AM257:AR257)</f>
        <v>0</v>
      </c>
    </row>
    <row r="258" spans="31:59">
      <c r="AE258" s="165">
        <v>36617</v>
      </c>
      <c r="AF258" s="277">
        <v>1710387</v>
      </c>
      <c r="AG258" s="277">
        <v>703413</v>
      </c>
      <c r="AH258" s="277">
        <v>445032</v>
      </c>
      <c r="AI258" s="277">
        <v>89489</v>
      </c>
      <c r="AJ258" s="277">
        <v>264553</v>
      </c>
      <c r="AK258" s="277">
        <v>1732915</v>
      </c>
      <c r="AT258" s="252">
        <f t="shared" ref="AT258" si="361">AF258/SUM(AF258:AF269)*AM269</f>
        <v>16698.700279156557</v>
      </c>
      <c r="AU258" s="252">
        <f t="shared" ref="AU258:AY258" si="362">AG258/SUM(AG258:AG269)*AN269</f>
        <v>7400.2844367537982</v>
      </c>
      <c r="AV258" s="252">
        <f t="shared" si="362"/>
        <v>4663.0881075777816</v>
      </c>
      <c r="AW258" s="252">
        <f t="shared" si="362"/>
        <v>903.22041199163232</v>
      </c>
      <c r="AX258" s="252">
        <f t="shared" si="362"/>
        <v>2461.1958794521829</v>
      </c>
      <c r="AY258" s="252">
        <f t="shared" si="362"/>
        <v>17186.503681180515</v>
      </c>
    </row>
    <row r="259" spans="31:59">
      <c r="AE259" s="165">
        <v>36647</v>
      </c>
      <c r="AF259" s="277">
        <v>1677137</v>
      </c>
      <c r="AG259" s="277">
        <v>704600</v>
      </c>
      <c r="AH259" s="277">
        <v>482582</v>
      </c>
      <c r="AI259" s="277">
        <v>85534</v>
      </c>
      <c r="AJ259" s="277">
        <v>241580</v>
      </c>
      <c r="AK259" s="277">
        <v>1598631</v>
      </c>
      <c r="AT259" s="252">
        <f t="shared" ref="AT259:AY259" si="363">AF259/SUM(AF258:AF269)*AM269</f>
        <v>16374.076796703781</v>
      </c>
      <c r="AU259" s="252">
        <f t="shared" si="363"/>
        <v>7412.7723174532257</v>
      </c>
      <c r="AV259" s="252">
        <f t="shared" si="363"/>
        <v>5056.5406198455412</v>
      </c>
      <c r="AW259" s="252">
        <f t="shared" si="363"/>
        <v>863.30224630169369</v>
      </c>
      <c r="AX259" s="252">
        <f t="shared" si="363"/>
        <v>2247.4729092395787</v>
      </c>
      <c r="AY259" s="252">
        <f t="shared" si="363"/>
        <v>15854.717378722722</v>
      </c>
    </row>
    <row r="260" spans="31:59">
      <c r="AE260" s="165">
        <v>36678</v>
      </c>
      <c r="AF260" s="277">
        <v>1716139</v>
      </c>
      <c r="AG260" s="277">
        <v>745913</v>
      </c>
      <c r="AH260" s="277">
        <v>516375</v>
      </c>
      <c r="AI260" s="277">
        <v>81896</v>
      </c>
      <c r="AJ260" s="277">
        <v>239005</v>
      </c>
      <c r="AK260" s="277">
        <v>1610599</v>
      </c>
      <c r="AT260" s="252">
        <f t="shared" ref="AT260:AY260" si="364">AF260/SUM(AF258:AF269)*AM269</f>
        <v>16754.857700842826</v>
      </c>
      <c r="AU260" s="252">
        <f t="shared" si="364"/>
        <v>7847.4073767080426</v>
      </c>
      <c r="AV260" s="252">
        <f t="shared" si="364"/>
        <v>5410.6269246941283</v>
      </c>
      <c r="AW260" s="252">
        <f t="shared" si="364"/>
        <v>826.5835897201523</v>
      </c>
      <c r="AX260" s="252">
        <f t="shared" si="364"/>
        <v>2223.517106849928</v>
      </c>
      <c r="AY260" s="252">
        <f t="shared" si="364"/>
        <v>15973.412222991697</v>
      </c>
    </row>
    <row r="261" spans="31:59">
      <c r="AE261" s="165">
        <v>36708</v>
      </c>
      <c r="AF261" s="277">
        <v>1789031</v>
      </c>
      <c r="AG261" s="277">
        <v>796514</v>
      </c>
      <c r="AH261" s="277">
        <v>516428</v>
      </c>
      <c r="AI261" s="277">
        <v>81557</v>
      </c>
      <c r="AJ261" s="277">
        <v>247914</v>
      </c>
      <c r="AK261" s="277">
        <v>1746097</v>
      </c>
      <c r="AT261" s="252">
        <f t="shared" ref="AT261:AY261" si="365">AF261/SUM(AF258:AF269)*AM269</f>
        <v>17466.510479277342</v>
      </c>
      <c r="AU261" s="252">
        <f t="shared" si="365"/>
        <v>8379.7572092874507</v>
      </c>
      <c r="AV261" s="252">
        <f t="shared" si="365"/>
        <v>5411.182263792668</v>
      </c>
      <c r="AW261" s="252">
        <f t="shared" si="365"/>
        <v>823.16203266101468</v>
      </c>
      <c r="AX261" s="252">
        <f t="shared" si="365"/>
        <v>2306.399531506006</v>
      </c>
      <c r="AY261" s="252">
        <f t="shared" si="365"/>
        <v>17317.238594044287</v>
      </c>
    </row>
    <row r="262" spans="31:59">
      <c r="AE262" s="165">
        <v>36739</v>
      </c>
      <c r="AF262" s="277">
        <v>1827311</v>
      </c>
      <c r="AG262" s="277">
        <v>827274</v>
      </c>
      <c r="AH262" s="277">
        <v>508697</v>
      </c>
      <c r="AI262" s="277">
        <v>81337</v>
      </c>
      <c r="AJ262" s="277">
        <v>265691</v>
      </c>
      <c r="AK262" s="277">
        <v>1895058</v>
      </c>
      <c r="AT262" s="252">
        <f t="shared" ref="AT262:AY262" si="366">AF262/SUM(AF258:AF269)*AM269</f>
        <v>17840.242416368837</v>
      </c>
      <c r="AU262" s="252">
        <f t="shared" si="366"/>
        <v>8703.3690124166897</v>
      </c>
      <c r="AV262" s="252">
        <f t="shared" si="366"/>
        <v>5330.1761020791646</v>
      </c>
      <c r="AW262" s="252">
        <f t="shared" si="366"/>
        <v>820.94155315360979</v>
      </c>
      <c r="AX262" s="252">
        <f t="shared" si="366"/>
        <v>2471.7829486247742</v>
      </c>
      <c r="AY262" s="252">
        <f t="shared" si="366"/>
        <v>18794.58674721529</v>
      </c>
    </row>
    <row r="263" spans="31:59">
      <c r="AE263" s="165">
        <v>36770</v>
      </c>
      <c r="AF263" s="277">
        <v>1842461</v>
      </c>
      <c r="AG263" s="277">
        <v>834568</v>
      </c>
      <c r="AH263" s="277">
        <v>538349</v>
      </c>
      <c r="AI263" s="277">
        <v>82399</v>
      </c>
      <c r="AJ263" s="277">
        <v>279222</v>
      </c>
      <c r="AK263" s="277">
        <v>2164934</v>
      </c>
      <c r="AT263" s="252">
        <f t="shared" ref="AT263:AY263" si="367">AF263/SUM(AF258:AF269)*AM269</f>
        <v>17988.153567020254</v>
      </c>
      <c r="AU263" s="252">
        <f t="shared" si="367"/>
        <v>8780.1058294526028</v>
      </c>
      <c r="AV263" s="252">
        <f t="shared" si="367"/>
        <v>5640.872610568209</v>
      </c>
      <c r="AW263" s="252">
        <f t="shared" si="367"/>
        <v>831.66041332117356</v>
      </c>
      <c r="AX263" s="252">
        <f t="shared" si="367"/>
        <v>2597.664875667248</v>
      </c>
      <c r="AY263" s="252">
        <f t="shared" si="367"/>
        <v>21471.131683038613</v>
      </c>
    </row>
    <row r="264" spans="31:59">
      <c r="AE264" s="165">
        <v>36800</v>
      </c>
      <c r="AF264" s="277">
        <v>1860958</v>
      </c>
      <c r="AG264" s="277">
        <v>827960</v>
      </c>
      <c r="AH264" s="277">
        <v>526678</v>
      </c>
      <c r="AI264" s="277">
        <v>82625</v>
      </c>
      <c r="AJ264" s="277">
        <v>297497</v>
      </c>
      <c r="AK264" s="277">
        <v>2404322</v>
      </c>
      <c r="AT264" s="252">
        <f t="shared" ref="AT264:AY264" si="368">AF264/SUM(AF258:AF269)*AM269</f>
        <v>18168.741854386539</v>
      </c>
      <c r="AU264" s="252">
        <f t="shared" si="368"/>
        <v>8710.5861026945386</v>
      </c>
      <c r="AV264" s="252">
        <f t="shared" si="368"/>
        <v>5518.5827498311373</v>
      </c>
      <c r="AW264" s="252">
        <f t="shared" si="368"/>
        <v>833.94145136059853</v>
      </c>
      <c r="AX264" s="252">
        <f t="shared" si="368"/>
        <v>2767.6812984520534</v>
      </c>
      <c r="AY264" s="252">
        <f t="shared" si="368"/>
        <v>23845.30626357513</v>
      </c>
    </row>
    <row r="265" spans="31:59">
      <c r="AE265" s="165">
        <v>36831</v>
      </c>
      <c r="AF265" s="277">
        <v>1833047</v>
      </c>
      <c r="AG265" s="277">
        <v>785726</v>
      </c>
      <c r="AH265" s="277">
        <v>527858</v>
      </c>
      <c r="AI265" s="277">
        <v>81761</v>
      </c>
      <c r="AJ265" s="277">
        <v>306492</v>
      </c>
      <c r="AK265" s="277">
        <v>2593479</v>
      </c>
      <c r="AT265" s="252">
        <f t="shared" ref="AT265:AY265" si="369">AF265/SUM(AF258:AF269)*AM269</f>
        <v>17896.243628259039</v>
      </c>
      <c r="AU265" s="252">
        <f t="shared" si="369"/>
        <v>8266.2616263174168</v>
      </c>
      <c r="AV265" s="252">
        <f t="shared" si="369"/>
        <v>5530.9469033458099</v>
      </c>
      <c r="AW265" s="252">
        <f t="shared" si="369"/>
        <v>825.22102274969927</v>
      </c>
      <c r="AX265" s="252">
        <f t="shared" si="369"/>
        <v>2851.3638003918245</v>
      </c>
      <c r="AY265" s="252">
        <f t="shared" si="369"/>
        <v>25721.305650054594</v>
      </c>
    </row>
    <row r="266" spans="31:59">
      <c r="AE266" s="165">
        <v>36861</v>
      </c>
      <c r="AF266" s="277">
        <v>1880992</v>
      </c>
      <c r="AG266" s="277">
        <v>761376</v>
      </c>
      <c r="AH266" s="277">
        <v>571962</v>
      </c>
      <c r="AI266" s="277">
        <v>81900</v>
      </c>
      <c r="AJ266" s="277">
        <v>316726</v>
      </c>
      <c r="AK266" s="277">
        <v>2857506</v>
      </c>
      <c r="AT266" s="252">
        <f t="shared" ref="AT266:AY266" si="370">AF266/SUM(AF258:AF269)*AM269</f>
        <v>18364.336045287557</v>
      </c>
      <c r="AU266" s="252">
        <f t="shared" si="370"/>
        <v>8010.0864830730434</v>
      </c>
      <c r="AV266" s="252">
        <f t="shared" si="370"/>
        <v>5993.072858100998</v>
      </c>
      <c r="AW266" s="252">
        <f t="shared" si="370"/>
        <v>826.62396207483243</v>
      </c>
      <c r="AX266" s="252">
        <f t="shared" si="370"/>
        <v>2946.5729971513156</v>
      </c>
      <c r="AY266" s="252">
        <f t="shared" si="370"/>
        <v>28339.842051107764</v>
      </c>
      <c r="BA266" s="252">
        <f t="shared" ref="BA266" si="371">SUM(AT255:AT266)</f>
        <v>202592.28067036578</v>
      </c>
      <c r="BB266" s="252">
        <f t="shared" ref="BB266:BF266" si="372">SUM(AU255:AU266)</f>
        <v>94623.472147364926</v>
      </c>
      <c r="BC266" s="252">
        <f t="shared" si="372"/>
        <v>64155.931294374619</v>
      </c>
      <c r="BD266" s="252">
        <f t="shared" si="372"/>
        <v>9853.1016599084323</v>
      </c>
      <c r="BE266" s="252">
        <f t="shared" si="372"/>
        <v>30813.523483950696</v>
      </c>
      <c r="BF266" s="252">
        <f t="shared" si="372"/>
        <v>254401.95770257979</v>
      </c>
      <c r="BG266" s="252">
        <f t="shared" ref="BG266" si="373">SUM(BA266:BF266)</f>
        <v>656440.26695854426</v>
      </c>
    </row>
    <row r="267" spans="31:59">
      <c r="AE267" s="165">
        <v>36892</v>
      </c>
      <c r="AF267" s="277">
        <v>1462277</v>
      </c>
      <c r="AG267" s="277">
        <v>586535</v>
      </c>
      <c r="AH267" s="277">
        <v>450985</v>
      </c>
      <c r="AI267" s="277">
        <v>65278</v>
      </c>
      <c r="AJ267" s="277">
        <v>253987</v>
      </c>
      <c r="AK267" s="277">
        <v>2318632</v>
      </c>
      <c r="AT267" s="252">
        <f t="shared" ref="AT267:AY267" si="374">AF267/SUM(AF258:AF269)*AM269</f>
        <v>14276.374497762326</v>
      </c>
      <c r="AU267" s="252">
        <f t="shared" si="374"/>
        <v>6170.6647902603281</v>
      </c>
      <c r="AV267" s="252">
        <f t="shared" si="374"/>
        <v>4725.464214249685</v>
      </c>
      <c r="AW267" s="252">
        <f t="shared" si="374"/>
        <v>658.85664220172043</v>
      </c>
      <c r="AX267" s="252">
        <f t="shared" si="374"/>
        <v>2362.8980122486669</v>
      </c>
      <c r="AY267" s="252">
        <f t="shared" si="374"/>
        <v>22995.45990617136</v>
      </c>
    </row>
    <row r="268" spans="31:59">
      <c r="AE268" s="165">
        <v>36923</v>
      </c>
      <c r="AF268" s="277">
        <v>1540146</v>
      </c>
      <c r="AG268" s="277">
        <v>632600</v>
      </c>
      <c r="AH268" s="277">
        <v>521167</v>
      </c>
      <c r="AI268" s="277">
        <v>70872</v>
      </c>
      <c r="AJ268" s="277">
        <v>266692</v>
      </c>
      <c r="AK268" s="277">
        <v>2399516</v>
      </c>
      <c r="AT268" s="252">
        <f t="shared" ref="AT268:AY268" si="375">AF268/SUM(AF258:AF269)*AM269</f>
        <v>15036.618285886092</v>
      </c>
      <c r="AU268" s="252">
        <f t="shared" si="375"/>
        <v>6655.2934544719128</v>
      </c>
      <c r="AV268" s="252">
        <f t="shared" si="375"/>
        <v>5460.8379616791372</v>
      </c>
      <c r="AW268" s="252">
        <f t="shared" si="375"/>
        <v>715.3173802218256</v>
      </c>
      <c r="AX268" s="252">
        <f t="shared" si="375"/>
        <v>2481.0954760779941</v>
      </c>
      <c r="AY268" s="252">
        <f t="shared" si="375"/>
        <v>23797.641873404955</v>
      </c>
    </row>
    <row r="269" spans="31:59">
      <c r="AE269" s="165">
        <v>36951</v>
      </c>
      <c r="AF269" s="277">
        <v>1627672</v>
      </c>
      <c r="AG269" s="277">
        <v>674149</v>
      </c>
      <c r="AH269" s="277">
        <v>708202</v>
      </c>
      <c r="AI269" s="277">
        <v>78090</v>
      </c>
      <c r="AJ269" s="277">
        <v>276179</v>
      </c>
      <c r="AK269" s="277">
        <v>2853474</v>
      </c>
      <c r="AM269" s="277">
        <v>202756</v>
      </c>
      <c r="AN269" s="277">
        <v>93429</v>
      </c>
      <c r="AO269" s="277">
        <v>66162</v>
      </c>
      <c r="AP269" s="277">
        <v>9717</v>
      </c>
      <c r="AQ269" s="277">
        <v>30287</v>
      </c>
      <c r="AR269" s="277">
        <v>259597</v>
      </c>
      <c r="AT269" s="252">
        <f t="shared" ref="AT269:AY269" si="376">AF269/SUM(AF258:AF269)*AM269</f>
        <v>15891.144449048848</v>
      </c>
      <c r="AU269" s="252">
        <f t="shared" si="376"/>
        <v>7092.4113611109478</v>
      </c>
      <c r="AV269" s="252">
        <f t="shared" si="376"/>
        <v>7420.6086842357408</v>
      </c>
      <c r="AW269" s="252">
        <f t="shared" si="376"/>
        <v>788.16929424204716</v>
      </c>
      <c r="AX269" s="252">
        <f t="shared" si="376"/>
        <v>2569.3551643384289</v>
      </c>
      <c r="AY269" s="252">
        <f t="shared" si="376"/>
        <v>28299.853948493081</v>
      </c>
      <c r="AZ269" s="25">
        <f t="shared" ref="AZ269" si="377">SUM(AT258:AY269)-SUM(AM269:AR269)</f>
        <v>0</v>
      </c>
    </row>
    <row r="270" spans="31:59">
      <c r="AE270" s="165">
        <v>36982</v>
      </c>
      <c r="AF270" s="277">
        <v>1592223</v>
      </c>
      <c r="AG270" s="277">
        <v>638875</v>
      </c>
      <c r="AH270" s="277">
        <v>494043</v>
      </c>
      <c r="AI270" s="277">
        <v>80378</v>
      </c>
      <c r="AJ270" s="277">
        <v>243409</v>
      </c>
      <c r="AK270" s="277">
        <v>1944359</v>
      </c>
      <c r="AT270" s="252">
        <f t="shared" ref="AT270" si="378">AF270/SUM(AF270:AF281)*AM281</f>
        <v>15636.690830909551</v>
      </c>
      <c r="AU270" s="252">
        <f t="shared" ref="AU270:AY270" si="379">AG270/SUM(AG270:AG281)*AN281</f>
        <v>7050.017324509221</v>
      </c>
      <c r="AV270" s="252">
        <f t="shared" si="379"/>
        <v>4546.7864977029367</v>
      </c>
      <c r="AW270" s="252">
        <f t="shared" si="379"/>
        <v>799.6622728546713</v>
      </c>
      <c r="AX270" s="252">
        <f t="shared" si="379"/>
        <v>2015.027888126318</v>
      </c>
      <c r="AY270" s="252">
        <f t="shared" si="379"/>
        <v>18983.58866603663</v>
      </c>
    </row>
    <row r="271" spans="31:59">
      <c r="AE271" s="165">
        <v>37012</v>
      </c>
      <c r="AF271" s="277">
        <v>1573581</v>
      </c>
      <c r="AG271" s="277">
        <v>632045</v>
      </c>
      <c r="AH271" s="277">
        <v>459181</v>
      </c>
      <c r="AI271" s="277">
        <v>79099</v>
      </c>
      <c r="AJ271" s="277">
        <v>228694</v>
      </c>
      <c r="AK271" s="277">
        <v>1365303</v>
      </c>
      <c r="AT271" s="252">
        <f t="shared" ref="AT271:AY271" si="380">AF271/SUM(AF270:AF281)*AM281</f>
        <v>15453.613968893478</v>
      </c>
      <c r="AU271" s="252">
        <f t="shared" si="380"/>
        <v>6974.6479356203181</v>
      </c>
      <c r="AV271" s="252">
        <f t="shared" si="380"/>
        <v>4225.9438364711814</v>
      </c>
      <c r="AW271" s="252">
        <f t="shared" si="380"/>
        <v>786.93779542327059</v>
      </c>
      <c r="AX271" s="252">
        <f t="shared" si="380"/>
        <v>1893.211786939514</v>
      </c>
      <c r="AY271" s="252">
        <f t="shared" si="380"/>
        <v>13330.023188364808</v>
      </c>
    </row>
    <row r="272" spans="31:59">
      <c r="AE272" s="165">
        <v>37043</v>
      </c>
      <c r="AF272" s="277">
        <v>1601588</v>
      </c>
      <c r="AG272" s="277">
        <v>645631</v>
      </c>
      <c r="AH272" s="277">
        <v>486912</v>
      </c>
      <c r="AI272" s="277">
        <v>80258</v>
      </c>
      <c r="AJ272" s="277">
        <v>232408</v>
      </c>
      <c r="AK272" s="277">
        <v>1492491</v>
      </c>
      <c r="AT272" s="252">
        <f t="shared" ref="AT272:AY272" si="381">AF272/SUM(AF270:AF281)*AM281</f>
        <v>15728.661371236794</v>
      </c>
      <c r="AU272" s="252">
        <f t="shared" si="381"/>
        <v>7124.5701197264134</v>
      </c>
      <c r="AV272" s="252">
        <f t="shared" si="381"/>
        <v>4481.158334739147</v>
      </c>
      <c r="AW272" s="252">
        <f t="shared" si="381"/>
        <v>798.46842039824583</v>
      </c>
      <c r="AX272" s="252">
        <f t="shared" si="381"/>
        <v>1923.9576245071519</v>
      </c>
      <c r="AY272" s="252">
        <f t="shared" si="381"/>
        <v>14571.812731991198</v>
      </c>
    </row>
    <row r="273" spans="31:59">
      <c r="AE273" s="165">
        <v>37073</v>
      </c>
      <c r="AF273" s="277">
        <v>1645292</v>
      </c>
      <c r="AG273" s="277">
        <v>662056</v>
      </c>
      <c r="AH273" s="277">
        <v>512972</v>
      </c>
      <c r="AI273" s="277">
        <v>81074</v>
      </c>
      <c r="AJ273" s="277">
        <v>242858</v>
      </c>
      <c r="AK273" s="277">
        <v>1665723</v>
      </c>
      <c r="AT273" s="252">
        <f t="shared" ref="AT273:AY273" si="382">AF273/SUM(AF270:AF281)*AM281</f>
        <v>16157.863773208172</v>
      </c>
      <c r="AU273" s="252">
        <f t="shared" si="382"/>
        <v>7305.8208096971657</v>
      </c>
      <c r="AV273" s="252">
        <f t="shared" si="382"/>
        <v>4720.9942521190887</v>
      </c>
      <c r="AW273" s="252">
        <f t="shared" si="382"/>
        <v>806.5866171019386</v>
      </c>
      <c r="AX273" s="252">
        <f t="shared" si="382"/>
        <v>2010.4665105011784</v>
      </c>
      <c r="AY273" s="252">
        <f t="shared" si="382"/>
        <v>16263.149070493942</v>
      </c>
    </row>
    <row r="274" spans="31:59">
      <c r="AE274" s="165">
        <v>37104</v>
      </c>
      <c r="AF274" s="277">
        <v>1673760</v>
      </c>
      <c r="AG274" s="277">
        <v>681927</v>
      </c>
      <c r="AH274" s="277">
        <v>506507</v>
      </c>
      <c r="AI274" s="277">
        <v>82917</v>
      </c>
      <c r="AJ274" s="277">
        <v>258505</v>
      </c>
      <c r="AK274" s="277">
        <v>1888171</v>
      </c>
      <c r="AT274" s="252">
        <f t="shared" ref="AT274:AY274" si="383">AF274/SUM(AF270:AF281)*AM281</f>
        <v>16437.438502736844</v>
      </c>
      <c r="AU274" s="252">
        <f t="shared" si="383"/>
        <v>7525.0982806505181</v>
      </c>
      <c r="AV274" s="252">
        <f t="shared" si="383"/>
        <v>4661.4954337821227</v>
      </c>
      <c r="AW274" s="252">
        <f t="shared" si="383"/>
        <v>824.92220107853859</v>
      </c>
      <c r="AX274" s="252">
        <f t="shared" si="383"/>
        <v>2139.9980453479279</v>
      </c>
      <c r="AY274" s="252">
        <f t="shared" si="383"/>
        <v>18435.001764149034</v>
      </c>
    </row>
    <row r="275" spans="31:59">
      <c r="AE275" s="165">
        <v>37135</v>
      </c>
      <c r="AF275" s="277">
        <v>1673938</v>
      </c>
      <c r="AG275" s="277">
        <v>693229</v>
      </c>
      <c r="AH275" s="277">
        <v>595410</v>
      </c>
      <c r="AI275" s="277">
        <v>87031</v>
      </c>
      <c r="AJ275" s="277">
        <v>288600</v>
      </c>
      <c r="AK275" s="277">
        <v>2144614</v>
      </c>
      <c r="AT275" s="252">
        <f t="shared" ref="AT275:AY275" si="384">AF275/SUM(AF270:AF281)*AM281</f>
        <v>16439.186581346377</v>
      </c>
      <c r="AU275" s="252">
        <f t="shared" si="384"/>
        <v>7649.8164114297833</v>
      </c>
      <c r="AV275" s="252">
        <f t="shared" si="384"/>
        <v>5479.689315701884</v>
      </c>
      <c r="AW275" s="252">
        <f t="shared" si="384"/>
        <v>865.85144279298925</v>
      </c>
      <c r="AX275" s="252">
        <f t="shared" si="384"/>
        <v>2389.1353586484288</v>
      </c>
      <c r="AY275" s="252">
        <f t="shared" si="384"/>
        <v>20938.761835352154</v>
      </c>
    </row>
    <row r="276" spans="31:59">
      <c r="AE276" s="165">
        <v>37165</v>
      </c>
      <c r="AF276" s="277">
        <v>1672238</v>
      </c>
      <c r="AG276" s="277">
        <v>701925</v>
      </c>
      <c r="AH276" s="277">
        <v>550279</v>
      </c>
      <c r="AI276" s="277">
        <v>85917</v>
      </c>
      <c r="AJ276" s="277">
        <v>314822</v>
      </c>
      <c r="AK276" s="277">
        <v>2391676</v>
      </c>
      <c r="AT276" s="252">
        <f t="shared" ref="AT276:AY276" si="385">AF276/SUM(AF270:AF281)*AM281</f>
        <v>16422.491448558729</v>
      </c>
      <c r="AU276" s="252">
        <f t="shared" si="385"/>
        <v>7745.7772029053185</v>
      </c>
      <c r="AV276" s="252">
        <f t="shared" si="385"/>
        <v>5064.3387866430139</v>
      </c>
      <c r="AW276" s="252">
        <f t="shared" si="385"/>
        <v>854.76851248917353</v>
      </c>
      <c r="AX276" s="252">
        <f t="shared" si="385"/>
        <v>2606.2105747762148</v>
      </c>
      <c r="AY276" s="252">
        <f t="shared" si="385"/>
        <v>23350.931287088351</v>
      </c>
    </row>
    <row r="277" spans="31:59">
      <c r="AE277" s="165">
        <v>37196</v>
      </c>
      <c r="AF277" s="277">
        <v>1653540</v>
      </c>
      <c r="AG277" s="277">
        <v>692158</v>
      </c>
      <c r="AH277" s="277">
        <v>538965</v>
      </c>
      <c r="AI277" s="277">
        <v>82890</v>
      </c>
      <c r="AJ277" s="277">
        <v>317608</v>
      </c>
      <c r="AK277" s="277">
        <v>2529551</v>
      </c>
      <c r="AT277" s="252">
        <f t="shared" ref="AT277:AY277" si="386">AF277/SUM(AF270:AF281)*AM281</f>
        <v>16238.864629227299</v>
      </c>
      <c r="AU277" s="252">
        <f t="shared" si="386"/>
        <v>7637.997873289225</v>
      </c>
      <c r="AV277" s="252">
        <f t="shared" si="386"/>
        <v>4960.2135537482836</v>
      </c>
      <c r="AW277" s="252">
        <f t="shared" si="386"/>
        <v>824.65358427584283</v>
      </c>
      <c r="AX277" s="252">
        <f t="shared" si="386"/>
        <v>2629.274092133091</v>
      </c>
      <c r="AY277" s="252">
        <f t="shared" si="386"/>
        <v>24697.062473422666</v>
      </c>
    </row>
    <row r="278" spans="31:59">
      <c r="AE278" s="165">
        <v>37226</v>
      </c>
      <c r="AF278" s="277">
        <v>1692287</v>
      </c>
      <c r="AG278" s="277">
        <v>692941</v>
      </c>
      <c r="AH278" s="277">
        <v>615443</v>
      </c>
      <c r="AI278" s="277">
        <v>80741</v>
      </c>
      <c r="AJ278" s="277">
        <v>320469</v>
      </c>
      <c r="AK278" s="277">
        <v>2740701</v>
      </c>
      <c r="AT278" s="252">
        <f t="shared" ref="AT278:AY278" si="387">AF278/SUM(AF270:AF281)*AM281</f>
        <v>16619.385988123162</v>
      </c>
      <c r="AU278" s="252">
        <f t="shared" si="387"/>
        <v>7646.6383171398857</v>
      </c>
      <c r="AV278" s="252">
        <f t="shared" si="387"/>
        <v>5664.0574251751132</v>
      </c>
      <c r="AW278" s="252">
        <f t="shared" si="387"/>
        <v>803.27367653535805</v>
      </c>
      <c r="AX278" s="252">
        <f t="shared" si="387"/>
        <v>2652.9584866621735</v>
      </c>
      <c r="AY278" s="252">
        <f t="shared" si="387"/>
        <v>26758.608076283883</v>
      </c>
      <c r="BA278" s="252">
        <f t="shared" ref="BA278" si="388">SUM(AT267:AT278)</f>
        <v>190338.33432693765</v>
      </c>
      <c r="BB278" s="252">
        <f t="shared" ref="BB278:BF278" si="389">SUM(AU267:AU278)</f>
        <v>86578.75388081104</v>
      </c>
      <c r="BC278" s="252">
        <f t="shared" si="389"/>
        <v>61411.588296247341</v>
      </c>
      <c r="BD278" s="252">
        <f t="shared" si="389"/>
        <v>9527.4678396156214</v>
      </c>
      <c r="BE278" s="252">
        <f t="shared" si="389"/>
        <v>27673.589020307089</v>
      </c>
      <c r="BF278" s="252">
        <f t="shared" si="389"/>
        <v>252421.89482125206</v>
      </c>
      <c r="BG278" s="252">
        <f t="shared" ref="BG278" si="390">SUM(BA278:BF278)</f>
        <v>627951.62818517082</v>
      </c>
    </row>
    <row r="279" spans="31:59">
      <c r="AE279" s="165">
        <v>37257</v>
      </c>
      <c r="AF279" s="277">
        <v>1310147</v>
      </c>
      <c r="AG279" s="277">
        <v>551307</v>
      </c>
      <c r="AH279" s="277">
        <v>446841</v>
      </c>
      <c r="AI279" s="277">
        <v>65381</v>
      </c>
      <c r="AJ279" s="277">
        <v>254543</v>
      </c>
      <c r="AK279" s="277">
        <v>2214143</v>
      </c>
      <c r="AT279" s="252">
        <f t="shared" ref="AT279:AY279" si="391">AF279/SUM(AF270:AF281)*AM281</f>
        <v>12866.516550786953</v>
      </c>
      <c r="AU279" s="252">
        <f t="shared" si="391"/>
        <v>6083.7000995863118</v>
      </c>
      <c r="AV279" s="252">
        <f t="shared" si="391"/>
        <v>4112.3760996918854</v>
      </c>
      <c r="AW279" s="252">
        <f t="shared" si="391"/>
        <v>650.46056211290727</v>
      </c>
      <c r="AX279" s="252">
        <f t="shared" si="391"/>
        <v>2107.1991739308623</v>
      </c>
      <c r="AY279" s="252">
        <f t="shared" si="391"/>
        <v>21617.602489964218</v>
      </c>
    </row>
    <row r="280" spans="31:59">
      <c r="AE280" s="165">
        <v>37288</v>
      </c>
      <c r="AF280" s="277">
        <v>1375208</v>
      </c>
      <c r="AG280" s="277">
        <v>588422</v>
      </c>
      <c r="AH280" s="277">
        <v>521040</v>
      </c>
      <c r="AI280" s="277">
        <v>68241</v>
      </c>
      <c r="AJ280" s="277">
        <v>262056</v>
      </c>
      <c r="AK280" s="277">
        <v>2277560</v>
      </c>
      <c r="AT280" s="252">
        <f t="shared" ref="AT280:AY280" si="392">AF280/SUM(AF270:AF281)*AM281</f>
        <v>13505.458923902908</v>
      </c>
      <c r="AU280" s="252">
        <f t="shared" si="392"/>
        <v>6493.2659661473135</v>
      </c>
      <c r="AV280" s="252">
        <f t="shared" si="392"/>
        <v>4795.2458323731707</v>
      </c>
      <c r="AW280" s="252">
        <f t="shared" si="392"/>
        <v>678.91404565771256</v>
      </c>
      <c r="AX280" s="252">
        <f t="shared" si="392"/>
        <v>2169.3945098613049</v>
      </c>
      <c r="AY280" s="252">
        <f t="shared" si="392"/>
        <v>22236.769136881812</v>
      </c>
    </row>
    <row r="281" spans="31:59">
      <c r="AE281" s="165">
        <v>37316</v>
      </c>
      <c r="AF281" s="277">
        <v>1450495</v>
      </c>
      <c r="AG281" s="277">
        <v>627786</v>
      </c>
      <c r="AH281" s="277">
        <v>686249</v>
      </c>
      <c r="AI281" s="277">
        <v>75135</v>
      </c>
      <c r="AJ281" s="277">
        <v>261666</v>
      </c>
      <c r="AK281" s="277">
        <v>2519885</v>
      </c>
      <c r="AM281" s="277">
        <v>185751</v>
      </c>
      <c r="AN281" s="277">
        <v>86165</v>
      </c>
      <c r="AO281" s="277">
        <v>59028</v>
      </c>
      <c r="AP281" s="277">
        <v>9442</v>
      </c>
      <c r="AQ281" s="277">
        <v>26703</v>
      </c>
      <c r="AR281" s="277">
        <v>245786</v>
      </c>
      <c r="AT281" s="252">
        <f t="shared" ref="AT281:AY281" si="393">AF281/SUM(AF270:AF281)*AM281</f>
        <v>14244.827431069734</v>
      </c>
      <c r="AU281" s="252">
        <f t="shared" si="393"/>
        <v>6927.6496592985259</v>
      </c>
      <c r="AV281" s="252">
        <f t="shared" si="393"/>
        <v>6315.7006318521726</v>
      </c>
      <c r="AW281" s="252">
        <f t="shared" si="393"/>
        <v>747.5008692793516</v>
      </c>
      <c r="AX281" s="252">
        <f t="shared" si="393"/>
        <v>2166.1659485658338</v>
      </c>
      <c r="AY281" s="252">
        <f t="shared" si="393"/>
        <v>24602.689279971299</v>
      </c>
      <c r="AZ281" s="25">
        <f t="shared" ref="AZ281" si="394">SUM(AT270:AY281)-SUM(AM281:AR281)</f>
        <v>0</v>
      </c>
    </row>
    <row r="282" spans="31:59">
      <c r="AE282" s="165">
        <v>37347</v>
      </c>
      <c r="AF282" s="277">
        <v>1429640</v>
      </c>
      <c r="AG282" s="277">
        <v>593291</v>
      </c>
      <c r="AH282" s="277">
        <v>479726</v>
      </c>
      <c r="AI282" s="277">
        <v>74219</v>
      </c>
      <c r="AJ282" s="277">
        <v>229538</v>
      </c>
      <c r="AK282" s="277">
        <v>1859398</v>
      </c>
      <c r="AT282" s="252">
        <f t="shared" ref="AT282" si="395">AF282/SUM(AF282:AF293)*AM293</f>
        <v>14054.004110774937</v>
      </c>
      <c r="AU282" s="252">
        <f t="shared" ref="AU282:AY282" si="396">AG282/SUM(AG282:AG293)*AN293</f>
        <v>6193.6103797494306</v>
      </c>
      <c r="AV282" s="252">
        <f t="shared" si="396"/>
        <v>4234.0690289753729</v>
      </c>
      <c r="AW282" s="252">
        <f t="shared" si="396"/>
        <v>751.91533650449026</v>
      </c>
      <c r="AX282" s="252">
        <f t="shared" si="396"/>
        <v>1934.1306416357575</v>
      </c>
      <c r="AY282" s="252">
        <f t="shared" si="396"/>
        <v>17740.753058049631</v>
      </c>
    </row>
    <row r="283" spans="31:59">
      <c r="AE283" s="165">
        <v>37377</v>
      </c>
      <c r="AF283" s="277">
        <v>1482115</v>
      </c>
      <c r="AG283" s="277">
        <v>584551</v>
      </c>
      <c r="AH283" s="277">
        <v>429609</v>
      </c>
      <c r="AI283" s="277">
        <v>72519</v>
      </c>
      <c r="AJ283" s="277">
        <v>215157</v>
      </c>
      <c r="AK283" s="277">
        <v>1339348</v>
      </c>
      <c r="AT283" s="252">
        <f t="shared" ref="AT283:AY283" si="397">AF283/SUM(AF282:AF293)*AM293</f>
        <v>14569.856958843622</v>
      </c>
      <c r="AU283" s="252">
        <f t="shared" si="397"/>
        <v>6102.3699012675215</v>
      </c>
      <c r="AV283" s="252">
        <f t="shared" si="397"/>
        <v>3791.7356188096555</v>
      </c>
      <c r="AW283" s="252">
        <f t="shared" si="397"/>
        <v>734.69257586290746</v>
      </c>
      <c r="AX283" s="252">
        <f t="shared" si="397"/>
        <v>1812.9536131813672</v>
      </c>
      <c r="AY283" s="252">
        <f t="shared" si="397"/>
        <v>12778.889794865145</v>
      </c>
    </row>
    <row r="284" spans="31:59">
      <c r="AE284" s="165">
        <v>37408</v>
      </c>
      <c r="AF284" s="277">
        <v>1561540</v>
      </c>
      <c r="AG284" s="277">
        <v>591962</v>
      </c>
      <c r="AH284" s="277">
        <v>457460</v>
      </c>
      <c r="AI284" s="277">
        <v>72966</v>
      </c>
      <c r="AJ284" s="277">
        <v>216130</v>
      </c>
      <c r="AK284" s="277">
        <v>1431329</v>
      </c>
      <c r="AT284" s="252">
        <f t="shared" ref="AT284:AY284" si="398">AF284/SUM(AF282:AF293)*AM293</f>
        <v>15350.64042635873</v>
      </c>
      <c r="AU284" s="252">
        <f t="shared" si="398"/>
        <v>6179.736398524893</v>
      </c>
      <c r="AV284" s="252">
        <f t="shared" si="398"/>
        <v>4037.5489716944126</v>
      </c>
      <c r="AW284" s="252">
        <f t="shared" si="398"/>
        <v>739.22114880807658</v>
      </c>
      <c r="AX284" s="252">
        <f t="shared" si="398"/>
        <v>1821.1522953791366</v>
      </c>
      <c r="AY284" s="252">
        <f t="shared" si="398"/>
        <v>13656.492226960083</v>
      </c>
    </row>
    <row r="285" spans="31:59">
      <c r="AE285" s="165">
        <v>37438</v>
      </c>
      <c r="AF285" s="277">
        <v>1623770</v>
      </c>
      <c r="AG285" s="277">
        <v>616101</v>
      </c>
      <c r="AH285" s="277">
        <v>469955</v>
      </c>
      <c r="AI285" s="277">
        <v>73574</v>
      </c>
      <c r="AJ285" s="277">
        <v>227564</v>
      </c>
      <c r="AK285" s="277">
        <v>1588906</v>
      </c>
      <c r="AT285" s="252">
        <f t="shared" ref="AT285:AY285" si="399">AF285/SUM(AF282:AF293)*AM293</f>
        <v>15962.389311262286</v>
      </c>
      <c r="AU285" s="252">
        <f t="shared" si="399"/>
        <v>6431.7334134075927</v>
      </c>
      <c r="AV285" s="252">
        <f t="shared" si="399"/>
        <v>4147.8300332108774</v>
      </c>
      <c r="AW285" s="252">
        <f t="shared" si="399"/>
        <v>745.38081849636023</v>
      </c>
      <c r="AX285" s="252">
        <f t="shared" si="399"/>
        <v>1917.4973439395637</v>
      </c>
      <c r="AY285" s="252">
        <f t="shared" si="399"/>
        <v>15159.954446790525</v>
      </c>
    </row>
    <row r="286" spans="31:59">
      <c r="AE286" s="165">
        <v>37469</v>
      </c>
      <c r="AF286" s="277">
        <v>1644195</v>
      </c>
      <c r="AG286" s="277">
        <v>631417</v>
      </c>
      <c r="AH286" s="277">
        <v>464041</v>
      </c>
      <c r="AI286" s="277">
        <v>78590</v>
      </c>
      <c r="AJ286" s="277">
        <v>247823</v>
      </c>
      <c r="AK286" s="277">
        <v>1793685</v>
      </c>
      <c r="AT286" s="252">
        <f t="shared" ref="AT286:AY286" si="400">AF286/SUM(AF282:AF293)*AM293</f>
        <v>16163.176246408602</v>
      </c>
      <c r="AU286" s="252">
        <f t="shared" si="400"/>
        <v>6591.6234784452254</v>
      </c>
      <c r="AV286" s="252">
        <f t="shared" si="400"/>
        <v>4095.6329785643493</v>
      </c>
      <c r="AW286" s="252">
        <f t="shared" si="400"/>
        <v>796.19809342470103</v>
      </c>
      <c r="AX286" s="252">
        <f t="shared" si="400"/>
        <v>2088.2035131529346</v>
      </c>
      <c r="AY286" s="252">
        <f t="shared" si="400"/>
        <v>17113.776958417591</v>
      </c>
    </row>
    <row r="287" spans="31:59">
      <c r="AE287" s="165">
        <v>37500</v>
      </c>
      <c r="AF287" s="277">
        <v>1614301</v>
      </c>
      <c r="AG287" s="277">
        <v>650928</v>
      </c>
      <c r="AH287" s="277">
        <v>512129</v>
      </c>
      <c r="AI287" s="277">
        <v>79556</v>
      </c>
      <c r="AJ287" s="277">
        <v>272964</v>
      </c>
      <c r="AK287" s="277">
        <v>2056806</v>
      </c>
      <c r="AT287" s="252">
        <f t="shared" ref="AT287:AY287" si="401">AF287/SUM(AF282:AF293)*AM293</f>
        <v>15869.304783041947</v>
      </c>
      <c r="AU287" s="252">
        <f t="shared" si="401"/>
        <v>6795.3068852713714</v>
      </c>
      <c r="AV287" s="252">
        <f t="shared" si="401"/>
        <v>4520.0584036306736</v>
      </c>
      <c r="AW287" s="252">
        <f t="shared" si="401"/>
        <v>805.98467388338861</v>
      </c>
      <c r="AX287" s="252">
        <f t="shared" si="401"/>
        <v>2300.0463385734079</v>
      </c>
      <c r="AY287" s="252">
        <f t="shared" si="401"/>
        <v>19624.247920195048</v>
      </c>
    </row>
    <row r="288" spans="31:59">
      <c r="AE288" s="165">
        <v>37530</v>
      </c>
      <c r="AF288" s="277">
        <v>1609752</v>
      </c>
      <c r="AG288" s="277">
        <v>668934</v>
      </c>
      <c r="AH288" s="277">
        <v>496160</v>
      </c>
      <c r="AI288" s="277">
        <v>81327</v>
      </c>
      <c r="AJ288" s="277">
        <v>295247</v>
      </c>
      <c r="AK288" s="277">
        <v>2268764</v>
      </c>
      <c r="AT288" s="252">
        <f t="shared" ref="AT288:AY288" si="402">AF288/SUM(AF282:AF293)*AM293</f>
        <v>15824.586067351343</v>
      </c>
      <c r="AU288" s="252">
        <f t="shared" si="402"/>
        <v>6983.2789740065255</v>
      </c>
      <c r="AV288" s="252">
        <f t="shared" si="402"/>
        <v>4379.1157648666549</v>
      </c>
      <c r="AW288" s="252">
        <f t="shared" si="402"/>
        <v>823.92673805764935</v>
      </c>
      <c r="AX288" s="252">
        <f t="shared" si="402"/>
        <v>2487.807114948429</v>
      </c>
      <c r="AY288" s="252">
        <f t="shared" si="402"/>
        <v>21646.566184858173</v>
      </c>
    </row>
    <row r="289" spans="31:59">
      <c r="AE289" s="165">
        <v>37561</v>
      </c>
      <c r="AF289" s="277">
        <v>1596641</v>
      </c>
      <c r="AG289" s="277">
        <v>667997</v>
      </c>
      <c r="AH289" s="277">
        <v>504653</v>
      </c>
      <c r="AI289" s="277">
        <v>76558</v>
      </c>
      <c r="AJ289" s="277">
        <v>298409</v>
      </c>
      <c r="AK289" s="277">
        <v>2393980</v>
      </c>
      <c r="AT289" s="252">
        <f t="shared" ref="AT289:AY289" si="403">AF289/SUM(AF282:AF293)*AM293</f>
        <v>15695.699041319356</v>
      </c>
      <c r="AU289" s="252">
        <f t="shared" si="403"/>
        <v>6973.497243075456</v>
      </c>
      <c r="AV289" s="252">
        <f t="shared" si="403"/>
        <v>4454.0751130426715</v>
      </c>
      <c r="AW289" s="252">
        <f t="shared" si="403"/>
        <v>775.61182894017384</v>
      </c>
      <c r="AX289" s="252">
        <f t="shared" si="403"/>
        <v>2514.4507255438525</v>
      </c>
      <c r="AY289" s="252">
        <f t="shared" si="403"/>
        <v>22841.267983460057</v>
      </c>
    </row>
    <row r="290" spans="31:59">
      <c r="AE290" s="165">
        <v>37591</v>
      </c>
      <c r="AF290" s="277">
        <v>1637679</v>
      </c>
      <c r="AG290" s="277">
        <v>669748</v>
      </c>
      <c r="AH290" s="277">
        <v>543822</v>
      </c>
      <c r="AI290" s="277">
        <v>74984</v>
      </c>
      <c r="AJ290" s="277">
        <v>314755</v>
      </c>
      <c r="AK290" s="277">
        <v>2520966</v>
      </c>
      <c r="AT290" s="252">
        <f t="shared" ref="AT290:AY290" si="404">AF290/SUM(AF282:AF293)*AM293</f>
        <v>16099.121036155806</v>
      </c>
      <c r="AU290" s="252">
        <f t="shared" si="404"/>
        <v>6991.7766570138792</v>
      </c>
      <c r="AV290" s="252">
        <f t="shared" si="404"/>
        <v>4799.7813074034866</v>
      </c>
      <c r="AW290" s="252">
        <f t="shared" si="404"/>
        <v>759.66557879320249</v>
      </c>
      <c r="AX290" s="252">
        <f t="shared" si="404"/>
        <v>2652.1852159906548</v>
      </c>
      <c r="AY290" s="252">
        <f t="shared" si="404"/>
        <v>24052.857577419763</v>
      </c>
      <c r="BA290" s="252">
        <f t="shared" ref="BA290" si="405">SUM(AT279:AT290)</f>
        <v>180205.58088727624</v>
      </c>
      <c r="BB290" s="252">
        <f t="shared" ref="BB290:BF290" si="406">SUM(AU279:AU290)</f>
        <v>78747.549055794036</v>
      </c>
      <c r="BC290" s="252">
        <f t="shared" si="406"/>
        <v>53683.169784115387</v>
      </c>
      <c r="BD290" s="252">
        <f t="shared" si="406"/>
        <v>9009.4722698209225</v>
      </c>
      <c r="BE290" s="252">
        <f t="shared" si="406"/>
        <v>25971.186434703104</v>
      </c>
      <c r="BF290" s="252">
        <f t="shared" si="406"/>
        <v>233071.86705783333</v>
      </c>
      <c r="BG290" s="252">
        <f t="shared" ref="BG290" si="407">SUM(BA290:BF290)</f>
        <v>580688.82548954303</v>
      </c>
    </row>
    <row r="291" spans="31:59">
      <c r="AE291" s="165">
        <v>37622</v>
      </c>
      <c r="AF291" s="277">
        <v>1278041</v>
      </c>
      <c r="AG291" s="277">
        <v>534604</v>
      </c>
      <c r="AH291" s="277">
        <v>444683</v>
      </c>
      <c r="AI291" s="277">
        <v>59265</v>
      </c>
      <c r="AJ291" s="277">
        <v>254284</v>
      </c>
      <c r="AK291" s="277">
        <v>1986705</v>
      </c>
      <c r="AT291" s="252">
        <f t="shared" ref="AT291:AY291" si="408">AF291/SUM(AF282:AF293)*AM293</f>
        <v>12563.717766527874</v>
      </c>
      <c r="AU291" s="252">
        <f t="shared" si="408"/>
        <v>5580.9524895128434</v>
      </c>
      <c r="AV291" s="252">
        <f t="shared" si="408"/>
        <v>3924.7789738556085</v>
      </c>
      <c r="AW291" s="252">
        <f t="shared" si="408"/>
        <v>600.41582907259067</v>
      </c>
      <c r="AX291" s="252">
        <f t="shared" si="408"/>
        <v>2142.6451222791302</v>
      </c>
      <c r="AY291" s="252">
        <f t="shared" si="408"/>
        <v>18955.40535387932</v>
      </c>
    </row>
    <row r="292" spans="31:59">
      <c r="AE292" s="165">
        <v>37653</v>
      </c>
      <c r="AF292" s="277">
        <v>1355927</v>
      </c>
      <c r="AG292" s="277">
        <v>586711</v>
      </c>
      <c r="AH292" s="277">
        <v>483929</v>
      </c>
      <c r="AI292" s="277">
        <v>65488</v>
      </c>
      <c r="AJ292" s="277">
        <v>265023</v>
      </c>
      <c r="AK292" s="277">
        <v>2014547</v>
      </c>
      <c r="AT292" s="252">
        <f t="shared" ref="AT292:AY292" si="409">AF292/SUM(AF282:AF293)*AM293</f>
        <v>13329.372171952888</v>
      </c>
      <c r="AU292" s="252">
        <f t="shared" si="409"/>
        <v>6124.9190355376495</v>
      </c>
      <c r="AV292" s="252">
        <f t="shared" si="409"/>
        <v>4271.1647713966368</v>
      </c>
      <c r="AW292" s="252">
        <f t="shared" si="409"/>
        <v>663.46126405645521</v>
      </c>
      <c r="AX292" s="252">
        <f t="shared" si="409"/>
        <v>2233.1339692697215</v>
      </c>
      <c r="AY292" s="252">
        <f t="shared" si="409"/>
        <v>19221.049420745163</v>
      </c>
    </row>
    <row r="293" spans="31:59">
      <c r="AE293" s="165">
        <v>37681</v>
      </c>
      <c r="AF293" s="277">
        <v>1426703</v>
      </c>
      <c r="AG293" s="277">
        <v>618540</v>
      </c>
      <c r="AH293" s="277">
        <v>641108</v>
      </c>
      <c r="AI293" s="277">
        <v>66975</v>
      </c>
      <c r="AJ293" s="277">
        <v>272222</v>
      </c>
      <c r="AK293" s="277">
        <v>2233432</v>
      </c>
      <c r="AM293" s="277">
        <v>179507</v>
      </c>
      <c r="AN293" s="277">
        <v>77406</v>
      </c>
      <c r="AO293" s="277">
        <v>52314.22</v>
      </c>
      <c r="AP293" s="277">
        <v>8875</v>
      </c>
      <c r="AQ293" s="277">
        <v>26198</v>
      </c>
      <c r="AR293" s="277">
        <v>224100.72</v>
      </c>
      <c r="AT293" s="252">
        <f t="shared" ref="AT293:AY293" si="410">AF293/SUM(AF282:AF293)*AM293</f>
        <v>14025.13208000261</v>
      </c>
      <c r="AU293" s="252">
        <f t="shared" si="410"/>
        <v>6457.1951441876126</v>
      </c>
      <c r="AV293" s="252">
        <f t="shared" si="410"/>
        <v>5658.4290345496038</v>
      </c>
      <c r="AW293" s="252">
        <f t="shared" si="410"/>
        <v>678.52611410000441</v>
      </c>
      <c r="AX293" s="252">
        <f t="shared" si="410"/>
        <v>2293.7941061060442</v>
      </c>
      <c r="AY293" s="252">
        <f t="shared" si="410"/>
        <v>21309.459074359504</v>
      </c>
      <c r="AZ293" s="25">
        <f t="shared" ref="AZ293" si="411">SUM(AT282:AY293)-SUM(AM293:AR293)</f>
        <v>0</v>
      </c>
    </row>
    <row r="294" spans="31:59">
      <c r="AE294" s="165">
        <v>37712</v>
      </c>
      <c r="AF294" s="277">
        <v>1395468</v>
      </c>
      <c r="AG294" s="277">
        <v>584244</v>
      </c>
      <c r="AH294" s="277">
        <v>486725</v>
      </c>
      <c r="AI294" s="277">
        <v>63972</v>
      </c>
      <c r="AJ294" s="277">
        <v>237185</v>
      </c>
      <c r="AK294" s="277">
        <v>1623496</v>
      </c>
      <c r="AT294" s="252">
        <f t="shared" ref="AT294" si="412">AF294/SUM(AF294:AF305)*AM305</f>
        <v>13703.151898216165</v>
      </c>
      <c r="AU294" s="252">
        <f t="shared" ref="AU294:AY294" si="413">AG294/SUM(AG294:AG305)*AN305</f>
        <v>5950.1012456671442</v>
      </c>
      <c r="AV294" s="252">
        <f t="shared" si="413"/>
        <v>3809.5729710999767</v>
      </c>
      <c r="AW294" s="252">
        <f t="shared" si="413"/>
        <v>698.79904795912546</v>
      </c>
      <c r="AX294" s="252">
        <f t="shared" si="413"/>
        <v>1903.9077640358737</v>
      </c>
      <c r="AY294" s="252">
        <f t="shared" si="413"/>
        <v>16518.341741714048</v>
      </c>
    </row>
    <row r="295" spans="31:59">
      <c r="AE295" s="165">
        <v>37742</v>
      </c>
      <c r="AF295" s="277">
        <v>1431128</v>
      </c>
      <c r="AG295" s="277">
        <v>578067</v>
      </c>
      <c r="AH295" s="277">
        <v>459805</v>
      </c>
      <c r="AI295" s="277">
        <v>62316</v>
      </c>
      <c r="AJ295" s="277">
        <v>219423</v>
      </c>
      <c r="AK295" s="277">
        <v>1137336</v>
      </c>
      <c r="AT295" s="252">
        <f t="shared" ref="AT295:AY295" si="414">AF295/SUM(AF294:AF305)*AM305</f>
        <v>14053.324311120214</v>
      </c>
      <c r="AU295" s="252">
        <f t="shared" si="414"/>
        <v>5887.1929823482469</v>
      </c>
      <c r="AV295" s="252">
        <f t="shared" si="414"/>
        <v>3598.8714365948422</v>
      </c>
      <c r="AW295" s="252">
        <f t="shared" si="414"/>
        <v>680.70970850717288</v>
      </c>
      <c r="AX295" s="252">
        <f t="shared" si="414"/>
        <v>1761.3304100514092</v>
      </c>
      <c r="AY295" s="252">
        <f t="shared" si="414"/>
        <v>11571.882359521727</v>
      </c>
    </row>
    <row r="296" spans="31:59">
      <c r="AE296" s="165">
        <v>37773</v>
      </c>
      <c r="AF296" s="277">
        <v>1543445</v>
      </c>
      <c r="AG296" s="277">
        <v>605177</v>
      </c>
      <c r="AH296" s="277">
        <v>487862</v>
      </c>
      <c r="AI296" s="277">
        <v>62142</v>
      </c>
      <c r="AJ296" s="277">
        <v>221100</v>
      </c>
      <c r="AK296" s="277">
        <v>1229797</v>
      </c>
      <c r="AT296" s="252">
        <f t="shared" ref="AT296:AY296" si="415">AF296/SUM(AF294:AF305)*AM305</f>
        <v>15156.24957472493</v>
      </c>
      <c r="AU296" s="252">
        <f t="shared" si="415"/>
        <v>6163.2886628687766</v>
      </c>
      <c r="AV296" s="252">
        <f t="shared" si="415"/>
        <v>3818.4722149607619</v>
      </c>
      <c r="AW296" s="252">
        <f t="shared" si="415"/>
        <v>678.80901704301846</v>
      </c>
      <c r="AX296" s="252">
        <f t="shared" si="415"/>
        <v>1774.7918571087198</v>
      </c>
      <c r="AY296" s="252">
        <f t="shared" si="415"/>
        <v>12512.631456397005</v>
      </c>
    </row>
    <row r="297" spans="31:59">
      <c r="AE297" s="165">
        <v>37803</v>
      </c>
      <c r="AF297" s="277">
        <v>1638889</v>
      </c>
      <c r="AG297" s="277">
        <v>627863</v>
      </c>
      <c r="AH297" s="277">
        <v>509340</v>
      </c>
      <c r="AI297" s="277">
        <v>63286</v>
      </c>
      <c r="AJ297" s="277">
        <v>232619</v>
      </c>
      <c r="AK297" s="277">
        <v>1317160</v>
      </c>
      <c r="AT297" s="252">
        <f t="shared" ref="AT297:AY297" si="416">AF297/SUM(AF294:AF305)*AM305</f>
        <v>16093.486136060155</v>
      </c>
      <c r="AU297" s="252">
        <f t="shared" si="416"/>
        <v>6394.3291131929645</v>
      </c>
      <c r="AV297" s="252">
        <f t="shared" si="416"/>
        <v>3986.579479377599</v>
      </c>
      <c r="AW297" s="252">
        <f t="shared" si="416"/>
        <v>691.30551724412578</v>
      </c>
      <c r="AX297" s="252">
        <f t="shared" si="416"/>
        <v>1867.2560244630181</v>
      </c>
      <c r="AY297" s="252">
        <f t="shared" si="416"/>
        <v>13401.51069575538</v>
      </c>
    </row>
    <row r="298" spans="31:59">
      <c r="AE298" s="165">
        <v>37834</v>
      </c>
      <c r="AF298" s="277">
        <v>1659681</v>
      </c>
      <c r="AG298" s="277">
        <v>647015</v>
      </c>
      <c r="AH298" s="277">
        <v>497838</v>
      </c>
      <c r="AI298" s="277">
        <v>64480</v>
      </c>
      <c r="AJ298" s="277">
        <v>246659</v>
      </c>
      <c r="AK298" s="277">
        <v>1487628</v>
      </c>
      <c r="AT298" s="252">
        <f t="shared" ref="AT298:AY298" si="417">AF298/SUM(AF294:AF305)*AM305</f>
        <v>16297.658452636178</v>
      </c>
      <c r="AU298" s="252">
        <f t="shared" si="417"/>
        <v>6589.3783375872536</v>
      </c>
      <c r="AV298" s="252">
        <f t="shared" si="417"/>
        <v>3896.5538831711337</v>
      </c>
      <c r="AW298" s="252">
        <f t="shared" si="417"/>
        <v>704.34819315332345</v>
      </c>
      <c r="AX298" s="252">
        <f t="shared" si="417"/>
        <v>1979.9565114544537</v>
      </c>
      <c r="AY298" s="252">
        <f t="shared" si="417"/>
        <v>15135.945939221645</v>
      </c>
    </row>
    <row r="299" spans="31:59">
      <c r="AE299" s="165">
        <v>37865</v>
      </c>
      <c r="AF299" s="277">
        <v>1658679</v>
      </c>
      <c r="AG299" s="277">
        <v>663482</v>
      </c>
      <c r="AH299" s="277">
        <v>528232</v>
      </c>
      <c r="AI299" s="277">
        <v>65902</v>
      </c>
      <c r="AJ299" s="277">
        <v>262475</v>
      </c>
      <c r="AK299" s="277">
        <v>1675684</v>
      </c>
      <c r="AT299" s="252">
        <f t="shared" ref="AT299:AY299" si="418">AF299/SUM(AF294:AF305)*AM305</f>
        <v>16287.81905954224</v>
      </c>
      <c r="AU299" s="252">
        <f t="shared" si="418"/>
        <v>6757.0827850653641</v>
      </c>
      <c r="AV299" s="252">
        <f t="shared" si="418"/>
        <v>4134.4462472034165</v>
      </c>
      <c r="AW299" s="252">
        <f t="shared" si="418"/>
        <v>719.88143029141327</v>
      </c>
      <c r="AX299" s="252">
        <f t="shared" si="418"/>
        <v>2106.9131284242931</v>
      </c>
      <c r="AY299" s="252">
        <f t="shared" si="418"/>
        <v>17049.331173666189</v>
      </c>
    </row>
    <row r="300" spans="31:59">
      <c r="AE300" s="165">
        <v>37895</v>
      </c>
      <c r="AF300" s="277">
        <v>1673506</v>
      </c>
      <c r="AG300" s="277">
        <v>671520</v>
      </c>
      <c r="AH300" s="277">
        <v>524617</v>
      </c>
      <c r="AI300" s="277">
        <v>68504</v>
      </c>
      <c r="AJ300" s="277">
        <v>276838</v>
      </c>
      <c r="AK300" s="277">
        <v>1937643</v>
      </c>
      <c r="AT300" s="252">
        <f t="shared" ref="AT300:AY300" si="419">AF300/SUM(AF294:AF305)*AM305</f>
        <v>16433.41654597321</v>
      </c>
      <c r="AU300" s="252">
        <f t="shared" si="419"/>
        <v>6838.9439831481386</v>
      </c>
      <c r="AV300" s="252">
        <f t="shared" si="419"/>
        <v>4106.1518175141127</v>
      </c>
      <c r="AW300" s="252">
        <f t="shared" si="419"/>
        <v>748.30441414043526</v>
      </c>
      <c r="AX300" s="252">
        <f t="shared" si="419"/>
        <v>2222.2063687845489</v>
      </c>
      <c r="AY300" s="252">
        <f t="shared" si="419"/>
        <v>19714.646200200081</v>
      </c>
    </row>
    <row r="301" spans="31:59">
      <c r="AE301" s="165">
        <v>37926</v>
      </c>
      <c r="AF301" s="277">
        <v>1620540</v>
      </c>
      <c r="AG301" s="277">
        <v>659995</v>
      </c>
      <c r="AH301" s="277">
        <v>512245</v>
      </c>
      <c r="AI301" s="277">
        <v>66732</v>
      </c>
      <c r="AJ301" s="277">
        <v>274880</v>
      </c>
      <c r="AK301" s="277">
        <v>2007565</v>
      </c>
      <c r="AT301" s="252">
        <f t="shared" ref="AT301:AY301" si="420">AF301/SUM(AF294:AF305)*AM305</f>
        <v>15913.3034774966</v>
      </c>
      <c r="AU301" s="252">
        <f t="shared" si="420"/>
        <v>6721.5702200349288</v>
      </c>
      <c r="AV301" s="252">
        <f t="shared" si="420"/>
        <v>4009.3167734986027</v>
      </c>
      <c r="AW301" s="252">
        <f t="shared" si="420"/>
        <v>728.94794704571302</v>
      </c>
      <c r="AX301" s="252">
        <f t="shared" si="420"/>
        <v>2206.4893065673673</v>
      </c>
      <c r="AY301" s="252">
        <f t="shared" si="420"/>
        <v>20426.071107476804</v>
      </c>
    </row>
    <row r="302" spans="31:59">
      <c r="AE302" s="165">
        <v>37956</v>
      </c>
      <c r="AF302" s="277">
        <v>1598131</v>
      </c>
      <c r="AG302" s="277">
        <v>657932</v>
      </c>
      <c r="AH302" s="277">
        <v>533672</v>
      </c>
      <c r="AI302" s="277">
        <v>66318</v>
      </c>
      <c r="AJ302" s="277">
        <v>271353</v>
      </c>
      <c r="AK302" s="277">
        <v>2150478</v>
      </c>
      <c r="AT302" s="252">
        <f t="shared" ref="AT302:AY302" si="421">AF302/SUM(AF294:AF305)*AM305</f>
        <v>15693.252619370776</v>
      </c>
      <c r="AU302" s="252">
        <f t="shared" si="421"/>
        <v>6700.5600618308026</v>
      </c>
      <c r="AV302" s="252">
        <f t="shared" si="421"/>
        <v>4177.0248633887031</v>
      </c>
      <c r="AW302" s="252">
        <f t="shared" si="421"/>
        <v>724.42561218272488</v>
      </c>
      <c r="AX302" s="252">
        <f t="shared" si="421"/>
        <v>2178.1777241158861</v>
      </c>
      <c r="AY302" s="252">
        <f t="shared" si="421"/>
        <v>21880.146616953625</v>
      </c>
      <c r="BA302" s="252">
        <f t="shared" ref="BA302" si="422">SUM(AT291:AT302)</f>
        <v>179549.88409362387</v>
      </c>
      <c r="BB302" s="252">
        <f t="shared" ref="BB302:BF302" si="423">SUM(AU291:AU302)</f>
        <v>76165.514060981732</v>
      </c>
      <c r="BC302" s="252">
        <f t="shared" si="423"/>
        <v>49391.362466610997</v>
      </c>
      <c r="BD302" s="252">
        <f t="shared" si="423"/>
        <v>8317.9340947961027</v>
      </c>
      <c r="BE302" s="252">
        <f t="shared" si="423"/>
        <v>24670.602292660464</v>
      </c>
      <c r="BF302" s="252">
        <f t="shared" si="423"/>
        <v>207696.4211398905</v>
      </c>
      <c r="BG302" s="252">
        <f t="shared" ref="BG302" si="424">SUM(BA302:BF302)</f>
        <v>545791.71814856364</v>
      </c>
    </row>
    <row r="303" spans="31:59">
      <c r="AE303" s="165">
        <v>37987</v>
      </c>
      <c r="AF303" s="277">
        <v>1237630</v>
      </c>
      <c r="AG303" s="277">
        <v>534165</v>
      </c>
      <c r="AH303" s="277">
        <v>417686</v>
      </c>
      <c r="AI303" s="277">
        <v>52770</v>
      </c>
      <c r="AJ303" s="277">
        <v>213381</v>
      </c>
      <c r="AK303" s="277">
        <v>1732804</v>
      </c>
      <c r="AT303" s="252">
        <f t="shared" ref="AT303:AY303" si="425">AF303/SUM(AF294:AF305)*AM305</f>
        <v>12153.221631588309</v>
      </c>
      <c r="AU303" s="252">
        <f t="shared" si="425"/>
        <v>5440.0829651511876</v>
      </c>
      <c r="AV303" s="252">
        <f t="shared" si="425"/>
        <v>3269.2080661705577</v>
      </c>
      <c r="AW303" s="252">
        <f t="shared" si="425"/>
        <v>576.43384231856203</v>
      </c>
      <c r="AX303" s="252">
        <f t="shared" si="425"/>
        <v>1712.8306705640694</v>
      </c>
      <c r="AY303" s="252">
        <f t="shared" si="425"/>
        <v>17630.501487782582</v>
      </c>
    </row>
    <row r="304" spans="31:59">
      <c r="AE304" s="165">
        <v>38018</v>
      </c>
      <c r="AF304" s="277">
        <v>1336582</v>
      </c>
      <c r="AG304" s="277">
        <v>598347</v>
      </c>
      <c r="AH304" s="277">
        <v>475270</v>
      </c>
      <c r="AI304" s="277">
        <v>56832</v>
      </c>
      <c r="AJ304" s="277">
        <v>223670</v>
      </c>
      <c r="AK304" s="277">
        <v>1750753</v>
      </c>
      <c r="AT304" s="252">
        <f t="shared" ref="AT304:AY304" si="426">AF304/SUM(AF294:AF305)*AM305</f>
        <v>13124.905888505904</v>
      </c>
      <c r="AU304" s="252">
        <f t="shared" si="426"/>
        <v>6093.7300683296689</v>
      </c>
      <c r="AV304" s="252">
        <f t="shared" si="426"/>
        <v>3719.9152416142292</v>
      </c>
      <c r="AW304" s="252">
        <f t="shared" si="426"/>
        <v>620.8051568438226</v>
      </c>
      <c r="AX304" s="252">
        <f t="shared" si="426"/>
        <v>1795.4215046562972</v>
      </c>
      <c r="AY304" s="252">
        <f t="shared" si="426"/>
        <v>17813.124491425351</v>
      </c>
    </row>
    <row r="305" spans="31:59">
      <c r="AE305" s="165">
        <v>38047</v>
      </c>
      <c r="AF305" s="277">
        <v>1435699</v>
      </c>
      <c r="AG305" s="277">
        <v>651960</v>
      </c>
      <c r="AH305" s="277">
        <v>595492</v>
      </c>
      <c r="AI305" s="277">
        <v>60075</v>
      </c>
      <c r="AJ305" s="277">
        <v>220468</v>
      </c>
      <c r="AK305" s="277">
        <v>1901496</v>
      </c>
      <c r="AM305" s="277">
        <v>179008</v>
      </c>
      <c r="AN305" s="277">
        <v>76176</v>
      </c>
      <c r="AO305" s="277">
        <v>47187</v>
      </c>
      <c r="AP305" s="277">
        <v>8229</v>
      </c>
      <c r="AQ305" s="277">
        <v>23279</v>
      </c>
      <c r="AR305" s="277">
        <v>203001</v>
      </c>
      <c r="AT305" s="252">
        <f t="shared" ref="AT305:AY305" si="427">AF305/SUM(AF294:AF305)*AM305</f>
        <v>14098.210404765317</v>
      </c>
      <c r="AU305" s="252">
        <f t="shared" si="427"/>
        <v>6639.7395747755245</v>
      </c>
      <c r="AV305" s="252">
        <f t="shared" si="427"/>
        <v>4660.8870054060653</v>
      </c>
      <c r="AW305" s="252">
        <f t="shared" si="427"/>
        <v>656.23011327056315</v>
      </c>
      <c r="AX305" s="252">
        <f t="shared" si="427"/>
        <v>1769.7187297740627</v>
      </c>
      <c r="AY305" s="252">
        <f t="shared" si="427"/>
        <v>19346.866729885565</v>
      </c>
      <c r="AZ305" s="25">
        <f t="shared" ref="AZ305" si="428">SUM(AT294:AY305)-SUM(AM305:AR305)</f>
        <v>0</v>
      </c>
    </row>
    <row r="306" spans="31:59">
      <c r="AE306" s="165">
        <v>38078</v>
      </c>
      <c r="AF306" s="277">
        <v>1410439</v>
      </c>
      <c r="AG306" s="277">
        <v>632909</v>
      </c>
      <c r="AH306" s="277">
        <v>489770</v>
      </c>
      <c r="AI306" s="277">
        <v>55870</v>
      </c>
      <c r="AJ306" s="277">
        <v>189563</v>
      </c>
      <c r="AK306" s="277">
        <v>1370622</v>
      </c>
      <c r="AT306" s="252">
        <f t="shared" ref="AT306" si="429">AF306/SUM(AF306:AF317)*AM317</f>
        <v>13914.099088289891</v>
      </c>
      <c r="AU306" s="252">
        <f t="shared" ref="AU306:AY306" si="430">AG306/SUM(AG306:AG317)*AN317</f>
        <v>6769.9723060584993</v>
      </c>
      <c r="AV306" s="252">
        <f t="shared" si="430"/>
        <v>4071.8614277546926</v>
      </c>
      <c r="AW306" s="252">
        <f t="shared" si="430"/>
        <v>554.69461015564059</v>
      </c>
      <c r="AX306" s="252">
        <f t="shared" si="430"/>
        <v>1405.4504047091862</v>
      </c>
      <c r="AY306" s="252">
        <f t="shared" si="430"/>
        <v>14587.768434923855</v>
      </c>
    </row>
    <row r="307" spans="31:59">
      <c r="AE307" s="165">
        <v>38108</v>
      </c>
      <c r="AF307" s="277">
        <v>1450222</v>
      </c>
      <c r="AG307" s="277">
        <v>633510</v>
      </c>
      <c r="AH307" s="277">
        <v>412766</v>
      </c>
      <c r="AI307" s="277">
        <v>53967</v>
      </c>
      <c r="AJ307" s="277">
        <v>173754</v>
      </c>
      <c r="AK307" s="277">
        <v>917496</v>
      </c>
      <c r="AT307" s="252">
        <f t="shared" ref="AT307:AY307" si="431">AF307/SUM(AF306:AF317)*AM317</f>
        <v>14306.561721576007</v>
      </c>
      <c r="AU307" s="252">
        <f t="shared" si="431"/>
        <v>6776.4009606612017</v>
      </c>
      <c r="AV307" s="252">
        <f t="shared" si="431"/>
        <v>3431.6637484709017</v>
      </c>
      <c r="AW307" s="252">
        <f t="shared" si="431"/>
        <v>535.8010385944059</v>
      </c>
      <c r="AX307" s="252">
        <f t="shared" si="431"/>
        <v>1288.2399498838904</v>
      </c>
      <c r="AY307" s="252">
        <f t="shared" si="431"/>
        <v>9765.0695727698076</v>
      </c>
    </row>
    <row r="308" spans="31:59">
      <c r="AE308" s="165">
        <v>38139</v>
      </c>
      <c r="AF308" s="277">
        <v>1544235</v>
      </c>
      <c r="AG308" s="277">
        <v>662046</v>
      </c>
      <c r="AH308" s="277">
        <v>432709</v>
      </c>
      <c r="AI308" s="277">
        <v>53071</v>
      </c>
      <c r="AJ308" s="277">
        <v>174591</v>
      </c>
      <c r="AK308" s="277">
        <v>992384</v>
      </c>
      <c r="AT308" s="252">
        <f t="shared" ref="AT308:AY308" si="432">AF308/SUM(AF306:AF317)*AM317</f>
        <v>15234.00785543036</v>
      </c>
      <c r="AU308" s="252">
        <f t="shared" si="432"/>
        <v>7081.6390434277373</v>
      </c>
      <c r="AV308" s="252">
        <f t="shared" si="432"/>
        <v>3597.4663342840627</v>
      </c>
      <c r="AW308" s="252">
        <f t="shared" si="432"/>
        <v>526.90527394970468</v>
      </c>
      <c r="AX308" s="252">
        <f t="shared" si="432"/>
        <v>1294.4456017713453</v>
      </c>
      <c r="AY308" s="252">
        <f t="shared" si="432"/>
        <v>10562.115587319828</v>
      </c>
    </row>
    <row r="309" spans="31:59">
      <c r="AE309" s="165">
        <v>38169</v>
      </c>
      <c r="AF309" s="277">
        <v>1636542</v>
      </c>
      <c r="AG309" s="277">
        <v>699078</v>
      </c>
      <c r="AH309" s="277">
        <v>456114</v>
      </c>
      <c r="AI309" s="277">
        <v>55012</v>
      </c>
      <c r="AJ309" s="277">
        <v>181681</v>
      </c>
      <c r="AK309" s="277">
        <v>1088889</v>
      </c>
      <c r="AT309" s="252">
        <f t="shared" ref="AT309:AY309" si="433">AF309/SUM(AF306:AF317)*AM317</f>
        <v>16144.624156130194</v>
      </c>
      <c r="AU309" s="252">
        <f t="shared" si="433"/>
        <v>7477.7554115595831</v>
      </c>
      <c r="AV309" s="252">
        <f t="shared" si="433"/>
        <v>3792.0513777056658</v>
      </c>
      <c r="AW309" s="252">
        <f t="shared" si="433"/>
        <v>546.17612124363882</v>
      </c>
      <c r="AX309" s="252">
        <f t="shared" si="433"/>
        <v>1347.0119958956636</v>
      </c>
      <c r="AY309" s="252">
        <f t="shared" si="433"/>
        <v>11589.235094238824</v>
      </c>
    </row>
    <row r="310" spans="31:59">
      <c r="AE310" s="165">
        <v>38200</v>
      </c>
      <c r="AF310" s="277">
        <v>1696714</v>
      </c>
      <c r="AG310" s="277">
        <v>721391</v>
      </c>
      <c r="AH310" s="277">
        <v>449895</v>
      </c>
      <c r="AI310" s="277">
        <v>57924</v>
      </c>
      <c r="AJ310" s="277">
        <v>192244</v>
      </c>
      <c r="AK310" s="277">
        <v>1240298</v>
      </c>
      <c r="AT310" s="252">
        <f t="shared" ref="AT310:AY310" si="434">AF310/SUM(AF306:AF317)*AM317</f>
        <v>16738.225985305777</v>
      </c>
      <c r="AU310" s="252">
        <f t="shared" si="434"/>
        <v>7716.4285732069657</v>
      </c>
      <c r="AV310" s="252">
        <f t="shared" si="434"/>
        <v>3740.3477081889405</v>
      </c>
      <c r="AW310" s="252">
        <f t="shared" si="434"/>
        <v>575.08735633891752</v>
      </c>
      <c r="AX310" s="252">
        <f t="shared" si="434"/>
        <v>1425.3277675649404</v>
      </c>
      <c r="AY310" s="252">
        <f t="shared" si="434"/>
        <v>13200.707426481693</v>
      </c>
    </row>
    <row r="311" spans="31:59">
      <c r="AE311" s="165">
        <v>38231</v>
      </c>
      <c r="AF311" s="277">
        <v>1716314</v>
      </c>
      <c r="AG311" s="277">
        <v>734735</v>
      </c>
      <c r="AH311" s="277">
        <v>482278</v>
      </c>
      <c r="AI311" s="277">
        <v>60500</v>
      </c>
      <c r="AJ311" s="277">
        <v>202795</v>
      </c>
      <c r="AK311" s="277">
        <v>1455511</v>
      </c>
      <c r="AT311" s="252">
        <f t="shared" ref="AT311:AY311" si="435">AF311/SUM(AF306:AF317)*AM317</f>
        <v>16931.581629988377</v>
      </c>
      <c r="AU311" s="252">
        <f t="shared" si="435"/>
        <v>7859.1639592609554</v>
      </c>
      <c r="AV311" s="252">
        <f t="shared" si="435"/>
        <v>4009.5742606829276</v>
      </c>
      <c r="AW311" s="252">
        <f t="shared" si="435"/>
        <v>600.66267969243336</v>
      </c>
      <c r="AX311" s="252">
        <f t="shared" si="435"/>
        <v>1503.5545693146837</v>
      </c>
      <c r="AY311" s="252">
        <f t="shared" si="435"/>
        <v>15491.256832652956</v>
      </c>
    </row>
    <row r="312" spans="31:59">
      <c r="AE312" s="165">
        <v>38261</v>
      </c>
      <c r="AF312" s="277">
        <v>1719200</v>
      </c>
      <c r="AG312" s="277">
        <v>754085</v>
      </c>
      <c r="AH312" s="277">
        <v>495831</v>
      </c>
      <c r="AI312" s="277">
        <v>62960</v>
      </c>
      <c r="AJ312" s="277">
        <v>217965</v>
      </c>
      <c r="AK312" s="277">
        <v>1675705</v>
      </c>
      <c r="AT312" s="252">
        <f t="shared" ref="AT312:AY312" si="436">AF312/SUM(AF306:AF317)*AM317</f>
        <v>16960.052262159497</v>
      </c>
      <c r="AU312" s="252">
        <f t="shared" si="436"/>
        <v>8066.1431049552521</v>
      </c>
      <c r="AV312" s="252">
        <f t="shared" si="436"/>
        <v>4122.2515131286864</v>
      </c>
      <c r="AW312" s="252">
        <f t="shared" si="436"/>
        <v>625.08631923034056</v>
      </c>
      <c r="AX312" s="252">
        <f t="shared" si="436"/>
        <v>1616.0273759248259</v>
      </c>
      <c r="AY312" s="252">
        <f t="shared" si="436"/>
        <v>17834.819888520746</v>
      </c>
    </row>
    <row r="313" spans="31:59">
      <c r="AE313" s="165">
        <v>38292</v>
      </c>
      <c r="AF313" s="277">
        <v>1665987</v>
      </c>
      <c r="AG313" s="277">
        <v>747348</v>
      </c>
      <c r="AH313" s="277">
        <v>486633</v>
      </c>
      <c r="AI313" s="277">
        <v>60841</v>
      </c>
      <c r="AJ313" s="277">
        <v>223150</v>
      </c>
      <c r="AK313" s="277">
        <v>1802543</v>
      </c>
      <c r="AT313" s="252">
        <f t="shared" ref="AT313:AY313" si="437">AF313/SUM(AF306:AF317)*AM317</f>
        <v>16435.101551930155</v>
      </c>
      <c r="AU313" s="252">
        <f t="shared" si="437"/>
        <v>7994.0801331442726</v>
      </c>
      <c r="AV313" s="252">
        <f t="shared" si="437"/>
        <v>4045.7809628449054</v>
      </c>
      <c r="AW313" s="252">
        <f t="shared" si="437"/>
        <v>604.04823297797259</v>
      </c>
      <c r="AX313" s="252">
        <f t="shared" si="437"/>
        <v>1654.4697953232167</v>
      </c>
      <c r="AY313" s="252">
        <f t="shared" si="437"/>
        <v>19184.778792397141</v>
      </c>
    </row>
    <row r="314" spans="31:59">
      <c r="AE314" s="165">
        <v>38322</v>
      </c>
      <c r="AF314" s="277">
        <v>1659879</v>
      </c>
      <c r="AG314" s="277">
        <v>746365</v>
      </c>
      <c r="AH314" s="277">
        <v>522112</v>
      </c>
      <c r="AI314" s="277">
        <v>62205</v>
      </c>
      <c r="AJ314" s="277">
        <v>230063</v>
      </c>
      <c r="AK314" s="277">
        <v>1919688</v>
      </c>
      <c r="AT314" s="252">
        <f t="shared" ref="AT314:AY314" si="438">AF314/SUM(AF306:AF317)*AM317</f>
        <v>16374.845619393351</v>
      </c>
      <c r="AU314" s="252">
        <f t="shared" si="438"/>
        <v>7983.5653786110679</v>
      </c>
      <c r="AV314" s="252">
        <f t="shared" si="438"/>
        <v>4340.7471134774651</v>
      </c>
      <c r="AW314" s="252">
        <f t="shared" si="438"/>
        <v>617.59044612012917</v>
      </c>
      <c r="AX314" s="252">
        <f t="shared" si="438"/>
        <v>1705.7238831344171</v>
      </c>
      <c r="AY314" s="252">
        <f t="shared" si="438"/>
        <v>20431.573410686615</v>
      </c>
      <c r="BA314" s="252">
        <f t="shared" ref="BA314" si="439">SUM(AT303:AT314)</f>
        <v>182415.43779506313</v>
      </c>
      <c r="BB314" s="252">
        <f t="shared" ref="BB314:BF314" si="440">SUM(AU303:AU314)</f>
        <v>85898.701479141921</v>
      </c>
      <c r="BC314" s="252">
        <f t="shared" si="440"/>
        <v>46801.754759729098</v>
      </c>
      <c r="BD314" s="252">
        <f t="shared" si="440"/>
        <v>7039.5211907361299</v>
      </c>
      <c r="BE314" s="252">
        <f t="shared" si="440"/>
        <v>18518.222248516598</v>
      </c>
      <c r="BF314" s="252">
        <f t="shared" si="440"/>
        <v>187437.81774908496</v>
      </c>
      <c r="BG314" s="252">
        <f t="shared" ref="BG314" si="441">SUM(BA314:BF314)</f>
        <v>528111.45522227185</v>
      </c>
    </row>
    <row r="315" spans="31:59">
      <c r="AE315" s="165">
        <v>38353</v>
      </c>
      <c r="AF315" s="277">
        <v>1288091</v>
      </c>
      <c r="AG315" s="277">
        <v>606293</v>
      </c>
      <c r="AH315" s="277">
        <v>386743</v>
      </c>
      <c r="AI315" s="277">
        <v>48109</v>
      </c>
      <c r="AJ315" s="277">
        <v>176998</v>
      </c>
      <c r="AK315" s="277">
        <v>1501934</v>
      </c>
      <c r="AT315" s="252">
        <f t="shared" ref="AT315:AY315" si="442">AF315/SUM(AF306:AF317)*AM317</f>
        <v>12707.125801778322</v>
      </c>
      <c r="AU315" s="252">
        <f t="shared" si="442"/>
        <v>6485.2716889112426</v>
      </c>
      <c r="AV315" s="252">
        <f t="shared" si="442"/>
        <v>3215.3131146336709</v>
      </c>
      <c r="AW315" s="252">
        <f t="shared" si="442"/>
        <v>477.64100590616988</v>
      </c>
      <c r="AX315" s="252">
        <f t="shared" si="442"/>
        <v>1312.2914847977534</v>
      </c>
      <c r="AY315" s="252">
        <f t="shared" si="442"/>
        <v>15985.344899278523</v>
      </c>
    </row>
    <row r="316" spans="31:59">
      <c r="AE316" s="165">
        <v>38384</v>
      </c>
      <c r="AF316" s="277">
        <v>1378529</v>
      </c>
      <c r="AG316" s="277">
        <v>683541</v>
      </c>
      <c r="AH316" s="277">
        <v>443084</v>
      </c>
      <c r="AI316" s="277">
        <v>51050</v>
      </c>
      <c r="AJ316" s="277">
        <v>179101</v>
      </c>
      <c r="AK316" s="277">
        <v>1536063</v>
      </c>
      <c r="AT316" s="252">
        <f t="shared" ref="AT316:AY316" si="443">AF316/SUM(AF306:AF317)*AM317</f>
        <v>13599.304260645924</v>
      </c>
      <c r="AU316" s="252">
        <f t="shared" si="443"/>
        <v>7311.5623889935723</v>
      </c>
      <c r="AV316" s="252">
        <f t="shared" si="443"/>
        <v>3683.7222550488191</v>
      </c>
      <c r="AW316" s="252">
        <f t="shared" si="443"/>
        <v>506.84016195535088</v>
      </c>
      <c r="AX316" s="252">
        <f t="shared" si="443"/>
        <v>1327.8834631959821</v>
      </c>
      <c r="AY316" s="252">
        <f t="shared" si="443"/>
        <v>16348.585784741852</v>
      </c>
    </row>
    <row r="317" spans="31:59">
      <c r="AE317" s="165">
        <v>38412</v>
      </c>
      <c r="AF317" s="277">
        <v>1459944</v>
      </c>
      <c r="AG317" s="277">
        <v>732945</v>
      </c>
      <c r="AH317" s="277">
        <v>577739</v>
      </c>
      <c r="AI317" s="277">
        <v>51516</v>
      </c>
      <c r="AJ317" s="277">
        <v>172720</v>
      </c>
      <c r="AK317" s="277">
        <v>1828190</v>
      </c>
      <c r="AM317" s="277">
        <v>183748</v>
      </c>
      <c r="AN317" s="277">
        <v>89362</v>
      </c>
      <c r="AO317" s="277">
        <v>46854</v>
      </c>
      <c r="AP317" s="277">
        <v>6682</v>
      </c>
      <c r="AQ317" s="277">
        <v>17161</v>
      </c>
      <c r="AR317" s="277">
        <v>184439</v>
      </c>
      <c r="AT317" s="252">
        <f t="shared" ref="AT317:AY317" si="444">AF317/SUM(AF306:AF317)*AM317</f>
        <v>14402.470067372144</v>
      </c>
      <c r="AU317" s="252">
        <f t="shared" si="444"/>
        <v>7840.0170512096493</v>
      </c>
      <c r="AV317" s="252">
        <f t="shared" si="444"/>
        <v>4803.22018377926</v>
      </c>
      <c r="AW317" s="252">
        <f t="shared" si="444"/>
        <v>511.46675383529589</v>
      </c>
      <c r="AX317" s="252">
        <f t="shared" si="444"/>
        <v>1280.5737084840957</v>
      </c>
      <c r="AY317" s="252">
        <f t="shared" si="444"/>
        <v>19457.74427598816</v>
      </c>
      <c r="AZ317" s="25">
        <f t="shared" ref="AZ317" si="445">SUM(AT306:AY317)-SUM(AM317:AR317)</f>
        <v>0</v>
      </c>
    </row>
    <row r="318" spans="31:59">
      <c r="AE318" s="165">
        <v>38443</v>
      </c>
      <c r="AF318" s="277">
        <v>1416869</v>
      </c>
      <c r="AG318" s="277">
        <v>703886</v>
      </c>
      <c r="AH318" s="277">
        <v>430665</v>
      </c>
      <c r="AI318" s="277">
        <v>50782</v>
      </c>
      <c r="AJ318" s="277">
        <v>148469</v>
      </c>
      <c r="AK318" s="277">
        <v>1281374</v>
      </c>
      <c r="AT318" s="252">
        <f t="shared" ref="AT318" si="446">AF318/SUM(AF318:AF329)*AM329</f>
        <v>13847.758365945148</v>
      </c>
      <c r="AU318" s="252">
        <f t="shared" ref="AU318:AY318" si="447">AG318/SUM(AG318:AG329)*AN329</f>
        <v>7203.8040801699244</v>
      </c>
      <c r="AV318" s="252">
        <f t="shared" si="447"/>
        <v>3544.1867355848249</v>
      </c>
      <c r="AW318" s="252">
        <f t="shared" si="447"/>
        <v>477.45900171137174</v>
      </c>
      <c r="AX318" s="252">
        <f t="shared" si="447"/>
        <v>1108.3843454313419</v>
      </c>
      <c r="AY318" s="252">
        <f t="shared" si="447"/>
        <v>12651.972761995192</v>
      </c>
    </row>
    <row r="319" spans="31:59">
      <c r="AE319" s="165">
        <v>38473</v>
      </c>
      <c r="AF319" s="277">
        <v>1446368</v>
      </c>
      <c r="AG319" s="277">
        <v>701110</v>
      </c>
      <c r="AH319" s="277">
        <v>406235</v>
      </c>
      <c r="AI319" s="277">
        <v>48304</v>
      </c>
      <c r="AJ319" s="277">
        <v>138038</v>
      </c>
      <c r="AK319" s="277">
        <v>913250</v>
      </c>
      <c r="AT319" s="252">
        <f t="shared" ref="AT319:AY319" si="448">AF319/SUM(AF318:AF329)*AM329</f>
        <v>14136.066617475117</v>
      </c>
      <c r="AU319" s="252">
        <f t="shared" si="448"/>
        <v>7175.3935703337411</v>
      </c>
      <c r="AV319" s="252">
        <f t="shared" si="448"/>
        <v>3343.138398825773</v>
      </c>
      <c r="AW319" s="252">
        <f t="shared" si="448"/>
        <v>454.16052181217958</v>
      </c>
      <c r="AX319" s="252">
        <f t="shared" si="448"/>
        <v>1030.5124859374791</v>
      </c>
      <c r="AY319" s="252">
        <f t="shared" si="448"/>
        <v>9017.206627332931</v>
      </c>
    </row>
    <row r="320" spans="31:59">
      <c r="AE320" s="165">
        <v>38504</v>
      </c>
      <c r="AF320" s="277">
        <v>1538863</v>
      </c>
      <c r="AG320" s="277">
        <v>735545</v>
      </c>
      <c r="AH320" s="277">
        <v>445892</v>
      </c>
      <c r="AI320" s="277">
        <v>46381</v>
      </c>
      <c r="AJ320" s="277">
        <v>138086</v>
      </c>
      <c r="AK320" s="277">
        <v>1002844</v>
      </c>
      <c r="AT320" s="252">
        <f t="shared" ref="AT320:AY320" si="449">AF320/SUM(AF318:AF329)*AM329</f>
        <v>15040.065794574832</v>
      </c>
      <c r="AU320" s="252">
        <f t="shared" si="449"/>
        <v>7527.8128449046972</v>
      </c>
      <c r="AV320" s="252">
        <f t="shared" si="449"/>
        <v>3669.498361611435</v>
      </c>
      <c r="AW320" s="252">
        <f t="shared" si="449"/>
        <v>436.08022445699527</v>
      </c>
      <c r="AX320" s="252">
        <f t="shared" si="449"/>
        <v>1030.8708263895649</v>
      </c>
      <c r="AY320" s="252">
        <f t="shared" si="449"/>
        <v>9901.8358204008382</v>
      </c>
    </row>
    <row r="321" spans="31:59">
      <c r="AE321" s="165">
        <v>38534</v>
      </c>
      <c r="AF321" s="277">
        <v>1624372</v>
      </c>
      <c r="AG321" s="277">
        <v>757234</v>
      </c>
      <c r="AH321" s="277">
        <v>489725</v>
      </c>
      <c r="AI321" s="277">
        <v>47713</v>
      </c>
      <c r="AJ321" s="277">
        <v>147779</v>
      </c>
      <c r="AK321" s="277">
        <v>1108674</v>
      </c>
      <c r="AT321" s="252">
        <f t="shared" ref="AT321:AY321" si="450">AF321/SUM(AF318:AF329)*AM329</f>
        <v>15875.787353952306</v>
      </c>
      <c r="AU321" s="252">
        <f t="shared" si="450"/>
        <v>7749.7853045001502</v>
      </c>
      <c r="AV321" s="252">
        <f t="shared" si="450"/>
        <v>4030.2249987444497</v>
      </c>
      <c r="AW321" s="252">
        <f t="shared" si="450"/>
        <v>448.60386256261432</v>
      </c>
      <c r="AX321" s="252">
        <f t="shared" si="450"/>
        <v>1103.2332014326107</v>
      </c>
      <c r="AY321" s="252">
        <f t="shared" si="450"/>
        <v>10946.775297401271</v>
      </c>
    </row>
    <row r="322" spans="31:59">
      <c r="AE322" s="165">
        <v>38565</v>
      </c>
      <c r="AF322" s="277">
        <v>1672761</v>
      </c>
      <c r="AG322" s="277">
        <v>778163</v>
      </c>
      <c r="AH322" s="277">
        <v>478863</v>
      </c>
      <c r="AI322" s="277">
        <v>48397</v>
      </c>
      <c r="AJ322" s="277">
        <v>160364</v>
      </c>
      <c r="AK322" s="277">
        <v>1269781</v>
      </c>
      <c r="AT322" s="252">
        <f t="shared" ref="AT322:AY322" si="451">AF322/SUM(AF318:AF329)*AM329</f>
        <v>16348.716876420311</v>
      </c>
      <c r="AU322" s="252">
        <f t="shared" si="451"/>
        <v>7963.9796706246025</v>
      </c>
      <c r="AV322" s="252">
        <f t="shared" si="451"/>
        <v>3940.8354353438431</v>
      </c>
      <c r="AW322" s="252">
        <f t="shared" si="451"/>
        <v>455.03491996820247</v>
      </c>
      <c r="AX322" s="252">
        <f t="shared" si="451"/>
        <v>1197.1855887138172</v>
      </c>
      <c r="AY322" s="252">
        <f t="shared" si="451"/>
        <v>12537.506321884957</v>
      </c>
    </row>
    <row r="323" spans="31:59">
      <c r="AE323" s="165">
        <v>38596</v>
      </c>
      <c r="AF323" s="277">
        <v>1682097</v>
      </c>
      <c r="AG323" s="277">
        <v>792073</v>
      </c>
      <c r="AH323" s="277">
        <v>516567</v>
      </c>
      <c r="AI323" s="277">
        <v>49827</v>
      </c>
      <c r="AJ323" s="277">
        <v>183185</v>
      </c>
      <c r="AK323" s="277">
        <v>1488276</v>
      </c>
      <c r="AT323" s="252">
        <f t="shared" ref="AT323:AY323" si="452">AF323/SUM(AF318:AF329)*AM329</f>
        <v>16439.962201220602</v>
      </c>
      <c r="AU323" s="252">
        <f t="shared" si="452"/>
        <v>8106.3392498109533</v>
      </c>
      <c r="AV323" s="252">
        <f t="shared" si="452"/>
        <v>4251.1230525834389</v>
      </c>
      <c r="AW323" s="252">
        <f t="shared" si="452"/>
        <v>468.47996688339413</v>
      </c>
      <c r="AX323" s="252">
        <f t="shared" si="452"/>
        <v>1367.5540774022886</v>
      </c>
      <c r="AY323" s="252">
        <f t="shared" si="452"/>
        <v>14694.872390364682</v>
      </c>
    </row>
    <row r="324" spans="31:59">
      <c r="AE324" s="165">
        <v>38626</v>
      </c>
      <c r="AF324" s="277">
        <v>1698329</v>
      </c>
      <c r="AG324" s="277">
        <v>811972</v>
      </c>
      <c r="AH324" s="277">
        <v>527704</v>
      </c>
      <c r="AI324" s="277">
        <v>51920</v>
      </c>
      <c r="AJ324" s="277">
        <v>209203</v>
      </c>
      <c r="AK324" s="277">
        <v>1661297</v>
      </c>
      <c r="AT324" s="252">
        <f t="shared" ref="AT324:AY324" si="453">AF324/SUM(AF318:AF329)*AM329</f>
        <v>16598.605529429504</v>
      </c>
      <c r="AU324" s="252">
        <f t="shared" si="453"/>
        <v>8309.9922524154972</v>
      </c>
      <c r="AV324" s="252">
        <f t="shared" si="453"/>
        <v>4342.7757470773213</v>
      </c>
      <c r="AW324" s="252">
        <f t="shared" si="453"/>
        <v>488.15862645926558</v>
      </c>
      <c r="AX324" s="252">
        <f t="shared" si="453"/>
        <v>1561.7895332848814</v>
      </c>
      <c r="AY324" s="252">
        <f t="shared" si="453"/>
        <v>16403.239330269167</v>
      </c>
    </row>
    <row r="325" spans="31:59">
      <c r="AE325" s="165">
        <v>38657</v>
      </c>
      <c r="AF325" s="277">
        <v>1692301</v>
      </c>
      <c r="AG325" s="277">
        <v>806875</v>
      </c>
      <c r="AH325" s="277">
        <v>561851</v>
      </c>
      <c r="AI325" s="277">
        <v>51438</v>
      </c>
      <c r="AJ325" s="277">
        <v>211231</v>
      </c>
      <c r="AK325" s="277">
        <v>1744407</v>
      </c>
      <c r="AT325" s="252">
        <f t="shared" ref="AT325:AY325" si="454">AF325/SUM(AF318:AF329)*AM329</f>
        <v>16539.690917401211</v>
      </c>
      <c r="AU325" s="252">
        <f t="shared" si="454"/>
        <v>8257.8278544922159</v>
      </c>
      <c r="AV325" s="252">
        <f t="shared" si="454"/>
        <v>4623.7907923213388</v>
      </c>
      <c r="AW325" s="252">
        <f t="shared" si="454"/>
        <v>483.62679945708203</v>
      </c>
      <c r="AX325" s="252">
        <f t="shared" si="454"/>
        <v>1576.9294173855001</v>
      </c>
      <c r="AY325" s="252">
        <f t="shared" si="454"/>
        <v>17223.847096814625</v>
      </c>
    </row>
    <row r="326" spans="31:59">
      <c r="AE326" s="165">
        <v>38687</v>
      </c>
      <c r="AF326" s="277">
        <v>1733601</v>
      </c>
      <c r="AG326" s="277">
        <v>811591</v>
      </c>
      <c r="AH326" s="277">
        <v>565634</v>
      </c>
      <c r="AI326" s="277">
        <v>50974</v>
      </c>
      <c r="AJ326" s="277">
        <v>207361</v>
      </c>
      <c r="AK326" s="277">
        <v>1861566</v>
      </c>
      <c r="AT326" s="252">
        <f t="shared" ref="AT326:AY326" si="455">AF326/SUM(AF318:AF329)*AM329</f>
        <v>16943.33615243249</v>
      </c>
      <c r="AU326" s="252">
        <f t="shared" si="455"/>
        <v>8306.0929713464811</v>
      </c>
      <c r="AV326" s="252">
        <f t="shared" si="455"/>
        <v>4654.9232465972091</v>
      </c>
      <c r="AW326" s="252">
        <f t="shared" si="455"/>
        <v>479.26421080767722</v>
      </c>
      <c r="AX326" s="252">
        <f t="shared" si="455"/>
        <v>1548.0382184360947</v>
      </c>
      <c r="AY326" s="252">
        <f t="shared" si="455"/>
        <v>18380.646342641834</v>
      </c>
      <c r="BA326" s="252">
        <f t="shared" ref="BA326" si="456">SUM(AT315:AT326)</f>
        <v>182478.88993864792</v>
      </c>
      <c r="BB326" s="252">
        <f t="shared" ref="BB326:BF326" si="457">SUM(AU315:AU326)</f>
        <v>92237.878927712736</v>
      </c>
      <c r="BC326" s="252">
        <f t="shared" si="457"/>
        <v>48102.752322151377</v>
      </c>
      <c r="BD326" s="252">
        <f t="shared" si="457"/>
        <v>5686.8160558155978</v>
      </c>
      <c r="BE326" s="252">
        <f t="shared" si="457"/>
        <v>15445.24635089141</v>
      </c>
      <c r="BF326" s="252">
        <f t="shared" si="457"/>
        <v>173549.57694911404</v>
      </c>
      <c r="BG326" s="252">
        <f t="shared" ref="BG326" si="458">SUM(BA326:BF326)</f>
        <v>517501.16054433311</v>
      </c>
    </row>
    <row r="327" spans="31:59">
      <c r="AE327" s="165">
        <v>38718</v>
      </c>
      <c r="AF327" s="277">
        <v>1356504</v>
      </c>
      <c r="AG327" s="277">
        <v>645516</v>
      </c>
      <c r="AH327" s="277">
        <v>438928</v>
      </c>
      <c r="AI327" s="277">
        <v>41568</v>
      </c>
      <c r="AJ327" s="277">
        <v>158081</v>
      </c>
      <c r="AK327" s="277">
        <v>1491312</v>
      </c>
      <c r="AT327" s="252">
        <f t="shared" ref="AT327:AY327" si="459">AF327/SUM(AF318:AF329)*AM329</f>
        <v>13257.781498810446</v>
      </c>
      <c r="AU327" s="252">
        <f t="shared" si="459"/>
        <v>6606.4260329300041</v>
      </c>
      <c r="AV327" s="252">
        <f t="shared" si="459"/>
        <v>3612.187652762068</v>
      </c>
      <c r="AW327" s="252">
        <f t="shared" si="459"/>
        <v>390.82776935013004</v>
      </c>
      <c r="AX327" s="252">
        <f t="shared" si="459"/>
        <v>1180.1420209614935</v>
      </c>
      <c r="AY327" s="252">
        <f t="shared" si="459"/>
        <v>14724.849110124424</v>
      </c>
    </row>
    <row r="328" spans="31:59">
      <c r="AE328" s="165">
        <v>38749</v>
      </c>
      <c r="AF328" s="277">
        <v>1454562</v>
      </c>
      <c r="AG328" s="277">
        <v>712073</v>
      </c>
      <c r="AH328" s="277">
        <v>502955</v>
      </c>
      <c r="AI328" s="277">
        <v>43065</v>
      </c>
      <c r="AJ328" s="277">
        <v>159185</v>
      </c>
      <c r="AK328" s="277">
        <v>1542237</v>
      </c>
      <c r="AT328" s="252">
        <f t="shared" ref="AT328:AY328" si="460">AF328/SUM(AF318:AF329)*AM329</f>
        <v>14216.15061398471</v>
      </c>
      <c r="AU328" s="252">
        <f t="shared" si="460"/>
        <v>7287.5925686529336</v>
      </c>
      <c r="AV328" s="252">
        <f t="shared" si="460"/>
        <v>4139.1021782500684</v>
      </c>
      <c r="AW328" s="252">
        <f t="shared" si="460"/>
        <v>404.90275902288658</v>
      </c>
      <c r="AX328" s="252">
        <f t="shared" si="460"/>
        <v>1188.3838513594635</v>
      </c>
      <c r="AY328" s="252">
        <f t="shared" si="460"/>
        <v>15227.670076450106</v>
      </c>
    </row>
    <row r="329" spans="31:59">
      <c r="AE329" s="165">
        <v>38777</v>
      </c>
      <c r="AF329" s="277">
        <v>1536204</v>
      </c>
      <c r="AG329" s="277">
        <v>768194</v>
      </c>
      <c r="AH329" s="277">
        <v>628370</v>
      </c>
      <c r="AI329" s="277">
        <v>45777</v>
      </c>
      <c r="AJ329" s="277">
        <v>163015</v>
      </c>
      <c r="AK329" s="277">
        <v>1772434</v>
      </c>
      <c r="AM329" s="277">
        <v>184258</v>
      </c>
      <c r="AN329" s="277">
        <v>92357</v>
      </c>
      <c r="AO329" s="277">
        <v>49323</v>
      </c>
      <c r="AP329" s="277">
        <v>5417</v>
      </c>
      <c r="AQ329" s="277">
        <v>15110</v>
      </c>
      <c r="AR329" s="277">
        <v>169211</v>
      </c>
      <c r="AT329" s="252">
        <f t="shared" ref="AT329:AY329" si="461">AF329/SUM(AF318:AF329)*AM329</f>
        <v>15014.078078353326</v>
      </c>
      <c r="AU329" s="252">
        <f t="shared" si="461"/>
        <v>7861.9535998187994</v>
      </c>
      <c r="AV329" s="252">
        <f t="shared" si="461"/>
        <v>5171.2134002982284</v>
      </c>
      <c r="AW329" s="252">
        <f t="shared" si="461"/>
        <v>430.40133750820104</v>
      </c>
      <c r="AX329" s="252">
        <f t="shared" si="461"/>
        <v>1216.9764332654645</v>
      </c>
      <c r="AY329" s="252">
        <f t="shared" si="461"/>
        <v>17500.578824319975</v>
      </c>
      <c r="AZ329" s="25">
        <f t="shared" ref="AZ329" si="462">SUM(AT318:AY329)-SUM(AM329:AR329)</f>
        <v>0</v>
      </c>
    </row>
    <row r="330" spans="31:59">
      <c r="AE330" s="165">
        <v>38808</v>
      </c>
      <c r="AF330" s="277">
        <v>1484022</v>
      </c>
      <c r="AG330" s="277">
        <v>734655</v>
      </c>
      <c r="AH330" s="277">
        <v>492556</v>
      </c>
      <c r="AI330" s="277">
        <v>43664</v>
      </c>
      <c r="AJ330" s="277">
        <v>146313</v>
      </c>
      <c r="AK330" s="277">
        <v>1230941</v>
      </c>
      <c r="AT330" s="252">
        <f t="shared" ref="AT330" si="463">AF330/SUM(AF330:AF341)*AM341</f>
        <v>14237.141347197883</v>
      </c>
      <c r="AU330" s="252">
        <f t="shared" ref="AU330:AY330" si="464">AG330/SUM(AG330:AG341)*AN341</f>
        <v>7640.8795853005186</v>
      </c>
      <c r="AV330" s="252">
        <f t="shared" si="464"/>
        <v>3862.681582610031</v>
      </c>
      <c r="AW330" s="252">
        <f t="shared" si="464"/>
        <v>468.224390331405</v>
      </c>
      <c r="AX330" s="252">
        <f t="shared" si="464"/>
        <v>1117.7369879113498</v>
      </c>
      <c r="AY330" s="252">
        <f t="shared" si="464"/>
        <v>12832.862525980716</v>
      </c>
    </row>
    <row r="331" spans="31:59">
      <c r="AE331" s="165">
        <v>38838</v>
      </c>
      <c r="AF331" s="277">
        <v>1507940</v>
      </c>
      <c r="AG331" s="277">
        <v>735941</v>
      </c>
      <c r="AH331" s="277">
        <v>483365</v>
      </c>
      <c r="AI331" s="277">
        <v>45471</v>
      </c>
      <c r="AJ331" s="277">
        <v>136838</v>
      </c>
      <c r="AK331" s="277">
        <v>816154</v>
      </c>
      <c r="AT331" s="252">
        <f t="shared" ref="AT331:AY331" si="465">AF331/SUM(AF330:AF341)*AM341</f>
        <v>14466.601521469072</v>
      </c>
      <c r="AU331" s="252">
        <f t="shared" si="465"/>
        <v>7654.2548037999459</v>
      </c>
      <c r="AV331" s="252">
        <f t="shared" si="465"/>
        <v>3790.6046889659206</v>
      </c>
      <c r="AW331" s="252">
        <f t="shared" si="465"/>
        <v>487.60148526839771</v>
      </c>
      <c r="AX331" s="252">
        <f t="shared" si="465"/>
        <v>1045.3540967092008</v>
      </c>
      <c r="AY331" s="252">
        <f t="shared" si="465"/>
        <v>8508.6060843121359</v>
      </c>
    </row>
    <row r="332" spans="31:59">
      <c r="AE332" s="165">
        <v>38869</v>
      </c>
      <c r="AF332" s="277">
        <v>1601955</v>
      </c>
      <c r="AG332" s="277">
        <v>764767</v>
      </c>
      <c r="AH332" s="277">
        <v>481358</v>
      </c>
      <c r="AI332" s="277">
        <v>45600</v>
      </c>
      <c r="AJ332" s="277">
        <v>140289</v>
      </c>
      <c r="AK332" s="277">
        <v>856075</v>
      </c>
      <c r="AT332" s="252">
        <f t="shared" ref="AT332:AY332" si="466">AF332/SUM(AF330:AF341)*AM341</f>
        <v>15368.545592215201</v>
      </c>
      <c r="AU332" s="252">
        <f t="shared" si="466"/>
        <v>7954.0635506619046</v>
      </c>
      <c r="AV332" s="252">
        <f t="shared" si="466"/>
        <v>3774.8655609555049</v>
      </c>
      <c r="AW332" s="252">
        <f t="shared" si="466"/>
        <v>488.98479752455268</v>
      </c>
      <c r="AX332" s="252">
        <f t="shared" si="466"/>
        <v>1071.7175117528543</v>
      </c>
      <c r="AY332" s="252">
        <f t="shared" si="466"/>
        <v>8924.7923230511788</v>
      </c>
    </row>
    <row r="333" spans="31:59">
      <c r="AE333" s="165">
        <v>38899</v>
      </c>
      <c r="AF333" s="277">
        <v>1688623</v>
      </c>
      <c r="AG333" s="277">
        <v>798470</v>
      </c>
      <c r="AH333" s="277">
        <v>503817</v>
      </c>
      <c r="AI333" s="277">
        <v>45739</v>
      </c>
      <c r="AJ333" s="277">
        <v>150015</v>
      </c>
      <c r="AK333" s="277">
        <v>899486</v>
      </c>
      <c r="AT333" s="252">
        <f t="shared" ref="AT333:AY333" si="467">AF333/SUM(AF330:AF341)*AM341</f>
        <v>16200.005345695234</v>
      </c>
      <c r="AU333" s="252">
        <f t="shared" si="467"/>
        <v>8304.5962015842888</v>
      </c>
      <c r="AV333" s="252">
        <f t="shared" si="467"/>
        <v>3950.9916576101764</v>
      </c>
      <c r="AW333" s="252">
        <f t="shared" si="467"/>
        <v>490.4753432889367</v>
      </c>
      <c r="AX333" s="252">
        <f t="shared" si="467"/>
        <v>1146.017881128274</v>
      </c>
      <c r="AY333" s="252">
        <f t="shared" si="467"/>
        <v>9377.3626697333912</v>
      </c>
    </row>
    <row r="334" spans="31:59">
      <c r="AE334" s="165">
        <v>38930</v>
      </c>
      <c r="AF334" s="277">
        <v>1737589</v>
      </c>
      <c r="AG334" s="277">
        <v>826797</v>
      </c>
      <c r="AH334" s="277">
        <v>501456</v>
      </c>
      <c r="AI334" s="277">
        <v>48099</v>
      </c>
      <c r="AJ334" s="277">
        <v>158482</v>
      </c>
      <c r="AK334" s="277">
        <v>1038732</v>
      </c>
      <c r="AT334" s="252">
        <f t="shared" ref="AT334:AY334" si="468">AF334/SUM(AF330:AF341)*AM341</f>
        <v>16669.766483472769</v>
      </c>
      <c r="AU334" s="252">
        <f t="shared" si="468"/>
        <v>8599.2150308481032</v>
      </c>
      <c r="AV334" s="252">
        <f t="shared" si="468"/>
        <v>3932.4764203243808</v>
      </c>
      <c r="AW334" s="252">
        <f t="shared" si="468"/>
        <v>515.78245123099691</v>
      </c>
      <c r="AX334" s="252">
        <f t="shared" si="468"/>
        <v>1210.7003022162526</v>
      </c>
      <c r="AY334" s="252">
        <f t="shared" si="468"/>
        <v>10829.036450436699</v>
      </c>
    </row>
    <row r="335" spans="31:59">
      <c r="AE335" s="165">
        <v>38961</v>
      </c>
      <c r="AF335" s="277">
        <v>1760779</v>
      </c>
      <c r="AG335" s="277">
        <v>847217</v>
      </c>
      <c r="AH335" s="277">
        <v>537047</v>
      </c>
      <c r="AI335" s="277">
        <v>50496</v>
      </c>
      <c r="AJ335" s="277">
        <v>172593</v>
      </c>
      <c r="AK335" s="277">
        <v>1222453</v>
      </c>
      <c r="AT335" s="252">
        <f t="shared" ref="AT335:AY335" si="469">AF335/SUM(AF330:AF341)*AM341</f>
        <v>16892.242503263253</v>
      </c>
      <c r="AU335" s="252">
        <f t="shared" si="469"/>
        <v>8811.5960275497346</v>
      </c>
      <c r="AV335" s="252">
        <f t="shared" si="469"/>
        <v>4211.5851921324065</v>
      </c>
      <c r="AW335" s="252">
        <f t="shared" si="469"/>
        <v>541.4863231535046</v>
      </c>
      <c r="AX335" s="252">
        <f t="shared" si="469"/>
        <v>1318.4992444593686</v>
      </c>
      <c r="AY335" s="252">
        <f t="shared" si="469"/>
        <v>12744.373039384262</v>
      </c>
    </row>
    <row r="336" spans="31:59">
      <c r="AE336" s="165">
        <v>38991</v>
      </c>
      <c r="AF336" s="277">
        <v>1781105</v>
      </c>
      <c r="AG336" s="277">
        <v>860694</v>
      </c>
      <c r="AH336" s="277">
        <v>545845</v>
      </c>
      <c r="AI336" s="277">
        <v>54109</v>
      </c>
      <c r="AJ336" s="277">
        <v>183304</v>
      </c>
      <c r="AK336" s="277">
        <v>1431632</v>
      </c>
      <c r="AT336" s="252">
        <f t="shared" ref="AT336:AY336" si="470">AF336/SUM(AF330:AF341)*AM341</f>
        <v>17087.242398832961</v>
      </c>
      <c r="AU336" s="252">
        <f t="shared" si="470"/>
        <v>8951.7654052455164</v>
      </c>
      <c r="AV336" s="252">
        <f t="shared" si="470"/>
        <v>4280.5801339538502</v>
      </c>
      <c r="AW336" s="252">
        <f t="shared" si="470"/>
        <v>580.22978967666711</v>
      </c>
      <c r="AX336" s="252">
        <f t="shared" si="470"/>
        <v>1400.3243787777033</v>
      </c>
      <c r="AY336" s="252">
        <f t="shared" si="470"/>
        <v>14925.11553664621</v>
      </c>
    </row>
    <row r="337" spans="31:59">
      <c r="AE337" s="165">
        <v>39022</v>
      </c>
      <c r="AF337" s="277">
        <v>1755254</v>
      </c>
      <c r="AG337" s="277">
        <v>838097</v>
      </c>
      <c r="AH337" s="277">
        <v>554681</v>
      </c>
      <c r="AI337" s="277">
        <v>52487</v>
      </c>
      <c r="AJ337" s="277">
        <v>187107</v>
      </c>
      <c r="AK337" s="277">
        <v>1556353</v>
      </c>
      <c r="AT337" s="252">
        <f t="shared" ref="AT337:AY337" si="471">AF337/SUM(AF330:AF341)*AM341</f>
        <v>16839.237759436499</v>
      </c>
      <c r="AU337" s="252">
        <f t="shared" si="471"/>
        <v>8716.7422229503773</v>
      </c>
      <c r="AV337" s="252">
        <f t="shared" si="471"/>
        <v>4349.8730762059849</v>
      </c>
      <c r="AW337" s="252">
        <f t="shared" si="471"/>
        <v>562.83651464191223</v>
      </c>
      <c r="AX337" s="252">
        <f t="shared" si="471"/>
        <v>1429.3768468770988</v>
      </c>
      <c r="AY337" s="252">
        <f t="shared" si="471"/>
        <v>16225.362621683462</v>
      </c>
    </row>
    <row r="338" spans="31:59">
      <c r="AE338" s="165">
        <v>39052</v>
      </c>
      <c r="AF338" s="277">
        <v>1775422</v>
      </c>
      <c r="AG338" s="277">
        <v>834465</v>
      </c>
      <c r="AH338" s="277">
        <v>587858</v>
      </c>
      <c r="AI338" s="277">
        <v>49273</v>
      </c>
      <c r="AJ338" s="277">
        <v>185267</v>
      </c>
      <c r="AK338" s="277">
        <v>1710438</v>
      </c>
      <c r="AT338" s="252">
        <f t="shared" ref="AT338:AY338" si="472">AF338/SUM(AF330:AF341)*AM341</f>
        <v>17032.721863237042</v>
      </c>
      <c r="AU338" s="252">
        <f t="shared" si="472"/>
        <v>8678.9671112941414</v>
      </c>
      <c r="AV338" s="252">
        <f t="shared" si="472"/>
        <v>4610.0509785485665</v>
      </c>
      <c r="AW338" s="252">
        <f t="shared" si="472"/>
        <v>528.37166509708959</v>
      </c>
      <c r="AX338" s="252">
        <f t="shared" si="472"/>
        <v>1415.3204331766285</v>
      </c>
      <c r="AY338" s="252">
        <f t="shared" si="472"/>
        <v>17831.736625243127</v>
      </c>
      <c r="BA338" s="252">
        <f t="shared" ref="BA338" si="473">SUM(AT327:AT338)</f>
        <v>187281.51500596839</v>
      </c>
      <c r="BB338" s="252">
        <f t="shared" ref="BB338:BF338" si="474">SUM(AU327:AU338)</f>
        <v>97068.052140636268</v>
      </c>
      <c r="BC338" s="252">
        <f t="shared" si="474"/>
        <v>49686.212522617192</v>
      </c>
      <c r="BD338" s="252">
        <f t="shared" si="474"/>
        <v>5890.1246260946791</v>
      </c>
      <c r="BE338" s="252">
        <f t="shared" si="474"/>
        <v>14740.54998859515</v>
      </c>
      <c r="BF338" s="252">
        <f t="shared" si="474"/>
        <v>159652.34588736569</v>
      </c>
      <c r="BG338" s="252">
        <f t="shared" ref="BG338" si="475">SUM(BA338:BF338)</f>
        <v>514318.80017127737</v>
      </c>
    </row>
    <row r="339" spans="31:59">
      <c r="AE339" s="165">
        <v>39083</v>
      </c>
      <c r="AF339" s="277">
        <v>1391000</v>
      </c>
      <c r="AG339" s="277">
        <v>665679</v>
      </c>
      <c r="AH339" s="277">
        <v>472091</v>
      </c>
      <c r="AI339" s="277">
        <v>37450</v>
      </c>
      <c r="AJ339" s="277">
        <v>143384</v>
      </c>
      <c r="AK339" s="277">
        <v>1364312</v>
      </c>
      <c r="AT339" s="252">
        <f t="shared" ref="AT339:AY339" si="476">AF339/SUM(AF330:AF341)*AM341</f>
        <v>13344.723739912386</v>
      </c>
      <c r="AU339" s="252">
        <f t="shared" si="476"/>
        <v>6923.4852841990651</v>
      </c>
      <c r="AV339" s="252">
        <f t="shared" si="476"/>
        <v>3702.1926664500124</v>
      </c>
      <c r="AW339" s="252">
        <f t="shared" si="476"/>
        <v>401.58948831786182</v>
      </c>
      <c r="AX339" s="252">
        <f t="shared" si="476"/>
        <v>1095.3613163196776</v>
      </c>
      <c r="AY339" s="252">
        <f t="shared" si="476"/>
        <v>14223.287987438716</v>
      </c>
    </row>
    <row r="340" spans="31:59">
      <c r="AE340" s="165">
        <v>39114</v>
      </c>
      <c r="AF340" s="277">
        <v>1490041</v>
      </c>
      <c r="AG340" s="277">
        <v>727374</v>
      </c>
      <c r="AH340" s="277">
        <v>524367</v>
      </c>
      <c r="AI340" s="277">
        <v>40401</v>
      </c>
      <c r="AJ340" s="277">
        <v>145391</v>
      </c>
      <c r="AK340" s="277">
        <v>1421336</v>
      </c>
      <c r="AT340" s="252">
        <f t="shared" ref="AT340:AY340" si="477">AF340/SUM(AF330:AF341)*AM341</f>
        <v>14294.885338707973</v>
      </c>
      <c r="AU340" s="252">
        <f t="shared" si="477"/>
        <v>7565.152551168072</v>
      </c>
      <c r="AV340" s="252">
        <f t="shared" si="477"/>
        <v>4112.1471536809504</v>
      </c>
      <c r="AW340" s="252">
        <f t="shared" si="477"/>
        <v>433.23409659625992</v>
      </c>
      <c r="AX340" s="252">
        <f t="shared" si="477"/>
        <v>1110.693502350571</v>
      </c>
      <c r="AY340" s="252">
        <f t="shared" si="477"/>
        <v>14817.777205590946</v>
      </c>
    </row>
    <row r="341" spans="31:59">
      <c r="AE341" s="165">
        <v>39142</v>
      </c>
      <c r="AF341" s="277">
        <v>1570407</v>
      </c>
      <c r="AG341" s="277">
        <v>777768</v>
      </c>
      <c r="AH341" s="277">
        <v>682080</v>
      </c>
      <c r="AI341" s="277">
        <v>44686</v>
      </c>
      <c r="AJ341" s="277">
        <v>145025</v>
      </c>
      <c r="AK341" s="277">
        <v>1561372</v>
      </c>
      <c r="AM341" s="277">
        <v>187499</v>
      </c>
      <c r="AN341" s="277">
        <v>97890</v>
      </c>
      <c r="AO341" s="277">
        <v>49927</v>
      </c>
      <c r="AP341" s="277">
        <v>5978</v>
      </c>
      <c r="AQ341" s="277">
        <v>14469</v>
      </c>
      <c r="AR341" s="277">
        <v>157518</v>
      </c>
      <c r="AT341" s="252">
        <f t="shared" ref="AT341:AY341" si="478">AF341/SUM(AF330:AF341)*AM341</f>
        <v>15065.88610655973</v>
      </c>
      <c r="AU341" s="252">
        <f t="shared" si="478"/>
        <v>8089.2822253983359</v>
      </c>
      <c r="AV341" s="252">
        <f t="shared" si="478"/>
        <v>5348.9508885622145</v>
      </c>
      <c r="AW341" s="252">
        <f t="shared" si="478"/>
        <v>479.18365487241579</v>
      </c>
      <c r="AX341" s="252">
        <f t="shared" si="478"/>
        <v>1107.897498321021</v>
      </c>
      <c r="AY341" s="252">
        <f t="shared" si="478"/>
        <v>16277.686930499156</v>
      </c>
      <c r="AZ341" s="25">
        <f t="shared" ref="AZ341" si="479">SUM(AT330:AY341)-SUM(AM341:AR341)</f>
        <v>0</v>
      </c>
    </row>
    <row r="342" spans="31:59">
      <c r="AE342" s="165">
        <v>39173</v>
      </c>
      <c r="AF342" s="277">
        <v>1509910</v>
      </c>
      <c r="AG342" s="277">
        <v>735512</v>
      </c>
      <c r="AH342" s="277">
        <v>524634</v>
      </c>
      <c r="AI342" s="277">
        <v>45964</v>
      </c>
      <c r="AJ342" s="277">
        <v>125422</v>
      </c>
      <c r="AK342" s="277">
        <v>1150410</v>
      </c>
      <c r="AT342" s="252">
        <f t="shared" ref="AT342" si="480">AF342/SUM(AF342:AF353)*AM353</f>
        <v>14239.486860058372</v>
      </c>
      <c r="AU342" s="252">
        <f t="shared" ref="AU342:AY342" si="481">AG342/SUM(AG342:AG353)*AN353</f>
        <v>7878.636881491454</v>
      </c>
      <c r="AV342" s="252">
        <f t="shared" si="481"/>
        <v>3789.0352506913991</v>
      </c>
      <c r="AW342" s="252">
        <f t="shared" si="481"/>
        <v>462.08598981264385</v>
      </c>
      <c r="AX342" s="252">
        <f t="shared" si="481"/>
        <v>1032.4675155888576</v>
      </c>
      <c r="AY342" s="252">
        <f t="shared" si="481"/>
        <v>11700.882317032805</v>
      </c>
    </row>
    <row r="343" spans="31:59">
      <c r="AE343" s="165">
        <v>39203</v>
      </c>
      <c r="AF343" s="277">
        <v>1505941</v>
      </c>
      <c r="AG343" s="277">
        <v>718701</v>
      </c>
      <c r="AH343" s="277">
        <v>488196</v>
      </c>
      <c r="AI343" s="277">
        <v>46799</v>
      </c>
      <c r="AJ343" s="277">
        <v>117529</v>
      </c>
      <c r="AK343" s="277">
        <v>806260</v>
      </c>
      <c r="AT343" s="252">
        <f t="shared" ref="AT343:AY343" si="482">AF343/SUM(AF342:AF353)*AM353</f>
        <v>14202.056467950517</v>
      </c>
      <c r="AU343" s="252">
        <f t="shared" si="482"/>
        <v>7698.5612816171451</v>
      </c>
      <c r="AV343" s="252">
        <f t="shared" si="482"/>
        <v>3525.8710896482853</v>
      </c>
      <c r="AW343" s="252">
        <f t="shared" si="482"/>
        <v>470.48042462017918</v>
      </c>
      <c r="AX343" s="252">
        <f t="shared" si="482"/>
        <v>967.49274162142888</v>
      </c>
      <c r="AY343" s="252">
        <f t="shared" si="482"/>
        <v>8200.5140575367659</v>
      </c>
    </row>
    <row r="344" spans="31:59">
      <c r="AE344" s="165">
        <v>39234</v>
      </c>
      <c r="AF344" s="277">
        <v>1565874</v>
      </c>
      <c r="AG344" s="277">
        <v>762753</v>
      </c>
      <c r="AH344" s="277">
        <v>532502</v>
      </c>
      <c r="AI344" s="277">
        <v>47944</v>
      </c>
      <c r="AJ344" s="277">
        <v>118599</v>
      </c>
      <c r="AK344" s="277">
        <v>843475</v>
      </c>
      <c r="AT344" s="252">
        <f t="shared" ref="AT344:AY344" si="483">AF344/SUM(AF342:AF353)*AM353</f>
        <v>14767.265762533556</v>
      </c>
      <c r="AU344" s="252">
        <f t="shared" si="483"/>
        <v>8170.4362638111297</v>
      </c>
      <c r="AV344" s="252">
        <f t="shared" si="483"/>
        <v>3845.8598738619139</v>
      </c>
      <c r="AW344" s="252">
        <f t="shared" si="483"/>
        <v>481.99135618260794</v>
      </c>
      <c r="AX344" s="252">
        <f t="shared" si="483"/>
        <v>976.30092712062412</v>
      </c>
      <c r="AY344" s="252">
        <f t="shared" si="483"/>
        <v>8579.0298348929919</v>
      </c>
    </row>
    <row r="345" spans="31:59">
      <c r="AE345" s="165">
        <v>39264</v>
      </c>
      <c r="AF345" s="277">
        <v>1596445</v>
      </c>
      <c r="AG345" s="277">
        <v>802330</v>
      </c>
      <c r="AH345" s="277">
        <v>571547</v>
      </c>
      <c r="AI345" s="277">
        <v>48981</v>
      </c>
      <c r="AJ345" s="277">
        <v>126951</v>
      </c>
      <c r="AK345" s="277">
        <v>906983</v>
      </c>
      <c r="AT345" s="252">
        <f t="shared" ref="AT345:AY345" si="484">AF345/SUM(AF342:AF353)*AM353</f>
        <v>15055.571259416713</v>
      </c>
      <c r="AU345" s="252">
        <f t="shared" si="484"/>
        <v>8594.3760660968674</v>
      </c>
      <c r="AV345" s="252">
        <f t="shared" si="484"/>
        <v>4127.8524274578413</v>
      </c>
      <c r="AW345" s="252">
        <f t="shared" si="484"/>
        <v>492.4165404884933</v>
      </c>
      <c r="AX345" s="252">
        <f t="shared" si="484"/>
        <v>1045.0541657087358</v>
      </c>
      <c r="AY345" s="252">
        <f t="shared" si="484"/>
        <v>9224.9731370114696</v>
      </c>
    </row>
    <row r="346" spans="31:59">
      <c r="AE346" s="165">
        <v>39295</v>
      </c>
      <c r="AF346" s="277">
        <v>1543039</v>
      </c>
      <c r="AG346" s="277">
        <v>796172</v>
      </c>
      <c r="AH346" s="277">
        <v>553196</v>
      </c>
      <c r="AI346" s="277">
        <v>48411</v>
      </c>
      <c r="AJ346" s="277">
        <v>138332</v>
      </c>
      <c r="AK346" s="277">
        <v>1029941</v>
      </c>
      <c r="AT346" s="252">
        <f t="shared" ref="AT346:AY346" si="485">AF346/SUM(AF342:AF353)*AM353</f>
        <v>14551.916051325981</v>
      </c>
      <c r="AU346" s="252">
        <f t="shared" si="485"/>
        <v>8528.4129738342999</v>
      </c>
      <c r="AV346" s="252">
        <f t="shared" si="485"/>
        <v>3995.3170106044959</v>
      </c>
      <c r="AW346" s="252">
        <f t="shared" si="485"/>
        <v>486.68620774562481</v>
      </c>
      <c r="AX346" s="252">
        <f t="shared" si="485"/>
        <v>1138.7419780137286</v>
      </c>
      <c r="AY346" s="252">
        <f t="shared" si="485"/>
        <v>10475.585603816973</v>
      </c>
    </row>
    <row r="347" spans="31:59">
      <c r="AE347" s="165">
        <v>39326</v>
      </c>
      <c r="AF347" s="277">
        <v>1481891</v>
      </c>
      <c r="AG347" s="277">
        <v>762259</v>
      </c>
      <c r="AH347" s="277">
        <v>602947</v>
      </c>
      <c r="AI347" s="277">
        <v>47003</v>
      </c>
      <c r="AJ347" s="277">
        <v>149809</v>
      </c>
      <c r="AK347" s="277">
        <v>1194191</v>
      </c>
      <c r="AT347" s="252">
        <f t="shared" ref="AT347:AY347" si="486">AF347/SUM(AF342:AF353)*AM353</f>
        <v>13975.248473444617</v>
      </c>
      <c r="AU347" s="252">
        <f t="shared" si="486"/>
        <v>8165.1446484201406</v>
      </c>
      <c r="AV347" s="252">
        <f t="shared" si="486"/>
        <v>4354.6309185043801</v>
      </c>
      <c r="AW347" s="252">
        <f t="shared" si="486"/>
        <v>472.5312805492058</v>
      </c>
      <c r="AX347" s="252">
        <f t="shared" si="486"/>
        <v>1233.2200574289293</v>
      </c>
      <c r="AY347" s="252">
        <f t="shared" si="486"/>
        <v>12146.18123543756</v>
      </c>
    </row>
    <row r="348" spans="31:59">
      <c r="AE348" s="165">
        <v>39356</v>
      </c>
      <c r="AF348" s="277">
        <v>1480162</v>
      </c>
      <c r="AG348" s="277">
        <v>724382</v>
      </c>
      <c r="AH348" s="277">
        <v>613732</v>
      </c>
      <c r="AI348" s="277">
        <v>46524</v>
      </c>
      <c r="AJ348" s="277">
        <v>159781</v>
      </c>
      <c r="AK348" s="277">
        <v>1400500</v>
      </c>
      <c r="AT348" s="252">
        <f t="shared" ref="AT348:AY348" si="487">AF348/SUM(AF342:AF353)*AM353</f>
        <v>13958.942817623381</v>
      </c>
      <c r="AU348" s="252">
        <f t="shared" si="487"/>
        <v>7759.4148586135143</v>
      </c>
      <c r="AV348" s="252">
        <f t="shared" si="487"/>
        <v>4432.522830158422</v>
      </c>
      <c r="AW348" s="252">
        <f t="shared" si="487"/>
        <v>467.71579040212862</v>
      </c>
      <c r="AX348" s="252">
        <f t="shared" si="487"/>
        <v>1315.3090535018039</v>
      </c>
      <c r="AY348" s="252">
        <f t="shared" si="487"/>
        <v>14244.561230347826</v>
      </c>
    </row>
    <row r="349" spans="31:59">
      <c r="AE349" s="165">
        <v>39387</v>
      </c>
      <c r="AF349" s="277">
        <v>1484229</v>
      </c>
      <c r="AG349" s="277">
        <v>681447</v>
      </c>
      <c r="AH349" s="277">
        <v>623763</v>
      </c>
      <c r="AI349" s="277">
        <v>47188</v>
      </c>
      <c r="AJ349" s="277">
        <v>162403</v>
      </c>
      <c r="AK349" s="277">
        <v>1544406</v>
      </c>
      <c r="AT349" s="252">
        <f t="shared" ref="AT349:AY349" si="488">AF349/SUM(AF342:AF353)*AM353</f>
        <v>13997.297416943775</v>
      </c>
      <c r="AU349" s="252">
        <f t="shared" si="488"/>
        <v>7299.5049257955088</v>
      </c>
      <c r="AV349" s="252">
        <f t="shared" si="488"/>
        <v>4504.9691691293719</v>
      </c>
      <c r="AW349" s="252">
        <f t="shared" si="488"/>
        <v>474.39112538680342</v>
      </c>
      <c r="AX349" s="252">
        <f t="shared" si="488"/>
        <v>1336.8932239493649</v>
      </c>
      <c r="AY349" s="252">
        <f t="shared" si="488"/>
        <v>15708.236937891157</v>
      </c>
    </row>
    <row r="350" spans="31:59">
      <c r="AE350" s="165">
        <v>39417</v>
      </c>
      <c r="AF350" s="277">
        <v>1528705</v>
      </c>
      <c r="AG350" s="277">
        <v>679487</v>
      </c>
      <c r="AH350" s="277">
        <v>629882</v>
      </c>
      <c r="AI350" s="277">
        <v>48808</v>
      </c>
      <c r="AJ350" s="277">
        <v>168076</v>
      </c>
      <c r="AK350" s="277">
        <v>1655617</v>
      </c>
      <c r="AT350" s="252">
        <f t="shared" ref="AT350:AY350" si="489">AF350/SUM(AF342:AF353)*AM353</f>
        <v>14416.736600463295</v>
      </c>
      <c r="AU350" s="252">
        <f t="shared" si="489"/>
        <v>7278.5098525843005</v>
      </c>
      <c r="AV350" s="252">
        <f t="shared" si="489"/>
        <v>4549.1620859036966</v>
      </c>
      <c r="AW350" s="252">
        <f t="shared" si="489"/>
        <v>490.67733423495599</v>
      </c>
      <c r="AX350" s="252">
        <f t="shared" si="489"/>
        <v>1383.5930709932295</v>
      </c>
      <c r="AY350" s="252">
        <f t="shared" si="489"/>
        <v>16839.37003249181</v>
      </c>
      <c r="BA350" s="252">
        <f t="shared" ref="BA350" si="490">SUM(AT339:AT350)</f>
        <v>171870.01689494032</v>
      </c>
      <c r="BB350" s="252">
        <f t="shared" ref="BB350:BF350" si="491">SUM(AU339:AU350)</f>
        <v>93950.917813029839</v>
      </c>
      <c r="BC350" s="252">
        <f t="shared" si="491"/>
        <v>50288.511364652986</v>
      </c>
      <c r="BD350" s="252">
        <f t="shared" si="491"/>
        <v>5612.9832892091808</v>
      </c>
      <c r="BE350" s="252">
        <f t="shared" si="491"/>
        <v>13743.02505091797</v>
      </c>
      <c r="BF350" s="252">
        <f t="shared" si="491"/>
        <v>152438.08650998818</v>
      </c>
      <c r="BG350" s="252">
        <f t="shared" ref="BG350" si="492">SUM(BA350:BF350)</f>
        <v>487903.5409227385</v>
      </c>
    </row>
    <row r="351" spans="31:59">
      <c r="AE351" s="165">
        <v>39448</v>
      </c>
      <c r="AF351" s="277">
        <v>1213571</v>
      </c>
      <c r="AG351" s="277">
        <v>561495</v>
      </c>
      <c r="AH351" s="277">
        <v>494256</v>
      </c>
      <c r="AI351" s="277">
        <v>37889</v>
      </c>
      <c r="AJ351" s="277">
        <v>135349</v>
      </c>
      <c r="AK351" s="277">
        <v>1314778</v>
      </c>
      <c r="AT351" s="252">
        <f t="shared" ref="AT351:AY351" si="493">AF351/SUM(AF342:AF353)*AM353</f>
        <v>11444.806848254466</v>
      </c>
      <c r="AU351" s="252">
        <f t="shared" si="493"/>
        <v>6014.6064452694773</v>
      </c>
      <c r="AV351" s="252">
        <f t="shared" si="493"/>
        <v>3569.6378939712795</v>
      </c>
      <c r="AW351" s="252">
        <f t="shared" si="493"/>
        <v>380.90627595534033</v>
      </c>
      <c r="AX351" s="252">
        <f t="shared" si="493"/>
        <v>1114.1860739538224</v>
      </c>
      <c r="AY351" s="252">
        <f t="shared" si="493"/>
        <v>13372.6781330341</v>
      </c>
    </row>
    <row r="352" spans="31:59">
      <c r="AE352" s="165">
        <v>39479</v>
      </c>
      <c r="AF352" s="277">
        <v>1314243</v>
      </c>
      <c r="AG352" s="277">
        <v>635152</v>
      </c>
      <c r="AH352" s="277">
        <v>550970</v>
      </c>
      <c r="AI352" s="277">
        <v>38893</v>
      </c>
      <c r="AJ352" s="277">
        <v>153650</v>
      </c>
      <c r="AK352" s="277">
        <v>1360474</v>
      </c>
      <c r="AT352" s="252">
        <f t="shared" ref="AT352:AY352" si="494">AF352/SUM(AF342:AF353)*AM353</f>
        <v>12394.212853364568</v>
      </c>
      <c r="AU352" s="252">
        <f t="shared" si="494"/>
        <v>6803.6034389011465</v>
      </c>
      <c r="AV352" s="252">
        <f t="shared" si="494"/>
        <v>3979.2402933729804</v>
      </c>
      <c r="AW352" s="252">
        <f t="shared" si="494"/>
        <v>390.99970415505953</v>
      </c>
      <c r="AX352" s="252">
        <f t="shared" si="494"/>
        <v>1264.8389737863213</v>
      </c>
      <c r="AY352" s="252">
        <f t="shared" si="494"/>
        <v>13837.454619990167</v>
      </c>
    </row>
    <row r="353" spans="31:59">
      <c r="AE353" s="165">
        <v>39508</v>
      </c>
      <c r="AF353" s="277">
        <v>1380330</v>
      </c>
      <c r="AG353" s="277">
        <v>697811</v>
      </c>
      <c r="AH353" s="277">
        <v>711261</v>
      </c>
      <c r="AI353" s="277">
        <v>39800</v>
      </c>
      <c r="AJ353" s="277">
        <v>149163</v>
      </c>
      <c r="AK353" s="277">
        <v>1536373</v>
      </c>
      <c r="AM353" s="277">
        <v>166021</v>
      </c>
      <c r="AN353" s="277">
        <v>91666</v>
      </c>
      <c r="AO353" s="277">
        <v>49811</v>
      </c>
      <c r="AP353" s="277">
        <v>5471</v>
      </c>
      <c r="AQ353" s="277">
        <v>14036</v>
      </c>
      <c r="AR353" s="277">
        <v>149956</v>
      </c>
      <c r="AT353" s="252">
        <f t="shared" ref="AT353:AY353" si="495">AF353/SUM(AF342:AF353)*AM353</f>
        <v>13017.458588620762</v>
      </c>
      <c r="AU353" s="252">
        <f t="shared" si="495"/>
        <v>7474.7923635650168</v>
      </c>
      <c r="AV353" s="252">
        <f t="shared" si="495"/>
        <v>5136.9011566959352</v>
      </c>
      <c r="AW353" s="252">
        <f t="shared" si="495"/>
        <v>400.11797046695722</v>
      </c>
      <c r="AX353" s="252">
        <f t="shared" si="495"/>
        <v>1227.9022183331535</v>
      </c>
      <c r="AY353" s="252">
        <f t="shared" si="495"/>
        <v>15626.532860516374</v>
      </c>
      <c r="AZ353" s="25">
        <f t="shared" ref="AZ353" si="496">SUM(AT342:AY353)-SUM(AM353:AR353)</f>
        <v>0</v>
      </c>
    </row>
    <row r="354" spans="31:59">
      <c r="AE354" s="165">
        <v>39539</v>
      </c>
      <c r="AF354" s="277">
        <v>1318201</v>
      </c>
      <c r="AG354" s="277">
        <v>675483</v>
      </c>
      <c r="AH354" s="277">
        <v>554789</v>
      </c>
      <c r="AI354" s="277">
        <v>38216</v>
      </c>
      <c r="AJ354" s="277">
        <v>131611</v>
      </c>
      <c r="AK354" s="277">
        <v>1103287</v>
      </c>
      <c r="AT354" s="252">
        <f t="shared" ref="AT354" si="497">AF354/SUM(AF354:AF365)*AM365</f>
        <v>12787.593847186625</v>
      </c>
      <c r="AU354" s="252">
        <f t="shared" ref="AU354:AY354" si="498">AG354/SUM(AG354:AG365)*AN365</f>
        <v>7555.52774909868</v>
      </c>
      <c r="AV354" s="252">
        <f t="shared" si="498"/>
        <v>4364.9804662393926</v>
      </c>
      <c r="AW354" s="252">
        <f t="shared" si="498"/>
        <v>429.55031752605055</v>
      </c>
      <c r="AX354" s="252">
        <f t="shared" si="498"/>
        <v>1134.7359094540911</v>
      </c>
      <c r="AY354" s="252">
        <f t="shared" si="498"/>
        <v>11018.147750526303</v>
      </c>
    </row>
    <row r="355" spans="31:59">
      <c r="AE355" s="165">
        <v>39569</v>
      </c>
      <c r="AF355" s="277">
        <v>1315974</v>
      </c>
      <c r="AG355" s="277">
        <v>676271</v>
      </c>
      <c r="AH355" s="277">
        <v>498620</v>
      </c>
      <c r="AI355" s="277">
        <v>37882</v>
      </c>
      <c r="AJ355" s="277">
        <v>119811</v>
      </c>
      <c r="AK355" s="277">
        <v>756187</v>
      </c>
      <c r="AT355" s="252">
        <f t="shared" ref="AT355:AY355" si="499">AF355/SUM(AF354:AF365)*AM365</f>
        <v>12765.990183179631</v>
      </c>
      <c r="AU355" s="252">
        <f t="shared" si="499"/>
        <v>7564.3418212015895</v>
      </c>
      <c r="AV355" s="252">
        <f t="shared" si="499"/>
        <v>3923.0528364410357</v>
      </c>
      <c r="AW355" s="252">
        <f t="shared" si="499"/>
        <v>425.79613587298121</v>
      </c>
      <c r="AX355" s="252">
        <f t="shared" si="499"/>
        <v>1032.9975765521433</v>
      </c>
      <c r="AY355" s="252">
        <f t="shared" si="499"/>
        <v>7551.779449071033</v>
      </c>
    </row>
    <row r="356" spans="31:59">
      <c r="AE356" s="165">
        <v>39600</v>
      </c>
      <c r="AF356" s="277">
        <v>1375114</v>
      </c>
      <c r="AG356" s="277">
        <v>689846</v>
      </c>
      <c r="AH356" s="277">
        <v>522190</v>
      </c>
      <c r="AI356" s="277">
        <v>38639</v>
      </c>
      <c r="AJ356" s="277">
        <v>127252</v>
      </c>
      <c r="AK356" s="277">
        <v>815336</v>
      </c>
      <c r="AT356" s="252">
        <f t="shared" ref="AT356:AY356" si="500">AF356/SUM(AF354:AF365)*AM365</f>
        <v>13339.695027981461</v>
      </c>
      <c r="AU356" s="252">
        <f t="shared" si="500"/>
        <v>7716.1832283043805</v>
      </c>
      <c r="AV356" s="252">
        <f t="shared" si="500"/>
        <v>4108.4973740747355</v>
      </c>
      <c r="AW356" s="252">
        <f t="shared" si="500"/>
        <v>434.3048649489499</v>
      </c>
      <c r="AX356" s="252">
        <f t="shared" si="500"/>
        <v>1097.1530795287022</v>
      </c>
      <c r="AY356" s="252">
        <f t="shared" si="500"/>
        <v>8142.4801654720068</v>
      </c>
    </row>
    <row r="357" spans="31:59">
      <c r="AE357" s="165">
        <v>39630</v>
      </c>
      <c r="AF357" s="277">
        <v>1446061</v>
      </c>
      <c r="AG357" s="277">
        <v>734604</v>
      </c>
      <c r="AH357" s="277">
        <v>516130</v>
      </c>
      <c r="AI357" s="277">
        <v>39939</v>
      </c>
      <c r="AJ357" s="277">
        <v>135339</v>
      </c>
      <c r="AK357" s="277">
        <v>886824</v>
      </c>
      <c r="AT357" s="252">
        <f t="shared" ref="AT357:AY357" si="501">AF357/SUM(AF354:AF365)*AM365</f>
        <v>14027.937125109554</v>
      </c>
      <c r="AU357" s="252">
        <f t="shared" si="501"/>
        <v>8216.8180496013756</v>
      </c>
      <c r="AV357" s="252">
        <f t="shared" si="501"/>
        <v>4060.8183796725202</v>
      </c>
      <c r="AW357" s="252">
        <f t="shared" si="501"/>
        <v>448.91694922736377</v>
      </c>
      <c r="AX357" s="252">
        <f t="shared" si="501"/>
        <v>1166.8783251370116</v>
      </c>
      <c r="AY357" s="252">
        <f t="shared" si="501"/>
        <v>8856.40623039403</v>
      </c>
    </row>
    <row r="358" spans="31:59">
      <c r="AE358" s="165">
        <v>39661</v>
      </c>
      <c r="AF358" s="277">
        <v>1517031</v>
      </c>
      <c r="AG358" s="277">
        <v>775575</v>
      </c>
      <c r="AH358" s="277">
        <v>517022</v>
      </c>
      <c r="AI358" s="277">
        <v>38745</v>
      </c>
      <c r="AJ358" s="277">
        <v>145923</v>
      </c>
      <c r="AK358" s="277">
        <v>1039052</v>
      </c>
      <c r="AT358" s="252">
        <f t="shared" ref="AT358:AY358" si="502">AF358/SUM(AF354:AF365)*AM365</f>
        <v>14716.402340455948</v>
      </c>
      <c r="AU358" s="252">
        <f t="shared" si="502"/>
        <v>8675.0938720992363</v>
      </c>
      <c r="AV358" s="252">
        <f t="shared" si="502"/>
        <v>4067.8364758782586</v>
      </c>
      <c r="AW358" s="252">
        <f t="shared" si="502"/>
        <v>435.49631182088206</v>
      </c>
      <c r="AX358" s="252">
        <f t="shared" si="502"/>
        <v>1258.1324366144879</v>
      </c>
      <c r="AY358" s="252">
        <f t="shared" si="502"/>
        <v>10376.654901652839</v>
      </c>
    </row>
    <row r="359" spans="31:59">
      <c r="AE359" s="165">
        <v>39692</v>
      </c>
      <c r="AF359" s="277">
        <v>1564571</v>
      </c>
      <c r="AG359" s="277">
        <v>812185</v>
      </c>
      <c r="AH359" s="277">
        <v>557766</v>
      </c>
      <c r="AI359" s="277">
        <v>39931</v>
      </c>
      <c r="AJ359" s="277">
        <v>153108</v>
      </c>
      <c r="AK359" s="277">
        <v>1195246</v>
      </c>
      <c r="AT359" s="252">
        <f t="shared" ref="AT359:AY359" si="503">AF359/SUM(AF354:AF365)*AM365</f>
        <v>15177.577996896245</v>
      </c>
      <c r="AU359" s="252">
        <f t="shared" si="503"/>
        <v>9084.5902930224911</v>
      </c>
      <c r="AV359" s="252">
        <f t="shared" si="503"/>
        <v>4388.4029689350027</v>
      </c>
      <c r="AW359" s="252">
        <f t="shared" si="503"/>
        <v>448.82702870872737</v>
      </c>
      <c r="AX359" s="252">
        <f t="shared" si="503"/>
        <v>1320.0807350806315</v>
      </c>
      <c r="AY359" s="252">
        <f t="shared" si="503"/>
        <v>11936.510650651699</v>
      </c>
    </row>
    <row r="360" spans="31:59">
      <c r="AE360" s="165">
        <v>39722</v>
      </c>
      <c r="AF360" s="277">
        <v>1598197</v>
      </c>
      <c r="AG360" s="277">
        <v>832686</v>
      </c>
      <c r="AH360" s="277">
        <v>544067</v>
      </c>
      <c r="AI360" s="277">
        <v>43114</v>
      </c>
      <c r="AJ360" s="277">
        <v>166900</v>
      </c>
      <c r="AK360" s="277">
        <v>1401412</v>
      </c>
      <c r="AT360" s="252">
        <f t="shared" ref="AT360:AY360" si="504">AF360/SUM(AF354:AF365)*AM365</f>
        <v>15503.776832055297</v>
      </c>
      <c r="AU360" s="252">
        <f t="shared" si="504"/>
        <v>9313.9015775170992</v>
      </c>
      <c r="AV360" s="252">
        <f t="shared" si="504"/>
        <v>4280.6216909950763</v>
      </c>
      <c r="AW360" s="252">
        <f t="shared" si="504"/>
        <v>484.60415506118238</v>
      </c>
      <c r="AX360" s="252">
        <f t="shared" si="504"/>
        <v>1438.9938780792475</v>
      </c>
      <c r="AY360" s="252">
        <f t="shared" si="504"/>
        <v>13995.419573837602</v>
      </c>
    </row>
    <row r="361" spans="31:59">
      <c r="AE361" s="165">
        <v>39753</v>
      </c>
      <c r="AF361" s="277">
        <v>1552418</v>
      </c>
      <c r="AG361" s="277">
        <v>826255</v>
      </c>
      <c r="AH361" s="277">
        <v>540725</v>
      </c>
      <c r="AI361" s="277">
        <v>41559</v>
      </c>
      <c r="AJ361" s="277">
        <v>167076</v>
      </c>
      <c r="AK361" s="277">
        <v>1514918</v>
      </c>
      <c r="AT361" s="252">
        <f t="shared" ref="AT361:AY361" si="505">AF361/SUM(AF354:AF365)*AM365</f>
        <v>15059.684270503334</v>
      </c>
      <c r="AU361" s="252">
        <f t="shared" si="505"/>
        <v>9241.9684586163239</v>
      </c>
      <c r="AV361" s="252">
        <f t="shared" si="505"/>
        <v>4254.3274336861314</v>
      </c>
      <c r="AW361" s="252">
        <f t="shared" si="505"/>
        <v>467.12585425123348</v>
      </c>
      <c r="AX361" s="252">
        <f t="shared" si="505"/>
        <v>1440.5113311801579</v>
      </c>
      <c r="AY361" s="252">
        <f t="shared" si="505"/>
        <v>15128.964951034322</v>
      </c>
    </row>
    <row r="362" spans="31:59">
      <c r="AE362" s="165">
        <v>39783</v>
      </c>
      <c r="AF362" s="277">
        <v>1525045</v>
      </c>
      <c r="AG362" s="277">
        <v>827186</v>
      </c>
      <c r="AH362" s="277">
        <v>585218</v>
      </c>
      <c r="AI362" s="277">
        <v>42318</v>
      </c>
      <c r="AJ362" s="277">
        <v>172528</v>
      </c>
      <c r="AK362" s="277">
        <v>1665914</v>
      </c>
      <c r="AT362" s="252">
        <f t="shared" ref="AT362:AY362" si="506">AF362/SUM(AF354:AF365)*AM365</f>
        <v>14794.144488346412</v>
      </c>
      <c r="AU362" s="252">
        <f t="shared" si="506"/>
        <v>9252.3820387277556</v>
      </c>
      <c r="AV362" s="252">
        <f t="shared" si="506"/>
        <v>4604.3903871412103</v>
      </c>
      <c r="AW362" s="252">
        <f t="shared" si="506"/>
        <v>475.65706345686124</v>
      </c>
      <c r="AX362" s="252">
        <f t="shared" si="506"/>
        <v>1487.5178897379051</v>
      </c>
      <c r="AY362" s="252">
        <f t="shared" si="506"/>
        <v>16636.910062087449</v>
      </c>
      <c r="BA362" s="252">
        <f t="shared" ref="BA362" si="507">SUM(AT351:AT362)</f>
        <v>165029.28040195431</v>
      </c>
      <c r="BB362" s="252">
        <f t="shared" ref="BB362:BF362" si="508">SUM(AU351:AU362)</f>
        <v>96913.809335924569</v>
      </c>
      <c r="BC362" s="252">
        <f t="shared" si="508"/>
        <v>50738.707357103558</v>
      </c>
      <c r="BD362" s="252">
        <f t="shared" si="508"/>
        <v>5222.3026314515891</v>
      </c>
      <c r="BE362" s="252">
        <f t="shared" si="508"/>
        <v>14983.928427437673</v>
      </c>
      <c r="BF362" s="252">
        <f t="shared" si="508"/>
        <v>146479.93934826792</v>
      </c>
      <c r="BG362" s="252">
        <f t="shared" ref="BG362" si="509">SUM(BA362:BF362)</f>
        <v>479367.96750213963</v>
      </c>
    </row>
    <row r="363" spans="31:59">
      <c r="AE363" s="165">
        <v>39814</v>
      </c>
      <c r="AF363" s="277">
        <v>1172480</v>
      </c>
      <c r="AG363" s="277">
        <v>654465</v>
      </c>
      <c r="AH363" s="277">
        <v>460022</v>
      </c>
      <c r="AI363" s="277">
        <v>34184</v>
      </c>
      <c r="AJ363" s="277">
        <v>137123</v>
      </c>
      <c r="AK363" s="277">
        <v>1316785</v>
      </c>
      <c r="AT363" s="252">
        <f t="shared" ref="AT363:AY363" si="510">AF363/SUM(AF354:AF365)*AM365</f>
        <v>11373.984721563231</v>
      </c>
      <c r="AU363" s="252">
        <f t="shared" si="510"/>
        <v>7320.4336279578729</v>
      </c>
      <c r="AV363" s="252">
        <f t="shared" si="510"/>
        <v>3619.3706869465291</v>
      </c>
      <c r="AW363" s="252">
        <f t="shared" si="510"/>
        <v>384.23037613330843</v>
      </c>
      <c r="AX363" s="252">
        <f t="shared" si="510"/>
        <v>1182.2597815689671</v>
      </c>
      <c r="AY363" s="252">
        <f t="shared" si="510"/>
        <v>13150.278835585643</v>
      </c>
    </row>
    <row r="364" spans="31:59">
      <c r="AE364" s="165">
        <v>39845</v>
      </c>
      <c r="AF364" s="277">
        <v>1238846</v>
      </c>
      <c r="AG364" s="277">
        <v>700310</v>
      </c>
      <c r="AH364" s="277">
        <v>510656</v>
      </c>
      <c r="AI364" s="277">
        <v>38489</v>
      </c>
      <c r="AJ364" s="277">
        <v>151777</v>
      </c>
      <c r="AK364" s="277">
        <v>1383268</v>
      </c>
      <c r="AT364" s="252">
        <f t="shared" ref="AT364:AY364" si="511">AF364/SUM(AF354:AF365)*AM365</f>
        <v>12017.787490080618</v>
      </c>
      <c r="AU364" s="252">
        <f t="shared" si="511"/>
        <v>7833.2269471937807</v>
      </c>
      <c r="AV364" s="252">
        <f t="shared" si="511"/>
        <v>4017.7499282933572</v>
      </c>
      <c r="AW364" s="252">
        <f t="shared" si="511"/>
        <v>432.61885522451746</v>
      </c>
      <c r="AX364" s="252">
        <f t="shared" si="511"/>
        <v>1308.6049960049966</v>
      </c>
      <c r="AY364" s="252">
        <f t="shared" si="511"/>
        <v>13814.221687172074</v>
      </c>
    </row>
    <row r="365" spans="31:59">
      <c r="AE365" s="165">
        <v>39873</v>
      </c>
      <c r="AF365" s="277">
        <v>1268497</v>
      </c>
      <c r="AG365" s="277">
        <v>725370</v>
      </c>
      <c r="AH365" s="277">
        <v>621767</v>
      </c>
      <c r="AI365" s="277">
        <v>42693</v>
      </c>
      <c r="AJ365" s="277">
        <v>168772</v>
      </c>
      <c r="AK365" s="277">
        <v>1592047</v>
      </c>
      <c r="AM365" s="277">
        <v>163870</v>
      </c>
      <c r="AN365" s="277">
        <v>99888</v>
      </c>
      <c r="AO365" s="277">
        <v>50582</v>
      </c>
      <c r="AP365" s="277">
        <v>5347</v>
      </c>
      <c r="AQ365" s="277">
        <v>15323</v>
      </c>
      <c r="AR365" s="277">
        <v>146507</v>
      </c>
      <c r="AT365" s="252">
        <f t="shared" ref="AT365:AY365" si="512">AF365/SUM(AF354:AF365)*AM365</f>
        <v>12305.425676641646</v>
      </c>
      <c r="AU365" s="252">
        <f t="shared" si="512"/>
        <v>8113.5323366594112</v>
      </c>
      <c r="AV365" s="252">
        <f t="shared" si="512"/>
        <v>4891.9513716967504</v>
      </c>
      <c r="AW365" s="252">
        <f t="shared" si="512"/>
        <v>479.87208776794216</v>
      </c>
      <c r="AX365" s="252">
        <f t="shared" si="512"/>
        <v>1455.134061061658</v>
      </c>
      <c r="AY365" s="252">
        <f t="shared" si="512"/>
        <v>15899.225742515002</v>
      </c>
      <c r="AZ365" s="25">
        <f t="shared" ref="AZ365" si="513">SUM(AT354:AY365)-SUM(AM365:AR365)</f>
        <v>0</v>
      </c>
    </row>
    <row r="366" spans="31:59">
      <c r="AE366" s="165">
        <v>39904</v>
      </c>
      <c r="AF366" s="277">
        <v>1173820</v>
      </c>
      <c r="AG366" s="277">
        <v>676313</v>
      </c>
      <c r="AH366" s="277">
        <v>492721</v>
      </c>
      <c r="AI366" s="277">
        <v>43812</v>
      </c>
      <c r="AJ366" s="277">
        <v>149965</v>
      </c>
      <c r="AK366" s="277">
        <v>1223670</v>
      </c>
      <c r="AT366" s="252">
        <f t="shared" ref="AT366" si="514">AF366/SUM(AF366:AF377)*AM377</f>
        <v>10672.709447145216</v>
      </c>
      <c r="AU366" s="252">
        <f t="shared" ref="AU366:AY366" si="515">AG366/SUM(AG366:AG377)*AN377</f>
        <v>7448.5170221181052</v>
      </c>
      <c r="AV366" s="252">
        <f t="shared" si="515"/>
        <v>4112.717534188293</v>
      </c>
      <c r="AW366" s="252">
        <f t="shared" si="515"/>
        <v>447.42956292730128</v>
      </c>
      <c r="AX366" s="252">
        <f t="shared" si="515"/>
        <v>1257.911579716827</v>
      </c>
      <c r="AY366" s="252">
        <f t="shared" si="515"/>
        <v>12001.120609776432</v>
      </c>
    </row>
    <row r="367" spans="31:59">
      <c r="AE367" s="165">
        <v>39934</v>
      </c>
      <c r="AF367" s="277">
        <v>1149570</v>
      </c>
      <c r="AG367" s="277">
        <v>644713</v>
      </c>
      <c r="AH367" s="277">
        <v>466599</v>
      </c>
      <c r="AI367" s="277">
        <v>44331</v>
      </c>
      <c r="AJ367" s="277">
        <v>144863</v>
      </c>
      <c r="AK367" s="277">
        <v>855182</v>
      </c>
      <c r="AT367" s="252">
        <f t="shared" ref="AT367:AY367" si="516">AF367/SUM(AF366:AF377)*AM377</f>
        <v>10452.221464240452</v>
      </c>
      <c r="AU367" s="252">
        <f t="shared" si="516"/>
        <v>7100.4930481608817</v>
      </c>
      <c r="AV367" s="252">
        <f t="shared" si="516"/>
        <v>3894.6785071769282</v>
      </c>
      <c r="AW367" s="252">
        <f t="shared" si="516"/>
        <v>452.72984465740421</v>
      </c>
      <c r="AX367" s="252">
        <f t="shared" si="516"/>
        <v>1215.1158281766993</v>
      </c>
      <c r="AY367" s="252">
        <f t="shared" si="516"/>
        <v>8387.1814503173464</v>
      </c>
    </row>
    <row r="368" spans="31:59">
      <c r="AE368" s="165">
        <v>39965</v>
      </c>
      <c r="AF368" s="277">
        <v>1177476</v>
      </c>
      <c r="AG368" s="277">
        <v>621079</v>
      </c>
      <c r="AH368" s="277">
        <v>477732</v>
      </c>
      <c r="AI368" s="277">
        <v>45989</v>
      </c>
      <c r="AJ368" s="277">
        <v>148448</v>
      </c>
      <c r="AK368" s="277">
        <v>885926</v>
      </c>
      <c r="AT368" s="252">
        <f t="shared" ref="AT368:AY368" si="517">AF368/SUM(AF366:AF377)*AM377</f>
        <v>10705.950851908096</v>
      </c>
      <c r="AU368" s="252">
        <f t="shared" si="517"/>
        <v>6840.2019532081904</v>
      </c>
      <c r="AV368" s="252">
        <f t="shared" si="517"/>
        <v>3987.6051011481986</v>
      </c>
      <c r="AW368" s="252">
        <f t="shared" si="517"/>
        <v>469.6621512248621</v>
      </c>
      <c r="AX368" s="252">
        <f t="shared" si="517"/>
        <v>1245.1869315227123</v>
      </c>
      <c r="AY368" s="252">
        <f t="shared" si="517"/>
        <v>8688.7026545856261</v>
      </c>
    </row>
    <row r="369" spans="31:59">
      <c r="AE369" s="165">
        <v>39995</v>
      </c>
      <c r="AF369" s="277">
        <v>1225562</v>
      </c>
      <c r="AG369" s="277">
        <v>603743</v>
      </c>
      <c r="AH369" s="277">
        <v>447432</v>
      </c>
      <c r="AI369" s="277">
        <v>47863</v>
      </c>
      <c r="AJ369" s="277">
        <v>153807</v>
      </c>
      <c r="AK369" s="277">
        <v>950319</v>
      </c>
      <c r="AT369" s="252">
        <f t="shared" ref="AT369:AY369" si="518">AF369/SUM(AF366:AF377)*AM377</f>
        <v>11143.162610504323</v>
      </c>
      <c r="AU369" s="252">
        <f t="shared" si="518"/>
        <v>6649.2733578752022</v>
      </c>
      <c r="AV369" s="252">
        <f t="shared" si="518"/>
        <v>3734.692517178964</v>
      </c>
      <c r="AW369" s="252">
        <f t="shared" si="518"/>
        <v>488.80035539097554</v>
      </c>
      <c r="AX369" s="252">
        <f t="shared" si="518"/>
        <v>1290.1384079052179</v>
      </c>
      <c r="AY369" s="252">
        <f t="shared" si="518"/>
        <v>9320.2357962213082</v>
      </c>
    </row>
    <row r="370" spans="31:59">
      <c r="AE370" s="165">
        <v>40026</v>
      </c>
      <c r="AF370" s="277">
        <v>1241904</v>
      </c>
      <c r="AG370" s="277">
        <v>595241</v>
      </c>
      <c r="AH370" s="277">
        <v>442169</v>
      </c>
      <c r="AI370" s="277">
        <v>47715</v>
      </c>
      <c r="AJ370" s="277">
        <v>156798</v>
      </c>
      <c r="AK370" s="277">
        <v>1069089</v>
      </c>
      <c r="AT370" s="252">
        <f t="shared" ref="AT370:AY370" si="519">AF370/SUM(AF366:AF377)*AM377</f>
        <v>11291.748780262251</v>
      </c>
      <c r="AU370" s="252">
        <f t="shared" si="519"/>
        <v>6555.6372874136732</v>
      </c>
      <c r="AV370" s="252">
        <f t="shared" si="519"/>
        <v>3690.7625195080041</v>
      </c>
      <c r="AW370" s="252">
        <f t="shared" si="519"/>
        <v>487.28890703634113</v>
      </c>
      <c r="AX370" s="252">
        <f t="shared" si="519"/>
        <v>1315.2270188139835</v>
      </c>
      <c r="AY370" s="252">
        <f t="shared" si="519"/>
        <v>10485.070347058665</v>
      </c>
    </row>
    <row r="371" spans="31:59">
      <c r="AE371" s="165">
        <v>40057</v>
      </c>
      <c r="AF371" s="277">
        <v>1208014</v>
      </c>
      <c r="AG371" s="277">
        <v>574899</v>
      </c>
      <c r="AH371" s="277">
        <v>451201</v>
      </c>
      <c r="AI371" s="277">
        <v>49017</v>
      </c>
      <c r="AJ371" s="277">
        <v>164319</v>
      </c>
      <c r="AK371" s="277">
        <v>1259111</v>
      </c>
      <c r="AT371" s="252">
        <f t="shared" ref="AT371:AY371" si="520">AF371/SUM(AF366:AF377)*AM377</f>
        <v>10983.611141472868</v>
      </c>
      <c r="AU371" s="252">
        <f t="shared" si="520"/>
        <v>6331.6023608871583</v>
      </c>
      <c r="AV371" s="252">
        <f t="shared" si="520"/>
        <v>3766.1521716007478</v>
      </c>
      <c r="AW371" s="252">
        <f t="shared" si="520"/>
        <v>500.58556756157049</v>
      </c>
      <c r="AX371" s="252">
        <f t="shared" si="520"/>
        <v>1378.3134255825646</v>
      </c>
      <c r="AY371" s="252">
        <f t="shared" si="520"/>
        <v>12348.707553585698</v>
      </c>
    </row>
    <row r="372" spans="31:59">
      <c r="AE372" s="165">
        <v>40087</v>
      </c>
      <c r="AF372" s="277">
        <v>1191380</v>
      </c>
      <c r="AG372" s="277">
        <v>564880</v>
      </c>
      <c r="AH372" s="277">
        <v>439076</v>
      </c>
      <c r="AI372" s="277">
        <v>50659</v>
      </c>
      <c r="AJ372" s="277">
        <v>173749</v>
      </c>
      <c r="AK372" s="277">
        <v>1459706</v>
      </c>
      <c r="AT372" s="252">
        <f t="shared" ref="AT372:AY372" si="521">AF372/SUM(AF366:AF377)*AM377</f>
        <v>10832.370023632131</v>
      </c>
      <c r="AU372" s="252">
        <f t="shared" si="521"/>
        <v>6221.2589369923035</v>
      </c>
      <c r="AV372" s="252">
        <f t="shared" si="521"/>
        <v>3664.9454032632239</v>
      </c>
      <c r="AW372" s="252">
        <f t="shared" si="521"/>
        <v>517.35447430690579</v>
      </c>
      <c r="AX372" s="252">
        <f t="shared" si="521"/>
        <v>1457.4125900324673</v>
      </c>
      <c r="AY372" s="252">
        <f t="shared" si="521"/>
        <v>14316.039259616004</v>
      </c>
    </row>
    <row r="373" spans="31:59">
      <c r="AE373" s="165">
        <v>40118</v>
      </c>
      <c r="AF373" s="277">
        <v>1207976</v>
      </c>
      <c r="AG373" s="277">
        <v>557497</v>
      </c>
      <c r="AH373" s="277">
        <v>437070</v>
      </c>
      <c r="AI373" s="277">
        <v>48083</v>
      </c>
      <c r="AJ373" s="277">
        <v>183929</v>
      </c>
      <c r="AK373" s="277">
        <v>1589448</v>
      </c>
      <c r="AT373" s="252">
        <f t="shared" ref="AT373:AY373" si="522">AF373/SUM(AF366:AF377)*AM377</f>
        <v>10983.265634530584</v>
      </c>
      <c r="AU373" s="252">
        <f t="shared" si="522"/>
        <v>6139.9468800389423</v>
      </c>
      <c r="AV373" s="252">
        <f t="shared" si="522"/>
        <v>3648.2014216314651</v>
      </c>
      <c r="AW373" s="252">
        <f t="shared" si="522"/>
        <v>491.04710294516173</v>
      </c>
      <c r="AX373" s="252">
        <f t="shared" si="522"/>
        <v>1542.8027802869753</v>
      </c>
      <c r="AY373" s="252">
        <f t="shared" si="522"/>
        <v>15588.4814949847</v>
      </c>
    </row>
    <row r="374" spans="31:59">
      <c r="AE374" s="165">
        <v>40148</v>
      </c>
      <c r="AF374" s="277">
        <v>1216948</v>
      </c>
      <c r="AG374" s="277">
        <v>548895</v>
      </c>
      <c r="AH374" s="277">
        <v>441788</v>
      </c>
      <c r="AI374" s="277">
        <v>46455</v>
      </c>
      <c r="AJ374" s="277">
        <v>186570</v>
      </c>
      <c r="AK374" s="277">
        <v>1733661</v>
      </c>
      <c r="AT374" s="252">
        <f t="shared" ref="AT374:AY374" si="523">AF374/SUM(AF366:AF377)*AM377</f>
        <v>11064.84164206137</v>
      </c>
      <c r="AU374" s="252">
        <f t="shared" si="523"/>
        <v>6045.2094678876756</v>
      </c>
      <c r="AV374" s="252">
        <f t="shared" si="523"/>
        <v>3687.5823315709649</v>
      </c>
      <c r="AW374" s="252">
        <f t="shared" si="523"/>
        <v>474.42117104418378</v>
      </c>
      <c r="AX374" s="252">
        <f t="shared" si="523"/>
        <v>1564.9555791535918</v>
      </c>
      <c r="AY374" s="252">
        <f t="shared" si="523"/>
        <v>17002.847791860237</v>
      </c>
      <c r="BA374" s="252">
        <f t="shared" ref="BA374" si="524">SUM(AT363:AT374)</f>
        <v>133827.0794840428</v>
      </c>
      <c r="BB374" s="252">
        <f t="shared" ref="BB374:BF374" si="525">SUM(AU363:AU374)</f>
        <v>82599.333226393195</v>
      </c>
      <c r="BC374" s="252">
        <f t="shared" si="525"/>
        <v>46716.409494203428</v>
      </c>
      <c r="BD374" s="252">
        <f t="shared" si="525"/>
        <v>5626.0404562204749</v>
      </c>
      <c r="BE374" s="252">
        <f t="shared" si="525"/>
        <v>16213.062979826658</v>
      </c>
      <c r="BF374" s="252">
        <f t="shared" si="525"/>
        <v>151002.11322327872</v>
      </c>
      <c r="BG374" s="252">
        <f t="shared" ref="BG374" si="526">SUM(BA374:BF374)</f>
        <v>435984.03886396525</v>
      </c>
    </row>
    <row r="375" spans="31:59">
      <c r="AE375" s="165">
        <v>40179</v>
      </c>
      <c r="AF375" s="277">
        <v>1157372</v>
      </c>
      <c r="AG375" s="277">
        <v>514485</v>
      </c>
      <c r="AH375" s="277">
        <v>391971</v>
      </c>
      <c r="AI375" s="277">
        <v>41801</v>
      </c>
      <c r="AJ375" s="277">
        <v>168309</v>
      </c>
      <c r="AK375" s="277">
        <v>1634405</v>
      </c>
      <c r="AT375" s="252">
        <f t="shared" ref="AT375:AY375" si="527">AF375/SUM(AF366:AF377)*AM377</f>
        <v>10523.15949486408</v>
      </c>
      <c r="AU375" s="252">
        <f t="shared" si="527"/>
        <v>5666.2377924488119</v>
      </c>
      <c r="AV375" s="252">
        <f t="shared" si="527"/>
        <v>3271.7623251156724</v>
      </c>
      <c r="AW375" s="252">
        <f t="shared" si="527"/>
        <v>426.89224778426279</v>
      </c>
      <c r="AX375" s="252">
        <f t="shared" si="527"/>
        <v>1411.7816828630644</v>
      </c>
      <c r="AY375" s="252">
        <f t="shared" si="527"/>
        <v>16029.396430591294</v>
      </c>
    </row>
    <row r="376" spans="31:59">
      <c r="AE376" s="165">
        <v>40210</v>
      </c>
      <c r="AF376" s="277">
        <v>1121149</v>
      </c>
      <c r="AG376" s="277">
        <v>518903</v>
      </c>
      <c r="AH376" s="277">
        <v>443138</v>
      </c>
      <c r="AI376" s="277">
        <v>41725</v>
      </c>
      <c r="AJ376" s="277">
        <v>168131</v>
      </c>
      <c r="AK376" s="277">
        <v>1672579</v>
      </c>
      <c r="AT376" s="252">
        <f t="shared" ref="AT376:AY376" si="528">AF376/SUM(AF366:AF377)*AM377</f>
        <v>10193.809548276065</v>
      </c>
      <c r="AU376" s="252">
        <f t="shared" si="528"/>
        <v>5714.8950683014391</v>
      </c>
      <c r="AV376" s="252">
        <f t="shared" si="528"/>
        <v>3698.8507140250399</v>
      </c>
      <c r="AW376" s="252">
        <f t="shared" si="528"/>
        <v>426.11609862918021</v>
      </c>
      <c r="AX376" s="252">
        <f t="shared" si="528"/>
        <v>1410.2886127387712</v>
      </c>
      <c r="AY376" s="252">
        <f t="shared" si="528"/>
        <v>16403.787220720664</v>
      </c>
    </row>
    <row r="377" spans="31:59">
      <c r="AE377" s="165">
        <v>40238</v>
      </c>
      <c r="AF377" s="277">
        <v>1051127</v>
      </c>
      <c r="AG377" s="277">
        <v>514711</v>
      </c>
      <c r="AH377" s="277">
        <v>521993</v>
      </c>
      <c r="AI377" s="277">
        <v>42367</v>
      </c>
      <c r="AJ377" s="277">
        <v>168319</v>
      </c>
      <c r="AK377" s="277">
        <v>1698747</v>
      </c>
      <c r="AM377" s="277">
        <v>128404</v>
      </c>
      <c r="AN377" s="277">
        <v>76382</v>
      </c>
      <c r="AO377" s="277">
        <v>45515</v>
      </c>
      <c r="AP377" s="277">
        <v>5615</v>
      </c>
      <c r="AQ377" s="277">
        <v>16501</v>
      </c>
      <c r="AR377" s="277">
        <v>157232</v>
      </c>
      <c r="AT377" s="252">
        <f t="shared" ref="AT377:AY377" si="529">AF377/SUM(AF366:AF377)*AM377</f>
        <v>9557.1493611025635</v>
      </c>
      <c r="AU377" s="252">
        <f t="shared" si="529"/>
        <v>5668.7268246676203</v>
      </c>
      <c r="AV377" s="252">
        <f t="shared" si="529"/>
        <v>4357.049453592499</v>
      </c>
      <c r="AW377" s="252">
        <f t="shared" si="529"/>
        <v>432.67251649185096</v>
      </c>
      <c r="AX377" s="252">
        <f t="shared" si="529"/>
        <v>1411.8655632071257</v>
      </c>
      <c r="AY377" s="252">
        <f t="shared" si="529"/>
        <v>16660.429390682031</v>
      </c>
      <c r="AZ377" s="25">
        <f t="shared" ref="AZ377" si="530">SUM(AT366:AY377)-SUM(AM377:AR377)</f>
        <v>0</v>
      </c>
    </row>
    <row r="378" spans="31:59">
      <c r="AE378" s="165">
        <v>40269</v>
      </c>
      <c r="AF378" s="277">
        <v>1004312</v>
      </c>
      <c r="AG378" s="277">
        <v>498897</v>
      </c>
      <c r="AH378" s="277">
        <v>386943</v>
      </c>
      <c r="AI378" s="277">
        <v>38545</v>
      </c>
      <c r="AJ378" s="277">
        <v>155209</v>
      </c>
      <c r="AK378" s="277">
        <v>976419</v>
      </c>
      <c r="AT378" s="252">
        <f t="shared" ref="AT378" si="531">AF378/SUM(AF378:AF389)*AM389</f>
        <v>9535.1570093699975</v>
      </c>
      <c r="AU378" s="252">
        <f t="shared" ref="AU378:AY378" si="532">AG378/SUM(AG378:AG389)*AN389</f>
        <v>4983.1336571915381</v>
      </c>
      <c r="AV378" s="252">
        <f t="shared" si="532"/>
        <v>2653.8751210313262</v>
      </c>
      <c r="AW378" s="252">
        <f t="shared" si="532"/>
        <v>346.24395217512546</v>
      </c>
      <c r="AX378" s="252">
        <f t="shared" si="532"/>
        <v>1264.9350987082469</v>
      </c>
      <c r="AY378" s="252">
        <f t="shared" si="532"/>
        <v>11180.238469806112</v>
      </c>
    </row>
    <row r="379" spans="31:59">
      <c r="AE379" s="165">
        <v>40299</v>
      </c>
      <c r="AF379" s="277">
        <v>1019547</v>
      </c>
      <c r="AG379" s="277">
        <v>507531</v>
      </c>
      <c r="AH379" s="277">
        <v>454485</v>
      </c>
      <c r="AI379" s="277">
        <v>41293</v>
      </c>
      <c r="AJ379" s="277">
        <v>151344</v>
      </c>
      <c r="AK379" s="277">
        <v>830077</v>
      </c>
      <c r="AT379" s="252">
        <f t="shared" ref="AT379:AY379" si="533">AF379/SUM(AF378:AF389)*AM389</f>
        <v>9679.8014197103621</v>
      </c>
      <c r="AU379" s="252">
        <f t="shared" si="533"/>
        <v>5069.3726524073672</v>
      </c>
      <c r="AV379" s="252">
        <f t="shared" si="533"/>
        <v>3117.1165633747664</v>
      </c>
      <c r="AW379" s="252">
        <f t="shared" si="533"/>
        <v>370.9288238984941</v>
      </c>
      <c r="AX379" s="252">
        <f t="shared" si="533"/>
        <v>1233.4358032002071</v>
      </c>
      <c r="AY379" s="252">
        <f t="shared" si="533"/>
        <v>9504.5864616535</v>
      </c>
    </row>
    <row r="380" spans="31:59">
      <c r="AE380" s="165">
        <v>40330</v>
      </c>
      <c r="AF380" s="277">
        <v>1070233</v>
      </c>
      <c r="AG380" s="277">
        <v>522266</v>
      </c>
      <c r="AH380" s="277">
        <v>423076</v>
      </c>
      <c r="AI380" s="277">
        <v>41205</v>
      </c>
      <c r="AJ380" s="277">
        <v>158969</v>
      </c>
      <c r="AK380" s="277">
        <v>847601</v>
      </c>
      <c r="AT380" s="252">
        <f t="shared" ref="AT380:AY380" si="534">AF380/SUM(AF378:AF389)*AM389</f>
        <v>10161.025350298594</v>
      </c>
      <c r="AU380" s="252">
        <f t="shared" si="534"/>
        <v>5216.5502751205067</v>
      </c>
      <c r="AV380" s="252">
        <f t="shared" si="534"/>
        <v>2901.6957813048675</v>
      </c>
      <c r="AW380" s="252">
        <f t="shared" si="534"/>
        <v>370.1383331009481</v>
      </c>
      <c r="AX380" s="252">
        <f t="shared" si="534"/>
        <v>1295.5786565634166</v>
      </c>
      <c r="AY380" s="252">
        <f t="shared" si="534"/>
        <v>9705.2405854926328</v>
      </c>
    </row>
    <row r="381" spans="31:59">
      <c r="AE381" s="165">
        <v>40360</v>
      </c>
      <c r="AF381" s="277">
        <v>1125438</v>
      </c>
      <c r="AG381" s="277">
        <v>551680</v>
      </c>
      <c r="AH381" s="277">
        <v>461320</v>
      </c>
      <c r="AI381" s="277">
        <v>44880</v>
      </c>
      <c r="AJ381" s="277">
        <v>164959</v>
      </c>
      <c r="AK381" s="277">
        <v>863140</v>
      </c>
      <c r="AT381" s="252">
        <f t="shared" ref="AT381:AY381" si="535">AF381/SUM(AF378:AF389)*AM389</f>
        <v>10685.153651764942</v>
      </c>
      <c r="AU381" s="252">
        <f t="shared" si="535"/>
        <v>5510.3461756623665</v>
      </c>
      <c r="AV381" s="252">
        <f t="shared" si="535"/>
        <v>3163.9948799543381</v>
      </c>
      <c r="AW381" s="252">
        <f t="shared" si="535"/>
        <v>403.15030674846628</v>
      </c>
      <c r="AX381" s="252">
        <f t="shared" si="535"/>
        <v>1344.3964521890723</v>
      </c>
      <c r="AY381" s="252">
        <f t="shared" si="535"/>
        <v>9883.1659695565613</v>
      </c>
    </row>
    <row r="382" spans="31:59">
      <c r="AE382" s="165">
        <v>40391</v>
      </c>
      <c r="AF382" s="277">
        <v>1175344</v>
      </c>
      <c r="AG382" s="277">
        <v>571677</v>
      </c>
      <c r="AH382" s="277">
        <v>475100</v>
      </c>
      <c r="AI382" s="277">
        <v>48782</v>
      </c>
      <c r="AJ382" s="277">
        <v>170066</v>
      </c>
      <c r="AK382" s="277">
        <v>1010453</v>
      </c>
      <c r="AT382" s="252">
        <f t="shared" ref="AT382:AY382" si="536">AF382/SUM(AF378:AF389)*AM389</f>
        <v>11158.972092358721</v>
      </c>
      <c r="AU382" s="252">
        <f t="shared" si="536"/>
        <v>5710.0822409080174</v>
      </c>
      <c r="AV382" s="252">
        <f t="shared" si="536"/>
        <v>3258.505955662677</v>
      </c>
      <c r="AW382" s="252">
        <f t="shared" si="536"/>
        <v>438.20138733965416</v>
      </c>
      <c r="AX382" s="252">
        <f t="shared" si="536"/>
        <v>1386.0179016482082</v>
      </c>
      <c r="AY382" s="252">
        <f t="shared" si="536"/>
        <v>11569.936167291906</v>
      </c>
    </row>
    <row r="383" spans="31:59">
      <c r="AE383" s="165">
        <v>40422</v>
      </c>
      <c r="AF383" s="277">
        <v>1200142</v>
      </c>
      <c r="AG383" s="277">
        <v>599663</v>
      </c>
      <c r="AH383" s="277">
        <v>429103</v>
      </c>
      <c r="AI383" s="277">
        <v>52139</v>
      </c>
      <c r="AJ383" s="277">
        <v>182284</v>
      </c>
      <c r="AK383" s="277">
        <v>1091508</v>
      </c>
      <c r="AT383" s="252">
        <f t="shared" ref="AT383:AY383" si="537">AF383/SUM(AF378:AF389)*AM389</f>
        <v>11394.40970887466</v>
      </c>
      <c r="AU383" s="252">
        <f t="shared" si="537"/>
        <v>5989.6148468971533</v>
      </c>
      <c r="AV383" s="252">
        <f t="shared" si="537"/>
        <v>2943.0323744321654</v>
      </c>
      <c r="AW383" s="252">
        <f t="shared" si="537"/>
        <v>468.35681469604015</v>
      </c>
      <c r="AX383" s="252">
        <f t="shared" si="537"/>
        <v>1485.5931649126924</v>
      </c>
      <c r="AY383" s="252">
        <f t="shared" si="537"/>
        <v>12498.035916651694</v>
      </c>
    </row>
    <row r="384" spans="31:59">
      <c r="AE384" s="165">
        <v>40452</v>
      </c>
      <c r="AF384" s="277">
        <v>1218938</v>
      </c>
      <c r="AG384" s="277">
        <v>622838</v>
      </c>
      <c r="AH384" s="277">
        <v>493037</v>
      </c>
      <c r="AI384" s="277">
        <v>53307</v>
      </c>
      <c r="AJ384" s="277">
        <v>194312</v>
      </c>
      <c r="AK384" s="277">
        <v>1212355</v>
      </c>
      <c r="AT384" s="252">
        <f t="shared" ref="AT384:AY384" si="538">AF384/SUM(AF378:AF389)*AM389</f>
        <v>11572.863029305083</v>
      </c>
      <c r="AU384" s="252">
        <f t="shared" si="538"/>
        <v>6221.0937343336664</v>
      </c>
      <c r="AV384" s="252">
        <f t="shared" si="538"/>
        <v>3381.5281011619854</v>
      </c>
      <c r="AW384" s="252">
        <f t="shared" si="538"/>
        <v>478.84878346346903</v>
      </c>
      <c r="AX384" s="252">
        <f t="shared" si="538"/>
        <v>1583.6199505196018</v>
      </c>
      <c r="AY384" s="252">
        <f t="shared" si="538"/>
        <v>13881.763884215474</v>
      </c>
    </row>
    <row r="385" spans="31:59">
      <c r="AE385" s="165">
        <v>40483</v>
      </c>
      <c r="AF385" s="277">
        <v>1230626</v>
      </c>
      <c r="AG385" s="277">
        <v>631201</v>
      </c>
      <c r="AH385" s="277">
        <v>495556</v>
      </c>
      <c r="AI385" s="277">
        <v>55346</v>
      </c>
      <c r="AJ385" s="277">
        <v>192534</v>
      </c>
      <c r="AK385" s="277">
        <v>1320453</v>
      </c>
      <c r="AT385" s="252">
        <f t="shared" ref="AT385:AY385" si="539">AF385/SUM(AF378:AF389)*AM389</f>
        <v>11683.831448606572</v>
      </c>
      <c r="AU385" s="252">
        <f t="shared" si="539"/>
        <v>6304.6258998409612</v>
      </c>
      <c r="AV385" s="252">
        <f t="shared" si="539"/>
        <v>3398.8048355385677</v>
      </c>
      <c r="AW385" s="252">
        <f t="shared" si="539"/>
        <v>497.16481455660903</v>
      </c>
      <c r="AX385" s="252">
        <f t="shared" si="539"/>
        <v>1569.1294595976626</v>
      </c>
      <c r="AY385" s="252">
        <f t="shared" si="539"/>
        <v>15119.512656114734</v>
      </c>
    </row>
    <row r="386" spans="31:59">
      <c r="AE386" s="165">
        <v>40513</v>
      </c>
      <c r="AF386" s="277">
        <v>1230072</v>
      </c>
      <c r="AG386" s="277">
        <v>629963</v>
      </c>
      <c r="AH386" s="277">
        <v>597510</v>
      </c>
      <c r="AI386" s="277">
        <v>54575</v>
      </c>
      <c r="AJ386" s="277">
        <v>199091</v>
      </c>
      <c r="AK386" s="277">
        <v>1416502</v>
      </c>
      <c r="AT386" s="252">
        <f t="shared" ref="AT386:AY386" si="540">AF386/SUM(AF378:AF389)*AM389</f>
        <v>11678.571651866921</v>
      </c>
      <c r="AU386" s="252">
        <f t="shared" si="540"/>
        <v>6292.2603825746655</v>
      </c>
      <c r="AV386" s="252">
        <f t="shared" si="540"/>
        <v>4098.0633415449511</v>
      </c>
      <c r="AW386" s="252">
        <f t="shared" si="540"/>
        <v>490.23903722810928</v>
      </c>
      <c r="AX386" s="252">
        <f t="shared" si="540"/>
        <v>1622.5682385488187</v>
      </c>
      <c r="AY386" s="252">
        <f t="shared" si="540"/>
        <v>16219.297405066163</v>
      </c>
      <c r="BA386" s="252">
        <f t="shared" ref="BA386" si="541">SUM(AT375:AT386)</f>
        <v>127823.90376639855</v>
      </c>
      <c r="BB386" s="252">
        <f t="shared" ref="BB386:BF386" si="542">SUM(AU375:AU386)</f>
        <v>68346.939550354116</v>
      </c>
      <c r="BC386" s="252">
        <f t="shared" si="542"/>
        <v>40244.279446738852</v>
      </c>
      <c r="BD386" s="252">
        <f t="shared" si="542"/>
        <v>5148.9531161122086</v>
      </c>
      <c r="BE386" s="252">
        <f t="shared" si="542"/>
        <v>17019.210584696892</v>
      </c>
      <c r="BF386" s="252">
        <f t="shared" si="542"/>
        <v>158655.39055784277</v>
      </c>
      <c r="BG386" s="252">
        <f t="shared" ref="BG386" si="543">SUM(BA386:BF386)</f>
        <v>417238.67702214338</v>
      </c>
    </row>
    <row r="387" spans="31:59">
      <c r="AE387" s="165">
        <v>40544</v>
      </c>
      <c r="AF387" s="277">
        <v>1188491</v>
      </c>
      <c r="AG387" s="277">
        <v>614086</v>
      </c>
      <c r="AH387" s="277">
        <v>524426</v>
      </c>
      <c r="AI387" s="277">
        <v>51987</v>
      </c>
      <c r="AJ387" s="277">
        <v>180448</v>
      </c>
      <c r="AK387" s="277">
        <v>1356113</v>
      </c>
      <c r="AT387" s="252">
        <f t="shared" ref="AT387:AY387" si="544">AF387/SUM(AF378:AF389)*AM389</f>
        <v>11283.792575637011</v>
      </c>
      <c r="AU387" s="252">
        <f t="shared" si="544"/>
        <v>6133.6761195399504</v>
      </c>
      <c r="AV387" s="252">
        <f t="shared" si="544"/>
        <v>3596.8117118593032</v>
      </c>
      <c r="AW387" s="252">
        <f t="shared" si="544"/>
        <v>466.99142150027888</v>
      </c>
      <c r="AX387" s="252">
        <f t="shared" si="544"/>
        <v>1470.6299808110725</v>
      </c>
      <c r="AY387" s="252">
        <f t="shared" si="544"/>
        <v>15527.828454796738</v>
      </c>
    </row>
    <row r="388" spans="31:59">
      <c r="AE388" s="165">
        <v>40575</v>
      </c>
      <c r="AF388" s="277">
        <v>1138914</v>
      </c>
      <c r="AG388" s="277">
        <v>599024</v>
      </c>
      <c r="AH388" s="277">
        <v>594364</v>
      </c>
      <c r="AI388" s="277">
        <v>47349</v>
      </c>
      <c r="AJ388" s="277">
        <v>170913</v>
      </c>
      <c r="AK388" s="277">
        <v>1420541</v>
      </c>
      <c r="AT388" s="252">
        <f t="shared" ref="AT388:AY388" si="545">AF388/SUM(AF378:AF389)*AM389</f>
        <v>10813.09773274602</v>
      </c>
      <c r="AU388" s="252">
        <f t="shared" si="545"/>
        <v>5983.2323222338555</v>
      </c>
      <c r="AV388" s="252">
        <f t="shared" si="545"/>
        <v>4076.4862846379528</v>
      </c>
      <c r="AW388" s="252">
        <f t="shared" si="545"/>
        <v>425.32896332961519</v>
      </c>
      <c r="AX388" s="252">
        <f t="shared" si="545"/>
        <v>1392.9208520480295</v>
      </c>
      <c r="AY388" s="252">
        <f t="shared" si="545"/>
        <v>16265.544951641505</v>
      </c>
    </row>
    <row r="389" spans="31:59">
      <c r="AE389" s="165">
        <v>40603</v>
      </c>
      <c r="AF389" s="277">
        <v>1067210</v>
      </c>
      <c r="AG389" s="277">
        <v>570869</v>
      </c>
      <c r="AH389" s="277">
        <v>579871</v>
      </c>
      <c r="AI389" s="277">
        <v>44352</v>
      </c>
      <c r="AJ389" s="277">
        <v>158674</v>
      </c>
      <c r="AK389" s="277">
        <v>1429563</v>
      </c>
      <c r="AM389" s="277">
        <v>129779</v>
      </c>
      <c r="AN389" s="277">
        <v>69116</v>
      </c>
      <c r="AO389" s="277">
        <v>40567</v>
      </c>
      <c r="AP389" s="277">
        <v>5154</v>
      </c>
      <c r="AQ389" s="277">
        <v>16942</v>
      </c>
      <c r="AR389" s="277">
        <v>157724</v>
      </c>
      <c r="AT389" s="252">
        <f t="shared" ref="AT389:AY389" si="546">AF389/SUM(AF378:AF389)*AM389</f>
        <v>10132.324329461118</v>
      </c>
      <c r="AU389" s="252">
        <f t="shared" si="546"/>
        <v>5702.01169328995</v>
      </c>
      <c r="AV389" s="252">
        <f t="shared" si="546"/>
        <v>3977.0850494970996</v>
      </c>
      <c r="AW389" s="252">
        <f t="shared" si="546"/>
        <v>398.40736196319017</v>
      </c>
      <c r="AX389" s="252">
        <f t="shared" si="546"/>
        <v>1293.1744412529711</v>
      </c>
      <c r="AY389" s="252">
        <f t="shared" si="546"/>
        <v>16368.849077712985</v>
      </c>
      <c r="AZ389" s="25">
        <f t="shared" ref="AZ389" si="547">SUM(AT378:AY389)-SUM(AM389:AR389)</f>
        <v>0</v>
      </c>
    </row>
    <row r="390" spans="31:59">
      <c r="AE390" s="165">
        <v>40634</v>
      </c>
      <c r="AF390" s="277">
        <v>1022541</v>
      </c>
      <c r="AG390" s="277">
        <v>536008</v>
      </c>
      <c r="AH390" s="277">
        <v>361185</v>
      </c>
      <c r="AI390" s="277">
        <v>43227</v>
      </c>
      <c r="AJ390" s="277">
        <v>140823</v>
      </c>
      <c r="AK390" s="277">
        <v>883917</v>
      </c>
      <c r="AT390" s="252">
        <f t="shared" ref="AT390" si="548">AF390/SUM(AF390:AF401)*AM401</f>
        <v>10426.586698231751</v>
      </c>
      <c r="AU390" s="252">
        <f t="shared" ref="AU390:AY390" si="549">AG390/SUM(AG390:AG401)*AN401</f>
        <v>5536.9552283217681</v>
      </c>
      <c r="AV390" s="252">
        <f t="shared" si="549"/>
        <v>3277.9696946022891</v>
      </c>
      <c r="AW390" s="252">
        <f t="shared" si="549"/>
        <v>377.26293669923888</v>
      </c>
      <c r="AX390" s="252">
        <f t="shared" si="549"/>
        <v>1453.9695380084167</v>
      </c>
      <c r="AY390" s="252">
        <f t="shared" si="549"/>
        <v>8985.1694527024047</v>
      </c>
    </row>
    <row r="391" spans="31:59">
      <c r="AE391" s="165">
        <v>40664</v>
      </c>
      <c r="AF391" s="277">
        <v>986306</v>
      </c>
      <c r="AG391" s="277">
        <v>524720</v>
      </c>
      <c r="AH391" s="277">
        <v>373775</v>
      </c>
      <c r="AI391" s="277">
        <v>40787</v>
      </c>
      <c r="AJ391" s="277">
        <v>133534</v>
      </c>
      <c r="AK391" s="277">
        <v>795848</v>
      </c>
      <c r="AT391" s="252">
        <f t="shared" ref="AT391:AY391" si="550">AF391/SUM(AF390:AF401)*AM401</f>
        <v>10057.107754100974</v>
      </c>
      <c r="AU391" s="252">
        <f t="shared" si="550"/>
        <v>5420.3503444071694</v>
      </c>
      <c r="AV391" s="252">
        <f t="shared" si="550"/>
        <v>3392.2314675304083</v>
      </c>
      <c r="AW391" s="252">
        <f t="shared" si="550"/>
        <v>355.96787653901163</v>
      </c>
      <c r="AX391" s="252">
        <f t="shared" si="550"/>
        <v>1378.7120590274028</v>
      </c>
      <c r="AY391" s="252">
        <f t="shared" si="550"/>
        <v>8089.9328088432558</v>
      </c>
    </row>
    <row r="392" spans="31:59">
      <c r="AE392" s="165">
        <v>40695</v>
      </c>
      <c r="AF392" s="277">
        <v>1045378</v>
      </c>
      <c r="AG392" s="277">
        <v>542350</v>
      </c>
      <c r="AH392" s="277">
        <v>385309</v>
      </c>
      <c r="AI392" s="277">
        <v>39833</v>
      </c>
      <c r="AJ392" s="277">
        <v>136792</v>
      </c>
      <c r="AK392" s="277">
        <v>824353</v>
      </c>
      <c r="AT392" s="252">
        <f t="shared" ref="AT392:AY392" si="551">AF392/SUM(AF390:AF401)*AM401</f>
        <v>10659.449693874487</v>
      </c>
      <c r="AU392" s="252">
        <f t="shared" si="551"/>
        <v>5602.4680006274366</v>
      </c>
      <c r="AV392" s="252">
        <f t="shared" si="551"/>
        <v>3496.9094094647157</v>
      </c>
      <c r="AW392" s="252">
        <f t="shared" si="551"/>
        <v>347.64185711570968</v>
      </c>
      <c r="AX392" s="252">
        <f t="shared" si="551"/>
        <v>1412.3502626932202</v>
      </c>
      <c r="AY392" s="252">
        <f t="shared" si="551"/>
        <v>8379.6910726273909</v>
      </c>
    </row>
    <row r="393" spans="31:59">
      <c r="AE393" s="165">
        <v>40725</v>
      </c>
      <c r="AF393" s="277">
        <v>1149297</v>
      </c>
      <c r="AG393" s="277">
        <v>566981</v>
      </c>
      <c r="AH393" s="277">
        <v>366692</v>
      </c>
      <c r="AI393" s="277">
        <v>38954</v>
      </c>
      <c r="AJ393" s="277">
        <v>139076</v>
      </c>
      <c r="AK393" s="277">
        <v>838484</v>
      </c>
      <c r="AT393" s="252">
        <f t="shared" ref="AT393:AY393" si="552">AF393/SUM(AF390:AF401)*AM401</f>
        <v>11719.084919350575</v>
      </c>
      <c r="AU393" s="252">
        <f t="shared" si="552"/>
        <v>5856.9058900410146</v>
      </c>
      <c r="AV393" s="252">
        <f t="shared" si="552"/>
        <v>3327.9490102111176</v>
      </c>
      <c r="AW393" s="252">
        <f t="shared" si="552"/>
        <v>339.97039896782451</v>
      </c>
      <c r="AX393" s="252">
        <f t="shared" si="552"/>
        <v>1435.9321095847879</v>
      </c>
      <c r="AY393" s="252">
        <f t="shared" si="552"/>
        <v>8523.3351359683347</v>
      </c>
    </row>
    <row r="394" spans="31:59">
      <c r="AE394" s="165">
        <v>40756</v>
      </c>
      <c r="AF394" s="277">
        <v>1248076</v>
      </c>
      <c r="AG394" s="277">
        <v>600141</v>
      </c>
      <c r="AH394" s="277">
        <v>370632</v>
      </c>
      <c r="AI394" s="277">
        <v>41226</v>
      </c>
      <c r="AJ394" s="277">
        <v>146372</v>
      </c>
      <c r="AK394" s="277">
        <v>972873</v>
      </c>
      <c r="AT394" s="252">
        <f t="shared" ref="AT394:AY394" si="553">AF394/SUM(AF390:AF401)*AM401</f>
        <v>12726.308891264302</v>
      </c>
      <c r="AU394" s="252">
        <f t="shared" si="553"/>
        <v>6199.4482315194064</v>
      </c>
      <c r="AV394" s="252">
        <f t="shared" si="553"/>
        <v>3363.7068644872729</v>
      </c>
      <c r="AW394" s="252">
        <f t="shared" si="553"/>
        <v>359.79924187111811</v>
      </c>
      <c r="AX394" s="252">
        <f t="shared" si="553"/>
        <v>1511.2618621771157</v>
      </c>
      <c r="AY394" s="252">
        <f t="shared" si="553"/>
        <v>9889.4226052434187</v>
      </c>
    </row>
    <row r="395" spans="31:59">
      <c r="AE395" s="165">
        <v>40787</v>
      </c>
      <c r="AF395" s="277">
        <v>1267802</v>
      </c>
      <c r="AG395" s="277">
        <v>628630</v>
      </c>
      <c r="AH395" s="277">
        <v>409047</v>
      </c>
      <c r="AI395" s="277">
        <v>42082</v>
      </c>
      <c r="AJ395" s="277">
        <v>152513</v>
      </c>
      <c r="AK395" s="277">
        <v>1113478</v>
      </c>
      <c r="AT395" s="252">
        <f t="shared" ref="AT395:AY395" si="554">AF395/SUM(AF390:AF401)*AM401</f>
        <v>12927.44982273729</v>
      </c>
      <c r="AU395" s="252">
        <f t="shared" si="554"/>
        <v>6493.7392075862908</v>
      </c>
      <c r="AV395" s="252">
        <f t="shared" si="554"/>
        <v>3712.345943679783</v>
      </c>
      <c r="AW395" s="252">
        <f t="shared" si="554"/>
        <v>367.26996789454205</v>
      </c>
      <c r="AX395" s="252">
        <f t="shared" si="554"/>
        <v>1574.6664689026486</v>
      </c>
      <c r="AY395" s="252">
        <f t="shared" si="554"/>
        <v>11318.696791504372</v>
      </c>
    </row>
    <row r="396" spans="31:59">
      <c r="AE396" s="165">
        <v>40817</v>
      </c>
      <c r="AF396" s="277">
        <v>1253462</v>
      </c>
      <c r="AG396" s="277">
        <v>651038</v>
      </c>
      <c r="AH396" s="277">
        <v>408908</v>
      </c>
      <c r="AI396" s="277">
        <v>43797</v>
      </c>
      <c r="AJ396" s="277">
        <v>162397</v>
      </c>
      <c r="AK396" s="277">
        <v>1232039</v>
      </c>
      <c r="AT396" s="252">
        <f t="shared" ref="AT396:AY396" si="555">AF396/SUM(AF390:AF401)*AM401</f>
        <v>12781.228543343463</v>
      </c>
      <c r="AU396" s="252">
        <f t="shared" si="555"/>
        <v>6725.2135377385175</v>
      </c>
      <c r="AV396" s="252">
        <f t="shared" si="555"/>
        <v>3711.0844356228331</v>
      </c>
      <c r="AW396" s="252">
        <f t="shared" si="555"/>
        <v>382.2376023924067</v>
      </c>
      <c r="AX396" s="252">
        <f t="shared" si="555"/>
        <v>1676.7168080778913</v>
      </c>
      <c r="AY396" s="252">
        <f t="shared" si="555"/>
        <v>12523.889898415824</v>
      </c>
    </row>
    <row r="397" spans="31:59">
      <c r="AE397" s="165">
        <v>40848</v>
      </c>
      <c r="AF397" s="277">
        <v>1216924</v>
      </c>
      <c r="AG397" s="277">
        <v>645553</v>
      </c>
      <c r="AH397" s="277">
        <v>400029</v>
      </c>
      <c r="AI397" s="277">
        <v>43939</v>
      </c>
      <c r="AJ397" s="277">
        <v>167109</v>
      </c>
      <c r="AK397" s="277">
        <v>1336467</v>
      </c>
      <c r="AT397" s="252">
        <f t="shared" ref="AT397:AY397" si="556">AF397/SUM(AF390:AF401)*AM401</f>
        <v>12408.659986405411</v>
      </c>
      <c r="AU397" s="252">
        <f t="shared" si="556"/>
        <v>6668.5535635826373</v>
      </c>
      <c r="AV397" s="252">
        <f t="shared" si="556"/>
        <v>3630.5022051360361</v>
      </c>
      <c r="AW397" s="252">
        <f t="shared" si="556"/>
        <v>383.47690507386255</v>
      </c>
      <c r="AX397" s="252">
        <f t="shared" si="556"/>
        <v>1725.3672732937696</v>
      </c>
      <c r="AY397" s="252">
        <f t="shared" si="556"/>
        <v>13585.41861163981</v>
      </c>
    </row>
    <row r="398" spans="31:59">
      <c r="AE398" s="165">
        <v>40878</v>
      </c>
      <c r="AF398" s="277">
        <v>1174995</v>
      </c>
      <c r="AG398" s="277">
        <v>640543</v>
      </c>
      <c r="AH398" s="277">
        <v>431519</v>
      </c>
      <c r="AI398" s="277">
        <v>43743</v>
      </c>
      <c r="AJ398" s="277">
        <v>169920</v>
      </c>
      <c r="AK398" s="277">
        <v>1406576</v>
      </c>
      <c r="AT398" s="252">
        <f t="shared" ref="AT398:AY398" si="557">AF398/SUM(AF390:AF401)*AM401</f>
        <v>11981.120793678509</v>
      </c>
      <c r="AU398" s="252">
        <f t="shared" si="557"/>
        <v>6616.8003328586701</v>
      </c>
      <c r="AV398" s="252">
        <f t="shared" si="557"/>
        <v>3916.2927714193147</v>
      </c>
      <c r="AW398" s="252">
        <f t="shared" si="557"/>
        <v>381.7663182741066</v>
      </c>
      <c r="AX398" s="252">
        <f t="shared" si="557"/>
        <v>1754.3902906371134</v>
      </c>
      <c r="AY398" s="252">
        <f t="shared" si="557"/>
        <v>14298.088743744422</v>
      </c>
      <c r="BA398" s="252">
        <f t="shared" ref="BA398" si="558">SUM(AT387:AT398)</f>
        <v>137916.21174083091</v>
      </c>
      <c r="BB398" s="252">
        <f t="shared" ref="BB398:BF398" si="559">SUM(AU387:AU398)</f>
        <v>72939.354471746658</v>
      </c>
      <c r="BC398" s="252">
        <f t="shared" si="559"/>
        <v>43479.374848148123</v>
      </c>
      <c r="BD398" s="252">
        <f t="shared" si="559"/>
        <v>4586.1208516209044</v>
      </c>
      <c r="BE398" s="252">
        <f t="shared" si="559"/>
        <v>18080.091946514443</v>
      </c>
      <c r="BF398" s="252">
        <f t="shared" si="559"/>
        <v>143755.86760484046</v>
      </c>
      <c r="BG398" s="252">
        <f t="shared" ref="BG398" si="560">SUM(BA398:BF398)</f>
        <v>420757.0214637015</v>
      </c>
    </row>
    <row r="399" spans="31:59">
      <c r="AE399" s="165">
        <v>40909</v>
      </c>
      <c r="AF399" s="277">
        <v>1162635</v>
      </c>
      <c r="AG399" s="277">
        <v>639082</v>
      </c>
      <c r="AH399" s="277">
        <v>406072</v>
      </c>
      <c r="AI399" s="277">
        <v>43194</v>
      </c>
      <c r="AJ399" s="277">
        <v>170202</v>
      </c>
      <c r="AK399" s="277">
        <v>1414327</v>
      </c>
      <c r="AT399" s="252">
        <f t="shared" ref="AT399:AY399" si="561">AF399/SUM(AF390:AF401)*AM401</f>
        <v>11855.089063322323</v>
      </c>
      <c r="AU399" s="252">
        <f t="shared" si="561"/>
        <v>6601.708223060722</v>
      </c>
      <c r="AV399" s="252">
        <f t="shared" si="561"/>
        <v>3685.3460410220264</v>
      </c>
      <c r="AW399" s="252">
        <f t="shared" si="561"/>
        <v>376.97492973805544</v>
      </c>
      <c r="AX399" s="252">
        <f t="shared" si="561"/>
        <v>1757.3018846929021</v>
      </c>
      <c r="AY399" s="252">
        <f t="shared" si="561"/>
        <v>14376.879001684812</v>
      </c>
    </row>
    <row r="400" spans="31:59">
      <c r="AE400" s="165">
        <v>40940</v>
      </c>
      <c r="AF400" s="277">
        <v>1149499</v>
      </c>
      <c r="AG400" s="277">
        <v>621616</v>
      </c>
      <c r="AH400" s="277">
        <v>413273</v>
      </c>
      <c r="AI400" s="277">
        <v>41551</v>
      </c>
      <c r="AJ400" s="277">
        <v>166692</v>
      </c>
      <c r="AK400" s="277">
        <v>1499378</v>
      </c>
      <c r="AT400" s="252">
        <f t="shared" ref="AT400:AY400" si="562">AF400/SUM(AF390:AF401)*AM401</f>
        <v>11721.144661222092</v>
      </c>
      <c r="AU400" s="252">
        <f t="shared" si="562"/>
        <v>6421.2846845727372</v>
      </c>
      <c r="AV400" s="252">
        <f t="shared" si="562"/>
        <v>3750.6994188500958</v>
      </c>
      <c r="AW400" s="252">
        <f t="shared" si="562"/>
        <v>362.635674064591</v>
      </c>
      <c r="AX400" s="252">
        <f t="shared" si="562"/>
        <v>1721.0618310197838</v>
      </c>
      <c r="AY400" s="252">
        <f t="shared" si="562"/>
        <v>15241.437152644452</v>
      </c>
    </row>
    <row r="401" spans="31:59">
      <c r="AE401" s="165">
        <v>40969</v>
      </c>
      <c r="AF401" s="277">
        <v>1074144</v>
      </c>
      <c r="AG401" s="277">
        <v>581760</v>
      </c>
      <c r="AH401" s="277">
        <v>460792</v>
      </c>
      <c r="AI401" s="277">
        <v>37582</v>
      </c>
      <c r="AJ401" s="277">
        <v>156833</v>
      </c>
      <c r="AK401" s="277">
        <v>1448774</v>
      </c>
      <c r="AM401" s="277">
        <v>140216</v>
      </c>
      <c r="AN401" s="277">
        <v>74153</v>
      </c>
      <c r="AO401" s="277">
        <v>43447</v>
      </c>
      <c r="AP401" s="277">
        <v>4363</v>
      </c>
      <c r="AQ401" s="277">
        <v>19021</v>
      </c>
      <c r="AR401" s="277">
        <v>139939</v>
      </c>
      <c r="AT401" s="252">
        <f t="shared" ref="AT401:AY401" si="563">AF401/SUM(AF390:AF401)*AM401</f>
        <v>10952.769172468825</v>
      </c>
      <c r="AU401" s="252">
        <f t="shared" si="563"/>
        <v>6009.5727556836309</v>
      </c>
      <c r="AV401" s="252">
        <f t="shared" si="563"/>
        <v>4181.9627379741078</v>
      </c>
      <c r="AW401" s="252">
        <f t="shared" si="563"/>
        <v>327.9962913695328</v>
      </c>
      <c r="AX401" s="252">
        <f t="shared" si="563"/>
        <v>1619.2696118849481</v>
      </c>
      <c r="AY401" s="252">
        <f t="shared" si="563"/>
        <v>14727.038724981503</v>
      </c>
      <c r="AZ401" s="25">
        <f t="shared" ref="AZ401" si="564">SUM(AT390:AY401)-SUM(AM401:AR401)</f>
        <v>0</v>
      </c>
    </row>
    <row r="402" spans="31:59">
      <c r="AE402" s="165">
        <v>41000</v>
      </c>
      <c r="AF402" s="277">
        <v>1035937</v>
      </c>
      <c r="AG402" s="277">
        <v>549584</v>
      </c>
      <c r="AH402" s="277">
        <v>325838</v>
      </c>
      <c r="AI402" s="277">
        <v>34920</v>
      </c>
      <c r="AJ402" s="277">
        <v>143401</v>
      </c>
      <c r="AK402" s="277">
        <v>890261</v>
      </c>
      <c r="AT402" s="252">
        <f t="shared" ref="AT402" si="565">AF402/SUM(AF402:AF413)*AM413</f>
        <v>10600.994401953305</v>
      </c>
      <c r="AU402" s="252">
        <f t="shared" ref="AU402:AY402" si="566">AG402/SUM(AG402:AG413)*AN413</f>
        <v>5839.6719672313011</v>
      </c>
      <c r="AV402" s="252">
        <f t="shared" si="566"/>
        <v>3018.3803869765638</v>
      </c>
      <c r="AW402" s="252">
        <f t="shared" si="566"/>
        <v>376.06977981677761</v>
      </c>
      <c r="AX402" s="252">
        <f t="shared" si="566"/>
        <v>1443.792552662946</v>
      </c>
      <c r="AY402" s="252">
        <f t="shared" si="566"/>
        <v>8369.4890007229769</v>
      </c>
    </row>
    <row r="403" spans="31:59">
      <c r="AE403" s="165">
        <v>41030</v>
      </c>
      <c r="AF403" s="277">
        <v>1057895</v>
      </c>
      <c r="AG403" s="277">
        <v>532272</v>
      </c>
      <c r="AH403" s="277">
        <v>325046</v>
      </c>
      <c r="AI403" s="277">
        <v>30654</v>
      </c>
      <c r="AJ403" s="277">
        <v>140831</v>
      </c>
      <c r="AK403" s="277">
        <v>811639</v>
      </c>
      <c r="AT403" s="252">
        <f t="shared" ref="AT403:AY403" si="567">AF403/SUM(AF402:AF413)*AM413</f>
        <v>10825.695937932898</v>
      </c>
      <c r="AU403" s="252">
        <f t="shared" si="567"/>
        <v>5655.7211951988038</v>
      </c>
      <c r="AV403" s="252">
        <f t="shared" si="567"/>
        <v>3011.0437434098667</v>
      </c>
      <c r="AW403" s="252">
        <f t="shared" si="567"/>
        <v>330.12723455050121</v>
      </c>
      <c r="AX403" s="252">
        <f t="shared" si="567"/>
        <v>1417.9172319863553</v>
      </c>
      <c r="AY403" s="252">
        <f t="shared" si="567"/>
        <v>7630.3507432739334</v>
      </c>
    </row>
    <row r="404" spans="31:59">
      <c r="AE404" s="165">
        <v>41061</v>
      </c>
      <c r="AF404" s="277">
        <v>1115910</v>
      </c>
      <c r="AG404" s="277">
        <v>543716</v>
      </c>
      <c r="AH404" s="277">
        <v>353423</v>
      </c>
      <c r="AI404" s="277">
        <v>30158</v>
      </c>
      <c r="AJ404" s="277">
        <v>151516</v>
      </c>
      <c r="AK404" s="277">
        <v>867880</v>
      </c>
      <c r="AT404" s="252">
        <f t="shared" ref="AT404:AY404" si="568">AF404/SUM(AF402:AF413)*AM413</f>
        <v>11419.377494078995</v>
      </c>
      <c r="AU404" s="252">
        <f t="shared" si="568"/>
        <v>5777.320815990156</v>
      </c>
      <c r="AV404" s="252">
        <f t="shared" si="568"/>
        <v>3273.9123475666379</v>
      </c>
      <c r="AW404" s="252">
        <f t="shared" si="568"/>
        <v>324.78557902962143</v>
      </c>
      <c r="AX404" s="252">
        <f t="shared" si="568"/>
        <v>1525.4961430483675</v>
      </c>
      <c r="AY404" s="252">
        <f t="shared" si="568"/>
        <v>8159.0815659087129</v>
      </c>
    </row>
    <row r="405" spans="31:59">
      <c r="AE405" s="165">
        <v>41091</v>
      </c>
      <c r="AF405" s="277">
        <v>1170478</v>
      </c>
      <c r="AG405" s="277">
        <v>560317</v>
      </c>
      <c r="AH405" s="277">
        <v>354797</v>
      </c>
      <c r="AI405" s="277">
        <v>30472</v>
      </c>
      <c r="AJ405" s="277">
        <v>165919</v>
      </c>
      <c r="AK405" s="277">
        <v>913900</v>
      </c>
      <c r="AT405" s="252">
        <f t="shared" ref="AT405:AY405" si="569">AF405/SUM(AF402:AF413)*AM413</f>
        <v>11977.785063772702</v>
      </c>
      <c r="AU405" s="252">
        <f t="shared" si="569"/>
        <v>5953.7167706176688</v>
      </c>
      <c r="AV405" s="252">
        <f t="shared" si="569"/>
        <v>3286.6403125421953</v>
      </c>
      <c r="AW405" s="252">
        <f t="shared" si="569"/>
        <v>328.16719159727518</v>
      </c>
      <c r="AX405" s="252">
        <f t="shared" si="569"/>
        <v>1670.508689237058</v>
      </c>
      <c r="AY405" s="252">
        <f t="shared" si="569"/>
        <v>8591.7230989122618</v>
      </c>
    </row>
    <row r="406" spans="31:59">
      <c r="AE406" s="165">
        <v>41122</v>
      </c>
      <c r="AF406" s="277">
        <v>1227964</v>
      </c>
      <c r="AG406" s="277">
        <v>578716</v>
      </c>
      <c r="AH406" s="277">
        <v>358774</v>
      </c>
      <c r="AI406" s="277">
        <v>32160</v>
      </c>
      <c r="AJ406" s="277">
        <v>183181</v>
      </c>
      <c r="AK406" s="277">
        <v>1036828</v>
      </c>
      <c r="AT406" s="252">
        <f t="shared" ref="AT406:AY406" si="570">AF406/SUM(AF402:AF413)*AM413</f>
        <v>12566.053234704608</v>
      </c>
      <c r="AU406" s="252">
        <f t="shared" si="570"/>
        <v>6149.2175940133438</v>
      </c>
      <c r="AV406" s="252">
        <f t="shared" si="570"/>
        <v>3323.4810088360769</v>
      </c>
      <c r="AW406" s="252">
        <f t="shared" si="570"/>
        <v>346.34605151510794</v>
      </c>
      <c r="AX406" s="252">
        <f t="shared" si="570"/>
        <v>1844.3062711511852</v>
      </c>
      <c r="AY406" s="252">
        <f t="shared" si="570"/>
        <v>9747.3892955454667</v>
      </c>
    </row>
    <row r="407" spans="31:59">
      <c r="AE407" s="165">
        <v>41153</v>
      </c>
      <c r="AF407" s="277">
        <v>1256518</v>
      </c>
      <c r="AG407" s="277">
        <v>585838</v>
      </c>
      <c r="AH407" s="277">
        <v>437103</v>
      </c>
      <c r="AI407" s="277">
        <v>35859</v>
      </c>
      <c r="AJ407" s="277">
        <v>199804</v>
      </c>
      <c r="AK407" s="277">
        <v>1160526</v>
      </c>
      <c r="AT407" s="252">
        <f t="shared" ref="AT407:AY407" si="571">AF407/SUM(AF402:AF413)*AM413</f>
        <v>12858.253237362467</v>
      </c>
      <c r="AU407" s="252">
        <f t="shared" si="571"/>
        <v>6224.8932755299484</v>
      </c>
      <c r="AV407" s="252">
        <f t="shared" si="571"/>
        <v>4049.0769102701861</v>
      </c>
      <c r="AW407" s="252">
        <f t="shared" si="571"/>
        <v>386.18230911941095</v>
      </c>
      <c r="AX407" s="252">
        <f t="shared" si="571"/>
        <v>2011.6702616597322</v>
      </c>
      <c r="AY407" s="252">
        <f t="shared" si="571"/>
        <v>10910.294387885164</v>
      </c>
    </row>
    <row r="408" spans="31:59">
      <c r="AE408" s="165">
        <v>41183</v>
      </c>
      <c r="AF408" s="277">
        <v>1289371</v>
      </c>
      <c r="AG408" s="277">
        <v>599296</v>
      </c>
      <c r="AH408" s="277">
        <v>375700</v>
      </c>
      <c r="AI408" s="277">
        <v>38095</v>
      </c>
      <c r="AJ408" s="277">
        <v>214697</v>
      </c>
      <c r="AK408" s="277">
        <v>1317548</v>
      </c>
      <c r="AT408" s="252">
        <f t="shared" ref="AT408:AY408" si="572">AF408/SUM(AF402:AF413)*AM413</f>
        <v>13194.445948972703</v>
      </c>
      <c r="AU408" s="252">
        <f t="shared" si="572"/>
        <v>6367.8928994909793</v>
      </c>
      <c r="AV408" s="252">
        <f t="shared" si="572"/>
        <v>3480.2739747576861</v>
      </c>
      <c r="AW408" s="252">
        <f t="shared" si="572"/>
        <v>410.26283683047376</v>
      </c>
      <c r="AX408" s="252">
        <f t="shared" si="572"/>
        <v>2161.6162347478507</v>
      </c>
      <c r="AY408" s="252">
        <f t="shared" si="572"/>
        <v>12386.483844540597</v>
      </c>
    </row>
    <row r="409" spans="31:59">
      <c r="AE409" s="165">
        <v>41214</v>
      </c>
      <c r="AF409" s="277">
        <v>1304758</v>
      </c>
      <c r="AG409" s="277">
        <v>600262</v>
      </c>
      <c r="AH409" s="277">
        <v>386094</v>
      </c>
      <c r="AI409" s="277">
        <v>36770</v>
      </c>
      <c r="AJ409" s="277">
        <v>220094</v>
      </c>
      <c r="AK409" s="277">
        <v>1397205</v>
      </c>
      <c r="AT409" s="252">
        <f t="shared" ref="AT409:AY409" si="573">AF409/SUM(AF402:AF413)*AM413</f>
        <v>13351.904849333299</v>
      </c>
      <c r="AU409" s="252">
        <f t="shared" si="573"/>
        <v>6378.157250564419</v>
      </c>
      <c r="AV409" s="252">
        <f t="shared" si="573"/>
        <v>3576.5581581317383</v>
      </c>
      <c r="AW409" s="252">
        <f t="shared" si="573"/>
        <v>395.9932933523171</v>
      </c>
      <c r="AX409" s="252">
        <f t="shared" si="573"/>
        <v>2215.9544081686909</v>
      </c>
      <c r="AY409" s="252">
        <f t="shared" si="573"/>
        <v>13135.352305958753</v>
      </c>
    </row>
    <row r="410" spans="31:59">
      <c r="AE410" s="165">
        <v>41244</v>
      </c>
      <c r="AF410" s="277">
        <v>1292042</v>
      </c>
      <c r="AG410" s="277">
        <v>594679</v>
      </c>
      <c r="AH410" s="277">
        <v>407847</v>
      </c>
      <c r="AI410" s="277">
        <v>36925</v>
      </c>
      <c r="AJ410" s="277">
        <v>220741</v>
      </c>
      <c r="AK410" s="277">
        <v>1460787</v>
      </c>
      <c r="AT410" s="252">
        <f t="shared" ref="AT410:AY410" si="574">AF410/SUM(AF402:AF413)*AM413</f>
        <v>13221.7789393453</v>
      </c>
      <c r="AU410" s="252">
        <f t="shared" si="574"/>
        <v>6318.8344016586061</v>
      </c>
      <c r="AV410" s="252">
        <f t="shared" si="574"/>
        <v>3778.0657433670435</v>
      </c>
      <c r="AW410" s="252">
        <f t="shared" si="574"/>
        <v>397.66256070259209</v>
      </c>
      <c r="AX410" s="252">
        <f t="shared" si="574"/>
        <v>2222.468545319568</v>
      </c>
      <c r="AY410" s="252">
        <f t="shared" si="574"/>
        <v>13733.097068049834</v>
      </c>
      <c r="BA410" s="252">
        <f t="shared" ref="BA410" si="575">SUM(AT399:AT410)</f>
        <v>144545.29200446952</v>
      </c>
      <c r="BB410" s="252">
        <f t="shared" ref="BB410:BF410" si="576">SUM(AU399:AU410)</f>
        <v>73697.991833612323</v>
      </c>
      <c r="BC410" s="252">
        <f t="shared" si="576"/>
        <v>42415.440783704224</v>
      </c>
      <c r="BD410" s="252">
        <f t="shared" si="576"/>
        <v>4363.2037316862561</v>
      </c>
      <c r="BE410" s="252">
        <f t="shared" si="576"/>
        <v>21611.363665579385</v>
      </c>
      <c r="BF410" s="252">
        <f t="shared" si="576"/>
        <v>137008.61619010847</v>
      </c>
      <c r="BG410" s="252">
        <f t="shared" ref="BG410" si="577">SUM(BA410:BF410)</f>
        <v>423641.9082091602</v>
      </c>
    </row>
    <row r="411" spans="31:59">
      <c r="AE411" s="165">
        <v>41275</v>
      </c>
      <c r="AF411" s="277">
        <v>1287134</v>
      </c>
      <c r="AG411" s="277">
        <v>605046</v>
      </c>
      <c r="AH411" s="277">
        <v>383388</v>
      </c>
      <c r="AI411" s="277">
        <v>38031</v>
      </c>
      <c r="AJ411" s="277">
        <v>217009</v>
      </c>
      <c r="AK411" s="277">
        <v>1458560</v>
      </c>
      <c r="AT411" s="252">
        <f t="shared" ref="AT411:AY411" si="578">AF411/SUM(AF402:AF413)*AM413</f>
        <v>13171.554185789062</v>
      </c>
      <c r="AU411" s="252">
        <f t="shared" si="578"/>
        <v>6428.9902273090738</v>
      </c>
      <c r="AV411" s="252">
        <f t="shared" si="578"/>
        <v>3551.4912926121901</v>
      </c>
      <c r="AW411" s="252">
        <f t="shared" si="578"/>
        <v>409.57359095681187</v>
      </c>
      <c r="AX411" s="252">
        <f t="shared" si="578"/>
        <v>2184.8939551386202</v>
      </c>
      <c r="AY411" s="252">
        <f t="shared" si="578"/>
        <v>13712.16067748054</v>
      </c>
    </row>
    <row r="412" spans="31:59">
      <c r="AE412" s="165">
        <v>41306</v>
      </c>
      <c r="AF412" s="277">
        <v>1251227</v>
      </c>
      <c r="AG412" s="277">
        <v>609131</v>
      </c>
      <c r="AH412" s="277">
        <v>406304</v>
      </c>
      <c r="AI412" s="277">
        <v>37700</v>
      </c>
      <c r="AJ412" s="277">
        <v>210505</v>
      </c>
      <c r="AK412" s="277">
        <v>1433751</v>
      </c>
      <c r="AT412" s="252">
        <f t="shared" ref="AT412:AY412" si="579">AF412/SUM(AF402:AF413)*AM413</f>
        <v>12804.109151978188</v>
      </c>
      <c r="AU412" s="252">
        <f t="shared" si="579"/>
        <v>6472.3958941154942</v>
      </c>
      <c r="AV412" s="252">
        <f t="shared" si="579"/>
        <v>3763.7722572263692</v>
      </c>
      <c r="AW412" s="252">
        <f t="shared" si="579"/>
        <v>406.00889745396671</v>
      </c>
      <c r="AX412" s="252">
        <f t="shared" si="579"/>
        <v>2119.410264212338</v>
      </c>
      <c r="AY412" s="252">
        <f t="shared" si="579"/>
        <v>13478.927218282692</v>
      </c>
    </row>
    <row r="413" spans="31:59">
      <c r="AE413" s="165">
        <v>41334</v>
      </c>
      <c r="AF413" s="277">
        <v>1158484</v>
      </c>
      <c r="AG413" s="277">
        <v>581913</v>
      </c>
      <c r="AH413" s="277">
        <v>462604</v>
      </c>
      <c r="AI413" s="277">
        <v>35454</v>
      </c>
      <c r="AJ413" s="277">
        <v>196655</v>
      </c>
      <c r="AK413" s="277">
        <v>1420319</v>
      </c>
      <c r="AM413" s="277">
        <v>147847</v>
      </c>
      <c r="AN413" s="277">
        <v>73750</v>
      </c>
      <c r="AO413" s="277">
        <v>42398</v>
      </c>
      <c r="AP413" s="277">
        <v>4493</v>
      </c>
      <c r="AQ413" s="277">
        <v>22798</v>
      </c>
      <c r="AR413" s="277">
        <v>133207</v>
      </c>
      <c r="AT413" s="252">
        <f t="shared" ref="AT413:AY413" si="580">AF413/SUM(AF402:AF413)*AM413</f>
        <v>11855.047554776469</v>
      </c>
      <c r="AU413" s="252">
        <f t="shared" si="580"/>
        <v>6183.1877082802057</v>
      </c>
      <c r="AV413" s="252">
        <f t="shared" si="580"/>
        <v>4285.3038643034461</v>
      </c>
      <c r="AW413" s="252">
        <f t="shared" si="580"/>
        <v>381.82067507514415</v>
      </c>
      <c r="AX413" s="252">
        <f t="shared" si="580"/>
        <v>1979.9654426672873</v>
      </c>
      <c r="AY413" s="252">
        <f t="shared" si="580"/>
        <v>13352.650793439067</v>
      </c>
      <c r="AZ413" s="25">
        <f t="shared" ref="AZ413" si="581">SUM(AT402:AY413)-SUM(AM413:AR413)</f>
        <v>0</v>
      </c>
    </row>
    <row r="414" spans="31:59">
      <c r="AE414" s="165">
        <v>41365</v>
      </c>
      <c r="AF414" s="277">
        <v>1130107</v>
      </c>
      <c r="AG414" s="277">
        <v>565137</v>
      </c>
      <c r="AH414" s="277">
        <v>350725</v>
      </c>
      <c r="AI414" s="277">
        <v>34869</v>
      </c>
      <c r="AJ414" s="277">
        <v>180130</v>
      </c>
      <c r="AK414" s="277">
        <v>897533</v>
      </c>
      <c r="AT414" s="252">
        <f t="shared" ref="AT414" si="582">AF414/SUM(AF414:AF425)*AM425</f>
        <v>11575.580372929608</v>
      </c>
      <c r="AU414" s="252">
        <f t="shared" ref="AU414:AY414" si="583">AG414/SUM(AG414:AG425)*AN425</f>
        <v>6309.4818908063926</v>
      </c>
      <c r="AV414" s="252">
        <f t="shared" si="583"/>
        <v>3392.9791022703394</v>
      </c>
      <c r="AW414" s="252">
        <f t="shared" si="583"/>
        <v>425.86650322066339</v>
      </c>
      <c r="AX414" s="252">
        <f t="shared" si="583"/>
        <v>1681.4195894827167</v>
      </c>
      <c r="AY414" s="252">
        <f t="shared" si="583"/>
        <v>8533.4556861967976</v>
      </c>
    </row>
    <row r="415" spans="31:59">
      <c r="AE415" s="165">
        <v>41395</v>
      </c>
      <c r="AF415" s="277">
        <v>1169564</v>
      </c>
      <c r="AG415" s="277">
        <v>576388</v>
      </c>
      <c r="AH415" s="277">
        <v>346217</v>
      </c>
      <c r="AI415" s="277">
        <v>34181</v>
      </c>
      <c r="AJ415" s="277">
        <v>175759</v>
      </c>
      <c r="AK415" s="277">
        <v>821062</v>
      </c>
      <c r="AT415" s="252">
        <f t="shared" ref="AT415:AY415" si="584">AF415/SUM(AF414:AF425)*AM425</f>
        <v>11979.734735989639</v>
      </c>
      <c r="AU415" s="252">
        <f t="shared" si="584"/>
        <v>6435.0938764903303</v>
      </c>
      <c r="AV415" s="252">
        <f t="shared" si="584"/>
        <v>3349.3678689877538</v>
      </c>
      <c r="AW415" s="252">
        <f t="shared" si="584"/>
        <v>417.46373416460165</v>
      </c>
      <c r="AX415" s="252">
        <f t="shared" si="584"/>
        <v>1640.6185845105913</v>
      </c>
      <c r="AY415" s="252">
        <f t="shared" si="584"/>
        <v>7806.3939628070675</v>
      </c>
    </row>
    <row r="416" spans="31:59">
      <c r="AE416" s="165">
        <v>41426</v>
      </c>
      <c r="AF416" s="277">
        <v>1251557</v>
      </c>
      <c r="AG416" s="277">
        <v>609561</v>
      </c>
      <c r="AH416" s="277">
        <v>372252</v>
      </c>
      <c r="AI416" s="277">
        <v>35761</v>
      </c>
      <c r="AJ416" s="277">
        <v>190068</v>
      </c>
      <c r="AK416" s="277">
        <v>936777</v>
      </c>
      <c r="AT416" s="252">
        <f t="shared" ref="AT416:AY416" si="585">AF416/SUM(AF414:AF425)*AM425</f>
        <v>12819.581371323829</v>
      </c>
      <c r="AU416" s="252">
        <f t="shared" si="585"/>
        <v>6805.4544134286662</v>
      </c>
      <c r="AV416" s="252">
        <f t="shared" si="585"/>
        <v>3601.235317637289</v>
      </c>
      <c r="AW416" s="252">
        <f t="shared" si="585"/>
        <v>436.76079100846431</v>
      </c>
      <c r="AX416" s="252">
        <f t="shared" si="585"/>
        <v>1774.1856355620996</v>
      </c>
      <c r="AY416" s="252">
        <f t="shared" si="585"/>
        <v>8906.5750421971989</v>
      </c>
    </row>
    <row r="417" spans="31:59">
      <c r="AE417" s="165">
        <v>41456</v>
      </c>
      <c r="AF417" s="277">
        <v>1314428</v>
      </c>
      <c r="AG417" s="277">
        <v>638126</v>
      </c>
      <c r="AH417" s="277">
        <v>375131</v>
      </c>
      <c r="AI417" s="277">
        <v>39631</v>
      </c>
      <c r="AJ417" s="277">
        <v>210565</v>
      </c>
      <c r="AK417" s="277">
        <v>1044500</v>
      </c>
      <c r="AT417" s="252">
        <f t="shared" ref="AT417:AY417" si="586">AF417/SUM(AF414:AF425)*AM425</f>
        <v>13463.563147940078</v>
      </c>
      <c r="AU417" s="252">
        <f t="shared" si="586"/>
        <v>7124.3688540172043</v>
      </c>
      <c r="AV417" s="252">
        <f t="shared" si="586"/>
        <v>3629.0873009160296</v>
      </c>
      <c r="AW417" s="252">
        <f t="shared" si="586"/>
        <v>484.02636694881153</v>
      </c>
      <c r="AX417" s="252">
        <f t="shared" si="586"/>
        <v>1965.51443879103</v>
      </c>
      <c r="AY417" s="252">
        <f t="shared" si="586"/>
        <v>9930.7707507496161</v>
      </c>
    </row>
    <row r="418" spans="31:59">
      <c r="AE418" s="165">
        <v>41487</v>
      </c>
      <c r="AF418" s="277">
        <v>1365214</v>
      </c>
      <c r="AG418" s="277">
        <v>661405</v>
      </c>
      <c r="AH418" s="277">
        <v>378785</v>
      </c>
      <c r="AI418" s="277">
        <v>42592</v>
      </c>
      <c r="AJ418" s="277">
        <v>219168</v>
      </c>
      <c r="AK418" s="277">
        <v>1183137</v>
      </c>
      <c r="AT418" s="252">
        <f t="shared" ref="AT418:AY418" si="587">AF418/SUM(AF414:AF425)*AM425</f>
        <v>13983.759399108865</v>
      </c>
      <c r="AU418" s="252">
        <f t="shared" si="587"/>
        <v>7384.2676554336431</v>
      </c>
      <c r="AV418" s="252">
        <f t="shared" si="587"/>
        <v>3664.4367788252057</v>
      </c>
      <c r="AW418" s="252">
        <f t="shared" si="587"/>
        <v>520.19002854037956</v>
      </c>
      <c r="AX418" s="252">
        <f t="shared" si="587"/>
        <v>2045.8189562413147</v>
      </c>
      <c r="AY418" s="252">
        <f t="shared" si="587"/>
        <v>11248.886848951315</v>
      </c>
    </row>
    <row r="419" spans="31:59">
      <c r="AE419" s="165">
        <v>41518</v>
      </c>
      <c r="AF419" s="277">
        <v>1393659</v>
      </c>
      <c r="AG419" s="277">
        <v>685704</v>
      </c>
      <c r="AH419" s="277">
        <v>412591</v>
      </c>
      <c r="AI419" s="277">
        <v>46534</v>
      </c>
      <c r="AJ419" s="277">
        <v>251111</v>
      </c>
      <c r="AK419" s="277">
        <v>1356279</v>
      </c>
      <c r="AT419" s="252">
        <f t="shared" ref="AT419:AY419" si="588">AF419/SUM(AF414:AF425)*AM425</f>
        <v>14275.118875431002</v>
      </c>
      <c r="AU419" s="252">
        <f t="shared" si="588"/>
        <v>7655.5542646358444</v>
      </c>
      <c r="AV419" s="252">
        <f t="shared" si="588"/>
        <v>3991.4823316981156</v>
      </c>
      <c r="AW419" s="252">
        <f t="shared" si="588"/>
        <v>568.33496403310539</v>
      </c>
      <c r="AX419" s="252">
        <f t="shared" si="588"/>
        <v>2343.9901989374034</v>
      </c>
      <c r="AY419" s="252">
        <f t="shared" si="588"/>
        <v>12895.065412212483</v>
      </c>
    </row>
    <row r="420" spans="31:59">
      <c r="AE420" s="165">
        <v>41548</v>
      </c>
      <c r="AF420" s="277">
        <v>1436674</v>
      </c>
      <c r="AG420" s="277">
        <v>709747</v>
      </c>
      <c r="AH420" s="277">
        <v>401114</v>
      </c>
      <c r="AI420" s="277">
        <v>48794</v>
      </c>
      <c r="AJ420" s="277">
        <v>278946</v>
      </c>
      <c r="AK420" s="277">
        <v>1526604</v>
      </c>
      <c r="AT420" s="252">
        <f t="shared" ref="AT420:AY420" si="589">AF420/SUM(AF414:AF425)*AM425</f>
        <v>14715.717499934317</v>
      </c>
      <c r="AU420" s="252">
        <f t="shared" si="589"/>
        <v>7923.9827573741686</v>
      </c>
      <c r="AV420" s="252">
        <f t="shared" si="589"/>
        <v>3880.4516918613294</v>
      </c>
      <c r="AW420" s="252">
        <f t="shared" si="589"/>
        <v>595.93708331609878</v>
      </c>
      <c r="AX420" s="252">
        <f t="shared" si="589"/>
        <v>2603.8154044736907</v>
      </c>
      <c r="AY420" s="252">
        <f t="shared" si="589"/>
        <v>14514.460843635583</v>
      </c>
    </row>
    <row r="421" spans="31:59">
      <c r="AE421" s="165">
        <v>41579</v>
      </c>
      <c r="AF421" s="277">
        <v>1465233</v>
      </c>
      <c r="AG421" s="277">
        <v>711658</v>
      </c>
      <c r="AH421" s="277">
        <v>402005</v>
      </c>
      <c r="AI421" s="277">
        <v>51289</v>
      </c>
      <c r="AJ421" s="277">
        <v>282796</v>
      </c>
      <c r="AK421" s="277">
        <v>1634703</v>
      </c>
      <c r="AT421" s="252">
        <f t="shared" ref="AT421:AY421" si="590">AF421/SUM(AF414:AF425)*AM425</f>
        <v>15008.24466760118</v>
      </c>
      <c r="AU421" s="252">
        <f t="shared" si="590"/>
        <v>7945.3181501963181</v>
      </c>
      <c r="AV421" s="252">
        <f t="shared" si="590"/>
        <v>3889.0713921396755</v>
      </c>
      <c r="AW421" s="252">
        <f t="shared" si="590"/>
        <v>626.40933447143891</v>
      </c>
      <c r="AX421" s="252">
        <f t="shared" si="590"/>
        <v>2639.7531462130369</v>
      </c>
      <c r="AY421" s="252">
        <f t="shared" si="590"/>
        <v>15542.231439504691</v>
      </c>
    </row>
    <row r="422" spans="31:59">
      <c r="AE422" s="165">
        <v>41609</v>
      </c>
      <c r="AF422" s="277">
        <v>1479861</v>
      </c>
      <c r="AG422" s="277">
        <v>709341</v>
      </c>
      <c r="AH422" s="277">
        <v>413776</v>
      </c>
      <c r="AI422" s="277">
        <v>50966</v>
      </c>
      <c r="AJ422" s="277">
        <v>279439</v>
      </c>
      <c r="AK422" s="277">
        <v>1699909</v>
      </c>
      <c r="AT422" s="252">
        <f t="shared" ref="AT422:AY422" si="591">AF422/SUM(AF414:AF425)*AM425</f>
        <v>15158.077904361253</v>
      </c>
      <c r="AU422" s="252">
        <f t="shared" si="591"/>
        <v>7919.4499632947372</v>
      </c>
      <c r="AV422" s="252">
        <f t="shared" si="591"/>
        <v>4002.9462428427164</v>
      </c>
      <c r="AW422" s="252">
        <f t="shared" si="591"/>
        <v>622.46442981285179</v>
      </c>
      <c r="AX422" s="252">
        <f t="shared" si="591"/>
        <v>2608.417302312002</v>
      </c>
      <c r="AY422" s="252">
        <f t="shared" si="591"/>
        <v>16162.189158579251</v>
      </c>
      <c r="BA422" s="252">
        <f t="shared" ref="BA422" si="592">SUM(AT411:AT422)</f>
        <v>160810.08886716346</v>
      </c>
      <c r="BB422" s="252">
        <f t="shared" ref="BB422:BF422" si="593">SUM(AU411:AU422)</f>
        <v>84587.54565538207</v>
      </c>
      <c r="BC422" s="252">
        <f t="shared" si="593"/>
        <v>45001.625441320452</v>
      </c>
      <c r="BD422" s="252">
        <f t="shared" si="593"/>
        <v>5894.8563990023376</v>
      </c>
      <c r="BE422" s="252">
        <f t="shared" si="593"/>
        <v>25587.802918542133</v>
      </c>
      <c r="BF422" s="252">
        <f t="shared" si="593"/>
        <v>146083.76783403629</v>
      </c>
      <c r="BG422" s="252">
        <f t="shared" ref="BG422" si="594">SUM(BA422:BF422)</f>
        <v>467965.68711544666</v>
      </c>
    </row>
    <row r="423" spans="31:59">
      <c r="AE423" s="165">
        <v>41640</v>
      </c>
      <c r="AF423" s="277">
        <v>1483298</v>
      </c>
      <c r="AG423" s="277">
        <v>706594</v>
      </c>
      <c r="AH423" s="277">
        <v>389900</v>
      </c>
      <c r="AI423" s="277">
        <v>50824</v>
      </c>
      <c r="AJ423" s="277">
        <v>270367</v>
      </c>
      <c r="AK423" s="277">
        <v>1642954</v>
      </c>
      <c r="AT423" s="252">
        <f t="shared" ref="AT423:AY423" si="595">AF423/SUM(AF414:AF425)*AM425</f>
        <v>15193.282774114079</v>
      </c>
      <c r="AU423" s="252">
        <f t="shared" si="595"/>
        <v>7888.7810338952377</v>
      </c>
      <c r="AV423" s="252">
        <f t="shared" si="595"/>
        <v>3771.9653631055817</v>
      </c>
      <c r="AW423" s="252">
        <f t="shared" si="595"/>
        <v>620.73013736232747</v>
      </c>
      <c r="AX423" s="252">
        <f t="shared" si="595"/>
        <v>2523.7349145043781</v>
      </c>
      <c r="AY423" s="252">
        <f t="shared" si="595"/>
        <v>15620.679299212145</v>
      </c>
    </row>
    <row r="424" spans="31:59">
      <c r="AE424" s="165">
        <v>41671</v>
      </c>
      <c r="AF424" s="277">
        <v>1416534</v>
      </c>
      <c r="AG424" s="277">
        <v>690644</v>
      </c>
      <c r="AH424" s="277">
        <v>390390</v>
      </c>
      <c r="AI424" s="277">
        <v>49897</v>
      </c>
      <c r="AJ424" s="277">
        <v>264571</v>
      </c>
      <c r="AK424" s="277">
        <v>1578219</v>
      </c>
      <c r="AT424" s="252">
        <f t="shared" ref="AT424:AY424" si="596">AF424/SUM(AF414:AF425)*AM425</f>
        <v>14509.425362366101</v>
      </c>
      <c r="AU424" s="252">
        <f t="shared" si="596"/>
        <v>7710.7069807747339</v>
      </c>
      <c r="AV424" s="252">
        <f t="shared" si="596"/>
        <v>3776.7057145493409</v>
      </c>
      <c r="AW424" s="252">
        <f t="shared" si="596"/>
        <v>609.40838312545361</v>
      </c>
      <c r="AX424" s="252">
        <f t="shared" si="596"/>
        <v>2469.6322778495078</v>
      </c>
      <c r="AY424" s="252">
        <f t="shared" si="596"/>
        <v>15005.199696962478</v>
      </c>
    </row>
    <row r="425" spans="31:59">
      <c r="AE425" s="165">
        <v>41699</v>
      </c>
      <c r="AF425" s="277">
        <v>1269846</v>
      </c>
      <c r="AG425" s="277">
        <v>647367</v>
      </c>
      <c r="AH425" s="277">
        <v>449058</v>
      </c>
      <c r="AI425" s="277">
        <v>46540</v>
      </c>
      <c r="AJ425" s="277">
        <v>260443</v>
      </c>
      <c r="AK425" s="277">
        <v>1503426</v>
      </c>
      <c r="AM425" s="277">
        <v>165689</v>
      </c>
      <c r="AN425" s="277">
        <v>88330</v>
      </c>
      <c r="AO425" s="277">
        <v>45294</v>
      </c>
      <c r="AP425" s="277">
        <v>6496</v>
      </c>
      <c r="AQ425" s="277">
        <v>26728</v>
      </c>
      <c r="AR425" s="277">
        <v>150460</v>
      </c>
      <c r="AT425" s="252">
        <f t="shared" ref="AT425:AY425" si="597">AF425/SUM(AF414:AF425)*AM425</f>
        <v>13006.91388890005</v>
      </c>
      <c r="AU425" s="252">
        <f t="shared" si="597"/>
        <v>7227.5401596527254</v>
      </c>
      <c r="AV425" s="252">
        <f t="shared" si="597"/>
        <v>4344.2708951666236</v>
      </c>
      <c r="AW425" s="252">
        <f t="shared" si="597"/>
        <v>568.40824399580356</v>
      </c>
      <c r="AX425" s="252">
        <f t="shared" si="597"/>
        <v>2431.0995511222295</v>
      </c>
      <c r="AY425" s="252">
        <f t="shared" si="597"/>
        <v>14294.091858991374</v>
      </c>
      <c r="AZ425" s="25">
        <f t="shared" ref="AZ425" si="598">SUM(AT414:AY425)-SUM(AM425:AR425)</f>
        <v>0</v>
      </c>
    </row>
    <row r="426" spans="31:59">
      <c r="AE426" s="165">
        <v>41730</v>
      </c>
      <c r="AF426" s="277">
        <v>1183271</v>
      </c>
      <c r="AG426" s="277">
        <v>617449</v>
      </c>
      <c r="AH426" s="277">
        <v>318652</v>
      </c>
      <c r="AI426" s="277">
        <v>47109</v>
      </c>
      <c r="AJ426" s="277">
        <v>247027</v>
      </c>
      <c r="AK426" s="277">
        <v>892612</v>
      </c>
      <c r="AT426" s="252">
        <f t="shared" ref="AT426" si="599">AF426/SUM(AF426:AF437)*AM437</f>
        <v>12007.19247945829</v>
      </c>
      <c r="AU426" s="252">
        <f t="shared" ref="AU426:AY426" si="600">AG426/SUM(AG426:AG437)*AN437</f>
        <v>6783.0170097217606</v>
      </c>
      <c r="AV426" s="252">
        <f t="shared" si="600"/>
        <v>3246.6978398348901</v>
      </c>
      <c r="AW426" s="252">
        <f t="shared" si="600"/>
        <v>583.48230043682327</v>
      </c>
      <c r="AX426" s="252">
        <f t="shared" si="600"/>
        <v>2252.4946935459575</v>
      </c>
      <c r="AY426" s="252">
        <f t="shared" si="600"/>
        <v>8525.9447051990282</v>
      </c>
    </row>
    <row r="427" spans="31:59">
      <c r="AE427" s="165">
        <v>41760</v>
      </c>
      <c r="AF427" s="277">
        <v>1155927</v>
      </c>
      <c r="AG427" s="277">
        <v>609778</v>
      </c>
      <c r="AH427" s="277">
        <v>330139</v>
      </c>
      <c r="AI427" s="277">
        <v>43449</v>
      </c>
      <c r="AJ427" s="277">
        <v>243078</v>
      </c>
      <c r="AK427" s="277">
        <v>829783</v>
      </c>
      <c r="AT427" s="252">
        <f t="shared" ref="AT427:AY427" si="601">AF427/SUM(AF426:AF437)*AM437</f>
        <v>11729.720394738639</v>
      </c>
      <c r="AU427" s="252">
        <f t="shared" si="601"/>
        <v>6698.7468538358889</v>
      </c>
      <c r="AV427" s="252">
        <f t="shared" si="601"/>
        <v>3363.737174551708</v>
      </c>
      <c r="AW427" s="252">
        <f t="shared" si="601"/>
        <v>538.15029976606456</v>
      </c>
      <c r="AX427" s="252">
        <f t="shared" si="601"/>
        <v>2216.4860728493818</v>
      </c>
      <c r="AY427" s="252">
        <f t="shared" si="601"/>
        <v>7925.8221660857853</v>
      </c>
    </row>
    <row r="428" spans="31:59">
      <c r="AE428" s="165">
        <v>41791</v>
      </c>
      <c r="AF428" s="277">
        <v>1181852</v>
      </c>
      <c r="AG428" s="277">
        <v>634691</v>
      </c>
      <c r="AH428" s="277">
        <v>375310</v>
      </c>
      <c r="AI428" s="277">
        <v>45520</v>
      </c>
      <c r="AJ428" s="277">
        <v>256499</v>
      </c>
      <c r="AK428" s="277">
        <v>935238</v>
      </c>
      <c r="AT428" s="252">
        <f t="shared" ref="AT428:AY428" si="602">AF428/SUM(AF426:AF437)*AM437</f>
        <v>11992.793236910851</v>
      </c>
      <c r="AU428" s="252">
        <f t="shared" si="602"/>
        <v>6972.4298669482223</v>
      </c>
      <c r="AV428" s="252">
        <f t="shared" si="602"/>
        <v>3823.977775970126</v>
      </c>
      <c r="AW428" s="252">
        <f t="shared" si="602"/>
        <v>563.80127610189561</v>
      </c>
      <c r="AX428" s="252">
        <f t="shared" si="602"/>
        <v>2338.864320093935</v>
      </c>
      <c r="AY428" s="252">
        <f t="shared" si="602"/>
        <v>8933.094641569829</v>
      </c>
    </row>
    <row r="429" spans="31:59">
      <c r="AE429" s="165">
        <v>41821</v>
      </c>
      <c r="AF429" s="277">
        <v>1212630</v>
      </c>
      <c r="AG429" s="277">
        <v>673231</v>
      </c>
      <c r="AH429" s="277">
        <v>358980</v>
      </c>
      <c r="AI429" s="277">
        <v>48308</v>
      </c>
      <c r="AJ429" s="277">
        <v>279439</v>
      </c>
      <c r="AK429" s="277">
        <v>1034042</v>
      </c>
      <c r="AT429" s="252">
        <f t="shared" ref="AT429:AY429" si="603">AF429/SUM(AF426:AF437)*AM437</f>
        <v>12305.111691544462</v>
      </c>
      <c r="AU429" s="252">
        <f t="shared" si="603"/>
        <v>7395.8129731718573</v>
      </c>
      <c r="AV429" s="252">
        <f t="shared" si="603"/>
        <v>3657.5938344775145</v>
      </c>
      <c r="AW429" s="252">
        <f t="shared" si="603"/>
        <v>598.33286568388337</v>
      </c>
      <c r="AX429" s="252">
        <f t="shared" si="603"/>
        <v>2548.0407593898185</v>
      </c>
      <c r="AY429" s="252">
        <f t="shared" si="603"/>
        <v>9876.838889521332</v>
      </c>
    </row>
    <row r="430" spans="31:59">
      <c r="AE430" s="165">
        <v>41852</v>
      </c>
      <c r="AF430" s="277">
        <v>1231247</v>
      </c>
      <c r="AG430" s="277">
        <v>705328</v>
      </c>
      <c r="AH430" s="277">
        <v>371777</v>
      </c>
      <c r="AI430" s="277">
        <v>50329</v>
      </c>
      <c r="AJ430" s="277">
        <v>310108</v>
      </c>
      <c r="AK430" s="277">
        <v>1167547</v>
      </c>
      <c r="AT430" s="252">
        <f t="shared" ref="AT430:AY430" si="604">AF430/SUM(AF426:AF437)*AM437</f>
        <v>12494.026912478697</v>
      </c>
      <c r="AU430" s="252">
        <f t="shared" si="604"/>
        <v>7748.4161792035129</v>
      </c>
      <c r="AV430" s="252">
        <f t="shared" si="604"/>
        <v>3787.9805643783689</v>
      </c>
      <c r="AW430" s="252">
        <f t="shared" si="604"/>
        <v>623.36455239306463</v>
      </c>
      <c r="AX430" s="252">
        <f t="shared" si="604"/>
        <v>2827.6934279497773</v>
      </c>
      <c r="AY430" s="252">
        <f t="shared" si="604"/>
        <v>11152.036005253132</v>
      </c>
    </row>
    <row r="431" spans="31:59">
      <c r="AE431" s="165">
        <v>41883</v>
      </c>
      <c r="AF431" s="277">
        <v>1238881</v>
      </c>
      <c r="AG431" s="277">
        <v>725688</v>
      </c>
      <c r="AH431" s="277">
        <v>413241</v>
      </c>
      <c r="AI431" s="277">
        <v>52246</v>
      </c>
      <c r="AJ431" s="277">
        <v>328893</v>
      </c>
      <c r="AK431" s="277">
        <v>1333161</v>
      </c>
      <c r="AT431" s="252">
        <f t="shared" ref="AT431:AY431" si="605">AF431/SUM(AF426:AF437)*AM437</f>
        <v>12571.492604943216</v>
      </c>
      <c r="AU431" s="252">
        <f t="shared" si="605"/>
        <v>7972.0819820761944</v>
      </c>
      <c r="AV431" s="252">
        <f t="shared" si="605"/>
        <v>4210.4510940813479</v>
      </c>
      <c r="AW431" s="252">
        <f t="shared" si="605"/>
        <v>647.10811667881455</v>
      </c>
      <c r="AX431" s="252">
        <f t="shared" si="605"/>
        <v>2998.9828530663062</v>
      </c>
      <c r="AY431" s="252">
        <f t="shared" si="605"/>
        <v>12733.928032703843</v>
      </c>
    </row>
    <row r="432" spans="31:59">
      <c r="AE432" s="165">
        <v>41913</v>
      </c>
      <c r="AF432" s="277">
        <v>1260038</v>
      </c>
      <c r="AG432" s="277">
        <v>746568</v>
      </c>
      <c r="AH432" s="277">
        <v>409570</v>
      </c>
      <c r="AI432" s="277">
        <v>54523</v>
      </c>
      <c r="AJ432" s="277">
        <v>349225</v>
      </c>
      <c r="AK432" s="277">
        <v>1477670</v>
      </c>
      <c r="AT432" s="252">
        <f t="shared" ref="AT432:AY432" si="606">AF432/SUM(AF426:AF437)*AM437</f>
        <v>12786.182368562793</v>
      </c>
      <c r="AU432" s="252">
        <f t="shared" si="606"/>
        <v>8201.460271073327</v>
      </c>
      <c r="AV432" s="252">
        <f t="shared" si="606"/>
        <v>4173.0478210121883</v>
      </c>
      <c r="AW432" s="252">
        <f t="shared" si="606"/>
        <v>675.31056627644227</v>
      </c>
      <c r="AX432" s="252">
        <f t="shared" si="606"/>
        <v>3184.3784661336085</v>
      </c>
      <c r="AY432" s="252">
        <f t="shared" si="606"/>
        <v>14114.231841529634</v>
      </c>
    </row>
    <row r="433" spans="31:59">
      <c r="AE433" s="165">
        <v>41944</v>
      </c>
      <c r="AF433" s="277">
        <v>1268504</v>
      </c>
      <c r="AG433" s="277">
        <v>741631</v>
      </c>
      <c r="AH433" s="277">
        <v>424618</v>
      </c>
      <c r="AI433" s="277">
        <v>53331</v>
      </c>
      <c r="AJ433" s="277">
        <v>354895</v>
      </c>
      <c r="AK433" s="277">
        <v>1561920</v>
      </c>
      <c r="AT433" s="252">
        <f t="shared" ref="AT433:AY433" si="607">AF433/SUM(AF426:AF437)*AM437</f>
        <v>12872.090745875423</v>
      </c>
      <c r="AU433" s="252">
        <f t="shared" si="607"/>
        <v>8147.2246095417731</v>
      </c>
      <c r="AV433" s="252">
        <f t="shared" si="607"/>
        <v>4326.3696551567582</v>
      </c>
      <c r="AW433" s="252">
        <f t="shared" si="607"/>
        <v>660.54670157711314</v>
      </c>
      <c r="AX433" s="252">
        <f t="shared" si="607"/>
        <v>3236.0798789848577</v>
      </c>
      <c r="AY433" s="252">
        <f t="shared" si="607"/>
        <v>14918.960930330835</v>
      </c>
    </row>
    <row r="434" spans="31:59">
      <c r="AE434" s="165">
        <v>41974</v>
      </c>
      <c r="AF434" s="277">
        <v>1267507</v>
      </c>
      <c r="AG434" s="277">
        <v>738626</v>
      </c>
      <c r="AH434" s="277">
        <v>429259</v>
      </c>
      <c r="AI434" s="277">
        <v>52512</v>
      </c>
      <c r="AJ434" s="277">
        <v>366128</v>
      </c>
      <c r="AK434" s="277">
        <v>1578669</v>
      </c>
      <c r="AT434" s="252">
        <f t="shared" ref="AT434:AY434" si="608">AF434/SUM(AF426:AF437)*AM437</f>
        <v>12861.973730498541</v>
      </c>
      <c r="AU434" s="252">
        <f t="shared" si="608"/>
        <v>8114.2130310725979</v>
      </c>
      <c r="AV434" s="252">
        <f t="shared" si="608"/>
        <v>4373.6561139728765</v>
      </c>
      <c r="AW434" s="252">
        <f t="shared" si="608"/>
        <v>650.40273749259097</v>
      </c>
      <c r="AX434" s="252">
        <f t="shared" si="608"/>
        <v>3338.5070342861072</v>
      </c>
      <c r="AY434" s="252">
        <f t="shared" si="608"/>
        <v>15078.942028352572</v>
      </c>
      <c r="BA434" s="252">
        <f t="shared" ref="BA434" si="609">SUM(AT423:AT434)</f>
        <v>154330.20619039112</v>
      </c>
      <c r="BB434" s="252">
        <f t="shared" ref="BB434:BF434" si="610">SUM(AU423:AU434)</f>
        <v>90860.430950967842</v>
      </c>
      <c r="BC434" s="252">
        <f t="shared" si="610"/>
        <v>46856.453846257325</v>
      </c>
      <c r="BD434" s="252">
        <f t="shared" si="610"/>
        <v>7339.0461808902764</v>
      </c>
      <c r="BE434" s="252">
        <f t="shared" si="610"/>
        <v>32365.994249775868</v>
      </c>
      <c r="BF434" s="252">
        <f t="shared" si="610"/>
        <v>148179.77009571198</v>
      </c>
      <c r="BG434" s="252">
        <f t="shared" ref="BG434" si="611">SUM(BA434:BF434)</f>
        <v>479931.9015139945</v>
      </c>
    </row>
    <row r="435" spans="31:59">
      <c r="AE435" s="165">
        <v>42005</v>
      </c>
      <c r="AF435" s="277">
        <v>1270730</v>
      </c>
      <c r="AG435" s="277">
        <v>737234</v>
      </c>
      <c r="AH435" s="277">
        <v>425560</v>
      </c>
      <c r="AI435" s="277">
        <v>52045</v>
      </c>
      <c r="AJ435" s="277">
        <v>348993</v>
      </c>
      <c r="AK435" s="277">
        <v>1517000</v>
      </c>
      <c r="AT435" s="252">
        <f t="shared" ref="AT435:AY435" si="612">AF435/SUM(AF426:AF437)*AM437</f>
        <v>12894.678986827221</v>
      </c>
      <c r="AU435" s="252">
        <f t="shared" si="612"/>
        <v>8098.9211451394549</v>
      </c>
      <c r="AV435" s="252">
        <f t="shared" si="612"/>
        <v>4335.9675530677214</v>
      </c>
      <c r="AW435" s="252">
        <f t="shared" si="612"/>
        <v>644.61857237968263</v>
      </c>
      <c r="AX435" s="252">
        <f t="shared" si="612"/>
        <v>3182.2629938617406</v>
      </c>
      <c r="AY435" s="252">
        <f t="shared" si="612"/>
        <v>14489.899438711251</v>
      </c>
    </row>
    <row r="436" spans="31:59">
      <c r="AE436" s="165">
        <v>42036</v>
      </c>
      <c r="AF436" s="277">
        <v>1235117</v>
      </c>
      <c r="AG436" s="277">
        <v>724261</v>
      </c>
      <c r="AH436" s="277">
        <v>421464</v>
      </c>
      <c r="AI436" s="277">
        <v>51692</v>
      </c>
      <c r="AJ436" s="277">
        <v>338772</v>
      </c>
      <c r="AK436" s="277">
        <v>1426873</v>
      </c>
      <c r="AT436" s="252">
        <f t="shared" ref="AT436:AY436" si="613">AF436/SUM(AF426:AF437)*AM437</f>
        <v>12533.297573971713</v>
      </c>
      <c r="AU436" s="252">
        <f t="shared" si="613"/>
        <v>7956.4056018846768</v>
      </c>
      <c r="AV436" s="252">
        <f t="shared" si="613"/>
        <v>4294.2340182022144</v>
      </c>
      <c r="AW436" s="252">
        <f t="shared" si="613"/>
        <v>640.2463876155357</v>
      </c>
      <c r="AX436" s="252">
        <f t="shared" si="613"/>
        <v>3089.0636745050178</v>
      </c>
      <c r="AY436" s="252">
        <f t="shared" si="613"/>
        <v>13629.035123145839</v>
      </c>
    </row>
    <row r="437" spans="31:59">
      <c r="AE437" s="165">
        <v>42064</v>
      </c>
      <c r="AF437" s="277">
        <v>1154224</v>
      </c>
      <c r="AG437" s="277">
        <v>683923</v>
      </c>
      <c r="AH437" s="277">
        <v>478983</v>
      </c>
      <c r="AI437" s="277">
        <v>51239</v>
      </c>
      <c r="AJ437" s="277">
        <v>313996</v>
      </c>
      <c r="AK437" s="277">
        <v>1380832</v>
      </c>
      <c r="AM437" s="277">
        <v>148761</v>
      </c>
      <c r="AN437" s="277">
        <v>91602</v>
      </c>
      <c r="AO437" s="277">
        <v>48474</v>
      </c>
      <c r="AP437" s="277">
        <v>7460</v>
      </c>
      <c r="AQ437" s="277">
        <v>34076</v>
      </c>
      <c r="AR437" s="277">
        <v>144568</v>
      </c>
      <c r="AT437" s="252">
        <f t="shared" ref="AT437:AY437" si="614">AF437/SUM(AF426:AF437)*AM437</f>
        <v>11712.439274190159</v>
      </c>
      <c r="AU437" s="252">
        <f t="shared" si="614"/>
        <v>7513.2704763307338</v>
      </c>
      <c r="AV437" s="252">
        <f t="shared" si="614"/>
        <v>4880.2865552942867</v>
      </c>
      <c r="AW437" s="252">
        <f t="shared" si="614"/>
        <v>634.63562359808941</v>
      </c>
      <c r="AX437" s="252">
        <f t="shared" si="614"/>
        <v>2863.1458253334918</v>
      </c>
      <c r="AY437" s="252">
        <f t="shared" si="614"/>
        <v>13189.266197596922</v>
      </c>
      <c r="AZ437" s="25">
        <f t="shared" ref="AZ437" si="615">SUM(AT426:AY437)-SUM(AM437:AR437)</f>
        <v>0</v>
      </c>
    </row>
    <row r="438" spans="31:59">
      <c r="AE438" s="165">
        <v>42095</v>
      </c>
      <c r="AF438" s="277">
        <v>1132324</v>
      </c>
      <c r="AG438" s="277">
        <v>658254</v>
      </c>
      <c r="AH438" s="277">
        <v>365111</v>
      </c>
      <c r="AI438" s="277">
        <v>52141</v>
      </c>
      <c r="AJ438" s="277">
        <v>284819</v>
      </c>
      <c r="AK438" s="277">
        <v>874126</v>
      </c>
      <c r="AT438" s="252">
        <f t="shared" ref="AT438" si="616">AF438/SUM(AF438:AF449)*AM449</f>
        <v>13565.351584391541</v>
      </c>
      <c r="AU438" s="252">
        <f t="shared" ref="AU438:AY438" si="617">AG438/SUM(AG438:AG449)*AN449</f>
        <v>10030.756800570291</v>
      </c>
      <c r="AV438" s="252">
        <f t="shared" si="617"/>
        <v>3757.5880008093682</v>
      </c>
      <c r="AW438" s="252">
        <f t="shared" si="617"/>
        <v>727.67255062389563</v>
      </c>
      <c r="AX438" s="252">
        <f t="shared" si="617"/>
        <v>3356.7762247688811</v>
      </c>
      <c r="AY438" s="252">
        <f t="shared" si="617"/>
        <v>8592.944417074561</v>
      </c>
    </row>
    <row r="439" spans="31:59">
      <c r="AE439" s="165">
        <v>42125</v>
      </c>
      <c r="AF439" s="277">
        <v>1144078</v>
      </c>
      <c r="AG439" s="277">
        <v>645011</v>
      </c>
      <c r="AH439" s="277">
        <v>355392</v>
      </c>
      <c r="AI439" s="277">
        <v>52509</v>
      </c>
      <c r="AJ439" s="277">
        <v>272552</v>
      </c>
      <c r="AK439" s="277">
        <v>802498</v>
      </c>
      <c r="AT439" s="252">
        <f t="shared" ref="AT439:AY439" si="618">AF439/SUM(AF438:AF449)*AM449</f>
        <v>13706.16564690628</v>
      </c>
      <c r="AU439" s="252">
        <f t="shared" si="618"/>
        <v>9828.954286176222</v>
      </c>
      <c r="AV439" s="252">
        <f t="shared" si="618"/>
        <v>3657.5636307414538</v>
      </c>
      <c r="AW439" s="252">
        <f t="shared" si="618"/>
        <v>732.80830748758433</v>
      </c>
      <c r="AX439" s="252">
        <f t="shared" si="618"/>
        <v>3212.2016916470043</v>
      </c>
      <c r="AY439" s="252">
        <f t="shared" si="618"/>
        <v>7888.817754892887</v>
      </c>
    </row>
    <row r="440" spans="31:59">
      <c r="AE440" s="165">
        <v>42156</v>
      </c>
      <c r="AF440" s="277">
        <v>1195209</v>
      </c>
      <c r="AG440" s="277">
        <v>669407</v>
      </c>
      <c r="AH440" s="277">
        <v>380855</v>
      </c>
      <c r="AI440" s="277">
        <v>53904</v>
      </c>
      <c r="AJ440" s="277">
        <v>280733</v>
      </c>
      <c r="AK440" s="277">
        <v>878427</v>
      </c>
      <c r="AT440" s="252">
        <f t="shared" ref="AT440:AY440" si="619">AF440/SUM(AF438:AF449)*AM449</f>
        <v>14318.719996952314</v>
      </c>
      <c r="AU440" s="252">
        <f t="shared" si="619"/>
        <v>10200.710998488967</v>
      </c>
      <c r="AV440" s="252">
        <f t="shared" si="619"/>
        <v>3919.6194528465367</v>
      </c>
      <c r="AW440" s="252">
        <f t="shared" si="619"/>
        <v>752.27673364205657</v>
      </c>
      <c r="AX440" s="252">
        <f t="shared" si="619"/>
        <v>3308.6200706695918</v>
      </c>
      <c r="AY440" s="252">
        <f t="shared" si="619"/>
        <v>8635.2246534910919</v>
      </c>
    </row>
    <row r="441" spans="31:59">
      <c r="AE441" s="165">
        <v>42186</v>
      </c>
      <c r="AF441" s="277">
        <v>1250057</v>
      </c>
      <c r="AG441" s="277">
        <v>699958</v>
      </c>
      <c r="AH441" s="277">
        <v>376445</v>
      </c>
      <c r="AI441" s="277">
        <v>56029</v>
      </c>
      <c r="AJ441" s="277">
        <v>293878</v>
      </c>
      <c r="AK441" s="277">
        <v>957208</v>
      </c>
      <c r="AT441" s="252">
        <f t="shared" ref="AT441:AY441" si="620">AF441/SUM(AF438:AF449)*AM449</f>
        <v>14975.804368298948</v>
      </c>
      <c r="AU441" s="252">
        <f t="shared" si="620"/>
        <v>10666.26024090029</v>
      </c>
      <c r="AV441" s="252">
        <f t="shared" si="620"/>
        <v>3874.233356334601</v>
      </c>
      <c r="AW441" s="252">
        <f t="shared" si="620"/>
        <v>781.9329383576503</v>
      </c>
      <c r="AX441" s="252">
        <f t="shared" si="620"/>
        <v>3463.5424019557313</v>
      </c>
      <c r="AY441" s="252">
        <f t="shared" si="620"/>
        <v>9409.6676446863567</v>
      </c>
    </row>
    <row r="442" spans="31:59">
      <c r="AE442" s="165">
        <v>42217</v>
      </c>
      <c r="AF442" s="277">
        <v>1295471</v>
      </c>
      <c r="AG442" s="277">
        <v>730854</v>
      </c>
      <c r="AH442" s="277">
        <v>379568</v>
      </c>
      <c r="AI442" s="277">
        <v>58565</v>
      </c>
      <c r="AJ442" s="277">
        <v>309739</v>
      </c>
      <c r="AK442" s="277">
        <v>1098224</v>
      </c>
      <c r="AT442" s="252">
        <f t="shared" ref="AT442:AY442" si="621">AF442/SUM(AF438:AF449)*AM449</f>
        <v>15519.868502639965</v>
      </c>
      <c r="AU442" s="252">
        <f t="shared" si="621"/>
        <v>11137.066741294391</v>
      </c>
      <c r="AV442" s="252">
        <f t="shared" si="621"/>
        <v>3906.374122639992</v>
      </c>
      <c r="AW442" s="252">
        <f t="shared" si="621"/>
        <v>817.32500196176613</v>
      </c>
      <c r="AX442" s="252">
        <f t="shared" si="621"/>
        <v>3650.474550797835</v>
      </c>
      <c r="AY442" s="252">
        <f t="shared" si="621"/>
        <v>10795.901036575151</v>
      </c>
    </row>
    <row r="443" spans="31:59">
      <c r="AE443" s="165">
        <v>42248</v>
      </c>
      <c r="AF443" s="277">
        <v>1315240</v>
      </c>
      <c r="AG443" s="277">
        <v>759022</v>
      </c>
      <c r="AH443" s="277">
        <v>396018</v>
      </c>
      <c r="AI443" s="277">
        <v>63540</v>
      </c>
      <c r="AJ443" s="277">
        <v>332965</v>
      </c>
      <c r="AK443" s="277">
        <v>1209975</v>
      </c>
      <c r="AT443" s="252">
        <f t="shared" ref="AT443:AY443" si="622">AF443/SUM(AF438:AF449)*AM449</f>
        <v>15756.703044230389</v>
      </c>
      <c r="AU443" s="252">
        <f t="shared" si="622"/>
        <v>11566.302807552194</v>
      </c>
      <c r="AV443" s="252">
        <f t="shared" si="622"/>
        <v>4075.6714667718152</v>
      </c>
      <c r="AW443" s="252">
        <f t="shared" si="622"/>
        <v>886.75541064886227</v>
      </c>
      <c r="AX443" s="252">
        <f t="shared" si="622"/>
        <v>3924.2079906192025</v>
      </c>
      <c r="AY443" s="252">
        <f t="shared" si="622"/>
        <v>11894.449908880173</v>
      </c>
    </row>
    <row r="444" spans="31:59">
      <c r="AE444" s="165">
        <v>42278</v>
      </c>
      <c r="AF444" s="277">
        <v>1333689</v>
      </c>
      <c r="AG444" s="277">
        <v>782565</v>
      </c>
      <c r="AH444" s="277">
        <v>405078</v>
      </c>
      <c r="AI444" s="277">
        <v>68268</v>
      </c>
      <c r="AJ444" s="277">
        <v>355911</v>
      </c>
      <c r="AK444" s="277">
        <v>1386931</v>
      </c>
      <c r="AT444" s="252">
        <f t="shared" ref="AT444:AY444" si="623">AF444/SUM(AF438:AF449)*AM449</f>
        <v>15977.723857513902</v>
      </c>
      <c r="AU444" s="252">
        <f t="shared" si="623"/>
        <v>11925.061139982878</v>
      </c>
      <c r="AV444" s="252">
        <f t="shared" si="623"/>
        <v>4168.9136514425945</v>
      </c>
      <c r="AW444" s="252">
        <f t="shared" si="623"/>
        <v>952.73872165842829</v>
      </c>
      <c r="AX444" s="252">
        <f t="shared" si="623"/>
        <v>4194.6414492492331</v>
      </c>
      <c r="AY444" s="252">
        <f t="shared" si="623"/>
        <v>13633.985253061501</v>
      </c>
    </row>
    <row r="445" spans="31:59">
      <c r="AE445" s="165">
        <v>42309</v>
      </c>
      <c r="AF445" s="277">
        <v>1333339</v>
      </c>
      <c r="AG445" s="277">
        <v>786631</v>
      </c>
      <c r="AH445" s="277">
        <v>417158</v>
      </c>
      <c r="AI445" s="277">
        <v>69386</v>
      </c>
      <c r="AJ445" s="277">
        <v>362269</v>
      </c>
      <c r="AK445" s="277">
        <v>1467434</v>
      </c>
      <c r="AT445" s="252">
        <f t="shared" ref="AT445:AY445" si="624">AF445/SUM(AF438:AF449)*AM449</f>
        <v>15973.530823493131</v>
      </c>
      <c r="AU445" s="252">
        <f t="shared" si="624"/>
        <v>11987.020592035</v>
      </c>
      <c r="AV445" s="252">
        <f t="shared" si="624"/>
        <v>4293.2365643369667</v>
      </c>
      <c r="AW445" s="252">
        <f t="shared" si="624"/>
        <v>968.34137430409123</v>
      </c>
      <c r="AX445" s="252">
        <f t="shared" si="624"/>
        <v>4269.5745935867972</v>
      </c>
      <c r="AY445" s="252">
        <f t="shared" si="624"/>
        <v>14425.356067346574</v>
      </c>
    </row>
    <row r="446" spans="31:59">
      <c r="AE446" s="165">
        <v>42339</v>
      </c>
      <c r="AF446" s="277">
        <v>1327053</v>
      </c>
      <c r="AG446" s="277">
        <v>784835</v>
      </c>
      <c r="AH446" s="277">
        <v>421053</v>
      </c>
      <c r="AI446" s="277">
        <v>67766</v>
      </c>
      <c r="AJ446" s="277">
        <v>367579</v>
      </c>
      <c r="AK446" s="277">
        <v>1540280</v>
      </c>
      <c r="AT446" s="252">
        <f t="shared" ref="AT446:AY446" si="625">AF446/SUM(AF438:AF449)*AM449</f>
        <v>15898.223932480058</v>
      </c>
      <c r="AU446" s="252">
        <f t="shared" si="625"/>
        <v>11959.652373666675</v>
      </c>
      <c r="AV446" s="252">
        <f t="shared" si="625"/>
        <v>4333.3224704399117</v>
      </c>
      <c r="AW446" s="252">
        <f t="shared" si="625"/>
        <v>945.7328794150269</v>
      </c>
      <c r="AX446" s="252">
        <f t="shared" si="625"/>
        <v>4332.1563797510717</v>
      </c>
      <c r="AY446" s="252">
        <f t="shared" si="625"/>
        <v>15141.456067811281</v>
      </c>
      <c r="BA446" s="252">
        <f t="shared" ref="BA446" si="626">SUM(AT435:AT446)</f>
        <v>172832.50759189564</v>
      </c>
      <c r="BB446" s="252">
        <f t="shared" ref="BB446:BF446" si="627">SUM(AU435:AU446)</f>
        <v>122870.38320402177</v>
      </c>
      <c r="BC446" s="252">
        <f t="shared" si="627"/>
        <v>49497.010842927462</v>
      </c>
      <c r="BD446" s="252">
        <f t="shared" si="627"/>
        <v>9485.0845016926705</v>
      </c>
      <c r="BE446" s="252">
        <f t="shared" si="627"/>
        <v>42846.667846745593</v>
      </c>
      <c r="BF446" s="252">
        <f t="shared" si="627"/>
        <v>141726.00356327358</v>
      </c>
      <c r="BG446" s="252">
        <f t="shared" ref="BG446" si="628">SUM(BA446:BF446)</f>
        <v>539257.6575505567</v>
      </c>
    </row>
    <row r="447" spans="31:59">
      <c r="AE447" s="165">
        <v>42370</v>
      </c>
      <c r="AF447" s="277">
        <v>1310455</v>
      </c>
      <c r="AG447" s="277">
        <v>776782</v>
      </c>
      <c r="AH447" s="277">
        <v>402627</v>
      </c>
      <c r="AI447" s="277">
        <v>65504</v>
      </c>
      <c r="AJ447" s="277">
        <v>358885</v>
      </c>
      <c r="AK447" s="277">
        <v>1559729</v>
      </c>
      <c r="AT447" s="252">
        <f t="shared" ref="AT447:AY447" si="629">AF447/SUM(AF438:AF449)*AM449</f>
        <v>15699.378279117831</v>
      </c>
      <c r="AU447" s="252">
        <f t="shared" si="629"/>
        <v>11836.93730544834</v>
      </c>
      <c r="AV447" s="252">
        <f t="shared" si="629"/>
        <v>4143.6888617485465</v>
      </c>
      <c r="AW447" s="252">
        <f t="shared" si="629"/>
        <v>914.16472173659236</v>
      </c>
      <c r="AX447" s="252">
        <f t="shared" si="629"/>
        <v>4229.6919637600722</v>
      </c>
      <c r="AY447" s="252">
        <f t="shared" si="629"/>
        <v>15332.646097586945</v>
      </c>
    </row>
    <row r="448" spans="31:59">
      <c r="AE448" s="165">
        <v>42401</v>
      </c>
      <c r="AF448" s="277">
        <v>1270571</v>
      </c>
      <c r="AG448" s="277">
        <v>760891</v>
      </c>
      <c r="AH448" s="277">
        <v>434493</v>
      </c>
      <c r="AI448" s="277">
        <v>61896</v>
      </c>
      <c r="AJ448" s="277">
        <v>340843</v>
      </c>
      <c r="AK448" s="277">
        <v>1543367</v>
      </c>
      <c r="AT448" s="252">
        <f t="shared" ref="AT448:AY448" si="630">AF448/SUM(AF438:AF449)*AM449</f>
        <v>15221.564082305016</v>
      </c>
      <c r="AU448" s="252">
        <f t="shared" si="630"/>
        <v>11594.78343123282</v>
      </c>
      <c r="AV448" s="252">
        <f t="shared" si="630"/>
        <v>4471.6420026667638</v>
      </c>
      <c r="AW448" s="252">
        <f t="shared" si="630"/>
        <v>863.81197509477477</v>
      </c>
      <c r="AX448" s="252">
        <f t="shared" si="630"/>
        <v>4017.0553185668787</v>
      </c>
      <c r="AY448" s="252">
        <f t="shared" si="630"/>
        <v>15171.802287252769</v>
      </c>
    </row>
    <row r="449" spans="31:59">
      <c r="AE449" s="165">
        <v>42430</v>
      </c>
      <c r="AF449" s="277">
        <v>1208611</v>
      </c>
      <c r="AG449" s="277">
        <v>722068</v>
      </c>
      <c r="AH449" s="277">
        <v>484777</v>
      </c>
      <c r="AI449" s="277">
        <v>65562</v>
      </c>
      <c r="AJ449" s="277">
        <v>328325</v>
      </c>
      <c r="AK449" s="277">
        <v>1529832</v>
      </c>
      <c r="AM449" s="277">
        <v>181092.31137798566</v>
      </c>
      <c r="AN449" s="277">
        <v>133736.68862201434</v>
      </c>
      <c r="AO449" s="277">
        <v>49591</v>
      </c>
      <c r="AP449" s="277">
        <v>10258.534776607794</v>
      </c>
      <c r="AQ449" s="277">
        <v>45828.46522339221</v>
      </c>
      <c r="AR449" s="277">
        <v>145961</v>
      </c>
      <c r="AT449" s="252">
        <f t="shared" ref="AT449:AY449" si="631">AF449/SUM(AF438:AF449)*AM449</f>
        <v>14479.277259656288</v>
      </c>
      <c r="AU449" s="252">
        <f t="shared" si="631"/>
        <v>11003.181904666266</v>
      </c>
      <c r="AV449" s="252">
        <f t="shared" si="631"/>
        <v>4989.1464192214498</v>
      </c>
      <c r="AW449" s="252">
        <f t="shared" si="631"/>
        <v>914.97416167706501</v>
      </c>
      <c r="AX449" s="252">
        <f t="shared" si="631"/>
        <v>3869.5225880199105</v>
      </c>
      <c r="AY449" s="252">
        <f t="shared" si="631"/>
        <v>15038.748811340709</v>
      </c>
      <c r="AZ449" s="25">
        <f t="shared" ref="AZ449" si="632">SUM(AT438:AY449)-SUM(AM449:AR449)</f>
        <v>0</v>
      </c>
    </row>
    <row r="450" spans="31:59">
      <c r="AE450" s="165">
        <v>42461</v>
      </c>
      <c r="AF450" s="277">
        <v>1195244</v>
      </c>
      <c r="AG450" s="277">
        <v>693003</v>
      </c>
      <c r="AH450" s="277">
        <v>349071</v>
      </c>
      <c r="AI450" s="277">
        <v>60076</v>
      </c>
      <c r="AJ450" s="277">
        <v>288286</v>
      </c>
      <c r="AK450" s="277">
        <v>930602</v>
      </c>
      <c r="AT450" s="252">
        <f t="shared" ref="AT450" si="633">AF450/SUM(AF450:AF461)*AM461</f>
        <v>13768.532311586425</v>
      </c>
      <c r="AU450" s="252">
        <f t="shared" ref="AU450:AY450" si="634">AG450/SUM(AG450:AG461)*AN461</f>
        <v>10303.485445483335</v>
      </c>
      <c r="AV450" s="252">
        <f t="shared" si="634"/>
        <v>3851.2393695490773</v>
      </c>
      <c r="AW450" s="252">
        <f t="shared" si="634"/>
        <v>833.51307711259358</v>
      </c>
      <c r="AX450" s="252">
        <f t="shared" si="634"/>
        <v>3660.7967088083237</v>
      </c>
      <c r="AY450" s="252">
        <f t="shared" si="634"/>
        <v>9385.4205690650851</v>
      </c>
    </row>
    <row r="451" spans="31:59">
      <c r="AE451" s="165">
        <v>42491</v>
      </c>
      <c r="AF451" s="277">
        <v>1208821</v>
      </c>
      <c r="AG451" s="277">
        <v>687943</v>
      </c>
      <c r="AH451" s="277">
        <v>330889</v>
      </c>
      <c r="AI451" s="277">
        <v>58365</v>
      </c>
      <c r="AJ451" s="277">
        <v>265674</v>
      </c>
      <c r="AK451" s="277">
        <v>822375</v>
      </c>
      <c r="AT451" s="252">
        <f t="shared" ref="AT451:AY451" si="635">AF451/SUM(AF450:AF461)*AM461</f>
        <v>13924.931643600983</v>
      </c>
      <c r="AU451" s="252">
        <f t="shared" si="635"/>
        <v>10228.253972669874</v>
      </c>
      <c r="AV451" s="252">
        <f t="shared" si="635"/>
        <v>3650.6405394625299</v>
      </c>
      <c r="AW451" s="252">
        <f t="shared" si="635"/>
        <v>809.77413186091826</v>
      </c>
      <c r="AX451" s="252">
        <f t="shared" si="635"/>
        <v>3373.6584669943832</v>
      </c>
      <c r="AY451" s="252">
        <f t="shared" si="635"/>
        <v>8293.9164546013217</v>
      </c>
    </row>
    <row r="452" spans="31:59">
      <c r="AE452" s="165">
        <v>42522</v>
      </c>
      <c r="AF452" s="277">
        <v>1268784</v>
      </c>
      <c r="AG452" s="277">
        <v>713940</v>
      </c>
      <c r="AH452" s="277">
        <v>357169</v>
      </c>
      <c r="AI452" s="277">
        <v>58766</v>
      </c>
      <c r="AJ452" s="277">
        <v>263339</v>
      </c>
      <c r="AK452" s="277">
        <v>919524</v>
      </c>
      <c r="AT452" s="252">
        <f t="shared" ref="AT452:AY452" si="636">AF452/SUM(AF450:AF461)*AM461</f>
        <v>14615.671361181374</v>
      </c>
      <c r="AU452" s="252">
        <f t="shared" si="636"/>
        <v>10614.774249099024</v>
      </c>
      <c r="AV452" s="252">
        <f t="shared" si="636"/>
        <v>3940.5831890431305</v>
      </c>
      <c r="AW452" s="252">
        <f t="shared" si="636"/>
        <v>815.33773036817831</v>
      </c>
      <c r="AX452" s="252">
        <f t="shared" si="636"/>
        <v>3344.0074942968968</v>
      </c>
      <c r="AY452" s="252">
        <f t="shared" si="636"/>
        <v>9273.6953749820041</v>
      </c>
    </row>
    <row r="453" spans="31:59">
      <c r="AE453" s="165">
        <v>42552</v>
      </c>
      <c r="AF453" s="277">
        <v>1338150</v>
      </c>
      <c r="AG453" s="277">
        <v>746871</v>
      </c>
      <c r="AH453" s="277">
        <v>357405</v>
      </c>
      <c r="AI453" s="277">
        <v>59364</v>
      </c>
      <c r="AJ453" s="277">
        <v>278831</v>
      </c>
      <c r="AK453" s="277">
        <v>992737</v>
      </c>
      <c r="AT453" s="252">
        <f t="shared" ref="AT453:AY453" si="637">AF453/SUM(AF450:AF461)*AM461</f>
        <v>15414.728300455283</v>
      </c>
      <c r="AU453" s="252">
        <f t="shared" si="637"/>
        <v>11104.388405466618</v>
      </c>
      <c r="AV453" s="252">
        <f t="shared" si="637"/>
        <v>3943.1869358201857</v>
      </c>
      <c r="AW453" s="252">
        <f t="shared" si="637"/>
        <v>823.63456804234647</v>
      </c>
      <c r="AX453" s="252">
        <f t="shared" si="637"/>
        <v>3540.7324917399174</v>
      </c>
      <c r="AY453" s="252">
        <f t="shared" si="637"/>
        <v>10012.072034523851</v>
      </c>
    </row>
    <row r="454" spans="31:59">
      <c r="AE454" s="165">
        <v>42583</v>
      </c>
      <c r="AF454" s="277">
        <v>1397761</v>
      </c>
      <c r="AG454" s="277">
        <v>788382</v>
      </c>
      <c r="AH454" s="277">
        <v>347625</v>
      </c>
      <c r="AI454" s="277">
        <v>62035</v>
      </c>
      <c r="AJ454" s="277">
        <v>290137</v>
      </c>
      <c r="AK454" s="277">
        <v>1119651</v>
      </c>
      <c r="AT454" s="252">
        <f t="shared" ref="AT454:AY454" si="638">AF454/SUM(AF450:AF461)*AM461</f>
        <v>16101.413177874436</v>
      </c>
      <c r="AU454" s="252">
        <f t="shared" si="638"/>
        <v>11721.568972257035</v>
      </c>
      <c r="AV454" s="252">
        <f t="shared" si="638"/>
        <v>3835.2859041269485</v>
      </c>
      <c r="AW454" s="252">
        <f t="shared" si="638"/>
        <v>860.69285136626513</v>
      </c>
      <c r="AX454" s="252">
        <f t="shared" si="638"/>
        <v>3684.3016126468879</v>
      </c>
      <c r="AY454" s="252">
        <f t="shared" si="638"/>
        <v>11292.040556085514</v>
      </c>
    </row>
    <row r="455" spans="31:59">
      <c r="AE455" s="165">
        <v>42614</v>
      </c>
      <c r="AF455" s="277">
        <v>1424589</v>
      </c>
      <c r="AG455" s="277">
        <v>818199</v>
      </c>
      <c r="AH455" s="277">
        <v>379760</v>
      </c>
      <c r="AI455" s="277">
        <v>62120</v>
      </c>
      <c r="AJ455" s="277">
        <v>324661</v>
      </c>
      <c r="AK455" s="277">
        <v>1296388</v>
      </c>
      <c r="AT455" s="252">
        <f t="shared" ref="AT455:AY455" si="639">AF455/SUM(AF450:AF461)*AM461</f>
        <v>16410.456506981496</v>
      </c>
      <c r="AU455" s="252">
        <f t="shared" si="639"/>
        <v>12164.884550296347</v>
      </c>
      <c r="AV455" s="252">
        <f t="shared" si="639"/>
        <v>4189.8257459942461</v>
      </c>
      <c r="AW455" s="252">
        <f t="shared" si="639"/>
        <v>861.87216775807826</v>
      </c>
      <c r="AX455" s="252">
        <f t="shared" si="639"/>
        <v>4122.7042599308306</v>
      </c>
      <c r="AY455" s="252">
        <f t="shared" si="639"/>
        <v>13074.490062012705</v>
      </c>
    </row>
    <row r="456" spans="31:59">
      <c r="AE456" s="165">
        <v>42644</v>
      </c>
      <c r="AF456" s="277">
        <v>1445133</v>
      </c>
      <c r="AG456" s="277">
        <v>846030</v>
      </c>
      <c r="AH456" s="277">
        <v>381144</v>
      </c>
      <c r="AI456" s="277">
        <v>65097</v>
      </c>
      <c r="AJ456" s="277">
        <v>345277</v>
      </c>
      <c r="AK456" s="277">
        <v>1410021</v>
      </c>
      <c r="AT456" s="252">
        <f t="shared" ref="AT456:AY456" si="640">AF456/SUM(AF450:AF461)*AM461</f>
        <v>16647.111723664646</v>
      </c>
      <c r="AU456" s="252">
        <f t="shared" si="640"/>
        <v>12578.672518650374</v>
      </c>
      <c r="AV456" s="252">
        <f t="shared" si="640"/>
        <v>4205.0951762461327</v>
      </c>
      <c r="AW456" s="252">
        <f t="shared" si="640"/>
        <v>903.17599009252456</v>
      </c>
      <c r="AX456" s="252">
        <f t="shared" si="640"/>
        <v>4384.4963169464072</v>
      </c>
      <c r="AY456" s="252">
        <f t="shared" si="640"/>
        <v>14220.515425728421</v>
      </c>
    </row>
    <row r="457" spans="31:59">
      <c r="AE457" s="165">
        <v>42675</v>
      </c>
      <c r="AF457" s="277">
        <v>1438429</v>
      </c>
      <c r="AG457" s="277">
        <v>845558</v>
      </c>
      <c r="AH457" s="277">
        <v>401428</v>
      </c>
      <c r="AI457" s="277">
        <v>64133</v>
      </c>
      <c r="AJ457" s="277">
        <v>330756</v>
      </c>
      <c r="AK457" s="277">
        <v>1475944</v>
      </c>
      <c r="AT457" s="252">
        <f t="shared" ref="AT457:AY457" si="641">AF457/SUM(AF450:AF461)*AM461</f>
        <v>16569.885449684709</v>
      </c>
      <c r="AU457" s="252">
        <f t="shared" si="641"/>
        <v>12571.654879289119</v>
      </c>
      <c r="AV457" s="252">
        <f t="shared" si="641"/>
        <v>4428.8850051689969</v>
      </c>
      <c r="AW457" s="252">
        <f t="shared" si="641"/>
        <v>889.80115477831362</v>
      </c>
      <c r="AX457" s="252">
        <f t="shared" si="641"/>
        <v>4200.1015526893643</v>
      </c>
      <c r="AY457" s="252">
        <f t="shared" si="641"/>
        <v>14885.370089886115</v>
      </c>
    </row>
    <row r="458" spans="31:59">
      <c r="AE458" s="165">
        <v>42705</v>
      </c>
      <c r="AF458" s="277">
        <v>1423030</v>
      </c>
      <c r="AG458" s="277">
        <v>852956</v>
      </c>
      <c r="AH458" s="277">
        <v>406899</v>
      </c>
      <c r="AI458" s="277">
        <v>64425</v>
      </c>
      <c r="AJ458" s="277">
        <v>314063</v>
      </c>
      <c r="AK458" s="277">
        <v>1556288</v>
      </c>
      <c r="AT458" s="252">
        <f t="shared" ref="AT458:AY458" si="642">AF458/SUM(AF450:AF461)*AM461</f>
        <v>16392.497712062835</v>
      </c>
      <c r="AU458" s="252">
        <f t="shared" si="642"/>
        <v>12681.647455548798</v>
      </c>
      <c r="AV458" s="252">
        <f t="shared" si="642"/>
        <v>4489.2455925303166</v>
      </c>
      <c r="AW458" s="252">
        <f t="shared" si="642"/>
        <v>893.85245344195425</v>
      </c>
      <c r="AX458" s="252">
        <f t="shared" si="642"/>
        <v>3988.1256695034403</v>
      </c>
      <c r="AY458" s="252">
        <f t="shared" si="642"/>
        <v>15695.665178657646</v>
      </c>
      <c r="BA458" s="252">
        <f t="shared" ref="BA458" si="643">SUM(AT447:AT458)</f>
        <v>185245.44780817136</v>
      </c>
      <c r="BB458" s="252">
        <f t="shared" ref="BB458:BF458" si="644">SUM(AU447:AU458)</f>
        <v>138404.23309010797</v>
      </c>
      <c r="BC458" s="252">
        <f t="shared" si="644"/>
        <v>50138.464741578318</v>
      </c>
      <c r="BD458" s="252">
        <f t="shared" si="644"/>
        <v>10384.604983329604</v>
      </c>
      <c r="BE458" s="252">
        <f t="shared" si="644"/>
        <v>46415.19444390331</v>
      </c>
      <c r="BF458" s="252">
        <f t="shared" si="644"/>
        <v>151676.3829417231</v>
      </c>
      <c r="BG458" s="252">
        <f t="shared" ref="BG458" si="645">SUM(BA458:BF458)</f>
        <v>582264.32800881367</v>
      </c>
    </row>
    <row r="459" spans="31:59">
      <c r="AE459" s="165">
        <v>42736</v>
      </c>
      <c r="AF459" s="277">
        <v>1394465</v>
      </c>
      <c r="AG459" s="277">
        <v>853400</v>
      </c>
      <c r="AH459" s="277">
        <v>383142</v>
      </c>
      <c r="AI459" s="277">
        <v>63781</v>
      </c>
      <c r="AJ459" s="277">
        <v>299850</v>
      </c>
      <c r="AK459" s="277">
        <v>1576586</v>
      </c>
      <c r="AT459" s="252">
        <f t="shared" ref="AT459:AY459" si="646">AF459/SUM(AF450:AF461)*AM461</f>
        <v>16063.445129091937</v>
      </c>
      <c r="AU459" s="252">
        <f t="shared" si="646"/>
        <v>12688.248794269977</v>
      </c>
      <c r="AV459" s="252">
        <f t="shared" si="646"/>
        <v>4227.1387612484932</v>
      </c>
      <c r="AW459" s="252">
        <f t="shared" si="646"/>
        <v>884.91739748515761</v>
      </c>
      <c r="AX459" s="252">
        <f t="shared" si="646"/>
        <v>3807.6420399748026</v>
      </c>
      <c r="AY459" s="252">
        <f t="shared" si="646"/>
        <v>15900.377039056488</v>
      </c>
    </row>
    <row r="460" spans="31:59">
      <c r="AE460" s="165">
        <v>42767</v>
      </c>
      <c r="AF460" s="277">
        <v>1337489</v>
      </c>
      <c r="AG460" s="277">
        <v>850353</v>
      </c>
      <c r="AH460" s="277">
        <v>397297</v>
      </c>
      <c r="AI460" s="277">
        <v>61941</v>
      </c>
      <c r="AJ460" s="277">
        <v>291398</v>
      </c>
      <c r="AK460" s="277">
        <v>1573876</v>
      </c>
      <c r="AT460" s="252">
        <f t="shared" ref="AT460:AY460" si="647">AF460/SUM(AF450:AF461)*AM461</f>
        <v>15407.113955720686</v>
      </c>
      <c r="AU460" s="252">
        <f t="shared" si="647"/>
        <v>12642.946363901874</v>
      </c>
      <c r="AV460" s="252">
        <f t="shared" si="647"/>
        <v>4383.3084037451972</v>
      </c>
      <c r="AW460" s="252">
        <f t="shared" si="647"/>
        <v>859.38866618002464</v>
      </c>
      <c r="AX460" s="252">
        <f t="shared" si="647"/>
        <v>3700.3144077524685</v>
      </c>
      <c r="AY460" s="252">
        <f t="shared" si="647"/>
        <v>15873.045817178428</v>
      </c>
    </row>
    <row r="461" spans="31:59">
      <c r="AE461" s="165">
        <v>42795</v>
      </c>
      <c r="AF461" s="277">
        <v>1261925</v>
      </c>
      <c r="AG461" s="277">
        <v>813635</v>
      </c>
      <c r="AH461" s="277">
        <v>466115</v>
      </c>
      <c r="AI461" s="277">
        <v>60039</v>
      </c>
      <c r="AJ461" s="277">
        <v>294142</v>
      </c>
      <c r="AK461" s="277">
        <v>1600781</v>
      </c>
      <c r="AM461" s="277">
        <v>185852.44684710342</v>
      </c>
      <c r="AN461" s="277">
        <v>141397.55315289658</v>
      </c>
      <c r="AO461" s="277">
        <v>50287</v>
      </c>
      <c r="AP461" s="277">
        <v>10268.959916110747</v>
      </c>
      <c r="AQ461" s="277">
        <v>45542.040083889253</v>
      </c>
      <c r="AR461" s="277">
        <v>154051</v>
      </c>
      <c r="AT461" s="252">
        <f t="shared" ref="AT461:AY461" si="648">AF461/SUM(AF450:AF461)*AM461</f>
        <v>14536.659575198619</v>
      </c>
      <c r="AU461" s="252">
        <f t="shared" si="648"/>
        <v>12097.027545964205</v>
      </c>
      <c r="AV461" s="252">
        <f t="shared" si="648"/>
        <v>5142.5653770647468</v>
      </c>
      <c r="AW461" s="252">
        <f t="shared" si="648"/>
        <v>832.99972762439256</v>
      </c>
      <c r="AX461" s="252">
        <f t="shared" si="648"/>
        <v>3735.1590626055313</v>
      </c>
      <c r="AY461" s="252">
        <f t="shared" si="648"/>
        <v>16144.391398222415</v>
      </c>
      <c r="AZ461" s="25">
        <f t="shared" ref="AZ461" si="649">SUM(AT450:AY461)-SUM(AM461:AR461)</f>
        <v>0</v>
      </c>
    </row>
    <row r="462" spans="31:59">
      <c r="AE462" s="165">
        <v>42826</v>
      </c>
      <c r="AF462" s="277">
        <v>1239586</v>
      </c>
      <c r="AG462" s="277">
        <v>785593</v>
      </c>
      <c r="AH462" s="277">
        <v>373240</v>
      </c>
      <c r="AI462" s="277">
        <v>56516</v>
      </c>
      <c r="AJ462" s="277">
        <v>300737</v>
      </c>
      <c r="AK462" s="277">
        <v>1024158</v>
      </c>
      <c r="AT462" s="252">
        <f t="shared" ref="AT462" si="650">AF462/SUM(AF462:AF473)*AM473</f>
        <v>14570.862825838007</v>
      </c>
      <c r="AU462" s="252">
        <f t="shared" ref="AU462:AY462" si="651">AG462/SUM(AG462:AG473)*AN473</f>
        <v>11785.07264966822</v>
      </c>
      <c r="AV462" s="252">
        <f t="shared" si="651"/>
        <v>3847.7411786169632</v>
      </c>
      <c r="AW462" s="252">
        <f t="shared" si="651"/>
        <v>796.32889706354092</v>
      </c>
      <c r="AX462" s="252">
        <f t="shared" si="651"/>
        <v>4139.0465008313386</v>
      </c>
      <c r="AY462" s="252">
        <f t="shared" si="651"/>
        <v>9709.0993804089085</v>
      </c>
    </row>
    <row r="463" spans="31:59">
      <c r="AE463" s="165">
        <v>42856</v>
      </c>
      <c r="AF463" s="277">
        <v>1250831</v>
      </c>
      <c r="AG463" s="277">
        <v>778470</v>
      </c>
      <c r="AH463" s="277">
        <v>351063</v>
      </c>
      <c r="AI463" s="277">
        <v>53896</v>
      </c>
      <c r="AJ463" s="277">
        <v>297129</v>
      </c>
      <c r="AK463" s="277">
        <v>955459</v>
      </c>
      <c r="AT463" s="252">
        <f t="shared" ref="AT463:AY463" si="652">AF463/SUM(AF462:AF473)*AM473</f>
        <v>14703.043531716057</v>
      </c>
      <c r="AU463" s="252">
        <f t="shared" si="652"/>
        <v>11678.216971876302</v>
      </c>
      <c r="AV463" s="252">
        <f t="shared" si="652"/>
        <v>3619.1178903354598</v>
      </c>
      <c r="AW463" s="252">
        <f t="shared" si="652"/>
        <v>759.41224142077635</v>
      </c>
      <c r="AX463" s="252">
        <f t="shared" si="652"/>
        <v>4089.3895588022583</v>
      </c>
      <c r="AY463" s="252">
        <f t="shared" si="652"/>
        <v>9057.8273907991879</v>
      </c>
    </row>
    <row r="464" spans="31:59">
      <c r="AE464" s="165">
        <v>42887</v>
      </c>
      <c r="AF464" s="277">
        <v>1304870</v>
      </c>
      <c r="AG464" s="277">
        <v>807238</v>
      </c>
      <c r="AH464" s="277">
        <v>371875</v>
      </c>
      <c r="AI464" s="277">
        <v>50818</v>
      </c>
      <c r="AJ464" s="277">
        <v>294968</v>
      </c>
      <c r="AK464" s="277">
        <v>1034942</v>
      </c>
      <c r="AT464" s="252">
        <f t="shared" ref="AT464:AY464" si="653">AF464/SUM(AF462:AF473)*AM473</f>
        <v>15338.251461012984</v>
      </c>
      <c r="AU464" s="252">
        <f t="shared" si="653"/>
        <v>12109.780096784054</v>
      </c>
      <c r="AV464" s="252">
        <f t="shared" si="653"/>
        <v>3833.6693569772351</v>
      </c>
      <c r="AW464" s="252">
        <f t="shared" si="653"/>
        <v>716.04221620381873</v>
      </c>
      <c r="AX464" s="252">
        <f t="shared" si="653"/>
        <v>4059.6476930248632</v>
      </c>
      <c r="AY464" s="252">
        <f t="shared" si="653"/>
        <v>9811.3325589988617</v>
      </c>
    </row>
    <row r="465" spans="31:59">
      <c r="AE465" s="165">
        <v>42917</v>
      </c>
      <c r="AF465" s="277">
        <v>1358236</v>
      </c>
      <c r="AG465" s="277">
        <v>838425</v>
      </c>
      <c r="AH465" s="277">
        <v>366737</v>
      </c>
      <c r="AI465" s="277">
        <v>51659</v>
      </c>
      <c r="AJ465" s="277">
        <v>309916</v>
      </c>
      <c r="AK465" s="277">
        <v>1097122</v>
      </c>
      <c r="AT465" s="252">
        <f t="shared" ref="AT465:AY465" si="654">AF465/SUM(AF462:AF473)*AM473</f>
        <v>15965.54853081183</v>
      </c>
      <c r="AU465" s="252">
        <f t="shared" si="654"/>
        <v>12577.631847913714</v>
      </c>
      <c r="AV465" s="252">
        <f t="shared" si="654"/>
        <v>3780.7015770615403</v>
      </c>
      <c r="AW465" s="252">
        <f t="shared" si="654"/>
        <v>727.89218085861444</v>
      </c>
      <c r="AX465" s="252">
        <f t="shared" si="654"/>
        <v>4265.3771745799322</v>
      </c>
      <c r="AY465" s="252">
        <f t="shared" si="654"/>
        <v>10400.803909585222</v>
      </c>
    </row>
    <row r="466" spans="31:59">
      <c r="AE466" s="165">
        <v>42948</v>
      </c>
      <c r="AF466" s="277">
        <v>1396742</v>
      </c>
      <c r="AG466" s="277">
        <v>870362</v>
      </c>
      <c r="AH466" s="277">
        <v>371064</v>
      </c>
      <c r="AI466" s="277">
        <v>53997</v>
      </c>
      <c r="AJ466" s="277">
        <v>320740</v>
      </c>
      <c r="AK466" s="277">
        <v>1221741</v>
      </c>
      <c r="AT466" s="252">
        <f t="shared" ref="AT466:AY466" si="655">AF466/SUM(AF462:AF473)*AM473</f>
        <v>16418.171942153775</v>
      </c>
      <c r="AU466" s="252">
        <f t="shared" si="655"/>
        <v>13056.73472333706</v>
      </c>
      <c r="AV466" s="252">
        <f t="shared" si="655"/>
        <v>3825.3087362081365</v>
      </c>
      <c r="AW466" s="252">
        <f t="shared" si="655"/>
        <v>760.83536440547846</v>
      </c>
      <c r="AX466" s="252">
        <f t="shared" si="655"/>
        <v>4414.3480006671725</v>
      </c>
      <c r="AY466" s="252">
        <f t="shared" si="655"/>
        <v>11582.201951378753</v>
      </c>
    </row>
    <row r="467" spans="31:59">
      <c r="AE467" s="165">
        <v>42979</v>
      </c>
      <c r="AF467" s="277">
        <v>1411461</v>
      </c>
      <c r="AG467" s="277">
        <v>889177</v>
      </c>
      <c r="AH467" s="277">
        <v>390694</v>
      </c>
      <c r="AI467" s="277">
        <v>57113</v>
      </c>
      <c r="AJ467" s="277">
        <v>327751</v>
      </c>
      <c r="AK467" s="277">
        <v>1369424</v>
      </c>
      <c r="AT467" s="252">
        <f t="shared" ref="AT467:AY467" si="656">AF467/SUM(AF462:AF473)*AM473</f>
        <v>16591.188199140794</v>
      </c>
      <c r="AU467" s="252">
        <f t="shared" si="656"/>
        <v>13338.987928118044</v>
      </c>
      <c r="AV467" s="252">
        <f t="shared" si="656"/>
        <v>4027.6749331223232</v>
      </c>
      <c r="AW467" s="252">
        <f t="shared" si="656"/>
        <v>804.74082203252203</v>
      </c>
      <c r="AX467" s="252">
        <f t="shared" si="656"/>
        <v>4510.8404675645897</v>
      </c>
      <c r="AY467" s="252">
        <f t="shared" si="656"/>
        <v>12982.248549459253</v>
      </c>
    </row>
    <row r="468" spans="31:59">
      <c r="AE468" s="165">
        <v>43009</v>
      </c>
      <c r="AF468" s="277">
        <v>1436561</v>
      </c>
      <c r="AG468" s="277">
        <v>910733</v>
      </c>
      <c r="AH468" s="277">
        <v>385602</v>
      </c>
      <c r="AI468" s="277">
        <v>58687</v>
      </c>
      <c r="AJ468" s="277">
        <v>335091</v>
      </c>
      <c r="AK468" s="277">
        <v>1527869</v>
      </c>
      <c r="AT468" s="252">
        <f t="shared" ref="AT468:AY468" si="657">AF468/SUM(AF462:AF473)*AM473</f>
        <v>16886.229170020211</v>
      </c>
      <c r="AU468" s="252">
        <f t="shared" si="657"/>
        <v>13662.360241817694</v>
      </c>
      <c r="AV468" s="252">
        <f t="shared" si="657"/>
        <v>3975.1813684413737</v>
      </c>
      <c r="AW468" s="252">
        <f t="shared" si="657"/>
        <v>826.91899607134303</v>
      </c>
      <c r="AX468" s="252">
        <f t="shared" si="657"/>
        <v>4611.8609649297359</v>
      </c>
      <c r="AY468" s="252">
        <f t="shared" si="657"/>
        <v>14484.319764378131</v>
      </c>
    </row>
    <row r="469" spans="31:59">
      <c r="AE469" s="165">
        <v>43040</v>
      </c>
      <c r="AF469" s="277">
        <v>1439907</v>
      </c>
      <c r="AG469" s="277">
        <v>919046</v>
      </c>
      <c r="AH469" s="277">
        <v>397320</v>
      </c>
      <c r="AI469" s="277">
        <v>57101</v>
      </c>
      <c r="AJ469" s="277">
        <v>331984</v>
      </c>
      <c r="AK469" s="277">
        <v>1587867</v>
      </c>
      <c r="AT469" s="252">
        <f t="shared" ref="AT469:AY469" si="658">AF469/SUM(AF462:AF473)*AM473</f>
        <v>16925.560129723897</v>
      </c>
      <c r="AU469" s="252">
        <f t="shared" si="658"/>
        <v>13787.06770348893</v>
      </c>
      <c r="AV469" s="252">
        <f t="shared" si="658"/>
        <v>4095.9825449793475</v>
      </c>
      <c r="AW469" s="252">
        <f t="shared" si="658"/>
        <v>804.57173811354744</v>
      </c>
      <c r="AX469" s="252">
        <f t="shared" si="658"/>
        <v>4569.0992911813009</v>
      </c>
      <c r="AY469" s="252">
        <f t="shared" si="658"/>
        <v>15053.105581240154</v>
      </c>
    </row>
    <row r="470" spans="31:59">
      <c r="AE470" s="165">
        <v>43070</v>
      </c>
      <c r="AF470" s="277">
        <v>1436112</v>
      </c>
      <c r="AG470" s="277">
        <v>917842</v>
      </c>
      <c r="AH470" s="277">
        <v>411534</v>
      </c>
      <c r="AI470" s="277">
        <v>54147</v>
      </c>
      <c r="AJ470" s="277">
        <v>332840</v>
      </c>
      <c r="AK470" s="277">
        <v>1689026</v>
      </c>
      <c r="AT470" s="252">
        <f t="shared" ref="AT470:AY470" si="659">AF470/SUM(AF462:AF473)*AM473</f>
        <v>16880.951345481371</v>
      </c>
      <c r="AU470" s="252">
        <f t="shared" si="659"/>
        <v>13769.005898622796</v>
      </c>
      <c r="AV470" s="252">
        <f t="shared" si="659"/>
        <v>4242.5150525156823</v>
      </c>
      <c r="AW470" s="252">
        <f t="shared" si="659"/>
        <v>762.94891339265962</v>
      </c>
      <c r="AX470" s="252">
        <f t="shared" si="659"/>
        <v>4580.8804282037217</v>
      </c>
      <c r="AY470" s="252">
        <f t="shared" si="659"/>
        <v>16012.100955218371</v>
      </c>
      <c r="BA470" s="252">
        <f t="shared" ref="BA470" si="660">SUM(AT459:AT470)</f>
        <v>190287.02579591016</v>
      </c>
      <c r="BB470" s="252">
        <f t="shared" ref="BB470:BF470" si="661">SUM(AU459:AU470)</f>
        <v>153193.08076576289</v>
      </c>
      <c r="BC470" s="252">
        <f t="shared" si="661"/>
        <v>49000.905180316491</v>
      </c>
      <c r="BD470" s="252">
        <f t="shared" si="661"/>
        <v>9536.9971608518772</v>
      </c>
      <c r="BE470" s="252">
        <f t="shared" si="661"/>
        <v>50483.605590117717</v>
      </c>
      <c r="BF470" s="252">
        <f t="shared" si="661"/>
        <v>157010.85429592419</v>
      </c>
      <c r="BG470" s="252">
        <f t="shared" ref="BG470" si="662">SUM(BA470:BF470)</f>
        <v>609512.4687888833</v>
      </c>
    </row>
    <row r="471" spans="31:59">
      <c r="AE471" s="165">
        <v>43101</v>
      </c>
      <c r="AF471" s="277">
        <v>1403457</v>
      </c>
      <c r="AG471" s="277">
        <v>910410</v>
      </c>
      <c r="AH471" s="277">
        <v>397045</v>
      </c>
      <c r="AI471" s="277">
        <v>52732</v>
      </c>
      <c r="AJ471" s="277">
        <v>334013</v>
      </c>
      <c r="AK471" s="277">
        <v>1653158</v>
      </c>
      <c r="AT471" s="252">
        <f t="shared" ref="AT471:AY471" si="663">AF471/SUM(AF462:AF473)*AM473</f>
        <v>16497.104217829285</v>
      </c>
      <c r="AU471" s="252">
        <f t="shared" si="663"/>
        <v>13657.514757621877</v>
      </c>
      <c r="AV471" s="252">
        <f t="shared" si="663"/>
        <v>4093.1475625977178</v>
      </c>
      <c r="AW471" s="252">
        <f t="shared" si="663"/>
        <v>743.0111012802505</v>
      </c>
      <c r="AX471" s="252">
        <f t="shared" si="663"/>
        <v>4597.024439567389</v>
      </c>
      <c r="AY471" s="252">
        <f t="shared" si="663"/>
        <v>15672.069459515065</v>
      </c>
    </row>
    <row r="472" spans="31:59">
      <c r="AE472" s="165">
        <v>43132</v>
      </c>
      <c r="AF472" s="277">
        <v>1338865</v>
      </c>
      <c r="AG472" s="277">
        <v>895213</v>
      </c>
      <c r="AH472" s="277">
        <v>414496</v>
      </c>
      <c r="AI472" s="277">
        <v>51000</v>
      </c>
      <c r="AJ472" s="277">
        <v>330927</v>
      </c>
      <c r="AK472" s="277">
        <v>1631769</v>
      </c>
      <c r="AT472" s="252">
        <f t="shared" ref="AT472:AY472" si="664">AF472/SUM(AF462:AF473)*AM473</f>
        <v>15737.84977993911</v>
      </c>
      <c r="AU472" s="252">
        <f t="shared" si="664"/>
        <v>13429.536976433645</v>
      </c>
      <c r="AV472" s="252">
        <f t="shared" si="664"/>
        <v>4273.0503900225503</v>
      </c>
      <c r="AW472" s="252">
        <f t="shared" si="664"/>
        <v>718.60665564159854</v>
      </c>
      <c r="AX472" s="252">
        <f t="shared" si="664"/>
        <v>4554.5517890402989</v>
      </c>
      <c r="AY472" s="252">
        <f t="shared" si="664"/>
        <v>15469.300036586606</v>
      </c>
    </row>
    <row r="473" spans="31:59">
      <c r="AE473" s="165">
        <v>43160</v>
      </c>
      <c r="AF473" s="277">
        <v>1251728</v>
      </c>
      <c r="AG473" s="277">
        <v>851631</v>
      </c>
      <c r="AH473" s="277">
        <v>483160</v>
      </c>
      <c r="AI473" s="277">
        <v>48802</v>
      </c>
      <c r="AJ473" s="277">
        <v>307708</v>
      </c>
      <c r="AK473" s="277">
        <v>1669774</v>
      </c>
      <c r="AM473" s="277">
        <v>191228.3485598407</v>
      </c>
      <c r="AN473" s="277">
        <v>155627.6514401593</v>
      </c>
      <c r="AO473" s="277">
        <v>48595</v>
      </c>
      <c r="AP473" s="277">
        <v>9108.9452443002538</v>
      </c>
      <c r="AQ473" s="277">
        <v>52627.054755699748</v>
      </c>
      <c r="AR473" s="277">
        <v>156064</v>
      </c>
      <c r="AT473" s="252">
        <f t="shared" ref="AT473:AY473" si="665">AF473/SUM(AF462:AF473)*AM473</f>
        <v>14713.587426173381</v>
      </c>
      <c r="AU473" s="252">
        <f t="shared" si="665"/>
        <v>12775.74164447697</v>
      </c>
      <c r="AV473" s="252">
        <f t="shared" si="665"/>
        <v>4980.9094091216693</v>
      </c>
      <c r="AW473" s="252">
        <f t="shared" si="665"/>
        <v>687.63611781610371</v>
      </c>
      <c r="AX473" s="252">
        <f t="shared" si="665"/>
        <v>4234.988447307147</v>
      </c>
      <c r="AY473" s="252">
        <f t="shared" si="665"/>
        <v>15829.590462431484</v>
      </c>
      <c r="AZ473" s="25">
        <f t="shared" ref="AZ473" si="666">SUM(AT462:AY473)-SUM(AM473:AR473)</f>
        <v>0</v>
      </c>
    </row>
    <row r="474" spans="31:59">
      <c r="AE474" s="165">
        <v>43191</v>
      </c>
      <c r="AF474" s="277">
        <v>1226377</v>
      </c>
      <c r="AG474" s="277">
        <v>812551</v>
      </c>
      <c r="AH474" s="277">
        <v>388071</v>
      </c>
      <c r="AI474" s="277">
        <v>45349</v>
      </c>
      <c r="AJ474" s="277">
        <v>273844</v>
      </c>
      <c r="AK474" s="277">
        <v>1067436</v>
      </c>
      <c r="AT474" s="252">
        <f t="shared" ref="AT474" si="667">AF474/SUM(AF474:AF485)*AM485</f>
        <v>14515.095369448349</v>
      </c>
      <c r="AU474" s="252">
        <f t="shared" ref="AU474:AY474" si="668">AG474/SUM(AG474:AG485)*AN485</f>
        <v>12164.533496854358</v>
      </c>
      <c r="AV474" s="252">
        <f t="shared" si="668"/>
        <v>4060.7822338433675</v>
      </c>
      <c r="AW474" s="252">
        <f t="shared" si="668"/>
        <v>671.13178425080571</v>
      </c>
      <c r="AX474" s="252">
        <f t="shared" si="668"/>
        <v>3908.3606969715001</v>
      </c>
      <c r="AY474" s="252">
        <f t="shared" si="668"/>
        <v>10207.813038805914</v>
      </c>
    </row>
    <row r="475" spans="31:59">
      <c r="AE475" s="165">
        <v>43221</v>
      </c>
      <c r="AF475" s="277">
        <v>1236937</v>
      </c>
      <c r="AG475" s="277">
        <v>801213</v>
      </c>
      <c r="AH475" s="277">
        <v>370747</v>
      </c>
      <c r="AI475" s="277">
        <v>43259</v>
      </c>
      <c r="AJ475" s="277">
        <v>261381</v>
      </c>
      <c r="AK475" s="277">
        <v>956456</v>
      </c>
      <c r="AT475" s="252">
        <f t="shared" ref="AT475:AY475" si="669">AF475/SUM(AF474:AF485)*AM485</f>
        <v>14640.080922097635</v>
      </c>
      <c r="AU475" s="252">
        <f t="shared" si="669"/>
        <v>11994.794636416878</v>
      </c>
      <c r="AV475" s="252">
        <f t="shared" si="669"/>
        <v>3879.5035724151694</v>
      </c>
      <c r="AW475" s="252">
        <f t="shared" si="669"/>
        <v>640.20132428290822</v>
      </c>
      <c r="AX475" s="252">
        <f t="shared" si="669"/>
        <v>3730.4860699343703</v>
      </c>
      <c r="AY475" s="252">
        <f t="shared" si="669"/>
        <v>9146.5193490234069</v>
      </c>
    </row>
    <row r="476" spans="31:59">
      <c r="AE476" s="165">
        <v>43252</v>
      </c>
      <c r="AF476" s="277">
        <v>1291589</v>
      </c>
      <c r="AG476" s="277">
        <v>826599</v>
      </c>
      <c r="AH476" s="277">
        <v>405120</v>
      </c>
      <c r="AI476" s="277">
        <v>43957</v>
      </c>
      <c r="AJ476" s="277">
        <v>267332</v>
      </c>
      <c r="AK476" s="277">
        <v>1050678</v>
      </c>
      <c r="AT476" s="252">
        <f t="shared" ref="AT476:AY476" si="670">AF476/SUM(AF474:AF485)*AM485</f>
        <v>15286.928500070062</v>
      </c>
      <c r="AU476" s="252">
        <f t="shared" si="670"/>
        <v>12374.843208569449</v>
      </c>
      <c r="AV476" s="252">
        <f t="shared" si="670"/>
        <v>4239.1832901057414</v>
      </c>
      <c r="AW476" s="252">
        <f t="shared" si="670"/>
        <v>650.53120995639745</v>
      </c>
      <c r="AX476" s="252">
        <f t="shared" si="670"/>
        <v>3815.4200268867858</v>
      </c>
      <c r="AY476" s="252">
        <f t="shared" si="670"/>
        <v>10047.557500390205</v>
      </c>
    </row>
    <row r="477" spans="31:59">
      <c r="AE477" s="165">
        <v>43282</v>
      </c>
      <c r="AF477" s="277">
        <v>1346901</v>
      </c>
      <c r="AG477" s="277">
        <v>868963</v>
      </c>
      <c r="AH477" s="277">
        <v>390130</v>
      </c>
      <c r="AI477" s="277">
        <v>46120</v>
      </c>
      <c r="AJ477" s="277">
        <v>277986</v>
      </c>
      <c r="AK477" s="277">
        <v>1119613</v>
      </c>
      <c r="AT477" s="252">
        <f t="shared" ref="AT477:AY477" si="671">AF477/SUM(AF474:AF485)*AM485</f>
        <v>15941.58767508307</v>
      </c>
      <c r="AU477" s="252">
        <f t="shared" si="671"/>
        <v>13009.06591835719</v>
      </c>
      <c r="AV477" s="252">
        <f t="shared" si="671"/>
        <v>4082.3276485213091</v>
      </c>
      <c r="AW477" s="252">
        <f t="shared" si="671"/>
        <v>682.54201613370003</v>
      </c>
      <c r="AX477" s="252">
        <f t="shared" si="671"/>
        <v>3967.4762153208376</v>
      </c>
      <c r="AY477" s="252">
        <f t="shared" si="671"/>
        <v>10706.777905014078</v>
      </c>
    </row>
    <row r="478" spans="31:59">
      <c r="AE478" s="165">
        <v>43313</v>
      </c>
      <c r="AF478" s="277">
        <v>1382177</v>
      </c>
      <c r="AG478" s="277">
        <v>891088</v>
      </c>
      <c r="AH478" s="277">
        <v>407024</v>
      </c>
      <c r="AI478" s="277">
        <v>45898</v>
      </c>
      <c r="AJ478" s="277">
        <v>285250</v>
      </c>
      <c r="AK478" s="277">
        <v>1217230</v>
      </c>
      <c r="AT478" s="252">
        <f t="shared" ref="AT478:AY478" si="672">AF478/SUM(AF474:AF485)*AM485</f>
        <v>16359.105701149003</v>
      </c>
      <c r="AU478" s="252">
        <f t="shared" si="672"/>
        <v>13340.294731832162</v>
      </c>
      <c r="AV478" s="252">
        <f t="shared" si="672"/>
        <v>4259.1067818720358</v>
      </c>
      <c r="AW478" s="252">
        <f t="shared" si="672"/>
        <v>679.25657971605733</v>
      </c>
      <c r="AX478" s="252">
        <f t="shared" si="672"/>
        <v>4071.1495917789703</v>
      </c>
      <c r="AY478" s="252">
        <f t="shared" si="672"/>
        <v>11640.282195115889</v>
      </c>
    </row>
    <row r="479" spans="31:59">
      <c r="AE479" s="165">
        <v>43344</v>
      </c>
      <c r="AF479" s="277">
        <v>1401416</v>
      </c>
      <c r="AG479" s="277">
        <v>902273</v>
      </c>
      <c r="AH479" s="277">
        <v>447221</v>
      </c>
      <c r="AI479" s="277">
        <v>45599</v>
      </c>
      <c r="AJ479" s="277">
        <v>298138</v>
      </c>
      <c r="AK479" s="277">
        <v>1395089</v>
      </c>
      <c r="AT479" s="252">
        <f t="shared" ref="AT479:AY479" si="673">AF479/SUM(AF474:AF485)*AM485</f>
        <v>16586.813754881925</v>
      </c>
      <c r="AU479" s="252">
        <f t="shared" si="673"/>
        <v>13507.743060813749</v>
      </c>
      <c r="AV479" s="252">
        <f t="shared" si="673"/>
        <v>4679.7289449653927</v>
      </c>
      <c r="AW479" s="252">
        <f t="shared" si="673"/>
        <v>674.83160003643945</v>
      </c>
      <c r="AX479" s="252">
        <f t="shared" si="673"/>
        <v>4255.0899105829931</v>
      </c>
      <c r="AY479" s="252">
        <f t="shared" si="673"/>
        <v>13341.134910659472</v>
      </c>
    </row>
    <row r="480" spans="31:59">
      <c r="AE480" s="165">
        <v>43374</v>
      </c>
      <c r="AF480" s="277">
        <v>1430446</v>
      </c>
      <c r="AG480" s="277">
        <v>917554</v>
      </c>
      <c r="AH480" s="277">
        <v>435414</v>
      </c>
      <c r="AI480" s="277">
        <v>44517</v>
      </c>
      <c r="AJ480" s="277">
        <v>303944</v>
      </c>
      <c r="AK480" s="277">
        <v>1502285</v>
      </c>
      <c r="AT480" s="252">
        <f t="shared" ref="AT480:AY480" si="674">AF480/SUM(AF474:AF485)*AM485</f>
        <v>16930.405667136543</v>
      </c>
      <c r="AU480" s="252">
        <f t="shared" si="674"/>
        <v>13736.511761320462</v>
      </c>
      <c r="AV480" s="252">
        <f t="shared" si="674"/>
        <v>4556.1802751730384</v>
      </c>
      <c r="AW480" s="252">
        <f t="shared" si="674"/>
        <v>658.81879731621689</v>
      </c>
      <c r="AX480" s="252">
        <f t="shared" si="674"/>
        <v>4337.9543962267044</v>
      </c>
      <c r="AY480" s="252">
        <f t="shared" si="674"/>
        <v>14366.242482924075</v>
      </c>
    </row>
    <row r="481" spans="31:59">
      <c r="AE481" s="165">
        <v>43405</v>
      </c>
      <c r="AF481" s="277">
        <v>1432657</v>
      </c>
      <c r="AG481" s="277">
        <v>897231</v>
      </c>
      <c r="AH481" s="277">
        <v>448344</v>
      </c>
      <c r="AI481" s="277">
        <v>42298</v>
      </c>
      <c r="AJ481" s="277">
        <v>307245</v>
      </c>
      <c r="AK481" s="277">
        <v>1570364</v>
      </c>
      <c r="AT481" s="252">
        <f t="shared" ref="AT481:AY481" si="675">AF481/SUM(AF474:AF485)*AM485</f>
        <v>16956.574517222489</v>
      </c>
      <c r="AU481" s="252">
        <f t="shared" si="675"/>
        <v>13432.260318326029</v>
      </c>
      <c r="AV481" s="252">
        <f t="shared" si="675"/>
        <v>4691.4800380607439</v>
      </c>
      <c r="AW481" s="252">
        <f t="shared" si="675"/>
        <v>625.97923240293244</v>
      </c>
      <c r="AX481" s="252">
        <f t="shared" si="675"/>
        <v>4385.0669809855553</v>
      </c>
      <c r="AY481" s="252">
        <f t="shared" si="675"/>
        <v>15017.27702164009</v>
      </c>
    </row>
    <row r="482" spans="31:59">
      <c r="AE482" s="165">
        <v>43435</v>
      </c>
      <c r="AF482" s="277">
        <v>1422309</v>
      </c>
      <c r="AG482" s="277">
        <v>887256</v>
      </c>
      <c r="AH482" s="277">
        <v>465509</v>
      </c>
      <c r="AI482" s="277">
        <v>39950</v>
      </c>
      <c r="AJ482" s="277">
        <v>307602</v>
      </c>
      <c r="AK482" s="277">
        <v>1657369</v>
      </c>
      <c r="AT482" s="252">
        <f t="shared" ref="AT482:AY482" si="676">AF482/SUM(AF474:AF485)*AM485</f>
        <v>16834.098144228661</v>
      </c>
      <c r="AU482" s="252">
        <f t="shared" si="676"/>
        <v>13282.926649877991</v>
      </c>
      <c r="AV482" s="252">
        <f t="shared" si="676"/>
        <v>4871.0949205021561</v>
      </c>
      <c r="AW482" s="252">
        <f t="shared" si="676"/>
        <v>591.23056254426092</v>
      </c>
      <c r="AX482" s="252">
        <f t="shared" si="676"/>
        <v>4390.1621620697451</v>
      </c>
      <c r="AY482" s="252">
        <f t="shared" si="676"/>
        <v>15849.2995255104</v>
      </c>
      <c r="BA482" s="252">
        <f t="shared" ref="BA482" si="677">SUM(AT471:AT482)</f>
        <v>190999.23167525951</v>
      </c>
      <c r="BB482" s="252">
        <f t="shared" ref="BB482:BF482" si="678">SUM(AU471:AU482)</f>
        <v>156705.76716090075</v>
      </c>
      <c r="BC482" s="252">
        <f t="shared" si="678"/>
        <v>52666.495067200885</v>
      </c>
      <c r="BD482" s="252">
        <f t="shared" si="678"/>
        <v>8023.7769813776704</v>
      </c>
      <c r="BE482" s="252">
        <f t="shared" si="678"/>
        <v>50247.7307266723</v>
      </c>
      <c r="BF482" s="252">
        <f t="shared" si="678"/>
        <v>157293.8638876167</v>
      </c>
      <c r="BG482" s="252">
        <f t="shared" ref="BG482" si="679">SUM(BA482:BF482)</f>
        <v>615936.86549902777</v>
      </c>
    </row>
    <row r="483" spans="31:59">
      <c r="AE483" s="165">
        <v>43466</v>
      </c>
      <c r="AF483" s="277">
        <v>1395964</v>
      </c>
      <c r="AG483" s="277">
        <v>890502</v>
      </c>
      <c r="AH483" s="277">
        <v>434824</v>
      </c>
      <c r="AI483" s="277">
        <v>38778</v>
      </c>
      <c r="AJ483" s="277">
        <v>300676</v>
      </c>
      <c r="AK483" s="277">
        <v>1691929</v>
      </c>
      <c r="AT483" s="252">
        <f t="shared" ref="AT483:AY483" si="680">AF483/SUM(AF474:AF485)*AM485</f>
        <v>16522.285229025492</v>
      </c>
      <c r="AU483" s="252">
        <f t="shared" si="680"/>
        <v>13331.521846648147</v>
      </c>
      <c r="AV483" s="252">
        <f t="shared" si="680"/>
        <v>4550.0065040899954</v>
      </c>
      <c r="AW483" s="252">
        <f t="shared" si="680"/>
        <v>573.88582614121026</v>
      </c>
      <c r="AX483" s="252">
        <f t="shared" si="680"/>
        <v>4291.312794593282</v>
      </c>
      <c r="AY483" s="252">
        <f t="shared" si="680"/>
        <v>16179.794298612613</v>
      </c>
    </row>
    <row r="484" spans="31:59">
      <c r="AE484" s="165">
        <v>43497</v>
      </c>
      <c r="AF484" s="277">
        <v>1341610</v>
      </c>
      <c r="AG484" s="277">
        <v>888697</v>
      </c>
      <c r="AH484" s="277">
        <v>450087</v>
      </c>
      <c r="AI484" s="277">
        <v>39193</v>
      </c>
      <c r="AJ484" s="277">
        <v>298523</v>
      </c>
      <c r="AK484" s="277">
        <v>1690204</v>
      </c>
      <c r="AT484" s="252">
        <f t="shared" ref="AT484:AY484" si="681">AF484/SUM(AF474:AF485)*AM485</f>
        <v>15878.964705474416</v>
      </c>
      <c r="AU484" s="252">
        <f t="shared" si="681"/>
        <v>13304.499563786123</v>
      </c>
      <c r="AV484" s="252">
        <f t="shared" si="681"/>
        <v>4709.7188228026826</v>
      </c>
      <c r="AW484" s="252">
        <f t="shared" si="681"/>
        <v>580.02752034536218</v>
      </c>
      <c r="AX484" s="252">
        <f t="shared" si="681"/>
        <v>4260.5847137130013</v>
      </c>
      <c r="AY484" s="252">
        <f t="shared" si="681"/>
        <v>16163.298248739888</v>
      </c>
    </row>
    <row r="485" spans="31:59">
      <c r="AE485" s="165">
        <v>43525</v>
      </c>
      <c r="AF485" s="277">
        <v>1270757</v>
      </c>
      <c r="AG485" s="277">
        <v>857917</v>
      </c>
      <c r="AH485" s="277">
        <v>570229</v>
      </c>
      <c r="AI485" s="277">
        <v>38900</v>
      </c>
      <c r="AJ485" s="277">
        <v>281933</v>
      </c>
      <c r="AK485" s="277">
        <v>1694356</v>
      </c>
      <c r="AM485" s="277">
        <v>191492.30627747957</v>
      </c>
      <c r="AN485" s="277">
        <v>156322.69372252043</v>
      </c>
      <c r="AO485" s="277">
        <v>54546</v>
      </c>
      <c r="AP485" s="277">
        <v>7604.1277893708902</v>
      </c>
      <c r="AQ485" s="277">
        <v>49436.87221062911</v>
      </c>
      <c r="AR485" s="277">
        <v>158869</v>
      </c>
      <c r="AT485" s="252">
        <f t="shared" ref="AT485:AY485" si="682">AF485/SUM(AF474:AF485)*AM485</f>
        <v>15040.366091661925</v>
      </c>
      <c r="AU485" s="252">
        <f t="shared" si="682"/>
        <v>12843.698529717889</v>
      </c>
      <c r="AV485" s="252">
        <f t="shared" si="682"/>
        <v>5966.8869676483682</v>
      </c>
      <c r="AW485" s="252">
        <f t="shared" si="682"/>
        <v>575.69133624459948</v>
      </c>
      <c r="AX485" s="252">
        <f t="shared" si="682"/>
        <v>4023.8086515653654</v>
      </c>
      <c r="AY485" s="252">
        <f t="shared" si="682"/>
        <v>16203.003523563973</v>
      </c>
      <c r="AZ485" s="25">
        <f t="shared" ref="AZ485" si="683">SUM(AT474:AY485)-SUM(AM485:AR485)</f>
        <v>0</v>
      </c>
    </row>
    <row r="486" spans="31:59">
      <c r="AE486" s="165">
        <v>43556</v>
      </c>
      <c r="AF486" s="277">
        <v>1240658</v>
      </c>
      <c r="AG486" s="277">
        <v>835611</v>
      </c>
      <c r="AH486" s="277">
        <v>415743</v>
      </c>
      <c r="AI486" s="277">
        <v>36124</v>
      </c>
      <c r="AJ486" s="277">
        <v>268735</v>
      </c>
      <c r="AK486" s="277">
        <v>1127009</v>
      </c>
      <c r="AT486" s="252">
        <f t="shared" ref="AT486" si="684">AF486/SUM(AF486:AF497)*AM497</f>
        <v>14361.285473185495</v>
      </c>
      <c r="AU486" s="252">
        <f t="shared" ref="AU486:AY486" si="685">AG486/SUM(AG486:AG497)*AN497</f>
        <v>12903.107770046998</v>
      </c>
      <c r="AV486" s="252">
        <f t="shared" si="685"/>
        <v>4165.7707646379804</v>
      </c>
      <c r="AW486" s="252">
        <f t="shared" si="685"/>
        <v>538.31563376552867</v>
      </c>
      <c r="AX486" s="252">
        <f t="shared" si="685"/>
        <v>3856.7377391732653</v>
      </c>
      <c r="AY486" s="252">
        <f t="shared" si="685"/>
        <v>10396.96511584769</v>
      </c>
    </row>
    <row r="487" spans="31:59">
      <c r="AE487" s="165">
        <v>43586</v>
      </c>
      <c r="AF487" s="277">
        <v>1242045</v>
      </c>
      <c r="AG487" s="277">
        <v>821161</v>
      </c>
      <c r="AH487" s="277">
        <v>433855</v>
      </c>
      <c r="AI487" s="277">
        <v>35020</v>
      </c>
      <c r="AJ487" s="277">
        <v>265267</v>
      </c>
      <c r="AK487" s="277">
        <v>1022921</v>
      </c>
      <c r="AT487" s="252">
        <f t="shared" ref="AT487:AY487" si="686">AF487/SUM(AF486:AF497)*AM497</f>
        <v>14377.340746235206</v>
      </c>
      <c r="AU487" s="252">
        <f t="shared" si="686"/>
        <v>12679.977740311655</v>
      </c>
      <c r="AV487" s="252">
        <f t="shared" si="686"/>
        <v>4347.2541331832663</v>
      </c>
      <c r="AW487" s="252">
        <f t="shared" si="686"/>
        <v>521.86395455843251</v>
      </c>
      <c r="AX487" s="252">
        <f t="shared" si="686"/>
        <v>3806.966899947065</v>
      </c>
      <c r="AY487" s="252">
        <f t="shared" si="686"/>
        <v>9436.7249536321669</v>
      </c>
    </row>
    <row r="488" spans="31:59">
      <c r="AE488" s="165">
        <v>43617</v>
      </c>
      <c r="AF488" s="277">
        <v>1300716</v>
      </c>
      <c r="AG488" s="277">
        <v>840659</v>
      </c>
      <c r="AH488" s="277">
        <v>436577</v>
      </c>
      <c r="AI488" s="277">
        <v>35691</v>
      </c>
      <c r="AJ488" s="277">
        <v>277576</v>
      </c>
      <c r="AK488" s="277">
        <v>1159157</v>
      </c>
      <c r="AT488" s="252">
        <f t="shared" ref="AT488:AY488" si="687">AF488/SUM(AF486:AF497)*AM497</f>
        <v>15056.489214223377</v>
      </c>
      <c r="AU488" s="252">
        <f t="shared" si="687"/>
        <v>12981.056585971151</v>
      </c>
      <c r="AV488" s="252">
        <f t="shared" si="687"/>
        <v>4374.5287427890671</v>
      </c>
      <c r="AW488" s="252">
        <f t="shared" si="687"/>
        <v>531.86311827941222</v>
      </c>
      <c r="AX488" s="252">
        <f t="shared" si="687"/>
        <v>3983.6189357127218</v>
      </c>
      <c r="AY488" s="252">
        <f t="shared" si="687"/>
        <v>10693.539175632724</v>
      </c>
    </row>
    <row r="489" spans="31:59">
      <c r="AE489" s="165">
        <v>43647</v>
      </c>
      <c r="AF489" s="277">
        <v>1362556</v>
      </c>
      <c r="AG489" s="277">
        <v>869020</v>
      </c>
      <c r="AH489" s="277">
        <v>409501</v>
      </c>
      <c r="AI489" s="277">
        <v>37522</v>
      </c>
      <c r="AJ489" s="277">
        <v>289840</v>
      </c>
      <c r="AK489" s="277">
        <v>1212558</v>
      </c>
      <c r="AT489" s="252">
        <f t="shared" ref="AT489:AY489" si="688">AF489/SUM(AF486:AF497)*AM497</f>
        <v>15772.320566346032</v>
      </c>
      <c r="AU489" s="252">
        <f t="shared" si="688"/>
        <v>13418.993663709838</v>
      </c>
      <c r="AV489" s="252">
        <f t="shared" si="688"/>
        <v>4103.2255357035892</v>
      </c>
      <c r="AW489" s="252">
        <f t="shared" si="688"/>
        <v>559.14846667451468</v>
      </c>
      <c r="AX489" s="252">
        <f t="shared" si="688"/>
        <v>4159.6251560904948</v>
      </c>
      <c r="AY489" s="252">
        <f t="shared" si="688"/>
        <v>11186.177951499983</v>
      </c>
    </row>
    <row r="490" spans="31:59">
      <c r="AE490" s="165">
        <v>43678</v>
      </c>
      <c r="AF490" s="277">
        <v>1392581</v>
      </c>
      <c r="AG490" s="277">
        <v>893643</v>
      </c>
      <c r="AH490" s="277">
        <v>421911</v>
      </c>
      <c r="AI490" s="277">
        <v>39635</v>
      </c>
      <c r="AJ490" s="277">
        <v>304076</v>
      </c>
      <c r="AK490" s="277">
        <v>1350955</v>
      </c>
      <c r="AT490" s="252">
        <f t="shared" ref="AT490:AY490" si="689">AF490/SUM(AF486:AF497)*AM497</f>
        <v>16119.876134707656</v>
      </c>
      <c r="AU490" s="252">
        <f t="shared" si="689"/>
        <v>13799.210322683773</v>
      </c>
      <c r="AV490" s="252">
        <f t="shared" si="689"/>
        <v>4227.5745089614848</v>
      </c>
      <c r="AW490" s="252">
        <f t="shared" si="689"/>
        <v>590.6361461714298</v>
      </c>
      <c r="AX490" s="252">
        <f t="shared" si="689"/>
        <v>4363.9324419106179</v>
      </c>
      <c r="AY490" s="252">
        <f t="shared" si="689"/>
        <v>12462.927987336407</v>
      </c>
    </row>
    <row r="491" spans="31:59">
      <c r="AE491" s="165">
        <v>43709</v>
      </c>
      <c r="AF491" s="277">
        <v>1379627</v>
      </c>
      <c r="AG491" s="277">
        <v>906753</v>
      </c>
      <c r="AH491" s="277">
        <v>447798</v>
      </c>
      <c r="AI491" s="277">
        <v>42135</v>
      </c>
      <c r="AJ491" s="277">
        <v>322657</v>
      </c>
      <c r="AK491" s="277">
        <v>1527567</v>
      </c>
      <c r="AT491" s="252">
        <f t="shared" ref="AT491:AY491" si="690">AF491/SUM(AF486:AF497)*AM497</f>
        <v>15969.926598236165</v>
      </c>
      <c r="AU491" s="252">
        <f t="shared" si="690"/>
        <v>14001.648709523242</v>
      </c>
      <c r="AV491" s="252">
        <f t="shared" si="690"/>
        <v>4486.9638619612551</v>
      </c>
      <c r="AW491" s="252">
        <f t="shared" si="690"/>
        <v>627.89085452083248</v>
      </c>
      <c r="AX491" s="252">
        <f t="shared" si="690"/>
        <v>4630.5967912941305</v>
      </c>
      <c r="AY491" s="252">
        <f t="shared" si="690"/>
        <v>14092.22181111252</v>
      </c>
    </row>
    <row r="492" spans="31:59">
      <c r="AE492" s="165">
        <v>43739</v>
      </c>
      <c r="AF492" s="277">
        <v>1380823</v>
      </c>
      <c r="AG492" s="277">
        <v>920722</v>
      </c>
      <c r="AH492" s="277">
        <v>435347</v>
      </c>
      <c r="AI492" s="277">
        <v>43185</v>
      </c>
      <c r="AJ492" s="277">
        <v>335265</v>
      </c>
      <c r="AK492" s="277">
        <v>1691297</v>
      </c>
      <c r="AT492" s="252">
        <f t="shared" ref="AT492:AY492" si="691">AF492/SUM(AF486:AF497)*AM497</f>
        <v>15983.770943273983</v>
      </c>
      <c r="AU492" s="252">
        <f t="shared" si="691"/>
        <v>14217.351365950437</v>
      </c>
      <c r="AV492" s="252">
        <f t="shared" si="691"/>
        <v>4362.2040661486799</v>
      </c>
      <c r="AW492" s="252">
        <f t="shared" si="691"/>
        <v>643.53783202758154</v>
      </c>
      <c r="AX492" s="252">
        <f t="shared" si="691"/>
        <v>4811.5399115259443</v>
      </c>
      <c r="AY492" s="252">
        <f t="shared" si="691"/>
        <v>15602.675674762004</v>
      </c>
    </row>
    <row r="493" spans="31:59">
      <c r="AE493" s="165">
        <v>43770</v>
      </c>
      <c r="AF493" s="277">
        <v>1360844</v>
      </c>
      <c r="AG493" s="277">
        <v>908971</v>
      </c>
      <c r="AH493" s="277">
        <v>450238</v>
      </c>
      <c r="AI493" s="277">
        <v>41756</v>
      </c>
      <c r="AJ493" s="277">
        <v>323803</v>
      </c>
      <c r="AK493" s="277">
        <v>1787386</v>
      </c>
      <c r="AT493" s="252">
        <f t="shared" ref="AT493:AY493" si="692">AF493/SUM(AF486:AF497)*AM497</f>
        <v>15752.503243014304</v>
      </c>
      <c r="AU493" s="252">
        <f t="shared" si="692"/>
        <v>14035.898010973275</v>
      </c>
      <c r="AV493" s="252">
        <f t="shared" si="692"/>
        <v>4511.4128139958457</v>
      </c>
      <c r="AW493" s="252">
        <f t="shared" si="692"/>
        <v>622.243040735063</v>
      </c>
      <c r="AX493" s="252">
        <f t="shared" si="692"/>
        <v>4647.0435565055568</v>
      </c>
      <c r="AY493" s="252">
        <f t="shared" si="692"/>
        <v>16489.122882385622</v>
      </c>
    </row>
    <row r="494" spans="31:59">
      <c r="AE494" s="165">
        <v>43800</v>
      </c>
      <c r="AF494" s="277">
        <v>1350588</v>
      </c>
      <c r="AG494" s="277">
        <v>893128</v>
      </c>
      <c r="AH494" s="277">
        <v>470105</v>
      </c>
      <c r="AI494" s="277">
        <v>41511</v>
      </c>
      <c r="AJ494" s="277">
        <v>313970</v>
      </c>
      <c r="AK494" s="277">
        <v>1850460</v>
      </c>
      <c r="AT494" s="252">
        <f t="shared" ref="AT494:AY494" si="693">AF494/SUM(AF486:AF497)*AM497</f>
        <v>15633.784511653213</v>
      </c>
      <c r="AU494" s="252">
        <f t="shared" si="693"/>
        <v>13791.257937540955</v>
      </c>
      <c r="AV494" s="252">
        <f t="shared" si="693"/>
        <v>4710.4813918938808</v>
      </c>
      <c r="AW494" s="252">
        <f t="shared" si="693"/>
        <v>618.59207931682158</v>
      </c>
      <c r="AX494" s="252">
        <f t="shared" si="693"/>
        <v>4505.9257185265415</v>
      </c>
      <c r="AY494" s="252">
        <f t="shared" si="693"/>
        <v>17070.997718981409</v>
      </c>
      <c r="BA494" s="252">
        <f t="shared" ref="BA494" si="694">SUM(AT483:AT494)</f>
        <v>186468.91345703727</v>
      </c>
      <c r="BB494" s="252">
        <f t="shared" ref="BB494:BF494" si="695">SUM(AU483:AU494)</f>
        <v>161308.22204686346</v>
      </c>
      <c r="BC494" s="252">
        <f t="shared" si="695"/>
        <v>54516.028113816101</v>
      </c>
      <c r="BD494" s="252">
        <f t="shared" si="695"/>
        <v>6983.695808780788</v>
      </c>
      <c r="BE494" s="252">
        <f t="shared" si="695"/>
        <v>51341.693310557996</v>
      </c>
      <c r="BF494" s="252">
        <f t="shared" si="695"/>
        <v>165977.44934210702</v>
      </c>
      <c r="BG494" s="252">
        <f t="shared" ref="BG494" si="696">SUM(BA494:BF494)</f>
        <v>626596.00207916263</v>
      </c>
    </row>
    <row r="495" spans="31:59">
      <c r="AE495" s="165">
        <v>43831</v>
      </c>
      <c r="AF495" s="277">
        <v>1313900</v>
      </c>
      <c r="AG495" s="277">
        <v>875936</v>
      </c>
      <c r="AH495" s="277">
        <v>454710</v>
      </c>
      <c r="AI495" s="277">
        <v>41305</v>
      </c>
      <c r="AJ495" s="277">
        <v>308901</v>
      </c>
      <c r="AK495" s="277">
        <v>1856320</v>
      </c>
      <c r="AT495" s="252">
        <f t="shared" ref="AT495:AY495" si="697">AF495/SUM(AF486:AF497)*AM497</f>
        <v>15209.1011247406</v>
      </c>
      <c r="AU495" s="252">
        <f t="shared" si="697"/>
        <v>13525.78724749182</v>
      </c>
      <c r="AV495" s="252">
        <f t="shared" si="697"/>
        <v>4556.2225326428488</v>
      </c>
      <c r="AW495" s="252">
        <f t="shared" si="697"/>
        <v>615.52229134883078</v>
      </c>
      <c r="AX495" s="252">
        <f t="shared" si="697"/>
        <v>4433.1782029447631</v>
      </c>
      <c r="AY495" s="252">
        <f t="shared" si="697"/>
        <v>17125.057815732071</v>
      </c>
    </row>
    <row r="496" spans="31:59">
      <c r="AE496" s="165">
        <v>43862</v>
      </c>
      <c r="AF496" s="277">
        <v>1253044</v>
      </c>
      <c r="AG496" s="277">
        <v>848607</v>
      </c>
      <c r="AH496" s="277">
        <v>482559</v>
      </c>
      <c r="AI496" s="277">
        <v>41507</v>
      </c>
      <c r="AJ496" s="277">
        <v>308729</v>
      </c>
      <c r="AK496" s="277">
        <v>1773623</v>
      </c>
      <c r="AT496" s="252">
        <f t="shared" ref="AT496:AY496" si="698">AF496/SUM(AF486:AF497)*AM497</f>
        <v>14504.660103317954</v>
      </c>
      <c r="AU496" s="252">
        <f t="shared" si="698"/>
        <v>13103.785823087863</v>
      </c>
      <c r="AV496" s="252">
        <f t="shared" si="698"/>
        <v>4835.2712478933836</v>
      </c>
      <c r="AW496" s="252">
        <f t="shared" si="698"/>
        <v>618.5324717834626</v>
      </c>
      <c r="AX496" s="252">
        <f t="shared" si="698"/>
        <v>4430.7097530177425</v>
      </c>
      <c r="AY496" s="252">
        <f t="shared" si="698"/>
        <v>16362.15545720143</v>
      </c>
    </row>
    <row r="497" spans="31:59">
      <c r="AE497" s="165">
        <v>43891</v>
      </c>
      <c r="AF497" s="277">
        <v>1190213</v>
      </c>
      <c r="AG497" s="277">
        <v>811028</v>
      </c>
      <c r="AH497" s="277">
        <v>550804</v>
      </c>
      <c r="AI497" s="277">
        <v>39477</v>
      </c>
      <c r="AJ497" s="277">
        <v>306150</v>
      </c>
      <c r="AK497" s="277">
        <v>1862431</v>
      </c>
      <c r="AM497" s="277">
        <v>182518.41605065396</v>
      </c>
      <c r="AN497" s="277">
        <v>160981.58394934604</v>
      </c>
      <c r="AO497" s="277">
        <v>54200</v>
      </c>
      <c r="AP497" s="277">
        <v>7076.4275377856575</v>
      </c>
      <c r="AQ497" s="277">
        <v>52023.572462214346</v>
      </c>
      <c r="AR497" s="277">
        <v>168100</v>
      </c>
      <c r="AT497" s="252">
        <f t="shared" ref="AT497:AY497" si="699">AF497/SUM(AF486:AF497)*AM497</f>
        <v>13777.357391719979</v>
      </c>
      <c r="AU497" s="252">
        <f t="shared" si="699"/>
        <v>12523.508772055031</v>
      </c>
      <c r="AV497" s="252">
        <f t="shared" si="699"/>
        <v>5519.0904001887175</v>
      </c>
      <c r="AW497" s="252">
        <f t="shared" si="699"/>
        <v>588.2816486037475</v>
      </c>
      <c r="AX497" s="252">
        <f t="shared" si="699"/>
        <v>4393.6973555655022</v>
      </c>
      <c r="AY497" s="252">
        <f t="shared" si="699"/>
        <v>17181.433455875977</v>
      </c>
      <c r="AZ497" s="25">
        <f t="shared" ref="AZ497" si="700">SUM(AT486:AY497)-SUM(AM497:AR497)</f>
        <v>0</v>
      </c>
    </row>
    <row r="498" spans="31:59">
      <c r="AE498" s="165">
        <v>43922</v>
      </c>
      <c r="AF498" s="277">
        <v>1170626</v>
      </c>
      <c r="AG498" s="277">
        <v>778375</v>
      </c>
      <c r="AH498" s="277">
        <v>443109</v>
      </c>
      <c r="AI498" s="277">
        <v>38768</v>
      </c>
      <c r="AJ498" s="277">
        <v>295748</v>
      </c>
      <c r="AK498" s="277">
        <v>1203937</v>
      </c>
      <c r="AT498" s="252">
        <f t="shared" ref="AT498" si="701">AF498/SUM(AF498:AF509)*AM509</f>
        <v>13634.321885063395</v>
      </c>
      <c r="AU498" s="252">
        <f t="shared" ref="AU498:AY498" si="702">AG498/SUM(AG498:AG509)*AN509</f>
        <v>11876.785195916107</v>
      </c>
      <c r="AV498" s="252">
        <f t="shared" si="702"/>
        <v>4460.2428016662298</v>
      </c>
      <c r="AW498" s="252">
        <f t="shared" si="702"/>
        <v>531.55393618516541</v>
      </c>
      <c r="AX498" s="252">
        <f t="shared" si="702"/>
        <v>4277.0129916010692</v>
      </c>
      <c r="AY498" s="252">
        <f t="shared" si="702"/>
        <v>11033.123847790714</v>
      </c>
    </row>
    <row r="499" spans="31:59">
      <c r="AE499" s="165">
        <v>43952</v>
      </c>
      <c r="AF499" s="277">
        <v>1157045</v>
      </c>
      <c r="AG499" s="277">
        <v>755750</v>
      </c>
      <c r="AH499" s="277">
        <v>409427</v>
      </c>
      <c r="AI499" s="277">
        <v>37389</v>
      </c>
      <c r="AJ499" s="277">
        <v>283290</v>
      </c>
      <c r="AK499" s="277">
        <v>1108478</v>
      </c>
      <c r="AT499" s="252">
        <f t="shared" ref="AT499:AY499" si="703">AF499/SUM(AF498:AF509)*AM509</f>
        <v>13476.143503991178</v>
      </c>
      <c r="AU499" s="252">
        <f t="shared" si="703"/>
        <v>11531.563079253056</v>
      </c>
      <c r="AV499" s="252">
        <f t="shared" si="703"/>
        <v>4121.2068126754357</v>
      </c>
      <c r="AW499" s="252">
        <f t="shared" si="703"/>
        <v>512.64625773904118</v>
      </c>
      <c r="AX499" s="252">
        <f t="shared" si="703"/>
        <v>4096.8493798459058</v>
      </c>
      <c r="AY499" s="252">
        <f t="shared" si="703"/>
        <v>10158.318131722302</v>
      </c>
    </row>
    <row r="500" spans="31:59">
      <c r="AE500" s="165">
        <v>43983</v>
      </c>
      <c r="AF500" s="277">
        <v>1181362</v>
      </c>
      <c r="AG500" s="277">
        <v>764268</v>
      </c>
      <c r="AH500" s="277">
        <v>431035</v>
      </c>
      <c r="AI500" s="277">
        <v>39591</v>
      </c>
      <c r="AJ500" s="277">
        <v>294930</v>
      </c>
      <c r="AK500" s="277">
        <v>1232607</v>
      </c>
      <c r="AT500" s="252">
        <f t="shared" ref="AT500:AY500" si="704">AF500/SUM(AF498:AF509)*AM509</f>
        <v>13759.364451825148</v>
      </c>
      <c r="AU500" s="252">
        <f t="shared" si="704"/>
        <v>11661.534437915416</v>
      </c>
      <c r="AV500" s="252">
        <f t="shared" si="704"/>
        <v>4338.708435207147</v>
      </c>
      <c r="AW500" s="252">
        <f t="shared" si="704"/>
        <v>542.83821418455636</v>
      </c>
      <c r="AX500" s="252">
        <f t="shared" si="704"/>
        <v>4265.1833372090541</v>
      </c>
      <c r="AY500" s="252">
        <f t="shared" si="704"/>
        <v>11295.861566389078</v>
      </c>
    </row>
    <row r="501" spans="31:59">
      <c r="AE501" s="165">
        <v>44013</v>
      </c>
      <c r="AF501" s="277">
        <v>1212616</v>
      </c>
      <c r="AG501" s="277">
        <v>782627</v>
      </c>
      <c r="AH501" s="277">
        <v>421119</v>
      </c>
      <c r="AI501" s="277">
        <v>42296</v>
      </c>
      <c r="AJ501" s="277">
        <v>302910</v>
      </c>
      <c r="AK501" s="277">
        <v>1298140</v>
      </c>
      <c r="AT501" s="252">
        <f t="shared" ref="AT501:AY501" si="705">AF501/SUM(AF498:AF509)*AM509</f>
        <v>14123.3808808091</v>
      </c>
      <c r="AU501" s="252">
        <f t="shared" si="705"/>
        <v>11941.664066194617</v>
      </c>
      <c r="AV501" s="252">
        <f t="shared" si="705"/>
        <v>4238.8960467850602</v>
      </c>
      <c r="AW501" s="252">
        <f t="shared" si="705"/>
        <v>579.92688002702619</v>
      </c>
      <c r="AX501" s="252">
        <f t="shared" si="705"/>
        <v>4380.5875450920366</v>
      </c>
      <c r="AY501" s="252">
        <f t="shared" si="705"/>
        <v>11896.419324076789</v>
      </c>
    </row>
    <row r="502" spans="31:59">
      <c r="AE502" s="165">
        <v>44044</v>
      </c>
      <c r="AF502" s="277">
        <v>1233315</v>
      </c>
      <c r="AG502" s="277">
        <v>797921</v>
      </c>
      <c r="AH502" s="277">
        <v>417727</v>
      </c>
      <c r="AI502" s="277">
        <v>43858</v>
      </c>
      <c r="AJ502" s="277">
        <v>310101</v>
      </c>
      <c r="AK502" s="277">
        <v>1431164</v>
      </c>
      <c r="AT502" s="252">
        <f t="shared" ref="AT502:AY502" si="706">AF502/SUM(AF498:AF509)*AM509</f>
        <v>14364.462856349475</v>
      </c>
      <c r="AU502" s="252">
        <f t="shared" si="706"/>
        <v>12175.026587840792</v>
      </c>
      <c r="AV502" s="252">
        <f t="shared" si="706"/>
        <v>4204.7528820485013</v>
      </c>
      <c r="AW502" s="252">
        <f t="shared" si="706"/>
        <v>601.34369926766874</v>
      </c>
      <c r="AX502" s="252">
        <f t="shared" si="706"/>
        <v>4484.5814873083946</v>
      </c>
      <c r="AY502" s="252">
        <f t="shared" si="706"/>
        <v>13115.47835019569</v>
      </c>
    </row>
    <row r="503" spans="31:59">
      <c r="AE503" s="165">
        <v>44075</v>
      </c>
      <c r="AF503" s="277">
        <v>1246093</v>
      </c>
      <c r="AG503" s="277">
        <v>804405</v>
      </c>
      <c r="AH503" s="277">
        <v>460327</v>
      </c>
      <c r="AI503" s="277">
        <v>44343</v>
      </c>
      <c r="AJ503" s="277">
        <v>315538</v>
      </c>
      <c r="AK503" s="277">
        <v>1663979</v>
      </c>
      <c r="AT503" s="252">
        <f t="shared" ref="AT503:AY503" si="707">AF503/SUM(AF498:AF509)*AM509</f>
        <v>14513.288668391357</v>
      </c>
      <c r="AU503" s="252">
        <f t="shared" si="707"/>
        <v>12273.962287484692</v>
      </c>
      <c r="AV503" s="252">
        <f t="shared" si="707"/>
        <v>4633.5555995536333</v>
      </c>
      <c r="AW503" s="252">
        <f t="shared" si="707"/>
        <v>607.9936079307364</v>
      </c>
      <c r="AX503" s="252">
        <f t="shared" si="707"/>
        <v>4563.2096424787933</v>
      </c>
      <c r="AY503" s="252">
        <f t="shared" si="707"/>
        <v>15249.042422587678</v>
      </c>
    </row>
    <row r="504" spans="31:59">
      <c r="AE504" s="165">
        <v>44105</v>
      </c>
      <c r="AF504" s="277">
        <v>1269853</v>
      </c>
      <c r="AG504" s="277">
        <v>821079</v>
      </c>
      <c r="AH504" s="277">
        <v>449353</v>
      </c>
      <c r="AI504" s="277">
        <v>43571</v>
      </c>
      <c r="AJ504" s="277">
        <v>327011</v>
      </c>
      <c r="AK504" s="277">
        <v>1826442</v>
      </c>
      <c r="AT504" s="252">
        <f t="shared" ref="AT504:AY504" si="708">AF504/SUM(AF498:AF509)*AM509</f>
        <v>14790.022217782116</v>
      </c>
      <c r="AU504" s="252">
        <f t="shared" si="708"/>
        <v>12528.381450942798</v>
      </c>
      <c r="AV504" s="252">
        <f t="shared" si="708"/>
        <v>4523.0936037343536</v>
      </c>
      <c r="AW504" s="252">
        <f t="shared" si="708"/>
        <v>597.40859867735855</v>
      </c>
      <c r="AX504" s="252">
        <f t="shared" si="708"/>
        <v>4729.1284992509063</v>
      </c>
      <c r="AY504" s="252">
        <f t="shared" si="708"/>
        <v>16737.886439910533</v>
      </c>
    </row>
    <row r="505" spans="31:59">
      <c r="AE505" s="165">
        <v>44136</v>
      </c>
      <c r="AF505" s="277">
        <v>1269560</v>
      </c>
      <c r="AG505" s="277">
        <v>819634</v>
      </c>
      <c r="AH505" s="277">
        <v>453593</v>
      </c>
      <c r="AI505" s="277">
        <v>41954</v>
      </c>
      <c r="AJ505" s="277">
        <v>328700</v>
      </c>
      <c r="AK505" s="277">
        <v>1912566</v>
      </c>
      <c r="AT505" s="252">
        <f t="shared" ref="AT505:AY505" si="709">AF505/SUM(AF498:AF509)*AM509</f>
        <v>14786.609636554362</v>
      </c>
      <c r="AU505" s="252">
        <f t="shared" si="709"/>
        <v>12506.33301078465</v>
      </c>
      <c r="AV505" s="252">
        <f t="shared" si="709"/>
        <v>4565.7725596550517</v>
      </c>
      <c r="AW505" s="252">
        <f t="shared" si="709"/>
        <v>575.23766608317237</v>
      </c>
      <c r="AX505" s="252">
        <f t="shared" si="709"/>
        <v>4753.554277084786</v>
      </c>
      <c r="AY505" s="252">
        <f t="shared" si="709"/>
        <v>17527.144314921537</v>
      </c>
    </row>
    <row r="506" spans="31:59">
      <c r="AE506" s="165">
        <v>44166</v>
      </c>
      <c r="AF506" s="277">
        <v>1272840</v>
      </c>
      <c r="AG506" s="277">
        <v>807022</v>
      </c>
      <c r="AH506" s="277">
        <v>468402</v>
      </c>
      <c r="AI506" s="277">
        <v>41483</v>
      </c>
      <c r="AJ506" s="277">
        <v>328766</v>
      </c>
      <c r="AK506" s="277">
        <v>2006023</v>
      </c>
      <c r="AT506" s="252">
        <f t="shared" ref="AT506:AY506" si="710">AF506/SUM(AF498:AF509)*AM509</f>
        <v>14824.811911049381</v>
      </c>
      <c r="AU506" s="252">
        <f t="shared" si="710"/>
        <v>12313.893614746887</v>
      </c>
      <c r="AV506" s="252">
        <f t="shared" si="710"/>
        <v>4714.8368658412837</v>
      </c>
      <c r="AW506" s="252">
        <f t="shared" si="710"/>
        <v>568.77971354646127</v>
      </c>
      <c r="AX506" s="252">
        <f t="shared" si="710"/>
        <v>4754.5087479770518</v>
      </c>
      <c r="AY506" s="252">
        <f t="shared" si="710"/>
        <v>18383.603295285942</v>
      </c>
      <c r="BA506" s="252">
        <f t="shared" ref="BA506" si="711">SUM(AT495:AT506)</f>
        <v>171763.52463159405</v>
      </c>
      <c r="BB506" s="252">
        <f t="shared" ref="BB506:BF506" si="712">SUM(AU495:AU506)</f>
        <v>147962.22557371372</v>
      </c>
      <c r="BC506" s="252">
        <f t="shared" si="712"/>
        <v>54711.649787891642</v>
      </c>
      <c r="BD506" s="252">
        <f t="shared" si="712"/>
        <v>6940.0649853772275</v>
      </c>
      <c r="BE506" s="252">
        <f t="shared" si="712"/>
        <v>53562.201219376009</v>
      </c>
      <c r="BF506" s="252">
        <f t="shared" si="712"/>
        <v>176065.52442168977</v>
      </c>
      <c r="BG506" s="252">
        <f>SUM(BA506:BF506)</f>
        <v>611005.19061964238</v>
      </c>
    </row>
    <row r="507" spans="31:59">
      <c r="AE507" s="165">
        <v>44197</v>
      </c>
      <c r="AF507" s="277">
        <v>1258567</v>
      </c>
      <c r="AG507" s="277">
        <v>794767</v>
      </c>
      <c r="AH507" s="277">
        <v>450439</v>
      </c>
      <c r="AI507" s="277">
        <v>40466</v>
      </c>
      <c r="AJ507" s="277">
        <v>321014</v>
      </c>
      <c r="AK507" s="277">
        <v>1973363</v>
      </c>
      <c r="AT507" s="252">
        <f t="shared" ref="AT507:AY507" si="713">AF507/SUM(AF498:AF509)*AM509</f>
        <v>14658.573781821506</v>
      </c>
      <c r="AU507" s="252">
        <f t="shared" si="713"/>
        <v>12126.901480395254</v>
      </c>
      <c r="AV507" s="252">
        <f t="shared" si="713"/>
        <v>4534.0250532932869</v>
      </c>
      <c r="AW507" s="252">
        <f t="shared" si="713"/>
        <v>554.83547208184336</v>
      </c>
      <c r="AX507" s="252">
        <f t="shared" si="713"/>
        <v>4642.401803176439</v>
      </c>
      <c r="AY507" s="252">
        <f t="shared" si="713"/>
        <v>18084.300404130634</v>
      </c>
    </row>
    <row r="508" spans="31:59">
      <c r="AE508" s="165">
        <v>44228</v>
      </c>
      <c r="AF508" s="277">
        <v>1215422</v>
      </c>
      <c r="AG508" s="277">
        <v>782531</v>
      </c>
      <c r="AH508" s="277">
        <v>466526</v>
      </c>
      <c r="AI508" s="277">
        <v>38691</v>
      </c>
      <c r="AJ508" s="277">
        <v>309259</v>
      </c>
      <c r="AK508" s="277">
        <v>1890585</v>
      </c>
      <c r="AT508" s="252">
        <f t="shared" ref="AT508:AY508" si="714">AF508/SUM(AF498:AF509)*AM509</f>
        <v>14156.062460758194</v>
      </c>
      <c r="AU508" s="252">
        <f t="shared" si="714"/>
        <v>11940.199256329439</v>
      </c>
      <c r="AV508" s="252">
        <f t="shared" si="714"/>
        <v>4695.9534410046736</v>
      </c>
      <c r="AW508" s="252">
        <f t="shared" si="714"/>
        <v>530.49817749020417</v>
      </c>
      <c r="AX508" s="252">
        <f t="shared" si="714"/>
        <v>4472.4047525919195</v>
      </c>
      <c r="AY508" s="252">
        <f t="shared" si="714"/>
        <v>17325.705954527028</v>
      </c>
    </row>
    <row r="509" spans="31:59">
      <c r="AE509" s="165">
        <v>44256</v>
      </c>
      <c r="AF509" s="277">
        <v>1164950</v>
      </c>
      <c r="AG509" s="277">
        <v>751617</v>
      </c>
      <c r="AH509" s="277">
        <v>543321</v>
      </c>
      <c r="AI509" s="277">
        <v>35746</v>
      </c>
      <c r="AJ509" s="277">
        <v>296466</v>
      </c>
      <c r="AK509" s="277">
        <v>1996149</v>
      </c>
      <c r="AM509" s="277">
        <v>170655.25556932637</v>
      </c>
      <c r="AN509" s="277">
        <v>144344.74443067363</v>
      </c>
      <c r="AO509" s="277">
        <v>54500</v>
      </c>
      <c r="AP509" s="277">
        <v>6693.1810584091409</v>
      </c>
      <c r="AQ509" s="277">
        <v>53706.818941590856</v>
      </c>
      <c r="AR509" s="277">
        <v>179100</v>
      </c>
      <c r="AT509" s="252">
        <f>AF509/SUM(AF498:AF509)*AM509</f>
        <v>13568.213314931159</v>
      </c>
      <c r="AU509" s="252">
        <f t="shared" ref="AU509:AY509" si="715">AG509/SUM(AG498:AG509)*AN509</f>
        <v>11468.499962869922</v>
      </c>
      <c r="AV509" s="252">
        <f t="shared" si="715"/>
        <v>5468.9558985353442</v>
      </c>
      <c r="AW509" s="252">
        <f t="shared" si="715"/>
        <v>490.11883519590697</v>
      </c>
      <c r="AX509" s="252">
        <f t="shared" si="715"/>
        <v>4287.3964779745002</v>
      </c>
      <c r="AY509" s="252">
        <f t="shared" si="715"/>
        <v>18293.115948462077</v>
      </c>
      <c r="AZ509" s="25">
        <f t="shared" ref="AZ509" si="716">SUM(AT498:AY509)-SUM(AM509:AR509)</f>
        <v>0</v>
      </c>
    </row>
  </sheetData>
  <mergeCells count="7">
    <mergeCell ref="AT1:AY1"/>
    <mergeCell ref="BA1:BF1"/>
    <mergeCell ref="K2:N2"/>
    <mergeCell ref="A1:U1"/>
    <mergeCell ref="W1:AC1"/>
    <mergeCell ref="AF1:AK1"/>
    <mergeCell ref="AM1:AR1"/>
  </mergeCells>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8BF6F-6A32-45BE-B317-0DD974C069A9}">
  <dimension ref="A1:P46"/>
  <sheetViews>
    <sheetView zoomScale="70" zoomScaleNormal="70" workbookViewId="0">
      <selection activeCell="W5" sqref="W5"/>
    </sheetView>
  </sheetViews>
  <sheetFormatPr defaultColWidth="8.84375" defaultRowHeight="18.45"/>
  <cols>
    <col min="1" max="1" width="11.69140625" style="24" bestFit="1" customWidth="1"/>
    <col min="2" max="2" width="19.3046875" style="37" bestFit="1" customWidth="1"/>
    <col min="3" max="3" width="23.84375" style="37" bestFit="1" customWidth="1"/>
    <col min="4" max="4" width="19.3046875" style="37" bestFit="1" customWidth="1"/>
    <col min="5" max="5" width="23.84375" style="37" bestFit="1" customWidth="1"/>
    <col min="6" max="7" width="21.4609375" style="37" bestFit="1" customWidth="1"/>
    <col min="8" max="8" width="19.3046875" style="37" bestFit="1" customWidth="1"/>
    <col min="9" max="9" width="19.07421875" style="43" customWidth="1"/>
    <col min="10" max="10" width="18.3046875" style="43" bestFit="1" customWidth="1"/>
    <col min="11" max="11" width="22.69140625" style="43" bestFit="1" customWidth="1"/>
    <col min="12" max="12" width="18.3046875" style="37" bestFit="1" customWidth="1"/>
    <col min="13" max="13" width="23.84375" style="37" bestFit="1" customWidth="1"/>
    <col min="14" max="14" width="21.4609375" style="37" bestFit="1" customWidth="1"/>
    <col min="15" max="15" width="21.4609375" style="38" bestFit="1" customWidth="1"/>
    <col min="16" max="16" width="18.3046875" style="37" bestFit="1" customWidth="1"/>
    <col min="17" max="16384" width="8.84375" style="24"/>
  </cols>
  <sheetData>
    <row r="1" spans="1:16" ht="26.4" customHeight="1">
      <c r="B1" s="415" t="s">
        <v>212</v>
      </c>
      <c r="C1" s="415"/>
      <c r="D1" s="415" t="s">
        <v>213</v>
      </c>
      <c r="E1" s="415"/>
      <c r="F1" s="415"/>
      <c r="G1" s="415"/>
      <c r="H1" s="415"/>
      <c r="I1" s="298"/>
      <c r="J1" s="415" t="s">
        <v>212</v>
      </c>
      <c r="K1" s="415"/>
      <c r="L1" s="415" t="s">
        <v>213</v>
      </c>
      <c r="M1" s="415"/>
      <c r="N1" s="415"/>
      <c r="O1" s="415"/>
      <c r="P1" s="415"/>
    </row>
    <row r="2" spans="1:16" ht="18" customHeight="1">
      <c r="B2" s="414" t="s">
        <v>214</v>
      </c>
      <c r="C2" s="414"/>
      <c r="D2" s="414" t="s">
        <v>215</v>
      </c>
      <c r="E2" s="414"/>
      <c r="F2" s="414"/>
      <c r="G2" s="414"/>
      <c r="H2" s="414"/>
      <c r="I2" s="49"/>
      <c r="J2" s="414" t="s">
        <v>214</v>
      </c>
      <c r="K2" s="414"/>
      <c r="L2" s="414" t="s">
        <v>215</v>
      </c>
      <c r="M2" s="414"/>
      <c r="N2" s="414"/>
      <c r="O2" s="414"/>
      <c r="P2" s="414"/>
    </row>
    <row r="3" spans="1:16" ht="36.9">
      <c r="A3" s="24" t="s">
        <v>216</v>
      </c>
      <c r="B3" s="67" t="s">
        <v>217</v>
      </c>
      <c r="C3" s="67" t="s">
        <v>218</v>
      </c>
      <c r="D3" s="67" t="s">
        <v>219</v>
      </c>
      <c r="E3" s="67" t="s">
        <v>218</v>
      </c>
      <c r="F3" s="67" t="s">
        <v>220</v>
      </c>
      <c r="G3" s="66" t="s">
        <v>221</v>
      </c>
      <c r="H3" s="67" t="s">
        <v>222</v>
      </c>
      <c r="I3" s="49"/>
      <c r="J3" s="67" t="s">
        <v>223</v>
      </c>
      <c r="K3" s="67" t="s">
        <v>224</v>
      </c>
      <c r="L3" s="67" t="s">
        <v>225</v>
      </c>
      <c r="M3" s="67" t="s">
        <v>224</v>
      </c>
      <c r="N3" s="67" t="s">
        <v>226</v>
      </c>
      <c r="O3" s="66" t="s">
        <v>227</v>
      </c>
      <c r="P3" s="67" t="s">
        <v>228</v>
      </c>
    </row>
    <row r="4" spans="1:16">
      <c r="A4" s="299" t="s">
        <v>49</v>
      </c>
      <c r="B4" s="61">
        <v>11247.1</v>
      </c>
      <c r="C4" s="61">
        <v>2092.4</v>
      </c>
      <c r="D4" s="69">
        <f>B4/B$18*D$18</f>
        <v>11608.412051853176</v>
      </c>
      <c r="E4" s="69">
        <f>C4/C$18*E$18</f>
        <v>2023.3512594497943</v>
      </c>
      <c r="F4" s="69"/>
      <c r="G4" s="69"/>
      <c r="H4" s="300">
        <v>11241.079173226801</v>
      </c>
      <c r="J4" s="61">
        <v>534.6</v>
      </c>
      <c r="K4" s="61">
        <v>106.7</v>
      </c>
      <c r="L4" s="69">
        <f>J4/J$18*L$18</f>
        <v>532.10204873840848</v>
      </c>
      <c r="M4" s="69">
        <f>K4/K$18*M$18</f>
        <v>106.47817047817047</v>
      </c>
      <c r="N4" s="69"/>
      <c r="O4" s="293"/>
      <c r="P4" s="300">
        <v>472.80664226314798</v>
      </c>
    </row>
    <row r="5" spans="1:16">
      <c r="A5" s="299" t="s">
        <v>50</v>
      </c>
      <c r="B5" s="61">
        <v>12023.300000000001</v>
      </c>
      <c r="C5" s="61">
        <v>2021.7</v>
      </c>
      <c r="D5" s="69">
        <f t="shared" ref="D5:D17" si="0">B5/B$18*D$18</f>
        <v>12409.547405379724</v>
      </c>
      <c r="E5" s="69">
        <f t="shared" ref="E5:E16" si="1">C5/C$18*E$18</f>
        <v>1954.984343925468</v>
      </c>
      <c r="F5" s="69">
        <f>-(D5-D4-E5)</f>
        <v>1153.84899039892</v>
      </c>
      <c r="G5" s="293">
        <f>F5/D4</f>
        <v>9.9397659666527652E-2</v>
      </c>
      <c r="H5" s="300">
        <v>11892.6024042101</v>
      </c>
      <c r="I5" s="301"/>
      <c r="J5" s="61">
        <v>549.29999999999995</v>
      </c>
      <c r="K5" s="61">
        <v>102.8</v>
      </c>
      <c r="L5" s="69">
        <f t="shared" ref="L5:L17" si="2">J5/J$18*L$18</f>
        <v>546.73336208755654</v>
      </c>
      <c r="M5" s="69">
        <f t="shared" ref="M5:M16" si="3">K5/K$18*M$18</f>
        <v>102.58627858627858</v>
      </c>
      <c r="N5" s="69">
        <f>-(L5-L4-M5)</f>
        <v>87.954965237130523</v>
      </c>
      <c r="O5" s="293">
        <f>N5/L4</f>
        <v>0.16529717456579623</v>
      </c>
      <c r="P5" s="300">
        <v>523.383709313802</v>
      </c>
    </row>
    <row r="6" spans="1:16">
      <c r="A6" s="299" t="s">
        <v>51</v>
      </c>
      <c r="B6" s="61">
        <v>12663.3</v>
      </c>
      <c r="C6" s="61">
        <v>1986.2999999999997</v>
      </c>
      <c r="D6" s="69">
        <f t="shared" si="0"/>
        <v>13070.107346447734</v>
      </c>
      <c r="E6" s="69">
        <f t="shared" si="1"/>
        <v>1920.7525361523258</v>
      </c>
      <c r="F6" s="69">
        <f t="shared" ref="F6:F42" si="4">-(D6-D5-E6)</f>
        <v>1260.1925950843161</v>
      </c>
      <c r="G6" s="293">
        <f t="shared" ref="G6:G42" si="5">F6/D5</f>
        <v>0.10155024626748303</v>
      </c>
      <c r="H6" s="300">
        <v>12547.7989639796</v>
      </c>
      <c r="I6" s="301"/>
      <c r="J6" s="61">
        <v>572.1</v>
      </c>
      <c r="K6" s="61">
        <v>113.4</v>
      </c>
      <c r="L6" s="69">
        <f t="shared" si="2"/>
        <v>569.42682769031705</v>
      </c>
      <c r="M6" s="69">
        <f t="shared" si="3"/>
        <v>113.16424116424116</v>
      </c>
      <c r="N6" s="69">
        <f>-(L6-L5-M6)</f>
        <v>90.47077556148065</v>
      </c>
      <c r="O6" s="293">
        <f t="shared" ref="O6:O43" si="6">N6/L5</f>
        <v>0.1654751325509787</v>
      </c>
      <c r="P6" s="300">
        <v>574.55373042920905</v>
      </c>
    </row>
    <row r="7" spans="1:16">
      <c r="A7" s="299" t="s">
        <v>52</v>
      </c>
      <c r="B7" s="61">
        <v>13083.199999999999</v>
      </c>
      <c r="C7" s="61">
        <v>1877.8</v>
      </c>
      <c r="D7" s="69">
        <f t="shared" si="0"/>
        <v>13503.496595282824</v>
      </c>
      <c r="E7" s="69">
        <f t="shared" si="1"/>
        <v>1815.8330123278645</v>
      </c>
      <c r="F7" s="69">
        <f t="shared" si="4"/>
        <v>1382.4437634927742</v>
      </c>
      <c r="G7" s="293">
        <f t="shared" si="5"/>
        <v>0.10577141616732799</v>
      </c>
      <c r="H7" s="300">
        <v>13215.5116313334</v>
      </c>
      <c r="I7" s="301"/>
      <c r="J7" s="61">
        <v>617.1</v>
      </c>
      <c r="K7" s="61">
        <v>139.4</v>
      </c>
      <c r="L7" s="69">
        <f t="shared" si="2"/>
        <v>614.21656243260736</v>
      </c>
      <c r="M7" s="69">
        <f t="shared" si="3"/>
        <v>139.1101871101871</v>
      </c>
      <c r="N7" s="69">
        <f t="shared" ref="N7:N43" si="7">-(L7-L6-M7)</f>
        <v>94.320452367896792</v>
      </c>
      <c r="O7" s="293">
        <f t="shared" si="6"/>
        <v>0.16564104074701763</v>
      </c>
      <c r="P7" s="300">
        <v>627.14315620186096</v>
      </c>
    </row>
    <row r="8" spans="1:16">
      <c r="A8" s="299" t="s">
        <v>53</v>
      </c>
      <c r="B8" s="61">
        <v>13524</v>
      </c>
      <c r="C8" s="61">
        <v>1980.2999999999997</v>
      </c>
      <c r="D8" s="69">
        <f t="shared" si="0"/>
        <v>13958.45725469342</v>
      </c>
      <c r="E8" s="69">
        <f t="shared" si="1"/>
        <v>1914.9505348348439</v>
      </c>
      <c r="F8" s="69">
        <f t="shared" si="4"/>
        <v>1459.9898754242486</v>
      </c>
      <c r="G8" s="293">
        <f t="shared" si="5"/>
        <v>0.10811939449329493</v>
      </c>
      <c r="H8" s="300">
        <v>13909.806268894001</v>
      </c>
      <c r="I8" s="301"/>
      <c r="J8" s="61">
        <v>670.8</v>
      </c>
      <c r="K8" s="61">
        <v>155.9</v>
      </c>
      <c r="L8" s="69">
        <f t="shared" si="2"/>
        <v>667.66564589174027</v>
      </c>
      <c r="M8" s="69">
        <f t="shared" si="3"/>
        <v>155.57588357588355</v>
      </c>
      <c r="N8" s="69">
        <f t="shared" si="7"/>
        <v>102.12680011675064</v>
      </c>
      <c r="O8" s="293">
        <f t="shared" si="6"/>
        <v>0.16627164808496372</v>
      </c>
      <c r="P8" s="300">
        <v>681.92716819685995</v>
      </c>
    </row>
    <row r="9" spans="1:16">
      <c r="A9" s="299" t="s">
        <v>54</v>
      </c>
      <c r="B9" s="61">
        <v>13540.2</v>
      </c>
      <c r="C9" s="61">
        <v>1708.7</v>
      </c>
      <c r="D9" s="69">
        <f t="shared" si="0"/>
        <v>13975.177678201704</v>
      </c>
      <c r="E9" s="69">
        <f t="shared" si="1"/>
        <v>1652.313275196838</v>
      </c>
      <c r="F9" s="69">
        <f t="shared" si="4"/>
        <v>1635.5928516885535</v>
      </c>
      <c r="G9" s="293">
        <f t="shared" si="5"/>
        <v>0.11717576103466582</v>
      </c>
      <c r="H9" s="300">
        <v>14647.628588923801</v>
      </c>
      <c r="I9" s="301"/>
      <c r="J9" s="61">
        <v>712.3</v>
      </c>
      <c r="K9" s="61">
        <v>153.5</v>
      </c>
      <c r="L9" s="69">
        <f t="shared" si="2"/>
        <v>708.97173459851911</v>
      </c>
      <c r="M9" s="69">
        <f t="shared" si="3"/>
        <v>153.18087318087316</v>
      </c>
      <c r="N9" s="69">
        <f t="shared" si="7"/>
        <v>111.87478447409433</v>
      </c>
      <c r="O9" s="293">
        <f t="shared" si="6"/>
        <v>0.16756109163692756</v>
      </c>
      <c r="P9" s="300">
        <v>739.55168204161396</v>
      </c>
    </row>
    <row r="10" spans="1:16">
      <c r="A10" s="299" t="s">
        <v>55</v>
      </c>
      <c r="B10" s="61">
        <v>13833.099999999999</v>
      </c>
      <c r="C10" s="61">
        <v>1948</v>
      </c>
      <c r="D10" s="69">
        <f t="shared" si="0"/>
        <v>14277.487063731107</v>
      </c>
      <c r="E10" s="69">
        <f t="shared" si="1"/>
        <v>1883.7164277424008</v>
      </c>
      <c r="F10" s="69">
        <f t="shared" si="4"/>
        <v>1581.407042212998</v>
      </c>
      <c r="G10" s="293">
        <f t="shared" si="5"/>
        <v>0.11315827810043916</v>
      </c>
      <c r="H10" s="300">
        <v>15446.4108135427</v>
      </c>
      <c r="I10" s="301"/>
      <c r="J10" s="61">
        <v>764.7</v>
      </c>
      <c r="K10" s="61">
        <v>172.5</v>
      </c>
      <c r="L10" s="69">
        <f t="shared" si="2"/>
        <v>761.12689238731934</v>
      </c>
      <c r="M10" s="69">
        <f t="shared" si="3"/>
        <v>172.14137214137213</v>
      </c>
      <c r="N10" s="69">
        <f t="shared" si="7"/>
        <v>119.98621435257189</v>
      </c>
      <c r="O10" s="293">
        <f t="shared" si="6"/>
        <v>0.16923977148471006</v>
      </c>
      <c r="P10" s="300">
        <v>800.51999814048304</v>
      </c>
    </row>
    <row r="11" spans="1:16">
      <c r="A11" s="299" t="s">
        <v>56</v>
      </c>
      <c r="B11" s="61">
        <v>14332.4</v>
      </c>
      <c r="C11" s="61">
        <v>2166</v>
      </c>
      <c r="D11" s="69">
        <f t="shared" si="0"/>
        <v>14792.82703025495</v>
      </c>
      <c r="E11" s="69">
        <f t="shared" si="1"/>
        <v>2094.5224756109037</v>
      </c>
      <c r="F11" s="69">
        <f t="shared" si="4"/>
        <v>1579.1825090870607</v>
      </c>
      <c r="G11" s="293">
        <f t="shared" si="5"/>
        <v>0.11060647451739845</v>
      </c>
      <c r="H11" s="300">
        <v>16316.8606557638</v>
      </c>
      <c r="I11" s="301"/>
      <c r="J11" s="61">
        <v>816.1</v>
      </c>
      <c r="K11" s="61">
        <v>181.2</v>
      </c>
      <c r="L11" s="69">
        <f t="shared" si="2"/>
        <v>812.28672273740199</v>
      </c>
      <c r="M11" s="69">
        <f t="shared" si="3"/>
        <v>180.82328482328481</v>
      </c>
      <c r="N11" s="69">
        <f t="shared" si="7"/>
        <v>129.66345447320217</v>
      </c>
      <c r="O11" s="293">
        <f t="shared" si="6"/>
        <v>0.17035721082788849</v>
      </c>
      <c r="P11" s="300">
        <v>865.02961742339198</v>
      </c>
    </row>
    <row r="12" spans="1:16">
      <c r="A12" s="299" t="s">
        <v>57</v>
      </c>
      <c r="B12" s="61">
        <v>15243.199999999999</v>
      </c>
      <c r="C12" s="61">
        <v>2597.1</v>
      </c>
      <c r="D12" s="69">
        <f t="shared" si="0"/>
        <v>15732.886396387363</v>
      </c>
      <c r="E12" s="69">
        <f t="shared" si="1"/>
        <v>2511.3962702719655</v>
      </c>
      <c r="F12" s="69">
        <f t="shared" si="4"/>
        <v>1571.3369041395526</v>
      </c>
      <c r="G12" s="293">
        <f t="shared" si="5"/>
        <v>0.10622289444240673</v>
      </c>
      <c r="H12" s="300">
        <v>17257.996591101899</v>
      </c>
      <c r="I12" s="301"/>
      <c r="J12" s="61">
        <v>883.6</v>
      </c>
      <c r="K12" s="61">
        <v>206.3</v>
      </c>
      <c r="L12" s="69">
        <f t="shared" si="2"/>
        <v>879.4713248508375</v>
      </c>
      <c r="M12" s="69">
        <f t="shared" si="3"/>
        <v>205.87110187110187</v>
      </c>
      <c r="N12" s="69">
        <f t="shared" si="7"/>
        <v>138.68649975766635</v>
      </c>
      <c r="O12" s="293">
        <f t="shared" si="6"/>
        <v>0.17073589395908575</v>
      </c>
      <c r="P12" s="300">
        <v>932.88410976273894</v>
      </c>
    </row>
    <row r="13" spans="1:16">
      <c r="A13" s="299" t="s">
        <v>58</v>
      </c>
      <c r="B13" s="61">
        <v>16420</v>
      </c>
      <c r="C13" s="61">
        <v>2974.5</v>
      </c>
      <c r="D13" s="69">
        <f t="shared" si="0"/>
        <v>16947.490988026173</v>
      </c>
      <c r="E13" s="69">
        <f t="shared" si="1"/>
        <v>2876.3421531415665</v>
      </c>
      <c r="F13" s="69">
        <f t="shared" si="4"/>
        <v>1661.7375615027563</v>
      </c>
      <c r="G13" s="293">
        <f t="shared" si="5"/>
        <v>0.10562191321004707</v>
      </c>
      <c r="H13" s="300">
        <v>18253.596758816599</v>
      </c>
      <c r="I13" s="301"/>
      <c r="J13" s="61">
        <v>975.3</v>
      </c>
      <c r="K13" s="61">
        <v>242.8</v>
      </c>
      <c r="L13" s="69">
        <f t="shared" si="2"/>
        <v>970.74285098123789</v>
      </c>
      <c r="M13" s="69">
        <f t="shared" si="3"/>
        <v>242.29521829521829</v>
      </c>
      <c r="N13" s="69">
        <f t="shared" si="7"/>
        <v>151.0236921648179</v>
      </c>
      <c r="O13" s="293">
        <f t="shared" si="6"/>
        <v>0.17172099635020191</v>
      </c>
      <c r="P13" s="300">
        <v>1003.35961608405</v>
      </c>
    </row>
    <row r="14" spans="1:16">
      <c r="A14" s="299" t="s">
        <v>59</v>
      </c>
      <c r="B14" s="61">
        <v>18354.3</v>
      </c>
      <c r="C14" s="61">
        <v>3811</v>
      </c>
      <c r="D14" s="69">
        <f t="shared" si="0"/>
        <v>18943.930197413443</v>
      </c>
      <c r="E14" s="69">
        <f t="shared" si="1"/>
        <v>3685.2378368204772</v>
      </c>
      <c r="F14" s="69">
        <f t="shared" si="4"/>
        <v>1688.798627433207</v>
      </c>
      <c r="G14" s="293">
        <f t="shared" si="5"/>
        <v>9.9648887769073644E-2</v>
      </c>
      <c r="H14" s="300">
        <v>19272.188196220701</v>
      </c>
      <c r="I14" s="301"/>
      <c r="J14" s="61">
        <v>1064.7</v>
      </c>
      <c r="K14" s="61">
        <v>257.89999999999998</v>
      </c>
      <c r="L14" s="69">
        <f t="shared" si="2"/>
        <v>1059.7251240025878</v>
      </c>
      <c r="M14" s="69">
        <f t="shared" si="3"/>
        <v>257.3638253638253</v>
      </c>
      <c r="N14" s="69">
        <f t="shared" si="7"/>
        <v>168.3815523424754</v>
      </c>
      <c r="O14" s="293">
        <f t="shared" si="6"/>
        <v>0.17345639184699987</v>
      </c>
      <c r="P14" s="300">
        <v>1075.1981494637701</v>
      </c>
    </row>
    <row r="15" spans="1:16">
      <c r="A15" s="299" t="s">
        <v>60</v>
      </c>
      <c r="B15" s="61">
        <v>20233</v>
      </c>
      <c r="C15" s="61">
        <v>4007.3</v>
      </c>
      <c r="D15" s="69">
        <f t="shared" si="0"/>
        <v>20882.983261920435</v>
      </c>
      <c r="E15" s="69">
        <f t="shared" si="1"/>
        <v>3875.0599799240877</v>
      </c>
      <c r="F15" s="69">
        <f t="shared" si="4"/>
        <v>1936.0069154170956</v>
      </c>
      <c r="G15" s="293">
        <f t="shared" si="5"/>
        <v>0.10219668755332688</v>
      </c>
      <c r="H15" s="300">
        <v>20269.2368829187</v>
      </c>
      <c r="I15" s="301"/>
      <c r="J15" s="61">
        <v>1131.8</v>
      </c>
      <c r="K15" s="61">
        <v>252</v>
      </c>
      <c r="L15" s="69">
        <f t="shared" si="2"/>
        <v>1126.5115951405362</v>
      </c>
      <c r="M15" s="69">
        <f t="shared" si="3"/>
        <v>251.47609147609145</v>
      </c>
      <c r="N15" s="69">
        <f t="shared" si="7"/>
        <v>184.68962033814304</v>
      </c>
      <c r="O15" s="293">
        <f t="shared" si="6"/>
        <v>0.17428068482567377</v>
      </c>
      <c r="P15" s="300">
        <v>1146.81555532726</v>
      </c>
    </row>
    <row r="16" spans="1:16">
      <c r="A16" s="299" t="s">
        <v>61</v>
      </c>
      <c r="B16" s="61">
        <v>21600.800000000003</v>
      </c>
      <c r="C16" s="61">
        <v>3756.8</v>
      </c>
      <c r="D16" s="69">
        <f t="shared" si="0"/>
        <v>22294.723710971728</v>
      </c>
      <c r="E16" s="69">
        <f t="shared" si="1"/>
        <v>3632.8264249192252</v>
      </c>
      <c r="F16" s="69">
        <f t="shared" si="4"/>
        <v>2221.0859758679326</v>
      </c>
      <c r="G16" s="293">
        <f t="shared" si="5"/>
        <v>0.10635865326378074</v>
      </c>
      <c r="H16" s="300">
        <v>21196.9262185273</v>
      </c>
      <c r="I16" s="301"/>
      <c r="J16" s="61">
        <v>1238.0999999999999</v>
      </c>
      <c r="K16" s="61">
        <v>303.10000000000002</v>
      </c>
      <c r="L16" s="69">
        <f t="shared" si="2"/>
        <v>1232.3149018762131</v>
      </c>
      <c r="M16" s="69">
        <f t="shared" si="3"/>
        <v>302.46985446985451</v>
      </c>
      <c r="N16" s="69">
        <f t="shared" si="7"/>
        <v>196.66654773417764</v>
      </c>
      <c r="O16" s="293">
        <f t="shared" si="6"/>
        <v>0.17458013622100607</v>
      </c>
      <c r="P16" s="300">
        <v>1216.4729488452999</v>
      </c>
    </row>
    <row r="17" spans="1:16">
      <c r="A17" s="299" t="s">
        <v>62</v>
      </c>
      <c r="B17" s="61">
        <v>22413.8</v>
      </c>
      <c r="C17" s="61">
        <v>3380</v>
      </c>
      <c r="D17" s="69">
        <f t="shared" si="0"/>
        <v>23133.841261109679</v>
      </c>
      <c r="E17" s="69">
        <f>C17/C$18*E$18</f>
        <v>3268.460742181373</v>
      </c>
      <c r="F17" s="69">
        <f t="shared" si="4"/>
        <v>2429.3431920434218</v>
      </c>
      <c r="G17" s="293">
        <f t="shared" si="5"/>
        <v>0.10896493823100792</v>
      </c>
      <c r="H17" s="300">
        <v>22013.577066452999</v>
      </c>
      <c r="I17" s="301"/>
      <c r="J17" s="61">
        <v>1338.2</v>
      </c>
      <c r="K17" s="61">
        <v>316.39999999999998</v>
      </c>
      <c r="L17" s="69">
        <f t="shared" si="2"/>
        <v>1331.947178491841</v>
      </c>
      <c r="M17" s="69">
        <f>K17/K$18*M$18</f>
        <v>315.74220374220369</v>
      </c>
      <c r="N17" s="69">
        <f t="shared" si="7"/>
        <v>216.10992712657577</v>
      </c>
      <c r="O17" s="293">
        <f t="shared" si="6"/>
        <v>0.17536907717138372</v>
      </c>
      <c r="P17" s="300">
        <v>1282.2284055868099</v>
      </c>
    </row>
    <row r="18" spans="1:16">
      <c r="A18" s="299" t="s">
        <v>63</v>
      </c>
      <c r="B18" s="61">
        <v>22941.7</v>
      </c>
      <c r="C18" s="61">
        <v>3187.9</v>
      </c>
      <c r="D18" s="61">
        <v>23678.7</v>
      </c>
      <c r="E18" s="61">
        <v>3082.7</v>
      </c>
      <c r="F18" s="69">
        <f t="shared" si="4"/>
        <v>2537.8412611096783</v>
      </c>
      <c r="G18" s="293">
        <f t="shared" si="5"/>
        <v>0.10970254496282229</v>
      </c>
      <c r="H18" s="300">
        <v>22688.488265027099</v>
      </c>
      <c r="I18" s="301"/>
      <c r="J18" s="61">
        <v>1391.1</v>
      </c>
      <c r="K18" s="61">
        <v>288.60000000000002</v>
      </c>
      <c r="L18" s="61">
        <v>1384.6</v>
      </c>
      <c r="M18" s="61">
        <v>288</v>
      </c>
      <c r="N18" s="69">
        <f t="shared" si="7"/>
        <v>235.34717849184108</v>
      </c>
      <c r="O18" s="293">
        <f t="shared" si="6"/>
        <v>0.17669407788252073</v>
      </c>
      <c r="P18" s="300">
        <v>1342.29842065101</v>
      </c>
    </row>
    <row r="19" spans="1:16">
      <c r="A19" s="299" t="s">
        <v>64</v>
      </c>
      <c r="B19" s="61">
        <v>23446.399999999998</v>
      </c>
      <c r="C19" s="61">
        <v>3282.3</v>
      </c>
      <c r="D19" s="61">
        <v>24373.600000000002</v>
      </c>
      <c r="E19" s="61">
        <v>3208.5</v>
      </c>
      <c r="F19" s="69">
        <f t="shared" si="4"/>
        <v>2513.5999999999985</v>
      </c>
      <c r="G19" s="293">
        <f t="shared" si="5"/>
        <v>0.10615447638595017</v>
      </c>
      <c r="H19" s="300">
        <v>23202.161294527101</v>
      </c>
      <c r="I19" s="301"/>
      <c r="J19" s="61">
        <v>1425.9</v>
      </c>
      <c r="K19" s="61">
        <v>281.5</v>
      </c>
      <c r="L19" s="61">
        <v>1419.1</v>
      </c>
      <c r="M19" s="61">
        <v>280.2</v>
      </c>
      <c r="N19" s="69">
        <f t="shared" si="7"/>
        <v>245.7</v>
      </c>
      <c r="O19" s="293">
        <f t="shared" si="6"/>
        <v>0.17745197168857432</v>
      </c>
      <c r="P19" s="300">
        <v>1395.3966768661601</v>
      </c>
    </row>
    <row r="20" spans="1:16">
      <c r="A20" s="299" t="s">
        <v>65</v>
      </c>
      <c r="B20" s="61">
        <v>23482.1</v>
      </c>
      <c r="C20" s="61">
        <v>2850.2</v>
      </c>
      <c r="D20" s="61">
        <v>24547.4</v>
      </c>
      <c r="E20" s="61">
        <v>2805.4</v>
      </c>
      <c r="F20" s="69">
        <f t="shared" si="4"/>
        <v>2631.6000000000008</v>
      </c>
      <c r="G20" s="293">
        <f t="shared" si="5"/>
        <v>0.10796927823546791</v>
      </c>
      <c r="H20" s="300">
        <v>23544.999752580399</v>
      </c>
      <c r="I20" s="301"/>
      <c r="J20" s="61">
        <v>1476.9</v>
      </c>
      <c r="K20" s="61">
        <v>304.89999999999998</v>
      </c>
      <c r="L20" s="61">
        <v>1470.1</v>
      </c>
      <c r="M20" s="61">
        <v>303.89999999999998</v>
      </c>
      <c r="N20" s="69">
        <f t="shared" si="7"/>
        <v>252.89999999999998</v>
      </c>
      <c r="O20" s="293">
        <f t="shared" si="6"/>
        <v>0.1782115425269537</v>
      </c>
      <c r="P20" s="300">
        <v>1440.65987285402</v>
      </c>
    </row>
    <row r="21" spans="1:16">
      <c r="A21" s="299" t="s">
        <v>66</v>
      </c>
      <c r="B21" s="61">
        <v>23350.1</v>
      </c>
      <c r="C21" s="61">
        <v>2700.4</v>
      </c>
      <c r="D21" s="61">
        <v>24377.8</v>
      </c>
      <c r="E21" s="61">
        <v>2554.8000000000002</v>
      </c>
      <c r="F21" s="69">
        <f t="shared" si="4"/>
        <v>2724.4000000000024</v>
      </c>
      <c r="G21" s="293">
        <f t="shared" si="5"/>
        <v>0.11098527746319375</v>
      </c>
      <c r="H21" s="300">
        <v>23719.121623869101</v>
      </c>
      <c r="I21" s="301"/>
      <c r="J21" s="61">
        <v>1526.5</v>
      </c>
      <c r="K21" s="61">
        <v>314</v>
      </c>
      <c r="L21" s="61">
        <v>1520.5</v>
      </c>
      <c r="M21" s="61">
        <v>313.60000000000002</v>
      </c>
      <c r="N21" s="69">
        <f t="shared" si="7"/>
        <v>263.19999999999993</v>
      </c>
      <c r="O21" s="293">
        <f t="shared" si="6"/>
        <v>0.17903543976600228</v>
      </c>
      <c r="P21" s="300">
        <v>1477.4617404676801</v>
      </c>
    </row>
    <row r="22" spans="1:16">
      <c r="A22" s="299" t="s">
        <v>67</v>
      </c>
      <c r="B22" s="61">
        <v>22985.8</v>
      </c>
      <c r="C22" s="61">
        <v>2451.2000000000003</v>
      </c>
      <c r="D22" s="61">
        <v>23971.200000000001</v>
      </c>
      <c r="E22" s="61">
        <v>2328.2999999999997</v>
      </c>
      <c r="F22" s="69">
        <f t="shared" si="4"/>
        <v>2734.8999999999983</v>
      </c>
      <c r="G22" s="293">
        <f t="shared" si="5"/>
        <v>0.1121881383882056</v>
      </c>
      <c r="H22" s="300">
        <v>23736.668895549501</v>
      </c>
      <c r="I22" s="301"/>
      <c r="J22" s="61">
        <v>1540.3</v>
      </c>
      <c r="K22" s="61">
        <v>289.60000000000002</v>
      </c>
      <c r="L22" s="61">
        <v>1536.1</v>
      </c>
      <c r="M22" s="61">
        <v>290.3</v>
      </c>
      <c r="N22" s="69">
        <f t="shared" si="7"/>
        <v>274.7000000000001</v>
      </c>
      <c r="O22" s="293">
        <f t="shared" si="6"/>
        <v>0.18066425517921744</v>
      </c>
      <c r="P22" s="300">
        <v>1505.4704128317001</v>
      </c>
    </row>
    <row r="23" spans="1:16">
      <c r="A23" s="299" t="s">
        <v>68</v>
      </c>
      <c r="B23" s="61">
        <v>22485.3</v>
      </c>
      <c r="C23" s="61">
        <v>2256</v>
      </c>
      <c r="D23" s="61">
        <v>23604.1</v>
      </c>
      <c r="E23" s="61">
        <v>2282.1999999999998</v>
      </c>
      <c r="F23" s="69">
        <f t="shared" si="4"/>
        <v>2649.300000000002</v>
      </c>
      <c r="G23" s="293">
        <f t="shared" si="5"/>
        <v>0.11052012414897885</v>
      </c>
      <c r="H23" s="300">
        <v>23616.370338539102</v>
      </c>
      <c r="I23" s="301"/>
      <c r="J23" s="61">
        <v>1554.4</v>
      </c>
      <c r="K23" s="61">
        <v>295.8</v>
      </c>
      <c r="L23" s="61">
        <v>1552.5</v>
      </c>
      <c r="M23" s="61">
        <v>297.39999999999998</v>
      </c>
      <c r="N23" s="69">
        <f t="shared" si="7"/>
        <v>280.99999999999989</v>
      </c>
      <c r="O23" s="293">
        <f t="shared" si="6"/>
        <v>0.18293079877612128</v>
      </c>
      <c r="P23" s="300">
        <v>1524.7844056659601</v>
      </c>
    </row>
    <row r="24" spans="1:16">
      <c r="A24" s="299" t="s">
        <v>69</v>
      </c>
      <c r="B24" s="61">
        <v>22283.4</v>
      </c>
      <c r="C24" s="61">
        <v>2463.3999999999996</v>
      </c>
      <c r="D24" s="61">
        <v>23623.599999999999</v>
      </c>
      <c r="E24" s="61">
        <v>2564.1999999999998</v>
      </c>
      <c r="F24" s="69">
        <f t="shared" si="4"/>
        <v>2544.6999999999998</v>
      </c>
      <c r="G24" s="293">
        <f t="shared" si="5"/>
        <v>0.10780754191009188</v>
      </c>
      <c r="H24" s="300">
        <v>23379.300034799999</v>
      </c>
      <c r="I24" s="301"/>
      <c r="J24" s="61">
        <v>1563.5</v>
      </c>
      <c r="K24" s="61">
        <v>297.8</v>
      </c>
      <c r="L24" s="61">
        <v>1564.2</v>
      </c>
      <c r="M24" s="61">
        <v>300.39999999999998</v>
      </c>
      <c r="N24" s="69">
        <f t="shared" si="7"/>
        <v>288.69999999999993</v>
      </c>
      <c r="O24" s="293">
        <f t="shared" si="6"/>
        <v>0.18595813204508851</v>
      </c>
      <c r="P24" s="300">
        <v>1535.80853056201</v>
      </c>
    </row>
    <row r="25" spans="1:16">
      <c r="A25" s="299" t="s">
        <v>70</v>
      </c>
      <c r="B25" s="61">
        <v>21780.9</v>
      </c>
      <c r="C25" s="61">
        <v>2166.1</v>
      </c>
      <c r="D25" s="61">
        <v>23320.2</v>
      </c>
      <c r="E25" s="61">
        <v>2290.1</v>
      </c>
      <c r="F25" s="69">
        <f t="shared" si="4"/>
        <v>2593.4999999999977</v>
      </c>
      <c r="G25" s="293">
        <f t="shared" si="5"/>
        <v>0.10978428351309698</v>
      </c>
      <c r="H25" s="300">
        <v>23046.4093629091</v>
      </c>
      <c r="I25" s="301"/>
      <c r="J25" s="61">
        <v>1542.8</v>
      </c>
      <c r="K25" s="61">
        <v>275.3</v>
      </c>
      <c r="L25" s="61">
        <v>1551.1</v>
      </c>
      <c r="M25" s="61">
        <v>283.3</v>
      </c>
      <c r="N25" s="69">
        <f t="shared" si="7"/>
        <v>296.40000000000015</v>
      </c>
      <c r="O25" s="293">
        <f t="shared" si="6"/>
        <v>0.18948983505945541</v>
      </c>
      <c r="P25" s="300">
        <v>1539.22475505476</v>
      </c>
    </row>
    <row r="26" spans="1:16">
      <c r="A26" s="299" t="s">
        <v>71</v>
      </c>
      <c r="B26" s="61">
        <v>21178.1</v>
      </c>
      <c r="C26" s="61">
        <v>2008.1</v>
      </c>
      <c r="D26" s="61">
        <v>22846.2</v>
      </c>
      <c r="E26" s="61">
        <v>2103.4</v>
      </c>
      <c r="F26" s="69">
        <f t="shared" si="4"/>
        <v>2577.4</v>
      </c>
      <c r="G26" s="293">
        <f t="shared" si="5"/>
        <v>0.11052220821433778</v>
      </c>
      <c r="H26" s="300">
        <v>22641.0927010948</v>
      </c>
      <c r="I26" s="301"/>
      <c r="J26" s="61">
        <v>1515.2</v>
      </c>
      <c r="K26" s="61">
        <v>269.10000000000002</v>
      </c>
      <c r="L26" s="61">
        <v>1534.5</v>
      </c>
      <c r="M26" s="61">
        <v>283</v>
      </c>
      <c r="N26" s="69">
        <f t="shared" si="7"/>
        <v>299.59999999999991</v>
      </c>
      <c r="O26" s="293">
        <f t="shared" si="6"/>
        <v>0.19315324608342463</v>
      </c>
      <c r="P26" s="300">
        <v>1535.9989613734799</v>
      </c>
    </row>
    <row r="27" spans="1:16">
      <c r="A27" s="299" t="s">
        <v>72</v>
      </c>
      <c r="B27" s="61">
        <v>20191.099999999999</v>
      </c>
      <c r="C27" s="61">
        <v>1565</v>
      </c>
      <c r="D27" s="61">
        <v>21946.799999999999</v>
      </c>
      <c r="E27" s="61">
        <v>1657.3000000000002</v>
      </c>
      <c r="F27" s="69">
        <f t="shared" si="4"/>
        <v>2556.7000000000016</v>
      </c>
      <c r="G27" s="293">
        <f t="shared" si="5"/>
        <v>0.11190920153023266</v>
      </c>
      <c r="H27" s="300">
        <v>22189.482333956999</v>
      </c>
      <c r="I27" s="301"/>
      <c r="J27" s="61">
        <v>1493</v>
      </c>
      <c r="K27" s="61">
        <v>274.5</v>
      </c>
      <c r="L27" s="61">
        <v>1525.8</v>
      </c>
      <c r="M27" s="61">
        <v>294.60000000000002</v>
      </c>
      <c r="N27" s="69">
        <f t="shared" si="7"/>
        <v>303.30000000000007</v>
      </c>
      <c r="O27" s="293">
        <f t="shared" si="6"/>
        <v>0.19765395894428156</v>
      </c>
      <c r="P27" s="300">
        <v>1527.2157841969199</v>
      </c>
    </row>
    <row r="28" spans="1:16">
      <c r="A28" s="299" t="s">
        <v>73</v>
      </c>
      <c r="B28" s="61">
        <v>19288.2</v>
      </c>
      <c r="C28" s="61">
        <v>1493.3000000000002</v>
      </c>
      <c r="D28" s="61">
        <v>21237.200000000001</v>
      </c>
      <c r="E28" s="61">
        <v>1698.3</v>
      </c>
      <c r="F28" s="69">
        <f t="shared" si="4"/>
        <v>2407.8999999999987</v>
      </c>
      <c r="G28" s="293">
        <f t="shared" si="5"/>
        <v>0.10971531157161858</v>
      </c>
      <c r="H28" s="300">
        <v>21719.7616190841</v>
      </c>
      <c r="I28" s="301"/>
      <c r="J28" s="61">
        <v>1458.1</v>
      </c>
      <c r="K28" s="61">
        <v>262.60000000000002</v>
      </c>
      <c r="L28" s="61">
        <v>1506.3</v>
      </c>
      <c r="M28" s="61">
        <v>289.3</v>
      </c>
      <c r="N28" s="69">
        <f t="shared" si="7"/>
        <v>308.8</v>
      </c>
      <c r="O28" s="293">
        <f t="shared" si="6"/>
        <v>0.2023856337658933</v>
      </c>
      <c r="P28" s="300">
        <v>1513.94486859006</v>
      </c>
    </row>
    <row r="29" spans="1:16">
      <c r="A29" s="299" t="s">
        <v>74</v>
      </c>
      <c r="B29" s="61">
        <v>18642.7</v>
      </c>
      <c r="C29" s="61">
        <v>1604.6999999999998</v>
      </c>
      <c r="D29" s="61">
        <v>20651.600000000002</v>
      </c>
      <c r="E29" s="61">
        <v>1723.8000000000002</v>
      </c>
      <c r="F29" s="69">
        <f t="shared" si="4"/>
        <v>2309.3999999999987</v>
      </c>
      <c r="G29" s="293">
        <f t="shared" si="5"/>
        <v>0.10874314881434458</v>
      </c>
      <c r="H29" s="300">
        <v>21257.687090725201</v>
      </c>
      <c r="I29" s="301"/>
      <c r="J29" s="61">
        <v>1428.5</v>
      </c>
      <c r="K29" s="61">
        <v>264.60000000000002</v>
      </c>
      <c r="L29" s="61">
        <v>1496.1</v>
      </c>
      <c r="M29" s="61">
        <v>300.39999999999998</v>
      </c>
      <c r="N29" s="69">
        <f t="shared" si="7"/>
        <v>310.60000000000002</v>
      </c>
      <c r="O29" s="293">
        <f t="shared" si="6"/>
        <v>0.20620062404567485</v>
      </c>
      <c r="P29" s="300">
        <v>1497.2417017759301</v>
      </c>
    </row>
    <row r="30" spans="1:16">
      <c r="A30" s="299" t="s">
        <v>75</v>
      </c>
      <c r="B30" s="61">
        <v>17998.899999999998</v>
      </c>
      <c r="C30" s="61">
        <v>1366</v>
      </c>
      <c r="D30" s="61">
        <v>20117.2</v>
      </c>
      <c r="E30" s="61">
        <v>1672.6</v>
      </c>
      <c r="F30" s="69">
        <f t="shared" si="4"/>
        <v>2207.0000000000014</v>
      </c>
      <c r="G30" s="293">
        <f t="shared" si="5"/>
        <v>0.10686823296984259</v>
      </c>
      <c r="H30" s="300">
        <v>20824.189666938699</v>
      </c>
      <c r="I30" s="301"/>
      <c r="J30" s="61">
        <v>1392.4</v>
      </c>
      <c r="K30" s="61">
        <v>255.7</v>
      </c>
      <c r="L30" s="61">
        <v>1478.5</v>
      </c>
      <c r="M30" s="61">
        <v>297.10000000000002</v>
      </c>
      <c r="N30" s="69">
        <f t="shared" si="7"/>
        <v>314.69999999999993</v>
      </c>
      <c r="O30" s="293">
        <f t="shared" si="6"/>
        <v>0.21034690194505712</v>
      </c>
      <c r="P30" s="300">
        <v>1478.0853222916701</v>
      </c>
    </row>
    <row r="31" spans="1:16">
      <c r="A31" s="299" t="s">
        <v>76</v>
      </c>
      <c r="B31" s="61">
        <v>18046.900000000001</v>
      </c>
      <c r="C31" s="61">
        <v>1925.4</v>
      </c>
      <c r="D31" s="61">
        <v>20501</v>
      </c>
      <c r="E31" s="61">
        <v>2476.7999999999997</v>
      </c>
      <c r="F31" s="69">
        <f t="shared" si="4"/>
        <v>2093.0000000000005</v>
      </c>
      <c r="G31" s="293">
        <f t="shared" si="5"/>
        <v>0.10404032370309986</v>
      </c>
      <c r="H31" s="300">
        <v>20434.139394875401</v>
      </c>
      <c r="I31" s="301"/>
      <c r="J31" s="61">
        <v>1357.6</v>
      </c>
      <c r="K31" s="61">
        <v>251.9</v>
      </c>
      <c r="L31" s="61">
        <v>1460.3</v>
      </c>
      <c r="M31" s="61">
        <v>297.39999999999998</v>
      </c>
      <c r="N31" s="69">
        <f t="shared" si="7"/>
        <v>315.60000000000002</v>
      </c>
      <c r="O31" s="293">
        <f t="shared" si="6"/>
        <v>0.21345958741968213</v>
      </c>
      <c r="P31" s="300">
        <v>1457.4433516566301</v>
      </c>
    </row>
    <row r="32" spans="1:16">
      <c r="A32" s="299" t="s">
        <v>77</v>
      </c>
      <c r="B32" s="61">
        <v>17521.400000000001</v>
      </c>
      <c r="C32" s="61">
        <v>1410.2</v>
      </c>
      <c r="D32" s="61">
        <v>20119.8</v>
      </c>
      <c r="E32" s="61">
        <v>1842</v>
      </c>
      <c r="F32" s="69">
        <f t="shared" si="4"/>
        <v>2223.2000000000007</v>
      </c>
      <c r="G32" s="293">
        <f t="shared" si="5"/>
        <v>0.10844349056143607</v>
      </c>
      <c r="H32" s="300">
        <v>20095.3364250169</v>
      </c>
      <c r="I32" s="301"/>
      <c r="J32" s="61">
        <v>1326.1</v>
      </c>
      <c r="K32" s="61">
        <v>249.2</v>
      </c>
      <c r="L32" s="61">
        <v>1443.4</v>
      </c>
      <c r="M32" s="61">
        <v>298.10000000000002</v>
      </c>
      <c r="N32" s="69">
        <f t="shared" si="7"/>
        <v>314.99999999999989</v>
      </c>
      <c r="O32" s="293">
        <f t="shared" si="6"/>
        <v>0.21570910086968423</v>
      </c>
      <c r="P32" s="300">
        <v>1436.2875581672799</v>
      </c>
    </row>
    <row r="33" spans="1:16">
      <c r="A33" s="299" t="s">
        <v>78</v>
      </c>
      <c r="B33" s="61">
        <v>16833.3</v>
      </c>
      <c r="C33" s="61">
        <v>1251.3</v>
      </c>
      <c r="D33" s="61">
        <v>19455.599999999999</v>
      </c>
      <c r="E33" s="61">
        <v>1573.8</v>
      </c>
      <c r="F33" s="69">
        <f t="shared" si="4"/>
        <v>2238.0000000000009</v>
      </c>
      <c r="G33" s="293">
        <f t="shared" si="5"/>
        <v>0.11123371007664097</v>
      </c>
      <c r="H33" s="300">
        <v>19816.2495138962</v>
      </c>
      <c r="I33" s="301"/>
      <c r="J33" s="61">
        <v>1281.4000000000001</v>
      </c>
      <c r="K33" s="61">
        <v>231.2</v>
      </c>
      <c r="L33" s="61">
        <v>1406.4</v>
      </c>
      <c r="M33" s="61">
        <v>277.8</v>
      </c>
      <c r="N33" s="69">
        <f t="shared" si="7"/>
        <v>314.8</v>
      </c>
      <c r="O33" s="293">
        <f t="shared" si="6"/>
        <v>0.21809616184009975</v>
      </c>
      <c r="P33" s="300">
        <v>1415.6182766034899</v>
      </c>
    </row>
    <row r="34" spans="1:16">
      <c r="A34" s="299" t="s">
        <v>79</v>
      </c>
      <c r="B34" s="61">
        <v>16580.600000000002</v>
      </c>
      <c r="C34" s="61">
        <v>1601.8000000000002</v>
      </c>
      <c r="D34" s="61">
        <v>19285.8</v>
      </c>
      <c r="E34" s="61">
        <v>1974.3000000000002</v>
      </c>
      <c r="F34" s="69">
        <f t="shared" si="4"/>
        <v>2144.0999999999995</v>
      </c>
      <c r="G34" s="293">
        <f t="shared" si="5"/>
        <v>0.11020477394683277</v>
      </c>
      <c r="H34" s="300">
        <v>19605.592053795801</v>
      </c>
      <c r="I34" s="301"/>
      <c r="J34" s="61">
        <v>1243.3</v>
      </c>
      <c r="K34" s="61">
        <v>228.1</v>
      </c>
      <c r="L34" s="61">
        <v>1377.9</v>
      </c>
      <c r="M34" s="61">
        <v>279.10000000000002</v>
      </c>
      <c r="N34" s="69">
        <f t="shared" si="7"/>
        <v>307.60000000000002</v>
      </c>
      <c r="O34" s="293">
        <f t="shared" si="6"/>
        <v>0.21871444823663255</v>
      </c>
      <c r="P34" s="300">
        <v>1396.50696616347</v>
      </c>
    </row>
    <row r="35" spans="1:16">
      <c r="A35" s="299" t="s">
        <v>80</v>
      </c>
      <c r="B35" s="61">
        <v>16093.8</v>
      </c>
      <c r="C35" s="61">
        <v>1485</v>
      </c>
      <c r="D35" s="61">
        <v>18955.5</v>
      </c>
      <c r="E35" s="61">
        <v>1930.5</v>
      </c>
      <c r="F35" s="69">
        <f t="shared" si="4"/>
        <v>2260.7999999999993</v>
      </c>
      <c r="G35" s="293">
        <f t="shared" si="5"/>
        <v>0.1172261456615748</v>
      </c>
      <c r="H35" s="300">
        <v>19468.470941859501</v>
      </c>
      <c r="I35" s="301"/>
      <c r="J35" s="61">
        <v>1213.2</v>
      </c>
      <c r="K35" s="61">
        <v>228.7</v>
      </c>
      <c r="L35" s="61">
        <v>1352.7</v>
      </c>
      <c r="M35" s="61">
        <v>278.5</v>
      </c>
      <c r="N35" s="69">
        <f t="shared" si="7"/>
        <v>303.70000000000005</v>
      </c>
      <c r="O35" s="293">
        <f t="shared" si="6"/>
        <v>0.22040786704405257</v>
      </c>
      <c r="P35" s="300">
        <v>1379.9329032794101</v>
      </c>
    </row>
    <row r="36" spans="1:16">
      <c r="A36" s="299" t="s">
        <v>81</v>
      </c>
      <c r="B36" s="61">
        <v>15772.099999999999</v>
      </c>
      <c r="C36" s="61">
        <v>1514.1999999999998</v>
      </c>
      <c r="D36" s="61">
        <v>18809.300000000003</v>
      </c>
      <c r="E36" s="61">
        <v>1986.2000000000003</v>
      </c>
      <c r="F36" s="69">
        <f t="shared" si="4"/>
        <v>2132.3999999999974</v>
      </c>
      <c r="G36" s="293">
        <f t="shared" si="5"/>
        <v>0.11249505420590317</v>
      </c>
      <c r="H36" s="300">
        <v>19406.795154693002</v>
      </c>
      <c r="I36" s="301"/>
      <c r="J36" s="61">
        <v>1198</v>
      </c>
      <c r="K36" s="61">
        <v>237.9</v>
      </c>
      <c r="L36" s="61">
        <v>1340.1</v>
      </c>
      <c r="M36" s="61">
        <v>287.10000000000002</v>
      </c>
      <c r="N36" s="69">
        <f t="shared" si="7"/>
        <v>299.70000000000016</v>
      </c>
      <c r="O36" s="293">
        <f t="shared" si="6"/>
        <v>0.22155688622754502</v>
      </c>
      <c r="P36" s="300">
        <v>1366.68929472184</v>
      </c>
    </row>
    <row r="37" spans="1:16">
      <c r="A37" s="299" t="s">
        <v>82</v>
      </c>
      <c r="B37" s="61">
        <v>15953.5</v>
      </c>
      <c r="C37" s="61">
        <v>1965</v>
      </c>
      <c r="D37" s="61">
        <v>19168.599999999999</v>
      </c>
      <c r="E37" s="61">
        <v>2499</v>
      </c>
      <c r="F37" s="69">
        <f t="shared" si="4"/>
        <v>2139.7000000000044</v>
      </c>
      <c r="G37" s="293">
        <f t="shared" si="5"/>
        <v>0.11375755610256649</v>
      </c>
      <c r="H37" s="300">
        <v>19417.343959483602</v>
      </c>
      <c r="I37" s="301"/>
      <c r="J37" s="61">
        <v>1187.3</v>
      </c>
      <c r="K37" s="61">
        <v>240.9</v>
      </c>
      <c r="L37" s="61">
        <v>1329.7</v>
      </c>
      <c r="M37" s="61">
        <v>288.8</v>
      </c>
      <c r="N37" s="69">
        <f t="shared" si="7"/>
        <v>299.19999999999987</v>
      </c>
      <c r="O37" s="293">
        <f t="shared" si="6"/>
        <v>0.22326692037907611</v>
      </c>
      <c r="P37" s="300">
        <v>1357.2970182285101</v>
      </c>
    </row>
    <row r="38" spans="1:16">
      <c r="A38" s="299" t="s">
        <v>83</v>
      </c>
      <c r="B38" s="61">
        <v>16196.6</v>
      </c>
      <c r="C38" s="61">
        <v>2085</v>
      </c>
      <c r="D38" s="61">
        <v>19493.300000000003</v>
      </c>
      <c r="E38" s="61">
        <v>2573.6000000000004</v>
      </c>
      <c r="F38" s="69">
        <f t="shared" si="4"/>
        <v>2248.899999999996</v>
      </c>
      <c r="G38" s="293">
        <f t="shared" si="5"/>
        <v>0.11732207881639745</v>
      </c>
      <c r="H38" s="300">
        <v>19490.921671871401</v>
      </c>
      <c r="I38" s="301"/>
      <c r="J38" s="61">
        <v>1162.5999999999999</v>
      </c>
      <c r="K38" s="61">
        <v>227</v>
      </c>
      <c r="L38" s="61">
        <v>1306.0999999999999</v>
      </c>
      <c r="M38" s="61">
        <v>275.7</v>
      </c>
      <c r="N38" s="69">
        <f t="shared" si="7"/>
        <v>299.30000000000013</v>
      </c>
      <c r="O38" s="293">
        <f t="shared" si="6"/>
        <v>0.22508836579679636</v>
      </c>
      <c r="P38" s="300">
        <v>1352.0110585899499</v>
      </c>
    </row>
    <row r="39" spans="1:16">
      <c r="A39" s="299" t="s">
        <v>84</v>
      </c>
      <c r="B39" s="61">
        <v>16354.600000000002</v>
      </c>
      <c r="C39" s="61">
        <v>2041.9999999999998</v>
      </c>
      <c r="D39" s="61">
        <v>19687</v>
      </c>
      <c r="E39" s="61">
        <v>2534.3000000000002</v>
      </c>
      <c r="F39" s="69">
        <f t="shared" si="4"/>
        <v>2340.6000000000031</v>
      </c>
      <c r="G39" s="293">
        <f t="shared" si="5"/>
        <v>0.12007202474696448</v>
      </c>
      <c r="H39" s="300">
        <v>19615.8451679018</v>
      </c>
      <c r="I39" s="301"/>
      <c r="J39" s="61">
        <v>1158.8</v>
      </c>
      <c r="K39" s="61">
        <v>244.2</v>
      </c>
      <c r="L39" s="61">
        <v>1321</v>
      </c>
      <c r="M39" s="61">
        <v>311</v>
      </c>
      <c r="N39" s="69">
        <f t="shared" si="7"/>
        <v>296.09999999999991</v>
      </c>
      <c r="O39" s="293">
        <f t="shared" si="6"/>
        <v>0.22670545900007652</v>
      </c>
      <c r="P39" s="300">
        <v>1350.8104304143999</v>
      </c>
    </row>
    <row r="40" spans="1:16">
      <c r="A40" s="299" t="s">
        <v>85</v>
      </c>
      <c r="B40" s="61">
        <v>16365.900000000001</v>
      </c>
      <c r="C40" s="61">
        <v>1943.4999999999998</v>
      </c>
      <c r="D40" s="61">
        <v>19724.5</v>
      </c>
      <c r="E40" s="61">
        <v>2452.6</v>
      </c>
      <c r="F40" s="69">
        <f t="shared" si="4"/>
        <v>2415.1</v>
      </c>
      <c r="G40" s="293">
        <f t="shared" si="5"/>
        <v>0.12267486158378625</v>
      </c>
      <c r="H40" s="300">
        <v>19780.455106901602</v>
      </c>
      <c r="I40" s="301"/>
      <c r="J40" s="61">
        <v>1171</v>
      </c>
      <c r="K40" s="61">
        <v>260.7</v>
      </c>
      <c r="L40" s="61">
        <v>1344.5</v>
      </c>
      <c r="M40" s="61">
        <v>326.5</v>
      </c>
      <c r="N40" s="69">
        <f t="shared" si="7"/>
        <v>303</v>
      </c>
      <c r="O40" s="293">
        <f t="shared" si="6"/>
        <v>0.22937168811506434</v>
      </c>
      <c r="P40" s="300">
        <v>1353.2150377242201</v>
      </c>
    </row>
    <row r="41" spans="1:16">
      <c r="A41" s="299" t="s">
        <v>86</v>
      </c>
      <c r="B41" s="61">
        <v>16810</v>
      </c>
      <c r="C41" s="61">
        <v>2386.6</v>
      </c>
      <c r="D41" s="61">
        <v>20270</v>
      </c>
      <c r="E41" s="61">
        <v>2993.6</v>
      </c>
      <c r="F41" s="69">
        <f t="shared" si="4"/>
        <v>2448.1</v>
      </c>
      <c r="G41" s="293">
        <f t="shared" si="5"/>
        <v>0.12411467971304722</v>
      </c>
      <c r="H41" s="300">
        <v>19973.803696518498</v>
      </c>
      <c r="I41" s="301"/>
      <c r="J41" s="61">
        <v>1179.7</v>
      </c>
      <c r="K41" s="61">
        <v>259.89999999999998</v>
      </c>
      <c r="L41" s="61">
        <v>1359.8</v>
      </c>
      <c r="M41" s="61">
        <v>324.60000000000002</v>
      </c>
      <c r="N41" s="69">
        <f t="shared" si="7"/>
        <v>309.30000000000007</v>
      </c>
      <c r="O41" s="293">
        <f t="shared" si="6"/>
        <v>0.23004834510970626</v>
      </c>
      <c r="P41" s="300">
        <v>1358.4466802376101</v>
      </c>
    </row>
    <row r="42" spans="1:16">
      <c r="A42" s="299" t="s">
        <v>87</v>
      </c>
      <c r="B42" s="61">
        <v>17023.400000000001</v>
      </c>
      <c r="C42" s="61">
        <v>2259.6</v>
      </c>
      <c r="D42" s="61">
        <v>20481.7</v>
      </c>
      <c r="E42" s="61">
        <v>2794.8</v>
      </c>
      <c r="F42" s="69">
        <f t="shared" si="4"/>
        <v>2583.0999999999995</v>
      </c>
      <c r="G42" s="293">
        <f t="shared" si="5"/>
        <v>0.12743463246176612</v>
      </c>
      <c r="H42" s="300">
        <v>20184.383593331</v>
      </c>
      <c r="I42" s="301"/>
      <c r="J42" s="61">
        <v>1184.3</v>
      </c>
      <c r="K42" s="61">
        <v>257.39999999999998</v>
      </c>
      <c r="L42" s="61">
        <v>1378.7</v>
      </c>
      <c r="M42" s="61">
        <v>331.7</v>
      </c>
      <c r="N42" s="69">
        <f t="shared" si="7"/>
        <v>312.7999999999999</v>
      </c>
      <c r="O42" s="293">
        <f t="shared" si="6"/>
        <v>0.23003382850419171</v>
      </c>
      <c r="P42" s="300">
        <v>1365.64000729551</v>
      </c>
    </row>
    <row r="43" spans="1:16">
      <c r="A43" s="299" t="s">
        <v>88</v>
      </c>
      <c r="D43" s="61">
        <v>20649.5</v>
      </c>
      <c r="E43" s="61">
        <v>2831.7999999999997</v>
      </c>
      <c r="F43" s="69">
        <f>-(D43-D42-E43)</f>
        <v>2664.0000000000005</v>
      </c>
      <c r="G43" s="293">
        <f>F43/D42</f>
        <v>0.13006732839559218</v>
      </c>
      <c r="H43" s="300">
        <v>20403.6494169527</v>
      </c>
      <c r="I43" s="301"/>
      <c r="J43" s="37"/>
      <c r="K43" s="37"/>
      <c r="L43" s="61">
        <v>1407.2</v>
      </c>
      <c r="M43" s="61">
        <v>344.3</v>
      </c>
      <c r="N43" s="69">
        <f t="shared" si="7"/>
        <v>315.8</v>
      </c>
      <c r="O43" s="293">
        <f t="shared" si="6"/>
        <v>0.22905635743816638</v>
      </c>
      <c r="P43" s="300">
        <v>1373.94320143653</v>
      </c>
    </row>
    <row r="44" spans="1:16">
      <c r="A44" s="299" t="s">
        <v>89</v>
      </c>
      <c r="D44" s="61">
        <v>20937.400000000001</v>
      </c>
      <c r="E44" s="61">
        <v>3030.5</v>
      </c>
      <c r="F44" s="69">
        <f>-(D44-D43-E44)</f>
        <v>2742.5999999999985</v>
      </c>
      <c r="G44" s="293">
        <f>F44/D43</f>
        <v>0.13281677522458163</v>
      </c>
      <c r="H44" s="300">
        <v>20626.028951063799</v>
      </c>
      <c r="I44" s="301"/>
      <c r="L44" s="61">
        <v>1421.5</v>
      </c>
      <c r="M44" s="61">
        <v>335.8</v>
      </c>
      <c r="N44" s="69">
        <f t="shared" ref="N44" si="8">-(L44-L43-M44)</f>
        <v>321.50000000000006</v>
      </c>
      <c r="O44" s="293">
        <f t="shared" ref="O44" si="9">N44/L43</f>
        <v>0.22846787947697558</v>
      </c>
      <c r="P44" s="300">
        <v>1382.6350451262799</v>
      </c>
    </row>
    <row r="46" spans="1:16" ht="13.2" customHeight="1"/>
  </sheetData>
  <mergeCells count="8">
    <mergeCell ref="B2:C2"/>
    <mergeCell ref="D2:H2"/>
    <mergeCell ref="B1:C1"/>
    <mergeCell ref="J2:K2"/>
    <mergeCell ref="L2:P2"/>
    <mergeCell ref="J1:K1"/>
    <mergeCell ref="D1:H1"/>
    <mergeCell ref="L1:P1"/>
  </mergeCells>
  <phoneticPr fontId="1"/>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A6A7B-0C90-4C51-B027-3A81F688E83E}">
  <dimension ref="A1:Y662"/>
  <sheetViews>
    <sheetView view="pageBreakPreview" zoomScale="85" zoomScaleNormal="85" zoomScaleSheetLayoutView="85" workbookViewId="0">
      <pane xSplit="1" ySplit="1" topLeftCell="B35" activePane="bottomRight" state="frozen"/>
      <selection activeCell="K32" sqref="K32"/>
      <selection pane="topRight" activeCell="K32" sqref="K32"/>
      <selection pane="bottomLeft" activeCell="K32" sqref="K32"/>
      <selection pane="bottomRight" activeCell="K32" sqref="K32"/>
    </sheetView>
  </sheetViews>
  <sheetFormatPr defaultColWidth="8.69140625" defaultRowHeight="12.65" customHeight="1" outlineLevelRow="1" outlineLevelCol="1"/>
  <cols>
    <col min="1" max="1" width="10.69140625" style="2" customWidth="1"/>
    <col min="2" max="2" width="18.765625" style="8" bestFit="1" customWidth="1"/>
    <col min="3" max="3" width="18.765625" style="2" bestFit="1" customWidth="1"/>
    <col min="4" max="4" width="8.69140625" style="3"/>
    <col min="5" max="5" width="20.69140625" style="8" customWidth="1"/>
    <col min="6" max="6" width="18.3046875" style="8" bestFit="1" customWidth="1"/>
    <col min="7" max="7" width="18.3046875" style="8" customWidth="1"/>
    <col min="8" max="8" width="19.69140625" style="7" bestFit="1" customWidth="1"/>
    <col min="9" max="9" width="11.84375" style="11" bestFit="1" customWidth="1"/>
    <col min="10" max="10" width="11.84375" style="11" customWidth="1"/>
    <col min="11" max="11" width="16.4609375" style="7" bestFit="1" customWidth="1"/>
    <col min="12" max="12" width="4.84375" style="7" customWidth="1" outlineLevel="1"/>
    <col min="13" max="13" width="6.765625" style="7" customWidth="1" outlineLevel="1"/>
    <col min="14" max="15" width="20.765625" style="7" customWidth="1"/>
    <col min="16" max="16" width="12.4609375" style="2" customWidth="1"/>
    <col min="17" max="17" width="17.07421875" style="3" bestFit="1" customWidth="1"/>
    <col min="18" max="18" width="14.07421875" style="8" bestFit="1" customWidth="1"/>
    <col min="19" max="21" width="16.4609375" style="2" bestFit="1" customWidth="1"/>
    <col min="22" max="22" width="8.69140625" style="2"/>
    <col min="23" max="23" width="9.69140625" style="2" bestFit="1" customWidth="1"/>
    <col min="24" max="25" width="16.4609375" style="2" bestFit="1" customWidth="1"/>
    <col min="26" max="16384" width="8.69140625" style="2"/>
  </cols>
  <sheetData>
    <row r="1" spans="1:25" ht="42" customHeight="1">
      <c r="A1" s="1" t="s">
        <v>229</v>
      </c>
      <c r="B1" s="4" t="s">
        <v>230</v>
      </c>
      <c r="C1" s="9" t="s">
        <v>231</v>
      </c>
      <c r="D1" s="3" t="s">
        <v>232</v>
      </c>
      <c r="E1" s="4" t="s">
        <v>233</v>
      </c>
      <c r="F1" s="4" t="s">
        <v>234</v>
      </c>
      <c r="G1" s="4" t="s">
        <v>235</v>
      </c>
      <c r="H1" s="5" t="s">
        <v>236</v>
      </c>
      <c r="I1" s="6" t="s">
        <v>237</v>
      </c>
      <c r="J1" s="6" t="s">
        <v>238</v>
      </c>
      <c r="K1" s="7" t="s">
        <v>239</v>
      </c>
      <c r="N1" s="5" t="s">
        <v>240</v>
      </c>
      <c r="O1" s="5" t="s">
        <v>241</v>
      </c>
      <c r="P1" s="2" t="s">
        <v>242</v>
      </c>
      <c r="Q1" s="3" t="s">
        <v>243</v>
      </c>
      <c r="R1" s="4" t="s">
        <v>244</v>
      </c>
      <c r="S1" s="9" t="s">
        <v>245</v>
      </c>
      <c r="T1" s="267" t="s">
        <v>246</v>
      </c>
      <c r="U1" s="9" t="s">
        <v>247</v>
      </c>
      <c r="W1" s="2" t="s">
        <v>248</v>
      </c>
      <c r="X1" s="9" t="s">
        <v>249</v>
      </c>
      <c r="Y1" s="9" t="s">
        <v>247</v>
      </c>
    </row>
    <row r="2" spans="1:25" ht="12.65" customHeight="1" outlineLevel="1">
      <c r="A2" s="10">
        <v>24929</v>
      </c>
      <c r="B2" s="255">
        <v>1481.77</v>
      </c>
      <c r="D2" s="257">
        <f>B2/C13</f>
        <v>1.9820143735735346E-2</v>
      </c>
      <c r="E2" s="2"/>
      <c r="F2" s="258">
        <f>D2*E13</f>
        <v>7283.3280387144032</v>
      </c>
      <c r="H2" s="261">
        <f t="shared" ref="H2:H65" si="0">F2/G$574*100</f>
        <v>16.241638648390985</v>
      </c>
      <c r="O2" s="264">
        <v>117.1</v>
      </c>
      <c r="W2" s="2" t="s">
        <v>250</v>
      </c>
      <c r="X2" s="257">
        <v>0.83613843688235834</v>
      </c>
      <c r="Y2" s="257">
        <f t="shared" ref="Y2:Y17" si="1">Y3</f>
        <v>0.83442799999999995</v>
      </c>
    </row>
    <row r="3" spans="1:25" ht="12.65" customHeight="1" outlineLevel="1">
      <c r="A3" s="10">
        <v>24959</v>
      </c>
      <c r="B3" s="255">
        <v>3500.65</v>
      </c>
      <c r="D3" s="257">
        <f>B3/C13</f>
        <v>4.6824666559926259E-2</v>
      </c>
      <c r="E3" s="2"/>
      <c r="F3" s="258">
        <f>D3*E13</f>
        <v>17206.707045442661</v>
      </c>
      <c r="H3" s="261">
        <f t="shared" si="0"/>
        <v>38.37052466610195</v>
      </c>
      <c r="O3" s="264">
        <v>116.4</v>
      </c>
      <c r="W3" s="2" t="s">
        <v>251</v>
      </c>
      <c r="X3" s="257">
        <v>0.79391803901151281</v>
      </c>
      <c r="Y3" s="257">
        <f t="shared" si="1"/>
        <v>0.83442799999999995</v>
      </c>
    </row>
    <row r="4" spans="1:25" ht="12.65" customHeight="1" outlineLevel="1">
      <c r="A4" s="10">
        <v>24990</v>
      </c>
      <c r="B4" s="255">
        <v>4897.83</v>
      </c>
      <c r="D4" s="257">
        <f>B4/C13</f>
        <v>6.5513335128391484E-2</v>
      </c>
      <c r="E4" s="2"/>
      <c r="F4" s="258">
        <f>D4*E13</f>
        <v>24074.250772965148</v>
      </c>
      <c r="H4" s="261">
        <f t="shared" si="0"/>
        <v>53.684974740512239</v>
      </c>
      <c r="O4" s="264">
        <v>120.3</v>
      </c>
      <c r="W4" s="2" t="s">
        <v>252</v>
      </c>
      <c r="X4" s="257">
        <v>0.80099129873378894</v>
      </c>
      <c r="Y4" s="257">
        <f t="shared" si="1"/>
        <v>0.83442799999999995</v>
      </c>
    </row>
    <row r="5" spans="1:25" ht="12.65" customHeight="1" outlineLevel="1">
      <c r="A5" s="10">
        <v>25020</v>
      </c>
      <c r="B5" s="255">
        <v>5732.72</v>
      </c>
      <c r="D5" s="257">
        <f>B5/C13</f>
        <v>7.6680817128653392E-2</v>
      </c>
      <c r="E5" s="2"/>
      <c r="F5" s="258">
        <f>D5*E13</f>
        <v>28177.976551083389</v>
      </c>
      <c r="H5" s="261">
        <f t="shared" si="0"/>
        <v>62.836180184781689</v>
      </c>
      <c r="O5" s="264">
        <v>113.3</v>
      </c>
      <c r="W5" s="2" t="s">
        <v>253</v>
      </c>
      <c r="X5" s="257">
        <v>0.81452299999330069</v>
      </c>
      <c r="Y5" s="257">
        <f t="shared" si="1"/>
        <v>0.83442799999999995</v>
      </c>
    </row>
    <row r="6" spans="1:25" ht="12.65" customHeight="1" outlineLevel="1">
      <c r="A6" s="10">
        <v>25051</v>
      </c>
      <c r="B6" s="255">
        <v>6437.4</v>
      </c>
      <c r="D6" s="257">
        <f>B6/C13</f>
        <v>8.6106611204453259E-2</v>
      </c>
      <c r="E6" s="2"/>
      <c r="F6" s="258">
        <f>D6*E13</f>
        <v>31641.682525911645</v>
      </c>
      <c r="H6" s="261">
        <f t="shared" si="0"/>
        <v>70.560157538047136</v>
      </c>
      <c r="O6" s="264">
        <v>109.7</v>
      </c>
      <c r="W6" s="2" t="s">
        <v>254</v>
      </c>
      <c r="X6" s="257">
        <v>0.8258173782669922</v>
      </c>
      <c r="Y6" s="257">
        <f t="shared" si="1"/>
        <v>0.83442799999999995</v>
      </c>
    </row>
    <row r="7" spans="1:25" ht="12.65" customHeight="1" outlineLevel="1">
      <c r="A7" s="10">
        <v>25082</v>
      </c>
      <c r="B7" s="255">
        <v>7193.56</v>
      </c>
      <c r="D7" s="257">
        <f>B7/C13</f>
        <v>9.6221001350841467E-2</v>
      </c>
      <c r="E7" s="2"/>
      <c r="F7" s="258">
        <f>D7*E13</f>
        <v>35358.427587395068</v>
      </c>
      <c r="H7" s="261">
        <f t="shared" si="0"/>
        <v>78.848405700965372</v>
      </c>
      <c r="O7" s="264">
        <v>108.1</v>
      </c>
      <c r="W7" s="2" t="s">
        <v>255</v>
      </c>
      <c r="X7" s="257">
        <v>0.82400609796801227</v>
      </c>
      <c r="Y7" s="257">
        <f t="shared" si="1"/>
        <v>0.83442799999999995</v>
      </c>
    </row>
    <row r="8" spans="1:25" ht="12.65" customHeight="1" outlineLevel="1">
      <c r="A8" s="10">
        <v>25112</v>
      </c>
      <c r="B8" s="255">
        <v>7590.51</v>
      </c>
      <c r="D8" s="257">
        <f>B8/C13</f>
        <v>0.10153060139396566</v>
      </c>
      <c r="E8" s="2"/>
      <c r="F8" s="258">
        <f>D8*E13</f>
        <v>37309.551624841959</v>
      </c>
      <c r="H8" s="261">
        <f t="shared" si="0"/>
        <v>83.199363313468538</v>
      </c>
      <c r="O8" s="264">
        <v>106.9</v>
      </c>
      <c r="W8" s="2" t="s">
        <v>256</v>
      </c>
      <c r="X8" s="257">
        <v>0.81379029012681536</v>
      </c>
      <c r="Y8" s="257">
        <f t="shared" si="1"/>
        <v>0.83442799999999995</v>
      </c>
    </row>
    <row r="9" spans="1:25" ht="12.65" customHeight="1" outlineLevel="1">
      <c r="A9" s="10">
        <v>25143</v>
      </c>
      <c r="B9" s="255">
        <v>7753.84</v>
      </c>
      <c r="D9" s="257">
        <f>B9/C13</f>
        <v>0.10371530217502996</v>
      </c>
      <c r="E9" s="2"/>
      <c r="F9" s="258">
        <f>D9*E13</f>
        <v>38112.365805560432</v>
      </c>
      <c r="H9" s="261">
        <f t="shared" si="0"/>
        <v>84.989618778514838</v>
      </c>
      <c r="O9" s="264">
        <v>106.9</v>
      </c>
      <c r="W9" s="2" t="s">
        <v>257</v>
      </c>
      <c r="X9" s="257">
        <v>0.81257359973578269</v>
      </c>
      <c r="Y9" s="257">
        <f t="shared" si="1"/>
        <v>0.83442799999999995</v>
      </c>
    </row>
    <row r="10" spans="1:25" ht="12.65" customHeight="1" outlineLevel="1">
      <c r="A10" s="10">
        <v>25173</v>
      </c>
      <c r="B10" s="255">
        <v>7871.81</v>
      </c>
      <c r="D10" s="257">
        <f>B10/C13</f>
        <v>0.10529326795683464</v>
      </c>
      <c r="E10" s="2"/>
      <c r="F10" s="258">
        <f>D10*E13</f>
        <v>38692.222469365981</v>
      </c>
      <c r="H10" s="261">
        <f t="shared" si="0"/>
        <v>86.282684579111901</v>
      </c>
      <c r="O10" s="264">
        <v>106</v>
      </c>
      <c r="W10" s="2" t="s">
        <v>258</v>
      </c>
      <c r="X10" s="257">
        <v>0.80358123687115779</v>
      </c>
      <c r="Y10" s="257">
        <f t="shared" si="1"/>
        <v>0.83442799999999995</v>
      </c>
    </row>
    <row r="11" spans="1:25" ht="12.65" customHeight="1" outlineLevel="1">
      <c r="A11" s="10">
        <v>25204</v>
      </c>
      <c r="B11" s="255">
        <v>7180.09</v>
      </c>
      <c r="D11" s="257">
        <f>B11/C13</f>
        <v>9.6040826737966073E-2</v>
      </c>
      <c r="E11" s="2"/>
      <c r="F11" s="258">
        <f>D11*E13</f>
        <v>35292.218642227133</v>
      </c>
      <c r="H11" s="261">
        <f t="shared" si="0"/>
        <v>78.700761415689087</v>
      </c>
      <c r="O11" s="264">
        <v>111.5</v>
      </c>
      <c r="W11" s="2" t="s">
        <v>259</v>
      </c>
      <c r="X11" s="257">
        <v>0.79928879236129979</v>
      </c>
      <c r="Y11" s="257">
        <f t="shared" si="1"/>
        <v>0.83442799999999995</v>
      </c>
    </row>
    <row r="12" spans="1:25" ht="12.65" customHeight="1" outlineLevel="1">
      <c r="A12" s="10">
        <v>25235</v>
      </c>
      <c r="B12" s="255">
        <v>7270.29</v>
      </c>
      <c r="D12" s="257">
        <f>B12/C13</f>
        <v>9.7247341220620828E-2</v>
      </c>
      <c r="E12" s="2"/>
      <c r="F12" s="258">
        <f>D12*E13</f>
        <v>35735.577725682757</v>
      </c>
      <c r="H12" s="261">
        <f t="shared" si="0"/>
        <v>79.689441039439643</v>
      </c>
      <c r="O12" s="264">
        <v>110.5</v>
      </c>
      <c r="W12" s="2" t="s">
        <v>260</v>
      </c>
      <c r="X12" s="257">
        <v>0.80473543060740316</v>
      </c>
      <c r="Y12" s="257">
        <f t="shared" si="1"/>
        <v>0.83442799999999995</v>
      </c>
    </row>
    <row r="13" spans="1:25" ht="12.65" customHeight="1" outlineLevel="1">
      <c r="A13" s="10">
        <v>25263</v>
      </c>
      <c r="B13" s="255">
        <v>7850.34</v>
      </c>
      <c r="C13" s="259">
        <f>SUM(B2:B13)</f>
        <v>74760.809999999983</v>
      </c>
      <c r="D13" s="257">
        <f>B13/C13</f>
        <v>0.10500608540758188</v>
      </c>
      <c r="E13" s="260">
        <v>367471</v>
      </c>
      <c r="F13" s="258">
        <f>D13*E13</f>
        <v>38586.69121080952</v>
      </c>
      <c r="H13" s="261">
        <f t="shared" si="0"/>
        <v>86.047352522327799</v>
      </c>
      <c r="O13" s="264">
        <v>111.6</v>
      </c>
      <c r="W13" s="2" t="s">
        <v>261</v>
      </c>
      <c r="X13" s="257">
        <v>0.80424139375740877</v>
      </c>
      <c r="Y13" s="257">
        <f t="shared" si="1"/>
        <v>0.83442799999999995</v>
      </c>
    </row>
    <row r="14" spans="1:25" ht="12.65" customHeight="1" outlineLevel="1">
      <c r="A14" s="10">
        <v>25294</v>
      </c>
      <c r="B14" s="255">
        <v>6588.6</v>
      </c>
      <c r="D14" s="257">
        <f>B14/C25</f>
        <v>5.6740742705542885E-2</v>
      </c>
      <c r="E14" s="2"/>
      <c r="F14" s="258">
        <f>D14*E25</f>
        <v>24026.754017176725</v>
      </c>
      <c r="H14" s="261">
        <f t="shared" si="0"/>
        <v>53.579058167705696</v>
      </c>
      <c r="I14" s="262">
        <f>MAX(H2:H26)</f>
        <v>93.74147648363595</v>
      </c>
      <c r="J14" s="258">
        <f>IF(H14=I14,1,0)</f>
        <v>0</v>
      </c>
      <c r="O14" s="264">
        <v>112.9</v>
      </c>
      <c r="W14" s="2" t="s">
        <v>262</v>
      </c>
      <c r="X14" s="257">
        <v>0.80701068887289307</v>
      </c>
      <c r="Y14" s="257">
        <f t="shared" si="1"/>
        <v>0.83442799999999995</v>
      </c>
    </row>
    <row r="15" spans="1:25" ht="12.65" customHeight="1" outlineLevel="1">
      <c r="A15" s="10">
        <v>25324</v>
      </c>
      <c r="B15" s="255">
        <v>7410.15</v>
      </c>
      <c r="D15" s="257">
        <f>B15/C25</f>
        <v>6.3815896329945443E-2</v>
      </c>
      <c r="E15" s="2"/>
      <c r="F15" s="258">
        <f>D15*E25</f>
        <v>27022.713669122739</v>
      </c>
      <c r="H15" s="261">
        <f t="shared" si="0"/>
        <v>60.259972965641296</v>
      </c>
      <c r="I15" s="262">
        <f t="shared" ref="I15:I74" si="2">MAX(H3:H27)</f>
        <v>93.74147648363595</v>
      </c>
      <c r="J15" s="258">
        <f t="shared" ref="J15:J78" si="3">IF(H15=I15,1,0)</f>
        <v>0</v>
      </c>
      <c r="O15" s="264">
        <v>110.5</v>
      </c>
      <c r="W15" s="2" t="s">
        <v>263</v>
      </c>
      <c r="X15" s="257">
        <v>0.81697052302616313</v>
      </c>
      <c r="Y15" s="257">
        <f t="shared" si="1"/>
        <v>0.83442799999999995</v>
      </c>
    </row>
    <row r="16" spans="1:25" ht="12.65" customHeight="1" outlineLevel="1">
      <c r="A16" s="10">
        <v>25355</v>
      </c>
      <c r="B16" s="255">
        <v>8259.67</v>
      </c>
      <c r="D16" s="257">
        <f>B16/C25</f>
        <v>7.1131926403589743E-2</v>
      </c>
      <c r="E16" s="2"/>
      <c r="F16" s="258">
        <f>D16*E25</f>
        <v>30120.67197174727</v>
      </c>
      <c r="H16" s="261">
        <f t="shared" si="0"/>
        <v>67.168342193493856</v>
      </c>
      <c r="I16" s="262">
        <f t="shared" si="2"/>
        <v>93.74147648363595</v>
      </c>
      <c r="J16" s="258">
        <f t="shared" si="3"/>
        <v>0</v>
      </c>
      <c r="O16" s="264">
        <v>111.1</v>
      </c>
      <c r="W16" s="2" t="s">
        <v>264</v>
      </c>
      <c r="X16" s="257">
        <v>0.8356090484023887</v>
      </c>
      <c r="Y16" s="257">
        <f t="shared" si="1"/>
        <v>0.83442799999999995</v>
      </c>
    </row>
    <row r="17" spans="1:25" ht="12.65" customHeight="1" outlineLevel="1">
      <c r="A17" s="10">
        <v>25385</v>
      </c>
      <c r="B17" s="255">
        <v>9118.6</v>
      </c>
      <c r="D17" s="257">
        <f>B17/C25</f>
        <v>7.8528994996624982E-2</v>
      </c>
      <c r="E17" s="2"/>
      <c r="F17" s="258">
        <f>D17*E25</f>
        <v>33252.945873330857</v>
      </c>
      <c r="H17" s="261">
        <f t="shared" si="0"/>
        <v>74.1532343453907</v>
      </c>
      <c r="I17" s="262">
        <f t="shared" si="2"/>
        <v>93.74147648363595</v>
      </c>
      <c r="J17" s="258">
        <f t="shared" si="3"/>
        <v>0</v>
      </c>
      <c r="O17" s="264">
        <v>109.1</v>
      </c>
      <c r="W17" s="2" t="s">
        <v>265</v>
      </c>
      <c r="X17" s="257">
        <v>0.83276473975437193</v>
      </c>
      <c r="Y17" s="257">
        <f t="shared" si="1"/>
        <v>0.83442799999999995</v>
      </c>
    </row>
    <row r="18" spans="1:25" ht="12.65" customHeight="1" outlineLevel="1">
      <c r="A18" s="10">
        <v>25416</v>
      </c>
      <c r="B18" s="255">
        <v>9999.26</v>
      </c>
      <c r="D18" s="257">
        <f>B18/C25</f>
        <v>8.6113201424555558E-2</v>
      </c>
      <c r="E18" s="2"/>
      <c r="F18" s="258">
        <f>D18*E25</f>
        <v>36464.462916825199</v>
      </c>
      <c r="H18" s="261">
        <f t="shared" si="0"/>
        <v>81.314836714023116</v>
      </c>
      <c r="I18" s="262">
        <f t="shared" si="2"/>
        <v>93.74147648363595</v>
      </c>
      <c r="J18" s="258">
        <f t="shared" si="3"/>
        <v>0</v>
      </c>
      <c r="O18" s="264">
        <v>108.9</v>
      </c>
      <c r="W18" s="2" t="s">
        <v>266</v>
      </c>
      <c r="X18" s="257">
        <v>0.83684463507112172</v>
      </c>
      <c r="Y18" s="257">
        <f>Y19</f>
        <v>0.83442799999999995</v>
      </c>
    </row>
    <row r="19" spans="1:25" ht="12.65" customHeight="1" outlineLevel="1">
      <c r="A19" s="10">
        <v>25447</v>
      </c>
      <c r="B19" s="255">
        <v>10538.24</v>
      </c>
      <c r="D19" s="257">
        <f>B19/C25</f>
        <v>9.0754874238724498E-2</v>
      </c>
      <c r="E19" s="2"/>
      <c r="F19" s="258">
        <f>D19*E25</f>
        <v>38429.969986639408</v>
      </c>
      <c r="H19" s="261">
        <f t="shared" si="0"/>
        <v>85.697868127560142</v>
      </c>
      <c r="I19" s="262">
        <f t="shared" si="2"/>
        <v>95.712653025377591</v>
      </c>
      <c r="J19" s="258">
        <f t="shared" si="3"/>
        <v>0</v>
      </c>
      <c r="O19" s="264">
        <v>108.9</v>
      </c>
      <c r="W19" s="2" t="s">
        <v>267</v>
      </c>
      <c r="X19" s="257">
        <v>0.83996084827412398</v>
      </c>
      <c r="Y19" s="257">
        <v>0.83442799999999995</v>
      </c>
    </row>
    <row r="20" spans="1:25" ht="12.65" customHeight="1" outlineLevel="1">
      <c r="A20" s="10">
        <v>25477</v>
      </c>
      <c r="B20" s="255">
        <v>10746.43</v>
      </c>
      <c r="D20" s="257">
        <f>B20/C25</f>
        <v>9.2547797655515157E-2</v>
      </c>
      <c r="E20" s="2"/>
      <c r="F20" s="258">
        <f>D20*E25</f>
        <v>39189.179821632584</v>
      </c>
      <c r="H20" s="261">
        <f t="shared" si="0"/>
        <v>87.390886996505699</v>
      </c>
      <c r="I20" s="262">
        <f t="shared" si="2"/>
        <v>96.96510466853411</v>
      </c>
      <c r="J20" s="258">
        <f t="shared" si="3"/>
        <v>0</v>
      </c>
      <c r="O20" s="264">
        <v>108.2</v>
      </c>
      <c r="W20" s="2" t="s">
        <v>268</v>
      </c>
      <c r="X20" s="257">
        <v>0.82958321995930684</v>
      </c>
      <c r="Y20" s="257">
        <v>0.83442799999999995</v>
      </c>
    </row>
    <row r="21" spans="1:25" ht="12.65" customHeight="1" outlineLevel="1">
      <c r="A21" s="10">
        <v>25508</v>
      </c>
      <c r="B21" s="255">
        <v>10744.16</v>
      </c>
      <c r="D21" s="257">
        <f>B21/C25</f>
        <v>9.2528248512155173E-2</v>
      </c>
      <c r="E21" s="2"/>
      <c r="F21" s="258">
        <f>D21*E25</f>
        <v>39180.901775975086</v>
      </c>
      <c r="H21" s="261">
        <f t="shared" si="0"/>
        <v>87.3724271625439</v>
      </c>
      <c r="I21" s="262">
        <f t="shared" si="2"/>
        <v>96.96510466853411</v>
      </c>
      <c r="J21" s="258">
        <f t="shared" si="3"/>
        <v>0</v>
      </c>
      <c r="O21" s="264">
        <v>108.4</v>
      </c>
      <c r="W21" s="2" t="s">
        <v>269</v>
      </c>
      <c r="X21" s="257">
        <v>0.81625482213808276</v>
      </c>
      <c r="Y21" s="257">
        <v>0.83442799999999995</v>
      </c>
    </row>
    <row r="22" spans="1:25" ht="12.65" customHeight="1" outlineLevel="1">
      <c r="A22" s="10">
        <v>25538</v>
      </c>
      <c r="B22" s="255">
        <v>10888.51</v>
      </c>
      <c r="D22" s="257">
        <f>B22/C25</f>
        <v>9.3771384566786686E-2</v>
      </c>
      <c r="E22" s="2"/>
      <c r="F22" s="258">
        <f>D22*E25</f>
        <v>39707.305252036691</v>
      </c>
      <c r="H22" s="261">
        <f t="shared" si="0"/>
        <v>88.546293696634365</v>
      </c>
      <c r="I22" s="262">
        <f t="shared" si="2"/>
        <v>96.96510466853411</v>
      </c>
      <c r="J22" s="258">
        <f t="shared" si="3"/>
        <v>0</v>
      </c>
      <c r="O22" s="264">
        <v>105.5</v>
      </c>
      <c r="W22" s="2" t="s">
        <v>270</v>
      </c>
      <c r="X22" s="257">
        <v>0.80919452916298695</v>
      </c>
      <c r="Y22" s="257">
        <v>0.83442799999999995</v>
      </c>
    </row>
    <row r="23" spans="1:25" ht="12.65" customHeight="1" outlineLevel="1">
      <c r="A23" s="10">
        <v>25569</v>
      </c>
      <c r="B23" s="255">
        <v>9961.51</v>
      </c>
      <c r="D23" s="257">
        <f>B23/C25</f>
        <v>8.578810003167478E-2</v>
      </c>
      <c r="E23" s="2"/>
      <c r="F23" s="258">
        <f>D23*E25</f>
        <v>36326.799382212623</v>
      </c>
      <c r="H23" s="261">
        <f t="shared" si="0"/>
        <v>81.007850488446991</v>
      </c>
      <c r="I23" s="262">
        <f t="shared" si="2"/>
        <v>96.96510466853411</v>
      </c>
      <c r="J23" s="258">
        <f t="shared" si="3"/>
        <v>0</v>
      </c>
      <c r="O23" s="264">
        <v>107.6</v>
      </c>
      <c r="W23" s="2" t="s">
        <v>271</v>
      </c>
      <c r="X23" s="257">
        <v>0.80667496364274627</v>
      </c>
      <c r="Y23" s="257">
        <v>0.83442799999999995</v>
      </c>
    </row>
    <row r="24" spans="1:25" ht="12.65" customHeight="1" outlineLevel="1">
      <c r="A24" s="10">
        <v>25600</v>
      </c>
      <c r="B24" s="255">
        <v>10335.129999999999</v>
      </c>
      <c r="D24" s="257">
        <f>B24/C25</f>
        <v>8.9005699565664537E-2</v>
      </c>
      <c r="E24" s="2"/>
      <c r="F24" s="258">
        <f>D24*E25</f>
        <v>37689.285469681519</v>
      </c>
      <c r="H24" s="261">
        <f t="shared" si="0"/>
        <v>84.046160252678874</v>
      </c>
      <c r="I24" s="262">
        <f t="shared" si="2"/>
        <v>96.96510466853411</v>
      </c>
      <c r="J24" s="258">
        <f t="shared" si="3"/>
        <v>0</v>
      </c>
      <c r="O24" s="264">
        <v>108.8</v>
      </c>
      <c r="W24" s="2" t="s">
        <v>272</v>
      </c>
      <c r="X24" s="257">
        <v>0.82191424818193004</v>
      </c>
      <c r="Y24" s="257">
        <v>0.83442799999999995</v>
      </c>
    </row>
    <row r="25" spans="1:25" ht="12.65" customHeight="1" outlineLevel="1">
      <c r="A25" s="10">
        <v>25628</v>
      </c>
      <c r="B25" s="255">
        <v>11527.36</v>
      </c>
      <c r="C25" s="259">
        <f t="shared" ref="C25" si="4">SUM(B14:B25)</f>
        <v>116117.62</v>
      </c>
      <c r="D25" s="257">
        <f>B25/C25</f>
        <v>9.9273133569220601E-2</v>
      </c>
      <c r="E25" s="260">
        <v>423448</v>
      </c>
      <c r="F25" s="258">
        <f>D25*E25</f>
        <v>42037.009863619322</v>
      </c>
      <c r="H25" s="261">
        <f t="shared" si="0"/>
        <v>93.74147648363595</v>
      </c>
      <c r="I25" s="262">
        <f t="shared" si="2"/>
        <v>96.96510466853411</v>
      </c>
      <c r="J25" s="258">
        <f t="shared" si="3"/>
        <v>0</v>
      </c>
      <c r="O25" s="264">
        <v>107.6</v>
      </c>
      <c r="W25" s="2" t="s">
        <v>273</v>
      </c>
      <c r="X25" s="257">
        <v>0.82132847651992547</v>
      </c>
      <c r="Y25" s="257">
        <v>0.83442799999999995</v>
      </c>
    </row>
    <row r="26" spans="1:25" ht="12.65" customHeight="1" outlineLevel="1">
      <c r="A26" s="10">
        <v>25659</v>
      </c>
      <c r="B26" s="255">
        <v>9357</v>
      </c>
      <c r="D26" s="257">
        <f>B26/C37</f>
        <v>6.377575362670497E-2</v>
      </c>
      <c r="E26" s="2"/>
      <c r="F26" s="258">
        <f>D26*E37</f>
        <v>29675.878574563849</v>
      </c>
      <c r="H26" s="261">
        <f t="shared" si="0"/>
        <v>66.176464086144662</v>
      </c>
      <c r="I26" s="262">
        <f t="shared" si="2"/>
        <v>96.96510466853411</v>
      </c>
      <c r="J26" s="258">
        <f t="shared" si="3"/>
        <v>0</v>
      </c>
      <c r="O26" s="264">
        <v>108.1</v>
      </c>
      <c r="W26" s="2" t="s">
        <v>274</v>
      </c>
      <c r="X26" s="257">
        <v>0.80427268628351845</v>
      </c>
      <c r="Y26" s="257">
        <v>0.83442799999999995</v>
      </c>
    </row>
    <row r="27" spans="1:25" ht="12.65" customHeight="1" outlineLevel="1">
      <c r="A27" s="10">
        <v>25689</v>
      </c>
      <c r="B27" s="255">
        <v>10045.09</v>
      </c>
      <c r="D27" s="257">
        <f>B27/C37</f>
        <v>6.8465660467893333E-2</v>
      </c>
      <c r="E27" s="2"/>
      <c r="F27" s="258">
        <f>D27*E37</f>
        <v>31858.167266278255</v>
      </c>
      <c r="H27" s="261">
        <f t="shared" si="0"/>
        <v>71.042913073323817</v>
      </c>
      <c r="I27" s="262">
        <f t="shared" si="2"/>
        <v>96.96510466853411</v>
      </c>
      <c r="J27" s="258">
        <f t="shared" si="3"/>
        <v>0</v>
      </c>
      <c r="O27" s="264">
        <v>110.8</v>
      </c>
      <c r="W27" s="2" t="s">
        <v>275</v>
      </c>
      <c r="X27" s="257">
        <v>0.79429300200494346</v>
      </c>
      <c r="Y27" s="257">
        <v>0.83442799999999995</v>
      </c>
    </row>
    <row r="28" spans="1:25" ht="12.65" customHeight="1" outlineLevel="1">
      <c r="A28" s="10">
        <v>25720</v>
      </c>
      <c r="B28" s="255">
        <v>10949.65</v>
      </c>
      <c r="D28" s="257">
        <f>B28/C37</f>
        <v>7.4630990776814163E-2</v>
      </c>
      <c r="E28" s="2"/>
      <c r="F28" s="258">
        <f>D28*E37</f>
        <v>34726.99410430406</v>
      </c>
      <c r="H28" s="261">
        <f t="shared" si="0"/>
        <v>77.440324888410174</v>
      </c>
      <c r="I28" s="262">
        <f>MAX(H16:H40)</f>
        <v>96.96510466853411</v>
      </c>
      <c r="J28" s="258">
        <f t="shared" si="3"/>
        <v>0</v>
      </c>
      <c r="O28" s="264">
        <v>109.8</v>
      </c>
      <c r="W28" s="2" t="s">
        <v>276</v>
      </c>
      <c r="X28" s="257">
        <v>0.79068082766605841</v>
      </c>
      <c r="Y28" s="257">
        <v>0.83442799999999995</v>
      </c>
    </row>
    <row r="29" spans="1:25" ht="12.65" customHeight="1" outlineLevel="1">
      <c r="A29" s="10">
        <v>25750</v>
      </c>
      <c r="B29" s="255">
        <v>12053.93</v>
      </c>
      <c r="D29" s="257">
        <f>B29/C37</f>
        <v>8.2157579343117237E-2</v>
      </c>
      <c r="E29" s="2"/>
      <c r="F29" s="258">
        <f>D29*E37</f>
        <v>38229.236189621937</v>
      </c>
      <c r="H29" s="261">
        <f t="shared" si="0"/>
        <v>85.250236800459746</v>
      </c>
      <c r="I29" s="262">
        <f t="shared" si="2"/>
        <v>96.96510466853411</v>
      </c>
      <c r="J29" s="258">
        <f t="shared" si="3"/>
        <v>0</v>
      </c>
      <c r="O29" s="264">
        <v>115.7</v>
      </c>
      <c r="W29" s="2" t="s">
        <v>277</v>
      </c>
      <c r="X29" s="257">
        <v>0.78580439449660988</v>
      </c>
      <c r="Y29" s="257">
        <v>0.83442799999999995</v>
      </c>
    </row>
    <row r="30" spans="1:25" ht="12.65" customHeight="1" outlineLevel="1">
      <c r="A30" s="10">
        <v>25781</v>
      </c>
      <c r="B30" s="255">
        <v>13038.24</v>
      </c>
      <c r="D30" s="257">
        <f>B30/C37</f>
        <v>8.8866472369974331E-2</v>
      </c>
      <c r="E30" s="2"/>
      <c r="F30" s="258">
        <f>D30*E37</f>
        <v>41350.991457306976</v>
      </c>
      <c r="H30" s="261">
        <f t="shared" si="0"/>
        <v>92.211672662876438</v>
      </c>
      <c r="I30" s="262">
        <f t="shared" si="2"/>
        <v>100.03310735135675</v>
      </c>
      <c r="J30" s="258">
        <f t="shared" si="3"/>
        <v>0</v>
      </c>
      <c r="O30" s="264">
        <v>116</v>
      </c>
      <c r="W30" s="2" t="s">
        <v>278</v>
      </c>
      <c r="X30" s="257">
        <v>0.77174459696676567</v>
      </c>
      <c r="Y30" s="257">
        <v>0.83442799999999995</v>
      </c>
    </row>
    <row r="31" spans="1:25" ht="12.65" customHeight="1" outlineLevel="1">
      <c r="A31" s="10">
        <v>25812</v>
      </c>
      <c r="B31" s="255">
        <v>13533.26</v>
      </c>
      <c r="D31" s="257">
        <f>B31/C37</f>
        <v>9.2240446246247873E-2</v>
      </c>
      <c r="E31" s="2"/>
      <c r="F31" s="258">
        <f>D31*E37</f>
        <v>42920.955485519073</v>
      </c>
      <c r="H31" s="261">
        <f t="shared" si="0"/>
        <v>95.712653025377591</v>
      </c>
      <c r="I31" s="262">
        <f t="shared" si="2"/>
        <v>104.16236011697481</v>
      </c>
      <c r="J31" s="258">
        <f t="shared" si="3"/>
        <v>0</v>
      </c>
      <c r="O31" s="264">
        <v>120.3</v>
      </c>
      <c r="W31" s="2" t="s">
        <v>279</v>
      </c>
      <c r="X31" s="257">
        <v>0.76995395687081325</v>
      </c>
      <c r="Y31" s="257">
        <v>0.83442799999999995</v>
      </c>
    </row>
    <row r="32" spans="1:25" ht="12.65" customHeight="1" outlineLevel="1">
      <c r="A32" s="10">
        <v>25842</v>
      </c>
      <c r="B32" s="255">
        <v>13710.35</v>
      </c>
      <c r="D32" s="257">
        <f>B32/C37</f>
        <v>9.3447462192571829E-2</v>
      </c>
      <c r="E32" s="2"/>
      <c r="F32" s="258">
        <f>D32*E37</f>
        <v>43482.599317598753</v>
      </c>
      <c r="H32" s="261">
        <f t="shared" si="0"/>
        <v>96.96510466853411</v>
      </c>
      <c r="I32" s="262">
        <f>MAX(H20:H44)</f>
        <v>106.5183989393295</v>
      </c>
      <c r="J32" s="258">
        <f t="shared" si="3"/>
        <v>0</v>
      </c>
      <c r="O32" s="264">
        <v>114.9</v>
      </c>
      <c r="W32" s="2" t="s">
        <v>280</v>
      </c>
      <c r="X32" s="257">
        <v>0.78039421016618871</v>
      </c>
      <c r="Y32" s="257">
        <v>0.83442799999999995</v>
      </c>
    </row>
    <row r="33" spans="1:25" ht="12.65" customHeight="1" outlineLevel="1">
      <c r="A33" s="10">
        <v>25873</v>
      </c>
      <c r="B33" s="255">
        <v>13412.53</v>
      </c>
      <c r="D33" s="257">
        <f>B33/C37</f>
        <v>9.141757067337708E-2</v>
      </c>
      <c r="E33" s="2"/>
      <c r="F33" s="258">
        <f>D33*E37</f>
        <v>42538.058315453127</v>
      </c>
      <c r="H33" s="261">
        <f t="shared" si="0"/>
        <v>94.858801950340705</v>
      </c>
      <c r="I33" s="262">
        <f t="shared" si="2"/>
        <v>106.99120992139528</v>
      </c>
      <c r="J33" s="258">
        <f t="shared" si="3"/>
        <v>0</v>
      </c>
      <c r="O33" s="264">
        <v>114.2</v>
      </c>
      <c r="W33" s="2" t="s">
        <v>281</v>
      </c>
      <c r="X33" s="257">
        <v>0.77607561012854775</v>
      </c>
      <c r="Y33" s="257">
        <v>0.83442799999999995</v>
      </c>
    </row>
    <row r="34" spans="1:25" ht="12.65" customHeight="1" outlineLevel="1">
      <c r="A34" s="10">
        <v>25903</v>
      </c>
      <c r="B34" s="255">
        <v>13331.86</v>
      </c>
      <c r="D34" s="257">
        <f>B34/C37</f>
        <v>9.0867737388663355E-2</v>
      </c>
      <c r="E34" s="2"/>
      <c r="F34" s="258">
        <f>D34*E37</f>
        <v>42282.212090743276</v>
      </c>
      <c r="H34" s="261">
        <f t="shared" si="0"/>
        <v>94.288271293310757</v>
      </c>
      <c r="I34" s="262">
        <f>MAX(H22:H46)</f>
        <v>108.61066700480826</v>
      </c>
      <c r="J34" s="258">
        <f t="shared" si="3"/>
        <v>0</v>
      </c>
      <c r="O34" s="264">
        <v>114.2</v>
      </c>
      <c r="W34" s="2" t="s">
        <v>282</v>
      </c>
      <c r="X34" s="257">
        <v>0.79141507973293512</v>
      </c>
      <c r="Y34" s="257">
        <v>0.83442799999999995</v>
      </c>
    </row>
    <row r="35" spans="1:25" ht="12.65" customHeight="1" outlineLevel="1">
      <c r="A35" s="10">
        <v>25934</v>
      </c>
      <c r="B35" s="255">
        <v>12025.8</v>
      </c>
      <c r="D35" s="257">
        <f>B35/C37</f>
        <v>8.1965849948063343E-2</v>
      </c>
      <c r="E35" s="2"/>
      <c r="F35" s="258">
        <f>D35*E37</f>
        <v>38140.021434433045</v>
      </c>
      <c r="H35" s="261">
        <f>F35/G$574*100</f>
        <v>85.051290136492312</v>
      </c>
      <c r="I35" s="262">
        <f t="shared" si="2"/>
        <v>108.61066700480826</v>
      </c>
      <c r="J35" s="258">
        <f t="shared" si="3"/>
        <v>0</v>
      </c>
      <c r="O35" s="264">
        <v>113.9</v>
      </c>
      <c r="W35" s="2" t="s">
        <v>283</v>
      </c>
      <c r="X35" s="257">
        <v>0.8105810269535132</v>
      </c>
      <c r="Y35" s="257">
        <v>0.83442799999999995</v>
      </c>
    </row>
    <row r="36" spans="1:25" ht="12.65" customHeight="1" outlineLevel="1">
      <c r="A36" s="10">
        <v>25965</v>
      </c>
      <c r="B36" s="255">
        <v>12152.14</v>
      </c>
      <c r="D36" s="257">
        <f>B36/C37</f>
        <v>8.2826962346609662E-2</v>
      </c>
      <c r="E36" s="2"/>
      <c r="F36" s="258">
        <f>D36*E37</f>
        <v>38540.710811275021</v>
      </c>
      <c r="H36" s="261">
        <f t="shared" si="0"/>
        <v>85.944817385893131</v>
      </c>
      <c r="I36" s="262">
        <f>MAX(H24:H48)</f>
        <v>108.61066700480826</v>
      </c>
      <c r="J36" s="258">
        <f t="shared" si="3"/>
        <v>0</v>
      </c>
      <c r="O36" s="264">
        <v>113</v>
      </c>
      <c r="W36" s="2" t="s">
        <v>284</v>
      </c>
      <c r="X36" s="257">
        <v>0.83895495523653596</v>
      </c>
      <c r="Y36" s="257">
        <v>0.83442799999999995</v>
      </c>
    </row>
    <row r="37" spans="1:25" ht="12.65" customHeight="1" outlineLevel="1">
      <c r="A37" s="10">
        <v>25993</v>
      </c>
      <c r="B37" s="255">
        <v>13107.35</v>
      </c>
      <c r="C37" s="259">
        <f t="shared" ref="C37" si="5">SUM(B26:B37)</f>
        <v>146717.20000000001</v>
      </c>
      <c r="D37" s="257">
        <f>B37/C37</f>
        <v>8.9337514619962755E-2</v>
      </c>
      <c r="E37" s="260">
        <v>465316</v>
      </c>
      <c r="F37" s="258">
        <f>D37*E37</f>
        <v>41570.174952902591</v>
      </c>
      <c r="H37" s="261">
        <f t="shared" si="0"/>
        <v>92.700446354550436</v>
      </c>
      <c r="I37" s="262">
        <f t="shared" si="2"/>
        <v>115.78762259738443</v>
      </c>
      <c r="J37" s="258">
        <f t="shared" si="3"/>
        <v>0</v>
      </c>
      <c r="O37" s="264">
        <v>111.1</v>
      </c>
      <c r="W37" s="2" t="s">
        <v>285</v>
      </c>
      <c r="X37" s="257">
        <v>0.82359703627863812</v>
      </c>
      <c r="Y37" s="257">
        <v>0.83442799999999995</v>
      </c>
    </row>
    <row r="38" spans="1:25" ht="12.65" customHeight="1" outlineLevel="1">
      <c r="A38" s="10">
        <v>26024</v>
      </c>
      <c r="B38" s="255">
        <v>10139.51</v>
      </c>
      <c r="D38" s="257">
        <f>B38/C49</f>
        <v>5.9913749575959734E-2</v>
      </c>
      <c r="E38" s="2"/>
      <c r="F38" s="258">
        <f>D38*E49</f>
        <v>31421.106913866748</v>
      </c>
      <c r="H38" s="261">
        <f t="shared" si="0"/>
        <v>70.068279461646071</v>
      </c>
      <c r="I38" s="262">
        <f t="shared" si="2"/>
        <v>115.78762259738443</v>
      </c>
      <c r="J38" s="258">
        <f t="shared" si="3"/>
        <v>0</v>
      </c>
      <c r="N38" s="263">
        <v>87.714890809770296</v>
      </c>
      <c r="O38" s="264">
        <v>109.8</v>
      </c>
      <c r="W38" s="2" t="s">
        <v>286</v>
      </c>
      <c r="X38" s="257">
        <v>0.82910043533799105</v>
      </c>
      <c r="Y38" s="257">
        <v>0.83442799999999995</v>
      </c>
    </row>
    <row r="39" spans="1:25" ht="12.65" customHeight="1" outlineLevel="1">
      <c r="A39" s="10">
        <v>26054</v>
      </c>
      <c r="B39" s="255">
        <v>11041.83</v>
      </c>
      <c r="D39" s="257">
        <f>B39/C49</f>
        <v>6.5245503725556708E-2</v>
      </c>
      <c r="E39" s="2"/>
      <c r="F39" s="258">
        <f>D39*E49</f>
        <v>34217.286728327235</v>
      </c>
      <c r="H39" s="261">
        <f t="shared" si="0"/>
        <v>76.303690238284432</v>
      </c>
      <c r="I39" s="262">
        <f t="shared" si="2"/>
        <v>115.78762259738443</v>
      </c>
      <c r="J39" s="258">
        <f t="shared" si="3"/>
        <v>0</v>
      </c>
      <c r="N39" s="263">
        <v>91.592797249382997</v>
      </c>
      <c r="O39" s="264">
        <v>108.3</v>
      </c>
      <c r="W39" s="2" t="s">
        <v>287</v>
      </c>
      <c r="X39" s="257">
        <v>0.82302238222320179</v>
      </c>
      <c r="Y39" s="257">
        <v>0.83442799999999995</v>
      </c>
    </row>
    <row r="40" spans="1:25" ht="12.65" customHeight="1" outlineLevel="1">
      <c r="A40" s="10">
        <v>26085</v>
      </c>
      <c r="B40" s="255">
        <v>12180.54</v>
      </c>
      <c r="D40" s="257">
        <f>B40/C49</f>
        <v>7.1974072046870174E-2</v>
      </c>
      <c r="E40" s="2"/>
      <c r="F40" s="258">
        <f>D40*E49</f>
        <v>37746.010370188545</v>
      </c>
      <c r="H40" s="261">
        <f t="shared" si="0"/>
        <v>84.172655356497344</v>
      </c>
      <c r="I40" s="262">
        <f t="shared" si="2"/>
        <v>115.78762259738443</v>
      </c>
      <c r="J40" s="258">
        <f t="shared" si="3"/>
        <v>0</v>
      </c>
      <c r="N40" s="263">
        <v>94.073942125337794</v>
      </c>
      <c r="O40" s="264">
        <v>109.4</v>
      </c>
      <c r="W40" s="2" t="s">
        <v>288</v>
      </c>
      <c r="X40" s="257">
        <v>0.83087770487970225</v>
      </c>
      <c r="Y40" s="257">
        <v>0.83442799999999995</v>
      </c>
    </row>
    <row r="41" spans="1:25" ht="12.65" customHeight="1" outlineLevel="1">
      <c r="A41" s="10">
        <v>26115</v>
      </c>
      <c r="B41" s="255">
        <v>13570.93</v>
      </c>
      <c r="D41" s="257">
        <f>B41/C49</f>
        <v>8.0189802222482079E-2</v>
      </c>
      <c r="E41" s="2"/>
      <c r="F41" s="258">
        <f>D41*E49</f>
        <v>42054.659687756277</v>
      </c>
      <c r="H41" s="261">
        <f t="shared" si="0"/>
        <v>93.780835148289839</v>
      </c>
      <c r="I41" s="262">
        <f t="shared" si="2"/>
        <v>115.78762259738443</v>
      </c>
      <c r="J41" s="258">
        <f t="shared" si="3"/>
        <v>0</v>
      </c>
      <c r="N41" s="263">
        <v>96.057398158133495</v>
      </c>
      <c r="O41" s="264">
        <v>107</v>
      </c>
      <c r="W41" s="2" t="s">
        <v>289</v>
      </c>
      <c r="X41" s="257">
        <v>0.82703634695102846</v>
      </c>
      <c r="Y41" s="257">
        <v>0.83442799999999995</v>
      </c>
    </row>
    <row r="42" spans="1:25" ht="12.65" customHeight="1" outlineLevel="1">
      <c r="A42" s="10">
        <v>26146</v>
      </c>
      <c r="B42" s="255">
        <v>14475.69</v>
      </c>
      <c r="D42" s="257">
        <f>B42/C49</f>
        <v>8.5535974184080349E-2</v>
      </c>
      <c r="E42" s="2"/>
      <c r="F42" s="258">
        <f>D42*E49</f>
        <v>44858.400765124912</v>
      </c>
      <c r="H42" s="261">
        <f t="shared" si="0"/>
        <v>100.03310735135675</v>
      </c>
      <c r="I42" s="262">
        <f t="shared" si="2"/>
        <v>115.78762259738443</v>
      </c>
      <c r="J42" s="258">
        <f t="shared" si="3"/>
        <v>0</v>
      </c>
      <c r="N42" s="263">
        <v>96.546520296820503</v>
      </c>
      <c r="O42" s="264">
        <v>108.9</v>
      </c>
      <c r="W42" s="2" t="s">
        <v>290</v>
      </c>
      <c r="X42" s="257">
        <v>0.8318530070196446</v>
      </c>
      <c r="Y42" s="257">
        <v>0.83442799999999995</v>
      </c>
    </row>
    <row r="43" spans="1:25" ht="12.65" customHeight="1" outlineLevel="1">
      <c r="A43" s="10">
        <v>26177</v>
      </c>
      <c r="B43" s="255">
        <v>15073.23</v>
      </c>
      <c r="D43" s="257">
        <f>B43/C49</f>
        <v>8.9066801800170181E-2</v>
      </c>
      <c r="E43" s="2"/>
      <c r="F43" s="258">
        <f>D43*E49</f>
        <v>46710.104469279453</v>
      </c>
      <c r="H43" s="261">
        <f t="shared" si="0"/>
        <v>104.16236011697481</v>
      </c>
      <c r="I43" s="262">
        <f t="shared" si="2"/>
        <v>119.41309149855579</v>
      </c>
      <c r="J43" s="258">
        <f t="shared" si="3"/>
        <v>0</v>
      </c>
      <c r="N43" s="263">
        <v>96.331882947448406</v>
      </c>
      <c r="O43" s="264">
        <v>113.3</v>
      </c>
      <c r="W43" s="2" t="s">
        <v>291</v>
      </c>
      <c r="X43" s="257">
        <v>0.86671543347870916</v>
      </c>
      <c r="Y43" s="257">
        <v>0.83442799999999995</v>
      </c>
    </row>
    <row r="44" spans="1:25" ht="12.65" customHeight="1" outlineLevel="1">
      <c r="A44" s="10">
        <v>26207</v>
      </c>
      <c r="B44" s="255">
        <v>15414.17</v>
      </c>
      <c r="D44" s="257">
        <f>B44/C49</f>
        <v>9.108139558038518E-2</v>
      </c>
      <c r="E44" s="2"/>
      <c r="F44" s="258">
        <f>D44*E49</f>
        <v>47766.636016781624</v>
      </c>
      <c r="H44" s="261">
        <f t="shared" si="0"/>
        <v>106.5183989393295</v>
      </c>
      <c r="I44" s="262">
        <f t="shared" si="2"/>
        <v>122.9272684833973</v>
      </c>
      <c r="J44" s="258">
        <f t="shared" si="3"/>
        <v>0</v>
      </c>
      <c r="N44" s="263">
        <v>95.941504897183705</v>
      </c>
      <c r="O44" s="264">
        <v>104.3</v>
      </c>
      <c r="W44" s="2" t="s">
        <v>292</v>
      </c>
      <c r="X44" s="257">
        <v>0.8717048603790668</v>
      </c>
      <c r="Y44" s="257">
        <v>0.83442799999999995</v>
      </c>
    </row>
    <row r="45" spans="1:25" ht="12.65" customHeight="1" outlineLevel="1">
      <c r="A45" s="10">
        <v>26238</v>
      </c>
      <c r="B45" s="255">
        <v>15482.59</v>
      </c>
      <c r="D45" s="257">
        <f>B45/C49</f>
        <v>9.148568521035616E-2</v>
      </c>
      <c r="E45" s="2"/>
      <c r="F45" s="258">
        <f>D45*E49</f>
        <v>47978.661266033974</v>
      </c>
      <c r="H45" s="261">
        <f t="shared" si="0"/>
        <v>106.99120992139528</v>
      </c>
      <c r="I45" s="262">
        <f>MAX(H33:H57)</f>
        <v>124.61805174968895</v>
      </c>
      <c r="J45" s="258">
        <f t="shared" si="3"/>
        <v>0</v>
      </c>
      <c r="N45" s="263">
        <v>97.175370669956905</v>
      </c>
      <c r="O45" s="264">
        <v>105.9</v>
      </c>
      <c r="W45" s="2" t="s">
        <v>293</v>
      </c>
      <c r="X45" s="257">
        <v>0.86202234675969025</v>
      </c>
      <c r="Y45" s="257">
        <v>0.83442799999999995</v>
      </c>
    </row>
    <row r="46" spans="1:25" ht="12.65" customHeight="1" outlineLevel="1">
      <c r="A46" s="10">
        <v>26268</v>
      </c>
      <c r="B46" s="255">
        <v>15716.94</v>
      </c>
      <c r="D46" s="257">
        <f>B46/C49</f>
        <v>9.2870445145809277E-2</v>
      </c>
      <c r="E46" s="2"/>
      <c r="F46" s="258">
        <f>D46*E49</f>
        <v>48704.883381823071</v>
      </c>
      <c r="H46" s="261">
        <f t="shared" si="0"/>
        <v>108.61066700480826</v>
      </c>
      <c r="I46" s="262">
        <f t="shared" si="2"/>
        <v>128.35204497332793</v>
      </c>
      <c r="J46" s="258">
        <f t="shared" si="3"/>
        <v>0</v>
      </c>
      <c r="N46" s="263">
        <v>97.866560518975803</v>
      </c>
      <c r="O46" s="264">
        <v>105.4</v>
      </c>
      <c r="W46" s="2" t="s">
        <v>294</v>
      </c>
      <c r="X46" s="257">
        <v>0.8665421887582464</v>
      </c>
      <c r="Y46" s="257">
        <v>0.83442799999999995</v>
      </c>
    </row>
    <row r="47" spans="1:25" ht="12.65" customHeight="1" outlineLevel="1">
      <c r="A47" s="10">
        <v>26299</v>
      </c>
      <c r="B47" s="255">
        <v>14402.26</v>
      </c>
      <c r="D47" s="257">
        <f>B47/C49</f>
        <v>8.5102080767991931E-2</v>
      </c>
      <c r="E47" s="2"/>
      <c r="F47" s="258">
        <f>D47*E49</f>
        <v>44630.850135884917</v>
      </c>
      <c r="H47" s="261">
        <f t="shared" si="0"/>
        <v>99.525675161747131</v>
      </c>
      <c r="I47" s="262">
        <f t="shared" si="2"/>
        <v>128.35204497332793</v>
      </c>
      <c r="J47" s="258">
        <f t="shared" si="3"/>
        <v>0</v>
      </c>
      <c r="N47" s="263">
        <v>101.365108775152</v>
      </c>
      <c r="O47" s="264">
        <v>102.9</v>
      </c>
      <c r="W47" s="2" t="s">
        <v>295</v>
      </c>
      <c r="X47" s="257">
        <v>0.89207073886735333</v>
      </c>
      <c r="Y47" s="257">
        <v>0.83442799999999995</v>
      </c>
    </row>
    <row r="48" spans="1:25" ht="12.65" customHeight="1" outlineLevel="1">
      <c r="A48" s="10">
        <v>26330</v>
      </c>
      <c r="B48" s="255">
        <v>14981.91</v>
      </c>
      <c r="D48" s="257">
        <f>B48/C49</f>
        <v>8.8527197459203344E-2</v>
      </c>
      <c r="E48" s="2"/>
      <c r="F48" s="258">
        <f>D48*E49</f>
        <v>46427.114908307143</v>
      </c>
      <c r="H48" s="261">
        <f t="shared" si="0"/>
        <v>103.5313005016248</v>
      </c>
      <c r="I48" s="262">
        <f t="shared" si="2"/>
        <v>128.77123552349977</v>
      </c>
      <c r="J48" s="258">
        <f t="shared" si="3"/>
        <v>0</v>
      </c>
      <c r="N48" s="263">
        <v>106.05353021473999</v>
      </c>
      <c r="O48" s="264">
        <v>102.3</v>
      </c>
      <c r="W48" s="2" t="s">
        <v>296</v>
      </c>
      <c r="X48" s="257">
        <v>0.8667369449334168</v>
      </c>
      <c r="Y48" s="257">
        <v>0.83442799999999995</v>
      </c>
    </row>
    <row r="49" spans="1:17" ht="12.65" customHeight="1" outlineLevel="1">
      <c r="A49" s="10">
        <v>26359</v>
      </c>
      <c r="B49" s="255">
        <v>16755.509999999998</v>
      </c>
      <c r="C49" s="259">
        <f t="shared" ref="C49" si="6">SUM(B38:B49)</f>
        <v>169235.11000000002</v>
      </c>
      <c r="D49" s="257">
        <f>B49/C49</f>
        <v>9.9007292281134793E-2</v>
      </c>
      <c r="E49" s="260">
        <v>524439</v>
      </c>
      <c r="F49" s="258">
        <f>D49*E49</f>
        <v>51923.285356626053</v>
      </c>
      <c r="H49" s="261">
        <f t="shared" si="0"/>
        <v>115.78762259738443</v>
      </c>
      <c r="I49" s="262">
        <f t="shared" si="2"/>
        <v>148.34241546126555</v>
      </c>
      <c r="J49" s="258">
        <f t="shared" si="3"/>
        <v>0</v>
      </c>
      <c r="N49" s="263">
        <v>105.56481362931</v>
      </c>
      <c r="O49" s="264">
        <v>103.8</v>
      </c>
    </row>
    <row r="50" spans="1:17" ht="12.65" customHeight="1" outlineLevel="1">
      <c r="A50" s="10">
        <v>26390</v>
      </c>
      <c r="B50" s="255">
        <v>12819.36</v>
      </c>
      <c r="D50" s="257">
        <f>B50/C61</f>
        <v>6.0569830862823942E-2</v>
      </c>
      <c r="E50" s="2"/>
      <c r="F50" s="258">
        <f>D50*E61</f>
        <v>37664.622484076717</v>
      </c>
      <c r="H50" s="261">
        <f t="shared" si="0"/>
        <v>83.991162414045988</v>
      </c>
      <c r="I50" s="262">
        <f t="shared" si="2"/>
        <v>148.34241546126555</v>
      </c>
      <c r="J50" s="258">
        <f t="shared" si="3"/>
        <v>0</v>
      </c>
      <c r="N50" s="263">
        <v>104.636181365388</v>
      </c>
      <c r="O50" s="264">
        <v>102.5</v>
      </c>
    </row>
    <row r="51" spans="1:17" ht="12.65" customHeight="1" outlineLevel="1">
      <c r="A51" s="10">
        <v>26420</v>
      </c>
      <c r="B51" s="255">
        <v>13746.44</v>
      </c>
      <c r="D51" s="257">
        <f>B51/C61</f>
        <v>6.4950164888571471E-2</v>
      </c>
      <c r="E51" s="2"/>
      <c r="F51" s="258">
        <f>D51*E61</f>
        <v>40388.480633979503</v>
      </c>
      <c r="H51" s="261">
        <f t="shared" si="0"/>
        <v>90.065297694653879</v>
      </c>
      <c r="I51" s="262">
        <f t="shared" si="2"/>
        <v>148.34241546126555</v>
      </c>
      <c r="J51" s="258">
        <f t="shared" si="3"/>
        <v>0</v>
      </c>
      <c r="N51" s="263">
        <v>108.381783570636</v>
      </c>
      <c r="O51" s="264">
        <v>104.8</v>
      </c>
    </row>
    <row r="52" spans="1:17" ht="12.65" customHeight="1" outlineLevel="1">
      <c r="A52" s="10">
        <v>26451</v>
      </c>
      <c r="B52" s="255">
        <v>14957.18</v>
      </c>
      <c r="D52" s="257">
        <f>B52/C61</f>
        <v>7.0670756011595975E-2</v>
      </c>
      <c r="E52" s="2"/>
      <c r="F52" s="258">
        <f>D52*E61</f>
        <v>43945.76157673882</v>
      </c>
      <c r="H52" s="261">
        <f t="shared" si="0"/>
        <v>97.997944876820711</v>
      </c>
      <c r="I52" s="262">
        <f t="shared" si="2"/>
        <v>148.34241546126555</v>
      </c>
      <c r="J52" s="258">
        <f t="shared" si="3"/>
        <v>0</v>
      </c>
      <c r="N52" s="263">
        <v>109.76602509042</v>
      </c>
      <c r="O52" s="264">
        <v>101.6</v>
      </c>
    </row>
    <row r="53" spans="1:17" ht="12.65" customHeight="1" outlineLevel="1">
      <c r="A53" s="10">
        <v>26481</v>
      </c>
      <c r="B53" s="255">
        <v>16399.22</v>
      </c>
      <c r="D53" s="257">
        <f>B53/C61</f>
        <v>7.748420995137352E-2</v>
      </c>
      <c r="E53" s="2"/>
      <c r="F53" s="258">
        <f>D53*E61</f>
        <v>48182.626147742209</v>
      </c>
      <c r="H53" s="261">
        <f t="shared" si="0"/>
        <v>107.44604648622639</v>
      </c>
      <c r="I53" s="262">
        <f t="shared" si="2"/>
        <v>148.34241546126555</v>
      </c>
      <c r="J53" s="258">
        <f t="shared" si="3"/>
        <v>0</v>
      </c>
      <c r="N53" s="263">
        <v>110.110359935579</v>
      </c>
      <c r="O53" s="264">
        <v>103.1</v>
      </c>
    </row>
    <row r="54" spans="1:17" ht="12.65" customHeight="1" outlineLevel="1">
      <c r="A54" s="10">
        <v>26512</v>
      </c>
      <c r="B54" s="255">
        <v>17503.03</v>
      </c>
      <c r="D54" s="257">
        <f>B54/C61</f>
        <v>8.2699570546964377E-2</v>
      </c>
      <c r="E54" s="2"/>
      <c r="F54" s="258">
        <f>D54*E61</f>
        <v>51425.735549783232</v>
      </c>
      <c r="H54" s="261">
        <f t="shared" si="0"/>
        <v>114.67809902116166</v>
      </c>
      <c r="I54" s="262">
        <f t="shared" si="2"/>
        <v>148.34241546126555</v>
      </c>
      <c r="J54" s="258">
        <f t="shared" si="3"/>
        <v>0</v>
      </c>
      <c r="N54" s="263">
        <v>110.525115358318</v>
      </c>
      <c r="O54" s="264">
        <v>103.5</v>
      </c>
    </row>
    <row r="55" spans="1:17" ht="12.65" customHeight="1" outlineLevel="1">
      <c r="A55" s="10">
        <v>26543</v>
      </c>
      <c r="B55" s="255">
        <v>18225.72</v>
      </c>
      <c r="D55" s="257">
        <f>B55/C61</f>
        <v>8.6114188052538315E-2</v>
      </c>
      <c r="E55" s="2"/>
      <c r="F55" s="258">
        <f>D55*E61</f>
        <v>53549.07447021432</v>
      </c>
      <c r="H55" s="261">
        <f t="shared" si="0"/>
        <v>119.41309149855579</v>
      </c>
      <c r="I55" s="262">
        <f t="shared" si="2"/>
        <v>148.34241546126555</v>
      </c>
      <c r="J55" s="258">
        <f t="shared" si="3"/>
        <v>0</v>
      </c>
      <c r="N55" s="263">
        <v>109.873305444778</v>
      </c>
      <c r="O55" s="264">
        <v>106.8</v>
      </c>
    </row>
    <row r="56" spans="1:17" ht="12.65" customHeight="1" outlineLevel="1">
      <c r="A56" s="10">
        <v>26573</v>
      </c>
      <c r="B56" s="255">
        <v>18762.080000000002</v>
      </c>
      <c r="D56" s="257">
        <f>B56/C61</f>
        <v>8.8648420220258414E-2</v>
      </c>
      <c r="E56" s="2"/>
      <c r="F56" s="258">
        <f>D56*E61</f>
        <v>55124.956332925052</v>
      </c>
      <c r="H56" s="261">
        <f t="shared" si="0"/>
        <v>122.9272684833973</v>
      </c>
      <c r="I56" s="262">
        <f t="shared" si="2"/>
        <v>148.34241546126555</v>
      </c>
      <c r="J56" s="258">
        <f t="shared" si="3"/>
        <v>0</v>
      </c>
      <c r="N56" s="263">
        <v>109.972021568188</v>
      </c>
      <c r="O56" s="264">
        <v>108.1</v>
      </c>
    </row>
    <row r="57" spans="1:17" ht="12.65" customHeight="1" outlineLevel="1">
      <c r="A57" s="10">
        <v>26604</v>
      </c>
      <c r="B57" s="255">
        <v>19020.14</v>
      </c>
      <c r="D57" s="257">
        <f>B57/C61</f>
        <v>8.9867720602840706E-2</v>
      </c>
      <c r="E57" s="2"/>
      <c r="F57" s="258">
        <f>D57*E61</f>
        <v>55883.163644229258</v>
      </c>
      <c r="H57" s="261">
        <f t="shared" si="0"/>
        <v>124.61805174968895</v>
      </c>
      <c r="I57" s="262">
        <f t="shared" si="2"/>
        <v>148.34241546126555</v>
      </c>
      <c r="J57" s="258">
        <f t="shared" si="3"/>
        <v>0</v>
      </c>
      <c r="N57" s="263">
        <v>112.927953217427</v>
      </c>
      <c r="O57" s="264">
        <v>109.8</v>
      </c>
    </row>
    <row r="58" spans="1:17" ht="12.65" customHeight="1" outlineLevel="1">
      <c r="A58" s="10">
        <v>26634</v>
      </c>
      <c r="B58" s="255">
        <v>19590.05</v>
      </c>
      <c r="D58" s="257">
        <f>B58/C61</f>
        <v>9.2560472215014164E-2</v>
      </c>
      <c r="E58" s="2"/>
      <c r="F58" s="258">
        <f>D58*E61</f>
        <v>57557.618921239977</v>
      </c>
      <c r="H58" s="261">
        <f t="shared" si="0"/>
        <v>128.35204497332793</v>
      </c>
      <c r="I58" s="262">
        <f t="shared" si="2"/>
        <v>148.34241546126555</v>
      </c>
      <c r="J58" s="258">
        <f t="shared" si="3"/>
        <v>0</v>
      </c>
      <c r="N58" s="263">
        <v>115.010810189615</v>
      </c>
      <c r="O58" s="264">
        <v>111.4</v>
      </c>
    </row>
    <row r="59" spans="1:17" ht="12.65" customHeight="1" outlineLevel="1">
      <c r="A59" s="10">
        <v>26665</v>
      </c>
      <c r="B59" s="255">
        <v>18327.580000000002</v>
      </c>
      <c r="D59" s="257">
        <f>B59/C61</f>
        <v>8.6595463480616419E-2</v>
      </c>
      <c r="E59" s="2"/>
      <c r="F59" s="258">
        <f>D59*E61</f>
        <v>53848.349819859555</v>
      </c>
      <c r="H59" s="261">
        <f t="shared" si="0"/>
        <v>120.08046801372463</v>
      </c>
      <c r="I59" s="262">
        <f t="shared" si="2"/>
        <v>148.34241546126555</v>
      </c>
      <c r="J59" s="258">
        <f t="shared" si="3"/>
        <v>0</v>
      </c>
      <c r="N59" s="263">
        <v>124.173203569451</v>
      </c>
      <c r="O59" s="264">
        <v>107.6</v>
      </c>
    </row>
    <row r="60" spans="1:17" ht="12.65" customHeight="1" outlineLevel="1">
      <c r="A60" s="10">
        <v>26696</v>
      </c>
      <c r="B60" s="255">
        <v>19654.03</v>
      </c>
      <c r="D60" s="257">
        <f>B60/C61</f>
        <v>9.2862769504317488E-2</v>
      </c>
      <c r="E60" s="2"/>
      <c r="F60" s="258">
        <f>D60*E61</f>
        <v>57745.598863025778</v>
      </c>
      <c r="H60" s="261">
        <f t="shared" si="0"/>
        <v>128.77123552349977</v>
      </c>
      <c r="I60" s="262">
        <f t="shared" si="2"/>
        <v>148.34241546126555</v>
      </c>
      <c r="J60" s="258">
        <f t="shared" si="3"/>
        <v>0</v>
      </c>
      <c r="N60" s="263">
        <v>133.324899512348</v>
      </c>
      <c r="O60" s="264">
        <v>108.4</v>
      </c>
    </row>
    <row r="61" spans="1:17" ht="12.65" customHeight="1">
      <c r="A61" s="10">
        <v>26724</v>
      </c>
      <c r="B61" s="255">
        <v>22641.13</v>
      </c>
      <c r="C61" s="259">
        <f t="shared" ref="C61" si="7">SUM(B50:B61)</f>
        <v>211645.96</v>
      </c>
      <c r="D61" s="257">
        <f>B61/C61</f>
        <v>0.10697643366308529</v>
      </c>
      <c r="E61" s="260">
        <v>621838</v>
      </c>
      <c r="F61" s="258">
        <f>D61*E61</f>
        <v>66522.011556185636</v>
      </c>
      <c r="H61" s="261">
        <f>F61/G$574*100</f>
        <v>148.34241546126555</v>
      </c>
      <c r="I61" s="262">
        <f t="shared" si="2"/>
        <v>148.34241546126555</v>
      </c>
      <c r="J61" s="254">
        <f t="shared" si="3"/>
        <v>1</v>
      </c>
      <c r="K61" s="12">
        <f>I61</f>
        <v>148.34241546126555</v>
      </c>
      <c r="N61" s="263">
        <v>136.67719460768501</v>
      </c>
      <c r="O61" s="264">
        <v>105.6</v>
      </c>
      <c r="P61" s="263">
        <f xml:space="preserve"> 48.3757429845 + 1.12703641242*N61 - 0.457483222058*O61</f>
        <v>154.10568980545068</v>
      </c>
      <c r="Q61" s="257">
        <f>N61/P61</f>
        <v>0.88690556967904222</v>
      </c>
    </row>
    <row r="62" spans="1:17" ht="12.65" customHeight="1">
      <c r="A62" s="10">
        <v>26755</v>
      </c>
      <c r="B62" s="255">
        <v>18244.16</v>
      </c>
      <c r="D62" s="257">
        <f>B62/C73</f>
        <v>6.4869215400493674E-2</v>
      </c>
      <c r="E62" s="2"/>
      <c r="F62" s="258">
        <f>D62*E73</f>
        <v>42340.850453271625</v>
      </c>
      <c r="H62" s="261">
        <f t="shared" si="0"/>
        <v>94.419033369391414</v>
      </c>
      <c r="I62" s="262">
        <f t="shared" si="2"/>
        <v>148.34241546126555</v>
      </c>
      <c r="J62" s="258">
        <f t="shared" si="3"/>
        <v>0</v>
      </c>
      <c r="K62" s="261">
        <f>(K$94-K$61)/(M$93+1)+K61</f>
        <v>147.77733410855288</v>
      </c>
      <c r="L62" s="261">
        <v>1</v>
      </c>
      <c r="M62" s="261">
        <f>M61+L62</f>
        <v>1</v>
      </c>
      <c r="N62" s="263">
        <v>116.61478487390301</v>
      </c>
      <c r="O62" s="264">
        <v>105</v>
      </c>
      <c r="P62" s="263">
        <f t="shared" ref="P62:P125" si="8" xml:space="preserve"> 48.3757429845 + 1.12703641242*N62 - 0.457483222058*O62</f>
        <v>131.76911344782371</v>
      </c>
      <c r="Q62" s="257">
        <f>N62/P62</f>
        <v>0.88499331764934941</v>
      </c>
    </row>
    <row r="63" spans="1:17" ht="12.65" customHeight="1">
      <c r="A63" s="10">
        <v>26785</v>
      </c>
      <c r="B63" s="255">
        <v>19640.52</v>
      </c>
      <c r="D63" s="257">
        <f>B63/C73</f>
        <v>6.983413445495458E-2</v>
      </c>
      <c r="E63" s="2"/>
      <c r="F63" s="258">
        <f>D63*E73</f>
        <v>45581.50773422786</v>
      </c>
      <c r="H63" s="261">
        <f t="shared" si="0"/>
        <v>101.64561773587822</v>
      </c>
      <c r="I63" s="262">
        <f t="shared" si="2"/>
        <v>148.34241546126555</v>
      </c>
      <c r="J63" s="258">
        <f t="shared" si="3"/>
        <v>0</v>
      </c>
      <c r="K63" s="261">
        <f>(K$94-K$61)/(M$93+1)+K62</f>
        <v>147.21225275584021</v>
      </c>
      <c r="L63" s="261">
        <v>1</v>
      </c>
      <c r="M63" s="261">
        <f t="shared" ref="M63:M126" si="9">M62+L63</f>
        <v>2</v>
      </c>
      <c r="N63" s="263">
        <v>122.03486088327899</v>
      </c>
      <c r="O63" s="264">
        <v>104.6</v>
      </c>
      <c r="P63" s="263">
        <f t="shared" si="8"/>
        <v>138.06072975729776</v>
      </c>
      <c r="Q63" s="257">
        <f>N63/P63</f>
        <v>0.88392159810982274</v>
      </c>
    </row>
    <row r="64" spans="1:17" ht="12.65" customHeight="1">
      <c r="A64" s="10">
        <v>26816</v>
      </c>
      <c r="B64" s="255">
        <v>21306.240000000002</v>
      </c>
      <c r="D64" s="257">
        <f>B64/C73</f>
        <v>7.5756794060927696E-2</v>
      </c>
      <c r="E64" s="2"/>
      <c r="F64" s="258">
        <f>D64*E73</f>
        <v>49447.292808302176</v>
      </c>
      <c r="H64" s="261">
        <f t="shared" si="0"/>
        <v>110.26622138461089</v>
      </c>
      <c r="I64" s="262">
        <f t="shared" si="2"/>
        <v>148.34241546126555</v>
      </c>
      <c r="J64" s="258">
        <f t="shared" si="3"/>
        <v>0</v>
      </c>
      <c r="K64" s="261">
        <f>(K$94-K$61)/(M$93+1)+K63</f>
        <v>146.64717140312754</v>
      </c>
      <c r="L64" s="261">
        <v>1</v>
      </c>
      <c r="M64" s="261">
        <f t="shared" si="9"/>
        <v>3</v>
      </c>
      <c r="N64" s="263">
        <v>123.122901462878</v>
      </c>
      <c r="O64" s="264">
        <v>106.5</v>
      </c>
      <c r="P64" s="263">
        <f t="shared" si="8"/>
        <v>138.41777298678619</v>
      </c>
      <c r="Q64" s="257">
        <f>N64/P64</f>
        <v>0.88950211238141885</v>
      </c>
    </row>
    <row r="65" spans="1:17" ht="12.65" customHeight="1">
      <c r="A65" s="10">
        <v>26846</v>
      </c>
      <c r="B65" s="255">
        <v>23262.959999999999</v>
      </c>
      <c r="D65" s="257">
        <f>B65/C73</f>
        <v>8.2714137734654178E-2</v>
      </c>
      <c r="E65" s="2"/>
      <c r="F65" s="258">
        <f>D65*E73</f>
        <v>53988.427554923866</v>
      </c>
      <c r="H65" s="261">
        <f t="shared" si="0"/>
        <v>120.39283784568968</v>
      </c>
      <c r="I65" s="262">
        <f t="shared" si="2"/>
        <v>148.34241546126555</v>
      </c>
      <c r="J65" s="258">
        <f t="shared" si="3"/>
        <v>0</v>
      </c>
      <c r="K65" s="261">
        <f>(K$94-K$61)/(M$93+1)+K64</f>
        <v>146.08209005041488</v>
      </c>
      <c r="L65" s="261">
        <v>1</v>
      </c>
      <c r="M65" s="261">
        <f t="shared" si="9"/>
        <v>4</v>
      </c>
      <c r="N65" s="263">
        <v>122.83334565247701</v>
      </c>
      <c r="O65" s="264">
        <v>107.9</v>
      </c>
      <c r="P65" s="263">
        <f t="shared" si="8"/>
        <v>137.45095653415527</v>
      </c>
      <c r="Q65" s="257">
        <f>N65/P65</f>
        <v>0.89365217056131641</v>
      </c>
    </row>
    <row r="66" spans="1:17" ht="12.65" customHeight="1">
      <c r="A66" s="10">
        <v>26877</v>
      </c>
      <c r="B66" s="255">
        <v>24537.91</v>
      </c>
      <c r="D66" s="257">
        <f>B66/C73</f>
        <v>8.7247369529094676E-2</v>
      </c>
      <c r="E66" s="2"/>
      <c r="F66" s="258">
        <f>D66*E73</f>
        <v>56947.317812704918</v>
      </c>
      <c r="H66" s="261">
        <f t="shared" ref="H66:H129" si="10">F66/G$574*100</f>
        <v>126.99108882541721</v>
      </c>
      <c r="I66" s="262">
        <f t="shared" si="2"/>
        <v>148.34241546126555</v>
      </c>
      <c r="J66" s="258">
        <f t="shared" si="3"/>
        <v>0</v>
      </c>
      <c r="K66" s="261">
        <f t="shared" ref="K66:K92" si="11">(K$94-K$61)/(M$93+1)+K65</f>
        <v>145.51700869770221</v>
      </c>
      <c r="L66" s="261">
        <v>1</v>
      </c>
      <c r="M66" s="261">
        <f t="shared" si="9"/>
        <v>5</v>
      </c>
      <c r="N66" s="263">
        <v>121.660923622073</v>
      </c>
      <c r="O66" s="264">
        <v>102.4</v>
      </c>
      <c r="P66" s="263">
        <f t="shared" si="8"/>
        <v>138.6457519364856</v>
      </c>
      <c r="Q66" s="257">
        <f t="shared" ref="Q66:Q124" si="12">N66/P66</f>
        <v>0.87749478020651195</v>
      </c>
    </row>
    <row r="67" spans="1:17" ht="12.65" customHeight="1">
      <c r="A67" s="10">
        <v>26908</v>
      </c>
      <c r="B67" s="255">
        <v>25811.77</v>
      </c>
      <c r="D67" s="257">
        <f>B67/C73</f>
        <v>9.177672570280028E-2</v>
      </c>
      <c r="E67" s="2"/>
      <c r="F67" s="258">
        <f>D67*E73</f>
        <v>59903.678410200475</v>
      </c>
      <c r="H67" s="261">
        <f t="shared" si="10"/>
        <v>133.58369872622561</v>
      </c>
      <c r="I67" s="262">
        <f t="shared" si="2"/>
        <v>148.34241546126555</v>
      </c>
      <c r="J67" s="258">
        <f t="shared" si="3"/>
        <v>0</v>
      </c>
      <c r="K67" s="261">
        <f t="shared" si="11"/>
        <v>144.95192734498954</v>
      </c>
      <c r="L67" s="261">
        <v>1</v>
      </c>
      <c r="M67" s="261">
        <f t="shared" si="9"/>
        <v>6</v>
      </c>
      <c r="N67" s="263">
        <v>122.124793252931</v>
      </c>
      <c r="O67" s="264">
        <v>100.1</v>
      </c>
      <c r="P67" s="263">
        <f t="shared" si="8"/>
        <v>140.2207613118118</v>
      </c>
      <c r="Q67" s="257">
        <f t="shared" si="12"/>
        <v>0.87094658530172697</v>
      </c>
    </row>
    <row r="68" spans="1:17" ht="12.65" customHeight="1">
      <c r="A68" s="10">
        <v>26938</v>
      </c>
      <c r="B68" s="255">
        <v>27269.74</v>
      </c>
      <c r="D68" s="257">
        <f>B68/C73</f>
        <v>9.6960706219165943E-2</v>
      </c>
      <c r="E68" s="2"/>
      <c r="F68" s="258">
        <f>D68*E73</f>
        <v>63287.319517018019</v>
      </c>
      <c r="H68" s="261">
        <f t="shared" si="10"/>
        <v>141.12913343418541</v>
      </c>
      <c r="I68" s="262">
        <f t="shared" si="2"/>
        <v>148.34241546126555</v>
      </c>
      <c r="J68" s="258">
        <f t="shared" si="3"/>
        <v>0</v>
      </c>
      <c r="K68" s="261">
        <f t="shared" si="11"/>
        <v>144.38684599227687</v>
      </c>
      <c r="L68" s="261">
        <v>1</v>
      </c>
      <c r="M68" s="261">
        <f t="shared" si="9"/>
        <v>7</v>
      </c>
      <c r="N68" s="263">
        <v>125.42186543524301</v>
      </c>
      <c r="O68" s="264">
        <v>102.8</v>
      </c>
      <c r="P68" s="263">
        <f t="shared" si="8"/>
        <v>142.70147701609787</v>
      </c>
      <c r="Q68" s="257">
        <f t="shared" si="12"/>
        <v>0.87891077273919471</v>
      </c>
    </row>
    <row r="69" spans="1:17" ht="12.65" customHeight="1">
      <c r="A69" s="10">
        <v>26969</v>
      </c>
      <c r="B69" s="255">
        <v>26678.78</v>
      </c>
      <c r="D69" s="257">
        <f>B69/C73</f>
        <v>9.4859479770095345E-2</v>
      </c>
      <c r="E69" s="2"/>
      <c r="F69" s="258">
        <f>D69*E73</f>
        <v>61915.825900218704</v>
      </c>
      <c r="H69" s="261">
        <f t="shared" si="10"/>
        <v>138.0707371057178</v>
      </c>
      <c r="I69" s="262">
        <f t="shared" si="2"/>
        <v>148.34241546126555</v>
      </c>
      <c r="J69" s="258">
        <f t="shared" si="3"/>
        <v>0</v>
      </c>
      <c r="K69" s="261">
        <f t="shared" si="11"/>
        <v>143.82176463956421</v>
      </c>
      <c r="L69" s="261">
        <v>1</v>
      </c>
      <c r="M69" s="261">
        <f t="shared" si="9"/>
        <v>8</v>
      </c>
      <c r="N69" s="263">
        <v>125.45645562850299</v>
      </c>
      <c r="O69" s="264">
        <v>98.2</v>
      </c>
      <c r="P69" s="263">
        <f t="shared" si="8"/>
        <v>144.84488424488134</v>
      </c>
      <c r="Q69" s="257">
        <f t="shared" si="12"/>
        <v>0.86614350436015819</v>
      </c>
    </row>
    <row r="70" spans="1:17" ht="12.65" customHeight="1">
      <c r="A70" s="10">
        <v>26999</v>
      </c>
      <c r="B70" s="255">
        <v>27452.46</v>
      </c>
      <c r="D70" s="257">
        <f>B70/C73</f>
        <v>9.7610388256485173E-2</v>
      </c>
      <c r="E70" s="2"/>
      <c r="F70" s="258">
        <f>D70*E73</f>
        <v>63711.374129278694</v>
      </c>
      <c r="H70" s="261">
        <f t="shared" si="10"/>
        <v>142.07476457188949</v>
      </c>
      <c r="I70" s="262">
        <f t="shared" si="2"/>
        <v>148.34241546126555</v>
      </c>
      <c r="J70" s="258">
        <f t="shared" si="3"/>
        <v>0</v>
      </c>
      <c r="K70" s="261">
        <f t="shared" si="11"/>
        <v>143.25668328685154</v>
      </c>
      <c r="L70" s="261">
        <v>1</v>
      </c>
      <c r="M70" s="261">
        <f t="shared" si="9"/>
        <v>9</v>
      </c>
      <c r="N70" s="263">
        <v>126.087204714576</v>
      </c>
      <c r="O70" s="264">
        <v>99.3</v>
      </c>
      <c r="P70" s="263">
        <f t="shared" si="8"/>
        <v>145.05252988772247</v>
      </c>
      <c r="Q70" s="257">
        <f t="shared" si="12"/>
        <v>0.86925202071396801</v>
      </c>
    </row>
    <row r="71" spans="1:17" ht="12.65" customHeight="1">
      <c r="A71" s="10">
        <v>27030</v>
      </c>
      <c r="B71" s="255">
        <v>21809.4</v>
      </c>
      <c r="D71" s="257">
        <f>B71/C73</f>
        <v>7.7545837481995714E-2</v>
      </c>
      <c r="E71" s="2"/>
      <c r="F71" s="258">
        <f>D71*E73</f>
        <v>50615.021128710905</v>
      </c>
      <c r="H71" s="261">
        <f t="shared" si="10"/>
        <v>112.87022621849432</v>
      </c>
      <c r="I71" s="262">
        <f t="shared" si="2"/>
        <v>148.34241546126555</v>
      </c>
      <c r="J71" s="258">
        <f t="shared" si="3"/>
        <v>0</v>
      </c>
      <c r="K71" s="261">
        <f t="shared" si="11"/>
        <v>142.69160193413887</v>
      </c>
      <c r="L71" s="261">
        <v>1</v>
      </c>
      <c r="M71" s="261">
        <f t="shared" si="9"/>
        <v>10</v>
      </c>
      <c r="N71" s="263">
        <v>119.510739038556</v>
      </c>
      <c r="O71" s="264">
        <v>96.9</v>
      </c>
      <c r="P71" s="263">
        <f t="shared" si="8"/>
        <v>138.73857333875679</v>
      </c>
      <c r="Q71" s="257">
        <f t="shared" si="12"/>
        <v>0.86140960053515647</v>
      </c>
    </row>
    <row r="72" spans="1:17" ht="12.65" customHeight="1">
      <c r="A72" s="10">
        <v>27061</v>
      </c>
      <c r="B72" s="255">
        <v>21573.19</v>
      </c>
      <c r="D72" s="257">
        <f>B72/C73</f>
        <v>7.6705965579438901E-2</v>
      </c>
      <c r="E72" s="2"/>
      <c r="F72" s="258">
        <f>D72*E73</f>
        <v>50066.827499321145</v>
      </c>
      <c r="H72" s="261">
        <f t="shared" si="10"/>
        <v>111.64776818961361</v>
      </c>
      <c r="I72" s="262">
        <f t="shared" si="2"/>
        <v>148.34241546126555</v>
      </c>
      <c r="J72" s="258">
        <f t="shared" si="3"/>
        <v>0</v>
      </c>
      <c r="K72" s="261">
        <f t="shared" si="11"/>
        <v>142.12652058142621</v>
      </c>
      <c r="L72" s="261">
        <v>1</v>
      </c>
      <c r="M72" s="261">
        <f t="shared" si="9"/>
        <v>11</v>
      </c>
      <c r="N72" s="263">
        <v>117.640173856042</v>
      </c>
      <c r="O72" s="264">
        <v>90.5</v>
      </c>
      <c r="P72" s="263">
        <f t="shared" si="8"/>
        <v>139.55827088742964</v>
      </c>
      <c r="Q72" s="257">
        <f t="shared" si="12"/>
        <v>0.84294662801413467</v>
      </c>
    </row>
    <row r="73" spans="1:17" ht="12.65" customHeight="1">
      <c r="A73" s="10">
        <v>27089</v>
      </c>
      <c r="B73" s="255">
        <v>23658.14</v>
      </c>
      <c r="C73" s="259">
        <f t="shared" ref="C73" si="13">SUM(B62:B73)</f>
        <v>281245.26999999996</v>
      </c>
      <c r="D73" s="257">
        <f>B73/C73</f>
        <v>8.411924580989398E-2</v>
      </c>
      <c r="E73" s="260">
        <v>652711</v>
      </c>
      <c r="F73" s="258">
        <f>D73*E73</f>
        <v>54905.557051821706</v>
      </c>
      <c r="H73" s="261">
        <f t="shared" si="10"/>
        <v>122.43801359545922</v>
      </c>
      <c r="I73" s="262">
        <f t="shared" si="2"/>
        <v>148.34241546126555</v>
      </c>
      <c r="J73" s="258">
        <f t="shared" si="3"/>
        <v>0</v>
      </c>
      <c r="K73" s="261">
        <f t="shared" si="11"/>
        <v>141.56143922871354</v>
      </c>
      <c r="L73" s="261">
        <v>1</v>
      </c>
      <c r="M73" s="261">
        <f t="shared" si="9"/>
        <v>12</v>
      </c>
      <c r="N73" s="263">
        <v>114.69379067752401</v>
      </c>
      <c r="O73" s="264">
        <v>90.7</v>
      </c>
      <c r="P73" s="263">
        <f t="shared" si="8"/>
        <v>136.14609311588649</v>
      </c>
      <c r="Q73" s="257">
        <f t="shared" si="12"/>
        <v>0.84243174411106714</v>
      </c>
    </row>
    <row r="74" spans="1:17" ht="12.65" customHeight="1">
      <c r="A74" s="10">
        <v>27120</v>
      </c>
      <c r="B74" s="255">
        <v>20476.36</v>
      </c>
      <c r="D74" s="257">
        <f>B74/C85</f>
        <v>7.2747082778159264E-2</v>
      </c>
      <c r="E74" s="2"/>
      <c r="F74" s="258">
        <f>D74*E85</f>
        <v>40978.868211433779</v>
      </c>
      <c r="H74" s="261">
        <f t="shared" si="10"/>
        <v>91.381847168265651</v>
      </c>
      <c r="I74" s="262">
        <f t="shared" si="2"/>
        <v>142.07476457188949</v>
      </c>
      <c r="J74" s="258">
        <f t="shared" si="3"/>
        <v>0</v>
      </c>
      <c r="K74" s="261">
        <f t="shared" si="11"/>
        <v>140.99635787600087</v>
      </c>
      <c r="L74" s="261">
        <v>1</v>
      </c>
      <c r="M74" s="261">
        <f t="shared" si="9"/>
        <v>13</v>
      </c>
      <c r="N74" s="263">
        <v>111.800901433224</v>
      </c>
      <c r="O74" s="264">
        <v>95</v>
      </c>
      <c r="P74" s="263">
        <f t="shared" si="8"/>
        <v>130.91852374561282</v>
      </c>
      <c r="Q74" s="257">
        <f t="shared" si="12"/>
        <v>0.85397312950506388</v>
      </c>
    </row>
    <row r="75" spans="1:17" ht="12.65" customHeight="1">
      <c r="A75" s="10">
        <v>27150</v>
      </c>
      <c r="B75" s="255">
        <v>20251.43</v>
      </c>
      <c r="D75" s="257">
        <f>B75/C85</f>
        <v>7.1947966073369368E-2</v>
      </c>
      <c r="E75" s="2"/>
      <c r="F75" s="258">
        <f>D75*E85</f>
        <v>40528.720976925404</v>
      </c>
      <c r="H75" s="261">
        <f t="shared" si="10"/>
        <v>90.378030138111939</v>
      </c>
      <c r="I75" s="262">
        <f t="shared" ref="I75:I138" si="14">MAX(H63:H87)</f>
        <v>142.07476457188949</v>
      </c>
      <c r="J75" s="258">
        <f t="shared" si="3"/>
        <v>0</v>
      </c>
      <c r="K75" s="261">
        <f t="shared" si="11"/>
        <v>140.4312765232882</v>
      </c>
      <c r="L75" s="261">
        <v>1</v>
      </c>
      <c r="M75" s="261">
        <f t="shared" si="9"/>
        <v>14</v>
      </c>
      <c r="N75" s="263">
        <v>107.269947583481</v>
      </c>
      <c r="O75" s="264">
        <v>99</v>
      </c>
      <c r="P75" s="263">
        <f t="shared" si="8"/>
        <v>123.98204088572589</v>
      </c>
      <c r="Q75" s="257">
        <f t="shared" si="12"/>
        <v>0.86520553152009805</v>
      </c>
    </row>
    <row r="76" spans="1:17" ht="12.65" customHeight="1">
      <c r="A76" s="10">
        <v>27181</v>
      </c>
      <c r="B76" s="255">
        <v>21231.89</v>
      </c>
      <c r="D76" s="257">
        <f>B76/C85</f>
        <v>7.5431280724053085E-2</v>
      </c>
      <c r="E76" s="2"/>
      <c r="F76" s="258">
        <f>D76*E85</f>
        <v>42490.893019543444</v>
      </c>
      <c r="H76" s="261">
        <f t="shared" si="10"/>
        <v>94.753624524741085</v>
      </c>
      <c r="I76" s="262">
        <f t="shared" si="14"/>
        <v>142.07476457188949</v>
      </c>
      <c r="J76" s="258">
        <f t="shared" si="3"/>
        <v>0</v>
      </c>
      <c r="K76" s="261">
        <f t="shared" si="11"/>
        <v>139.86619517057554</v>
      </c>
      <c r="L76" s="261">
        <v>1</v>
      </c>
      <c r="M76" s="261">
        <f t="shared" si="9"/>
        <v>15</v>
      </c>
      <c r="N76" s="263">
        <v>104.762028092929</v>
      </c>
      <c r="O76" s="264">
        <v>95</v>
      </c>
      <c r="P76" s="263">
        <f t="shared" si="8"/>
        <v>122.98545718868795</v>
      </c>
      <c r="Q76" s="257">
        <f t="shared" si="12"/>
        <v>0.85182452045691859</v>
      </c>
    </row>
    <row r="77" spans="1:17" ht="12.65" customHeight="1">
      <c r="A77" s="10">
        <v>27211</v>
      </c>
      <c r="B77" s="255">
        <v>23388.95</v>
      </c>
      <c r="D77" s="257">
        <f>B77/C85</f>
        <v>8.3094743486841802E-2</v>
      </c>
      <c r="E77" s="2"/>
      <c r="F77" s="258">
        <f>D77*E85</f>
        <v>46807.767574598911</v>
      </c>
      <c r="H77" s="261">
        <f t="shared" si="10"/>
        <v>104.3801463896028</v>
      </c>
      <c r="I77" s="262">
        <f t="shared" si="14"/>
        <v>142.07476457188949</v>
      </c>
      <c r="J77" s="258">
        <f t="shared" si="3"/>
        <v>0</v>
      </c>
      <c r="K77" s="261">
        <f t="shared" si="11"/>
        <v>139.30111381786287</v>
      </c>
      <c r="L77" s="261">
        <v>1</v>
      </c>
      <c r="M77" s="261">
        <f t="shared" si="9"/>
        <v>16</v>
      </c>
      <c r="N77" s="263">
        <v>105.403359488107</v>
      </c>
      <c r="O77" s="264">
        <v>87.7</v>
      </c>
      <c r="P77" s="263">
        <f t="shared" si="8"/>
        <v>127.04788854450507</v>
      </c>
      <c r="Q77" s="257">
        <f t="shared" si="12"/>
        <v>0.82963487780581291</v>
      </c>
    </row>
    <row r="78" spans="1:17" ht="12.65" customHeight="1">
      <c r="A78" s="10">
        <v>27242</v>
      </c>
      <c r="B78" s="255">
        <v>25377.84</v>
      </c>
      <c r="D78" s="257">
        <f>B78/C85</f>
        <v>9.0160742788800402E-2</v>
      </c>
      <c r="E78" s="2"/>
      <c r="F78" s="258">
        <f>D78*E85</f>
        <v>50788.087377388001</v>
      </c>
      <c r="H78" s="261">
        <f t="shared" si="10"/>
        <v>113.25615960750342</v>
      </c>
      <c r="I78" s="262">
        <f t="shared" si="14"/>
        <v>142.07476457188949</v>
      </c>
      <c r="J78" s="258">
        <f t="shared" si="3"/>
        <v>0</v>
      </c>
      <c r="K78" s="261">
        <f t="shared" si="11"/>
        <v>138.7360324651502</v>
      </c>
      <c r="L78" s="261">
        <v>1</v>
      </c>
      <c r="M78" s="261">
        <f t="shared" si="9"/>
        <v>17</v>
      </c>
      <c r="N78" s="263">
        <v>107.218483289418</v>
      </c>
      <c r="O78" s="264">
        <v>86.2</v>
      </c>
      <c r="P78" s="263">
        <f t="shared" si="8"/>
        <v>129.77982399471981</v>
      </c>
      <c r="Q78" s="257">
        <f t="shared" si="12"/>
        <v>0.82615679378468165</v>
      </c>
    </row>
    <row r="79" spans="1:17" ht="12.65" customHeight="1">
      <c r="A79" s="10">
        <v>27273</v>
      </c>
      <c r="B79" s="255">
        <v>27381.29</v>
      </c>
      <c r="D79" s="257">
        <f>B79/C85</f>
        <v>9.72784699137339E-2</v>
      </c>
      <c r="E79" s="2"/>
      <c r="F79" s="258">
        <f>D79*E85</f>
        <v>54797.545773225786</v>
      </c>
      <c r="H79" s="261">
        <f t="shared" si="10"/>
        <v>122.19715115625827</v>
      </c>
      <c r="I79" s="262">
        <f t="shared" si="14"/>
        <v>142.07476457188949</v>
      </c>
      <c r="J79" s="258">
        <f t="shared" ref="J79:J142" si="15">IF(H79=I79,1,0)</f>
        <v>0</v>
      </c>
      <c r="K79" s="261">
        <f t="shared" si="11"/>
        <v>138.17095111243754</v>
      </c>
      <c r="L79" s="261">
        <v>1</v>
      </c>
      <c r="M79" s="261">
        <f t="shared" si="9"/>
        <v>18</v>
      </c>
      <c r="N79" s="263">
        <v>110.934560532834</v>
      </c>
      <c r="O79" s="264">
        <v>85.5</v>
      </c>
      <c r="P79" s="263">
        <f t="shared" si="8"/>
        <v>134.28821661485557</v>
      </c>
      <c r="Q79" s="257">
        <f t="shared" si="12"/>
        <v>0.82609303577989368</v>
      </c>
    </row>
    <row r="80" spans="1:17" ht="12.65" customHeight="1">
      <c r="A80" s="10">
        <v>27303</v>
      </c>
      <c r="B80" s="255">
        <v>27752.99</v>
      </c>
      <c r="D80" s="257">
        <f>B80/C85</f>
        <v>9.859902154833311E-2</v>
      </c>
      <c r="E80" s="2"/>
      <c r="F80" s="258">
        <f>D80*E85</f>
        <v>55541.420432305327</v>
      </c>
      <c r="H80" s="261">
        <f t="shared" si="10"/>
        <v>123.85597296796915</v>
      </c>
      <c r="I80" s="262">
        <f t="shared" si="14"/>
        <v>142.07476457188949</v>
      </c>
      <c r="J80" s="258">
        <f t="shared" si="15"/>
        <v>0</v>
      </c>
      <c r="K80" s="261">
        <f t="shared" si="11"/>
        <v>137.60586975972487</v>
      </c>
      <c r="L80" s="261">
        <v>1</v>
      </c>
      <c r="M80" s="261">
        <f t="shared" si="9"/>
        <v>19</v>
      </c>
      <c r="N80" s="263">
        <v>110.17700968278101</v>
      </c>
      <c r="O80" s="264">
        <v>84.2</v>
      </c>
      <c r="P80" s="263">
        <f t="shared" si="8"/>
        <v>134.02915741126151</v>
      </c>
      <c r="Q80" s="257">
        <f t="shared" si="12"/>
        <v>0.82203762084923482</v>
      </c>
    </row>
    <row r="81" spans="1:20" ht="12.65" customHeight="1">
      <c r="A81" s="10">
        <v>27334</v>
      </c>
      <c r="B81" s="255">
        <v>26414.98</v>
      </c>
      <c r="D81" s="257">
        <f>B81/C85</f>
        <v>9.3845426464636353E-2</v>
      </c>
      <c r="E81" s="2"/>
      <c r="F81" s="258">
        <f>D81*E85</f>
        <v>52863.691800088447</v>
      </c>
      <c r="H81" s="261">
        <f t="shared" si="10"/>
        <v>117.88470535352933</v>
      </c>
      <c r="I81" s="262">
        <f t="shared" si="14"/>
        <v>142.07476457188949</v>
      </c>
      <c r="J81" s="258">
        <f t="shared" si="15"/>
        <v>0</v>
      </c>
      <c r="K81" s="261">
        <f t="shared" si="11"/>
        <v>137.0407884070122</v>
      </c>
      <c r="L81" s="261">
        <v>1</v>
      </c>
      <c r="M81" s="261">
        <f t="shared" si="9"/>
        <v>20</v>
      </c>
      <c r="N81" s="263">
        <v>108.180063492391</v>
      </c>
      <c r="O81" s="264">
        <v>80.8</v>
      </c>
      <c r="P81" s="263">
        <f t="shared" si="8"/>
        <v>133.33396929604578</v>
      </c>
      <c r="Q81" s="257">
        <f t="shared" si="12"/>
        <v>0.81134660629651889</v>
      </c>
    </row>
    <row r="82" spans="1:20" ht="12.65" customHeight="1">
      <c r="A82" s="10">
        <v>27364</v>
      </c>
      <c r="B82" s="255">
        <v>25880.37</v>
      </c>
      <c r="D82" s="257">
        <f>B82/C85</f>
        <v>9.1946098755803729E-2</v>
      </c>
      <c r="E82" s="2"/>
      <c r="F82" s="258">
        <f>D82*E85</f>
        <v>51793.789105736774</v>
      </c>
      <c r="H82" s="261">
        <f t="shared" si="10"/>
        <v>115.49884920943796</v>
      </c>
      <c r="I82" s="262">
        <f t="shared" si="14"/>
        <v>142.07476457188949</v>
      </c>
      <c r="J82" s="258">
        <f t="shared" si="15"/>
        <v>0</v>
      </c>
      <c r="K82" s="261">
        <f t="shared" si="11"/>
        <v>136.47570705429953</v>
      </c>
      <c r="L82" s="261">
        <v>1</v>
      </c>
      <c r="M82" s="261">
        <f t="shared" si="9"/>
        <v>21</v>
      </c>
      <c r="N82" s="263">
        <v>102.13735781938701</v>
      </c>
      <c r="O82" s="264">
        <v>78.5</v>
      </c>
      <c r="P82" s="263">
        <f t="shared" si="8"/>
        <v>127.57583138376678</v>
      </c>
      <c r="Q82" s="257">
        <f t="shared" si="12"/>
        <v>0.80060115392971942</v>
      </c>
      <c r="T82" s="257">
        <f>AVERAGE(Q71:Q82)</f>
        <v>0.83613843688235834</v>
      </c>
    </row>
    <row r="83" spans="1:20" ht="12.65" customHeight="1">
      <c r="A83" s="10">
        <v>27395</v>
      </c>
      <c r="B83" s="255">
        <v>20369.45</v>
      </c>
      <c r="D83" s="257">
        <f>B83/C85</f>
        <v>7.2367259869213871E-2</v>
      </c>
      <c r="E83" s="2"/>
      <c r="F83" s="258">
        <f>D83*E85</f>
        <v>40764.91168788739</v>
      </c>
      <c r="H83" s="261">
        <f t="shared" si="10"/>
        <v>90.904729493016774</v>
      </c>
      <c r="I83" s="262">
        <f t="shared" si="14"/>
        <v>129.6947308217471</v>
      </c>
      <c r="J83" s="258">
        <f t="shared" si="15"/>
        <v>0</v>
      </c>
      <c r="K83" s="261">
        <f t="shared" si="11"/>
        <v>135.91062570158687</v>
      </c>
      <c r="L83" s="261">
        <v>1</v>
      </c>
      <c r="M83" s="261">
        <f t="shared" si="9"/>
        <v>22</v>
      </c>
      <c r="N83" s="263">
        <v>98.336681549246407</v>
      </c>
      <c r="O83" s="264">
        <v>79.2</v>
      </c>
      <c r="P83" s="263">
        <f t="shared" si="8"/>
        <v>122.97209258005708</v>
      </c>
      <c r="Q83" s="257">
        <f t="shared" si="12"/>
        <v>0.79966665188873998</v>
      </c>
    </row>
    <row r="84" spans="1:20" ht="12.65" customHeight="1">
      <c r="A84" s="10">
        <v>27426</v>
      </c>
      <c r="B84" s="255">
        <v>20134.28</v>
      </c>
      <c r="D84" s="257">
        <f>B84/C85</f>
        <v>7.1531763157057032E-2</v>
      </c>
      <c r="E84" s="2"/>
      <c r="F84" s="258">
        <f>D84*E85</f>
        <v>40294.271376949167</v>
      </c>
      <c r="H84" s="261">
        <f t="shared" si="10"/>
        <v>89.855213416987567</v>
      </c>
      <c r="I84" s="262">
        <f t="shared" si="14"/>
        <v>129.6947308217471</v>
      </c>
      <c r="J84" s="258">
        <f t="shared" si="15"/>
        <v>0</v>
      </c>
      <c r="K84" s="261">
        <f t="shared" si="11"/>
        <v>135.3455443488742</v>
      </c>
      <c r="L84" s="261">
        <v>1</v>
      </c>
      <c r="M84" s="261">
        <f t="shared" si="9"/>
        <v>23</v>
      </c>
      <c r="N84" s="263">
        <v>96.420162849748706</v>
      </c>
      <c r="O84" s="264">
        <v>76.8</v>
      </c>
      <c r="P84" s="263">
        <f t="shared" si="8"/>
        <v>121.91006595357855</v>
      </c>
      <c r="Q84" s="257">
        <f t="shared" si="12"/>
        <v>0.79091223596305815</v>
      </c>
    </row>
    <row r="85" spans="1:20" ht="12.65" customHeight="1">
      <c r="A85" s="10">
        <v>27454</v>
      </c>
      <c r="B85" s="255">
        <v>22813.45</v>
      </c>
      <c r="C85" s="259">
        <f t="shared" ref="C85" si="16">SUM(B74:B85)</f>
        <v>281473.28000000003</v>
      </c>
      <c r="D85" s="257">
        <f>B85/C85</f>
        <v>8.1050144439997987E-2</v>
      </c>
      <c r="E85" s="260">
        <v>563306</v>
      </c>
      <c r="F85" s="258">
        <f>D85*E85</f>
        <v>45656.032663917504</v>
      </c>
      <c r="H85" s="261">
        <f t="shared" si="10"/>
        <v>101.81180645783088</v>
      </c>
      <c r="I85" s="262">
        <f t="shared" si="14"/>
        <v>129.6947308217471</v>
      </c>
      <c r="J85" s="258">
        <f t="shared" si="15"/>
        <v>0</v>
      </c>
      <c r="K85" s="261">
        <f t="shared" si="11"/>
        <v>134.78046299616153</v>
      </c>
      <c r="L85" s="261">
        <v>1</v>
      </c>
      <c r="M85" s="261">
        <f t="shared" si="9"/>
        <v>24</v>
      </c>
      <c r="N85" s="263">
        <v>97.109544575772603</v>
      </c>
      <c r="O85" s="264">
        <v>74.400000000000006</v>
      </c>
      <c r="P85" s="263">
        <f t="shared" si="8"/>
        <v>123.78498399380365</v>
      </c>
      <c r="Q85" s="257">
        <f t="shared" si="12"/>
        <v>0.78450181470018732</v>
      </c>
    </row>
    <row r="86" spans="1:20" ht="12.65" customHeight="1">
      <c r="A86" s="10">
        <v>27485</v>
      </c>
      <c r="B86" s="255">
        <v>20762.099999999999</v>
      </c>
      <c r="D86" s="257">
        <f>B86/C97</f>
        <v>6.9058209483786548E-2</v>
      </c>
      <c r="E86" s="2"/>
      <c r="F86" s="258">
        <f>D86*E97</f>
        <v>41535.888792537226</v>
      </c>
      <c r="H86" s="261">
        <f t="shared" si="10"/>
        <v>92.623989077830913</v>
      </c>
      <c r="I86" s="262">
        <f t="shared" si="14"/>
        <v>129.6947308217471</v>
      </c>
      <c r="J86" s="258">
        <f t="shared" si="15"/>
        <v>0</v>
      </c>
      <c r="K86" s="261">
        <f t="shared" si="11"/>
        <v>134.21538164344886</v>
      </c>
      <c r="L86" s="261">
        <v>1</v>
      </c>
      <c r="M86" s="261">
        <f t="shared" si="9"/>
        <v>25</v>
      </c>
      <c r="N86" s="263">
        <v>112.029107012517</v>
      </c>
      <c r="O86" s="264">
        <v>75.2</v>
      </c>
      <c r="P86" s="263">
        <f t="shared" si="8"/>
        <v>140.23388753974183</v>
      </c>
      <c r="Q86" s="257">
        <f t="shared" si="12"/>
        <v>0.79887328931652357</v>
      </c>
    </row>
    <row r="87" spans="1:20" ht="12.65" customHeight="1">
      <c r="A87" s="10">
        <v>27515</v>
      </c>
      <c r="B87" s="255">
        <v>21868.51</v>
      </c>
      <c r="D87" s="257">
        <f>B87/C97</f>
        <v>7.2738313787058195E-2</v>
      </c>
      <c r="E87" s="2"/>
      <c r="F87" s="258">
        <f>D87*E97</f>
        <v>43749.331686991594</v>
      </c>
      <c r="H87" s="261">
        <f t="shared" si="10"/>
        <v>97.559911154865645</v>
      </c>
      <c r="I87" s="262">
        <f t="shared" si="14"/>
        <v>129.6947308217471</v>
      </c>
      <c r="J87" s="258">
        <f t="shared" si="15"/>
        <v>0</v>
      </c>
      <c r="K87" s="261">
        <f t="shared" si="11"/>
        <v>133.6503002907362</v>
      </c>
      <c r="L87" s="261">
        <v>1</v>
      </c>
      <c r="M87" s="261">
        <f t="shared" si="9"/>
        <v>26</v>
      </c>
      <c r="N87" s="263">
        <v>113.53823494457799</v>
      </c>
      <c r="O87" s="264">
        <v>73.2</v>
      </c>
      <c r="P87" s="263">
        <f t="shared" si="8"/>
        <v>142.84969611429068</v>
      </c>
      <c r="Q87" s="257">
        <f t="shared" si="12"/>
        <v>0.79480907578367355</v>
      </c>
    </row>
    <row r="88" spans="1:20" ht="12.65" customHeight="1">
      <c r="A88" s="10">
        <v>27546</v>
      </c>
      <c r="B88" s="255">
        <v>23084.84</v>
      </c>
      <c r="D88" s="257">
        <f>B88/C97</f>
        <v>7.6784030354332899E-2</v>
      </c>
      <c r="E88" s="2"/>
      <c r="F88" s="258">
        <f>D88*E97</f>
        <v>46182.676464977776</v>
      </c>
      <c r="H88" s="261">
        <f t="shared" si="10"/>
        <v>102.98620891063402</v>
      </c>
      <c r="I88" s="262">
        <f t="shared" si="14"/>
        <v>129.6947308217471</v>
      </c>
      <c r="J88" s="258">
        <f t="shared" si="15"/>
        <v>0</v>
      </c>
      <c r="K88" s="261">
        <f t="shared" si="11"/>
        <v>133.08521893802353</v>
      </c>
      <c r="L88" s="261">
        <v>1</v>
      </c>
      <c r="M88" s="261">
        <f t="shared" si="9"/>
        <v>27</v>
      </c>
      <c r="N88" s="263">
        <v>111.886683221933</v>
      </c>
      <c r="O88" s="264">
        <v>73.7</v>
      </c>
      <c r="P88" s="263">
        <f t="shared" si="8"/>
        <v>140.75959557484578</v>
      </c>
      <c r="Q88" s="257">
        <f t="shared" si="12"/>
        <v>0.79487783951780222</v>
      </c>
    </row>
    <row r="89" spans="1:20" ht="12.65" customHeight="1">
      <c r="A89" s="10">
        <v>27576</v>
      </c>
      <c r="B89" s="255">
        <v>25090.240000000002</v>
      </c>
      <c r="D89" s="257">
        <f>B89/C97</f>
        <v>8.3454325425582232E-2</v>
      </c>
      <c r="E89" s="2"/>
      <c r="F89" s="258">
        <f>D89*E97</f>
        <v>50194.605479121543</v>
      </c>
      <c r="H89" s="261">
        <f t="shared" si="10"/>
        <v>111.93270987617613</v>
      </c>
      <c r="I89" s="262">
        <f t="shared" si="14"/>
        <v>129.6947308217471</v>
      </c>
      <c r="J89" s="258">
        <f t="shared" si="15"/>
        <v>0</v>
      </c>
      <c r="K89" s="261">
        <f t="shared" si="11"/>
        <v>132.52013758531086</v>
      </c>
      <c r="L89" s="261">
        <v>1</v>
      </c>
      <c r="M89" s="261">
        <f t="shared" si="9"/>
        <v>28</v>
      </c>
      <c r="N89" s="263">
        <v>111.476533848182</v>
      </c>
      <c r="O89" s="264">
        <v>74.7</v>
      </c>
      <c r="P89" s="263">
        <f t="shared" si="8"/>
        <v>139.83985907403914</v>
      </c>
      <c r="Q89" s="257">
        <f t="shared" si="12"/>
        <v>0.79717281314735888</v>
      </c>
    </row>
    <row r="90" spans="1:20" ht="12.65" customHeight="1">
      <c r="A90" s="10">
        <v>27607</v>
      </c>
      <c r="B90" s="255">
        <v>26537.27</v>
      </c>
      <c r="D90" s="257">
        <f>B90/C97</f>
        <v>8.8267388693234514E-2</v>
      </c>
      <c r="E90" s="2"/>
      <c r="F90" s="258">
        <f>D90*E97</f>
        <v>53089.480138210216</v>
      </c>
      <c r="H90" s="261">
        <f t="shared" si="10"/>
        <v>118.38820767819489</v>
      </c>
      <c r="I90" s="262">
        <f t="shared" si="14"/>
        <v>129.6947308217471</v>
      </c>
      <c r="J90" s="258">
        <f t="shared" si="15"/>
        <v>0</v>
      </c>
      <c r="K90" s="261">
        <f t="shared" si="11"/>
        <v>131.9550562325982</v>
      </c>
      <c r="L90" s="261">
        <v>1</v>
      </c>
      <c r="M90" s="261">
        <f t="shared" si="9"/>
        <v>29</v>
      </c>
      <c r="N90" s="263">
        <v>110.65741474034</v>
      </c>
      <c r="O90" s="264">
        <v>74.8</v>
      </c>
      <c r="P90" s="263">
        <f t="shared" si="8"/>
        <v>138.87093369118642</v>
      </c>
      <c r="Q90" s="257">
        <f t="shared" si="12"/>
        <v>0.79683639908703929</v>
      </c>
    </row>
    <row r="91" spans="1:20" ht="12.65" customHeight="1">
      <c r="A91" s="10">
        <v>27638</v>
      </c>
      <c r="B91" s="255">
        <v>26764.73</v>
      </c>
      <c r="D91" s="257">
        <f>B91/C97</f>
        <v>8.9023958612904588E-2</v>
      </c>
      <c r="E91" s="2"/>
      <c r="F91" s="258">
        <f>D91*E97</f>
        <v>53544.528195234816</v>
      </c>
      <c r="H91" s="261">
        <f t="shared" si="10"/>
        <v>119.40295341950444</v>
      </c>
      <c r="I91" s="262">
        <f t="shared" si="14"/>
        <v>129.6947308217471</v>
      </c>
      <c r="J91" s="258">
        <f t="shared" si="15"/>
        <v>0</v>
      </c>
      <c r="K91" s="261">
        <f t="shared" si="11"/>
        <v>131.38997487988553</v>
      </c>
      <c r="L91" s="261">
        <v>1</v>
      </c>
      <c r="M91" s="261">
        <f t="shared" si="9"/>
        <v>30</v>
      </c>
      <c r="N91" s="263">
        <v>108.503476044658</v>
      </c>
      <c r="O91" s="264">
        <v>74.400000000000006</v>
      </c>
      <c r="P91" s="263">
        <f t="shared" si="8"/>
        <v>136.62635963985556</v>
      </c>
      <c r="Q91" s="257">
        <f t="shared" si="12"/>
        <v>0.79416209529896764</v>
      </c>
    </row>
    <row r="92" spans="1:20" ht="12.65" customHeight="1">
      <c r="A92" s="10">
        <v>27668</v>
      </c>
      <c r="B92" s="255">
        <v>27054.6</v>
      </c>
      <c r="D92" s="257">
        <f>B92/C97</f>
        <v>8.9988114607869707E-2</v>
      </c>
      <c r="E92" s="2"/>
      <c r="F92" s="258">
        <f>D92*E97</f>
        <v>54124.431388278528</v>
      </c>
      <c r="H92" s="261">
        <f t="shared" si="10"/>
        <v>120.6961229791343</v>
      </c>
      <c r="I92" s="262">
        <f t="shared" si="14"/>
        <v>129.6947308217471</v>
      </c>
      <c r="J92" s="258">
        <f t="shared" si="15"/>
        <v>0</v>
      </c>
      <c r="K92" s="261">
        <f t="shared" si="11"/>
        <v>130.82489352717286</v>
      </c>
      <c r="L92" s="261">
        <v>1</v>
      </c>
      <c r="M92" s="261">
        <f t="shared" si="9"/>
        <v>31</v>
      </c>
      <c r="N92" s="263">
        <v>108.53245745833701</v>
      </c>
      <c r="O92" s="264">
        <v>72</v>
      </c>
      <c r="P92" s="263">
        <f t="shared" si="8"/>
        <v>137.75698248129441</v>
      </c>
      <c r="Q92" s="257">
        <f t="shared" si="12"/>
        <v>0.78785449204416402</v>
      </c>
    </row>
    <row r="93" spans="1:20" ht="12.65" customHeight="1">
      <c r="A93" s="10">
        <v>27699</v>
      </c>
      <c r="B93" s="255">
        <v>26134.78</v>
      </c>
      <c r="D93" s="257">
        <f>B93/C97</f>
        <v>8.692863978367675E-2</v>
      </c>
      <c r="E93" s="2"/>
      <c r="F93" s="258">
        <f>D93*E97</f>
        <v>52284.273541569783</v>
      </c>
      <c r="H93" s="261">
        <f t="shared" si="10"/>
        <v>116.59261718571405</v>
      </c>
      <c r="I93" s="262">
        <f t="shared" si="14"/>
        <v>129.6947308217471</v>
      </c>
      <c r="J93" s="258">
        <f t="shared" si="15"/>
        <v>0</v>
      </c>
      <c r="K93" s="261">
        <f>(K$94-K$61)/(M$93+1)+K92</f>
        <v>130.25981217446019</v>
      </c>
      <c r="L93" s="261">
        <v>1</v>
      </c>
      <c r="M93" s="261">
        <f t="shared" si="9"/>
        <v>32</v>
      </c>
      <c r="N93" s="263">
        <v>108.86840793950201</v>
      </c>
      <c r="O93" s="264">
        <v>74.099999999999994</v>
      </c>
      <c r="P93" s="263">
        <f t="shared" si="8"/>
        <v>137.17489614001559</v>
      </c>
      <c r="Q93" s="257">
        <f t="shared" si="12"/>
        <v>0.7936467313113843</v>
      </c>
    </row>
    <row r="94" spans="1:20" ht="12.65" customHeight="1">
      <c r="A94" s="10">
        <v>27729</v>
      </c>
      <c r="B94" s="255">
        <v>29071.68</v>
      </c>
      <c r="D94" s="257">
        <f>B94/C97</f>
        <v>9.6697259308336239E-2</v>
      </c>
      <c r="E94" s="2"/>
      <c r="F94" s="258">
        <f>D94*E97</f>
        <v>58159.726978110528</v>
      </c>
      <c r="H94" s="261">
        <f t="shared" si="10"/>
        <v>129.6947308217471</v>
      </c>
      <c r="I94" s="262">
        <f t="shared" si="14"/>
        <v>129.6947308217471</v>
      </c>
      <c r="J94" s="254">
        <f t="shared" si="15"/>
        <v>1</v>
      </c>
      <c r="K94" s="12">
        <f>I94</f>
        <v>129.6947308217471</v>
      </c>
      <c r="N94" s="263">
        <v>114.450132178647</v>
      </c>
      <c r="O94" s="264">
        <v>72.5</v>
      </c>
      <c r="P94" s="263">
        <f t="shared" si="8"/>
        <v>144.1976757569121</v>
      </c>
      <c r="Q94" s="257">
        <f t="shared" si="12"/>
        <v>0.79370303007925447</v>
      </c>
      <c r="T94" s="257">
        <f t="shared" ref="T94" si="17">AVERAGE(Q83:Q94)</f>
        <v>0.79391803901151281</v>
      </c>
    </row>
    <row r="95" spans="1:20" ht="12.65" customHeight="1">
      <c r="A95" s="10">
        <v>27760</v>
      </c>
      <c r="B95" s="255">
        <v>23872.73</v>
      </c>
      <c r="D95" s="257">
        <f>B95/C97</f>
        <v>7.9404683981383173E-2</v>
      </c>
      <c r="E95" s="2"/>
      <c r="F95" s="258">
        <f>D95*E97</f>
        <v>47758.900036810686</v>
      </c>
      <c r="H95" s="261">
        <f t="shared" si="10"/>
        <v>106.50114789823795</v>
      </c>
      <c r="I95" s="262">
        <f t="shared" si="14"/>
        <v>129.6947308217471</v>
      </c>
      <c r="J95" s="258">
        <f t="shared" si="15"/>
        <v>0</v>
      </c>
      <c r="K95" s="261">
        <f>(K$142-K$94)/(M$141+1)+K94</f>
        <v>130.1104604993227</v>
      </c>
      <c r="L95" s="261">
        <v>1</v>
      </c>
      <c r="M95" s="261">
        <f t="shared" si="9"/>
        <v>1</v>
      </c>
      <c r="N95" s="263">
        <v>116.298467358846</v>
      </c>
      <c r="O95" s="264">
        <v>73.5</v>
      </c>
      <c r="P95" s="263">
        <f t="shared" si="8"/>
        <v>145.82333358529525</v>
      </c>
      <c r="Q95" s="257">
        <f t="shared" si="12"/>
        <v>0.79752989113241257</v>
      </c>
    </row>
    <row r="96" spans="1:20" ht="12.65" customHeight="1">
      <c r="A96" s="10">
        <v>27791</v>
      </c>
      <c r="B96" s="255">
        <v>23810.14</v>
      </c>
      <c r="D96" s="257">
        <f>B96/C97</f>
        <v>7.9196499196048833E-2</v>
      </c>
      <c r="E96" s="2"/>
      <c r="F96" s="258">
        <f>D96*E97</f>
        <v>47633.68479945392</v>
      </c>
      <c r="H96" s="261">
        <f t="shared" si="10"/>
        <v>106.22192106297652</v>
      </c>
      <c r="I96" s="262">
        <f t="shared" si="14"/>
        <v>129.6947308217471</v>
      </c>
      <c r="J96" s="258">
        <f t="shared" si="15"/>
        <v>0</v>
      </c>
      <c r="K96" s="261">
        <f t="shared" ref="K96:K141" si="18">(K$142-K$94)/(M$141+1)+K95</f>
        <v>130.5261901768983</v>
      </c>
      <c r="L96" s="261">
        <v>1</v>
      </c>
      <c r="M96" s="261">
        <f t="shared" si="9"/>
        <v>2</v>
      </c>
      <c r="N96" s="263">
        <v>115.459279671152</v>
      </c>
      <c r="O96" s="264">
        <v>75.400000000000006</v>
      </c>
      <c r="P96" s="263">
        <f t="shared" si="8"/>
        <v>144.00832038249939</v>
      </c>
      <c r="Q96" s="257">
        <f t="shared" si="12"/>
        <v>0.80175422756463999</v>
      </c>
    </row>
    <row r="97" spans="1:20" ht="12.65" customHeight="1">
      <c r="A97" s="10">
        <v>27820</v>
      </c>
      <c r="B97" s="255">
        <v>26594.75</v>
      </c>
      <c r="C97" s="259">
        <f t="shared" ref="C97" si="19">SUM(B86:B97)</f>
        <v>300646.37</v>
      </c>
      <c r="D97" s="257">
        <f>B97/C97</f>
        <v>8.8458576765786334E-2</v>
      </c>
      <c r="E97" s="260">
        <v>601462</v>
      </c>
      <c r="F97" s="258">
        <f>D97*E97</f>
        <v>53204.472498703377</v>
      </c>
      <c r="H97" s="261">
        <f t="shared" si="10"/>
        <v>118.6446377547379</v>
      </c>
      <c r="I97" s="262">
        <f t="shared" si="14"/>
        <v>129.6947308217471</v>
      </c>
      <c r="J97" s="258">
        <f t="shared" si="15"/>
        <v>0</v>
      </c>
      <c r="K97" s="261">
        <f t="shared" si="18"/>
        <v>130.94191985447389</v>
      </c>
      <c r="L97" s="261">
        <v>1</v>
      </c>
      <c r="M97" s="261">
        <f t="shared" si="9"/>
        <v>3</v>
      </c>
      <c r="N97" s="263">
        <v>114.36721959585699</v>
      </c>
      <c r="O97" s="264">
        <v>77.900000000000006</v>
      </c>
      <c r="P97" s="263">
        <f t="shared" si="8"/>
        <v>141.63382085794677</v>
      </c>
      <c r="Q97" s="257">
        <f t="shared" si="12"/>
        <v>0.80748523836381481</v>
      </c>
    </row>
    <row r="98" spans="1:20" ht="12.65" customHeight="1">
      <c r="A98" s="10">
        <v>27851</v>
      </c>
      <c r="B98" s="255">
        <v>23015.83</v>
      </c>
      <c r="D98" s="257">
        <f>B98/C109</f>
        <v>7.0840027471950784E-2</v>
      </c>
      <c r="E98" s="2"/>
      <c r="F98" s="258">
        <f>D98*E109</f>
        <v>42651.009540174768</v>
      </c>
      <c r="H98" s="261">
        <f t="shared" si="10"/>
        <v>95.110680345364358</v>
      </c>
      <c r="I98" s="262">
        <f t="shared" si="14"/>
        <v>129.6947308217471</v>
      </c>
      <c r="J98" s="258">
        <f t="shared" si="15"/>
        <v>0</v>
      </c>
      <c r="K98" s="261">
        <f t="shared" si="18"/>
        <v>131.35764953204949</v>
      </c>
      <c r="L98" s="261">
        <v>1</v>
      </c>
      <c r="M98" s="261">
        <f t="shared" si="9"/>
        <v>4</v>
      </c>
      <c r="N98" s="263">
        <v>113.650101161176</v>
      </c>
      <c r="O98" s="264">
        <v>74.400000000000006</v>
      </c>
      <c r="P98" s="263">
        <f t="shared" si="8"/>
        <v>142.42679354724669</v>
      </c>
      <c r="Q98" s="257">
        <f t="shared" si="12"/>
        <v>0.79795450231402765</v>
      </c>
    </row>
    <row r="99" spans="1:20" ht="12.65" customHeight="1">
      <c r="A99" s="10">
        <v>27881</v>
      </c>
      <c r="B99" s="255">
        <v>24101.96</v>
      </c>
      <c r="D99" s="257">
        <f>B99/C109</f>
        <v>7.4183008326350122E-2</v>
      </c>
      <c r="E99" s="2"/>
      <c r="F99" s="258">
        <f>D99*E109</f>
        <v>44663.734738087252</v>
      </c>
      <c r="H99" s="261">
        <f t="shared" si="10"/>
        <v>99.599006998954977</v>
      </c>
      <c r="I99" s="262">
        <f t="shared" si="14"/>
        <v>129.6947308217471</v>
      </c>
      <c r="J99" s="258">
        <f t="shared" si="15"/>
        <v>0</v>
      </c>
      <c r="K99" s="261">
        <f t="shared" si="18"/>
        <v>131.77337920962509</v>
      </c>
      <c r="L99" s="261">
        <v>1</v>
      </c>
      <c r="M99" s="261">
        <f t="shared" si="9"/>
        <v>5</v>
      </c>
      <c r="N99" s="263">
        <v>114.15704470128399</v>
      </c>
      <c r="O99" s="264">
        <v>77.5</v>
      </c>
      <c r="P99" s="263">
        <f t="shared" si="8"/>
        <v>141.5799393876097</v>
      </c>
      <c r="Q99" s="257">
        <f t="shared" si="12"/>
        <v>0.80630804897261021</v>
      </c>
    </row>
    <row r="100" spans="1:20" ht="12.65" customHeight="1">
      <c r="A100" s="10">
        <v>27912</v>
      </c>
      <c r="B100" s="255">
        <v>25783.51</v>
      </c>
      <c r="D100" s="257">
        <f>B100/C109</f>
        <v>7.9358622162369011E-2</v>
      </c>
      <c r="E100" s="2"/>
      <c r="F100" s="258">
        <f>D100*E109</f>
        <v>47779.842438408319</v>
      </c>
      <c r="H100" s="261">
        <f t="shared" si="10"/>
        <v>106.54784892795546</v>
      </c>
      <c r="I100" s="262">
        <f t="shared" si="14"/>
        <v>129.6947308217471</v>
      </c>
      <c r="J100" s="258">
        <f t="shared" si="15"/>
        <v>0</v>
      </c>
      <c r="K100" s="261">
        <f t="shared" si="18"/>
        <v>132.18910888720069</v>
      </c>
      <c r="L100" s="261">
        <v>1</v>
      </c>
      <c r="M100" s="261">
        <f t="shared" si="9"/>
        <v>6</v>
      </c>
      <c r="N100" s="263">
        <v>114.18843481735701</v>
      </c>
      <c r="O100" s="264">
        <v>74.900000000000006</v>
      </c>
      <c r="P100" s="263">
        <f t="shared" si="8"/>
        <v>142.80477356876486</v>
      </c>
      <c r="Q100" s="257">
        <f t="shared" si="12"/>
        <v>0.79961216956358805</v>
      </c>
    </row>
    <row r="101" spans="1:20" ht="12.65" customHeight="1">
      <c r="A101" s="10">
        <v>27942</v>
      </c>
      <c r="B101" s="255">
        <v>28040.6</v>
      </c>
      <c r="D101" s="257">
        <f>B101/C109</f>
        <v>8.6305680669781754E-2</v>
      </c>
      <c r="E101" s="2"/>
      <c r="F101" s="258">
        <f>D101*E109</f>
        <v>51962.492689258848</v>
      </c>
      <c r="H101" s="261">
        <f t="shared" si="10"/>
        <v>115.87505396469402</v>
      </c>
      <c r="I101" s="262">
        <f t="shared" si="14"/>
        <v>129.6947308217471</v>
      </c>
      <c r="J101" s="258">
        <f t="shared" si="15"/>
        <v>0</v>
      </c>
      <c r="K101" s="261">
        <f t="shared" si="18"/>
        <v>132.60483856477629</v>
      </c>
      <c r="L101" s="261">
        <v>1</v>
      </c>
      <c r="M101" s="261">
        <f t="shared" si="9"/>
        <v>7</v>
      </c>
      <c r="N101" s="263">
        <v>114.038719999465</v>
      </c>
      <c r="O101" s="264">
        <v>75.2</v>
      </c>
      <c r="P101" s="263">
        <f t="shared" si="8"/>
        <v>142.49879455090434</v>
      </c>
      <c r="Q101" s="257">
        <f t="shared" si="12"/>
        <v>0.80027848908383126</v>
      </c>
    </row>
    <row r="102" spans="1:20" ht="12.65" customHeight="1">
      <c r="A102" s="10">
        <v>27973</v>
      </c>
      <c r="B102" s="255">
        <v>29428.560000000001</v>
      </c>
      <c r="D102" s="257">
        <f>B102/C109</f>
        <v>9.0577658892160406E-2</v>
      </c>
      <c r="E102" s="2"/>
      <c r="F102" s="258">
        <f>D102*E109</f>
        <v>54534.54397749748</v>
      </c>
      <c r="H102" s="261">
        <f t="shared" si="10"/>
        <v>121.61066375552723</v>
      </c>
      <c r="I102" s="262">
        <f t="shared" si="14"/>
        <v>129.6947308217471</v>
      </c>
      <c r="J102" s="258">
        <f t="shared" si="15"/>
        <v>0</v>
      </c>
      <c r="K102" s="261">
        <f t="shared" si="18"/>
        <v>133.02056824235189</v>
      </c>
      <c r="L102" s="261">
        <v>1</v>
      </c>
      <c r="M102" s="261">
        <f t="shared" si="9"/>
        <v>8</v>
      </c>
      <c r="N102" s="263">
        <v>112.896755283367</v>
      </c>
      <c r="O102" s="264">
        <v>74.8</v>
      </c>
      <c r="P102" s="263">
        <f t="shared" si="8"/>
        <v>141.39475202298624</v>
      </c>
      <c r="Q102" s="257">
        <f t="shared" si="12"/>
        <v>0.7984508170785124</v>
      </c>
    </row>
    <row r="103" spans="1:20" ht="12.65" customHeight="1">
      <c r="A103" s="10">
        <v>28004</v>
      </c>
      <c r="B103" s="255">
        <v>29168.47</v>
      </c>
      <c r="D103" s="257">
        <f>B103/C109</f>
        <v>8.9777132352592645E-2</v>
      </c>
      <c r="E103" s="2"/>
      <c r="F103" s="258">
        <f>D103*E109</f>
        <v>54052.566961187214</v>
      </c>
      <c r="H103" s="261">
        <f t="shared" si="10"/>
        <v>120.53586711117303</v>
      </c>
      <c r="I103" s="262">
        <f t="shared" si="14"/>
        <v>132.35226061843022</v>
      </c>
      <c r="J103" s="258">
        <f t="shared" si="15"/>
        <v>0</v>
      </c>
      <c r="K103" s="261">
        <f t="shared" si="18"/>
        <v>133.43629791992748</v>
      </c>
      <c r="L103" s="261">
        <v>1</v>
      </c>
      <c r="M103" s="261">
        <f t="shared" si="9"/>
        <v>9</v>
      </c>
      <c r="N103" s="263">
        <v>109.80776527706399</v>
      </c>
      <c r="O103" s="264">
        <v>75.5</v>
      </c>
      <c r="P103" s="263">
        <f t="shared" si="8"/>
        <v>137.59310955284067</v>
      </c>
      <c r="Q103" s="257">
        <f t="shared" si="12"/>
        <v>0.7980615136464656</v>
      </c>
    </row>
    <row r="104" spans="1:20" ht="12.65" customHeight="1">
      <c r="A104" s="10">
        <v>28034</v>
      </c>
      <c r="B104" s="255">
        <v>28663.33</v>
      </c>
      <c r="D104" s="257">
        <f>B104/C109</f>
        <v>8.8222370630891486E-2</v>
      </c>
      <c r="E104" s="2"/>
      <c r="F104" s="258">
        <f>D104*E109</f>
        <v>53116.483797593988</v>
      </c>
      <c r="H104" s="261">
        <f t="shared" si="10"/>
        <v>118.44842516058263</v>
      </c>
      <c r="I104" s="262">
        <f t="shared" si="14"/>
        <v>133.80178415381275</v>
      </c>
      <c r="J104" s="258">
        <f t="shared" si="15"/>
        <v>0</v>
      </c>
      <c r="K104" s="261">
        <f t="shared" si="18"/>
        <v>133.85202759750308</v>
      </c>
      <c r="L104" s="261">
        <v>1</v>
      </c>
      <c r="M104" s="261">
        <f t="shared" si="9"/>
        <v>10</v>
      </c>
      <c r="N104" s="263">
        <v>107.8090921818</v>
      </c>
      <c r="O104" s="264">
        <v>77.2</v>
      </c>
      <c r="P104" s="263">
        <f t="shared" si="8"/>
        <v>134.56281072045536</v>
      </c>
      <c r="Q104" s="257">
        <f t="shared" si="12"/>
        <v>0.80118044208935035</v>
      </c>
    </row>
    <row r="105" spans="1:20" ht="12.65" customHeight="1">
      <c r="A105" s="10">
        <v>28065</v>
      </c>
      <c r="B105" s="255">
        <v>27685.63</v>
      </c>
      <c r="D105" s="257">
        <f>B105/C109</f>
        <v>8.5213124609378188E-2</v>
      </c>
      <c r="E105" s="2"/>
      <c r="F105" s="258">
        <f>D105*E109</f>
        <v>51304.691999191375</v>
      </c>
      <c r="H105" s="261">
        <f t="shared" si="10"/>
        <v>114.4081749426386</v>
      </c>
      <c r="I105" s="262">
        <f t="shared" si="14"/>
        <v>133.80178415381275</v>
      </c>
      <c r="J105" s="258">
        <f t="shared" si="15"/>
        <v>0</v>
      </c>
      <c r="K105" s="261">
        <f t="shared" si="18"/>
        <v>134.26775727507868</v>
      </c>
      <c r="L105" s="261">
        <v>1</v>
      </c>
      <c r="M105" s="261">
        <f t="shared" si="9"/>
        <v>11</v>
      </c>
      <c r="N105" s="263">
        <v>107.74816888740099</v>
      </c>
      <c r="O105" s="264">
        <v>78</v>
      </c>
      <c r="P105" s="263">
        <f t="shared" si="8"/>
        <v>134.12816137165669</v>
      </c>
      <c r="Q105" s="257">
        <f t="shared" si="12"/>
        <v>0.80332249234999065</v>
      </c>
    </row>
    <row r="106" spans="1:20" ht="12.65" customHeight="1">
      <c r="A106" s="10">
        <v>28095</v>
      </c>
      <c r="B106" s="255">
        <v>30113.1</v>
      </c>
      <c r="D106" s="257">
        <f>B106/C109</f>
        <v>9.2684592789640918E-2</v>
      </c>
      <c r="E106" s="2"/>
      <c r="F106" s="258">
        <f>D106*E109</f>
        <v>55803.076203823053</v>
      </c>
      <c r="H106" s="261">
        <f t="shared" si="10"/>
        <v>124.43945876850808</v>
      </c>
      <c r="I106" s="262">
        <f t="shared" si="14"/>
        <v>140.06995964800842</v>
      </c>
      <c r="J106" s="258">
        <f t="shared" si="15"/>
        <v>0</v>
      </c>
      <c r="K106" s="261">
        <f t="shared" si="18"/>
        <v>134.68348695265428</v>
      </c>
      <c r="L106" s="261">
        <v>1</v>
      </c>
      <c r="M106" s="261">
        <f t="shared" si="9"/>
        <v>12</v>
      </c>
      <c r="N106" s="263">
        <v>109.85584918456399</v>
      </c>
      <c r="O106" s="264">
        <v>76.2</v>
      </c>
      <c r="P106" s="263">
        <f t="shared" si="8"/>
        <v>137.327063612004</v>
      </c>
      <c r="Q106" s="257">
        <f t="shared" si="12"/>
        <v>0.79995775264622571</v>
      </c>
      <c r="T106" s="257">
        <f t="shared" ref="T106" si="20">AVERAGE(Q95:Q106)</f>
        <v>0.80099129873378894</v>
      </c>
    </row>
    <row r="107" spans="1:20" ht="12.65" customHeight="1">
      <c r="A107" s="10">
        <v>28126</v>
      </c>
      <c r="B107" s="255">
        <v>24920.89</v>
      </c>
      <c r="D107" s="257">
        <f>B107/C109</f>
        <v>7.6703578894415869E-2</v>
      </c>
      <c r="E107" s="2"/>
      <c r="F107" s="258">
        <f>D107*E109</f>
        <v>46181.307262855436</v>
      </c>
      <c r="H107" s="261">
        <f t="shared" si="10"/>
        <v>102.98315562428064</v>
      </c>
      <c r="I107" s="262">
        <f t="shared" si="14"/>
        <v>140.06995964800842</v>
      </c>
      <c r="J107" s="258">
        <f t="shared" si="15"/>
        <v>0</v>
      </c>
      <c r="K107" s="261">
        <f t="shared" si="18"/>
        <v>135.09921663022988</v>
      </c>
      <c r="L107" s="261">
        <v>1</v>
      </c>
      <c r="M107" s="261">
        <f t="shared" si="9"/>
        <v>13</v>
      </c>
      <c r="N107" s="263">
        <v>112.976211769096</v>
      </c>
      <c r="O107" s="264">
        <v>76.099999999999994</v>
      </c>
      <c r="P107" s="263">
        <f t="shared" si="8"/>
        <v>140.88957418693033</v>
      </c>
      <c r="Q107" s="257">
        <f t="shared" si="12"/>
        <v>0.80187772886019748</v>
      </c>
    </row>
    <row r="108" spans="1:20" ht="12.65" customHeight="1">
      <c r="A108" s="10">
        <v>28157</v>
      </c>
      <c r="B108" s="255">
        <v>25333.03</v>
      </c>
      <c r="D108" s="257">
        <f>B108/C109</f>
        <v>7.7972097514960495E-2</v>
      </c>
      <c r="E108" s="2"/>
      <c r="F108" s="258">
        <f>D108*E109</f>
        <v>46945.050611319843</v>
      </c>
      <c r="H108" s="261">
        <f t="shared" si="10"/>
        <v>104.68628411443453</v>
      </c>
      <c r="I108" s="262">
        <f t="shared" si="14"/>
        <v>140.06995964800842</v>
      </c>
      <c r="J108" s="258">
        <f t="shared" si="15"/>
        <v>0</v>
      </c>
      <c r="K108" s="261">
        <f t="shared" si="18"/>
        <v>135.51494630780547</v>
      </c>
      <c r="L108" s="261">
        <v>1</v>
      </c>
      <c r="M108" s="261">
        <f t="shared" si="9"/>
        <v>14</v>
      </c>
      <c r="N108" s="263">
        <v>114.63773110005501</v>
      </c>
      <c r="O108" s="264">
        <v>78.2</v>
      </c>
      <c r="P108" s="263">
        <f t="shared" si="8"/>
        <v>141.80145220653904</v>
      </c>
      <c r="Q108" s="257">
        <f t="shared" si="12"/>
        <v>0.80843834330469988</v>
      </c>
    </row>
    <row r="109" spans="1:20" ht="12.65" customHeight="1">
      <c r="A109" s="10">
        <v>28185</v>
      </c>
      <c r="B109" s="255">
        <v>28643.75</v>
      </c>
      <c r="C109" s="259">
        <f t="shared" ref="C109" si="21">SUM(B98:B109)</f>
        <v>324898.66000000003</v>
      </c>
      <c r="D109" s="257">
        <f>B109/C109</f>
        <v>8.816210568550821E-2</v>
      </c>
      <c r="E109" s="260">
        <v>602075</v>
      </c>
      <c r="F109" s="258">
        <f>D109*E109</f>
        <v>53080.199780602357</v>
      </c>
      <c r="H109" s="261">
        <f t="shared" si="10"/>
        <v>118.36751271375094</v>
      </c>
      <c r="I109" s="262">
        <f t="shared" si="14"/>
        <v>140.06995964800842</v>
      </c>
      <c r="J109" s="258">
        <f t="shared" si="15"/>
        <v>0</v>
      </c>
      <c r="K109" s="261">
        <f t="shared" si="18"/>
        <v>135.93067598538107</v>
      </c>
      <c r="L109" s="261">
        <v>1</v>
      </c>
      <c r="M109" s="261">
        <f t="shared" si="9"/>
        <v>15</v>
      </c>
      <c r="N109" s="263">
        <v>114.9195844366</v>
      </c>
      <c r="O109" s="264">
        <v>79.2</v>
      </c>
      <c r="P109" s="263">
        <f t="shared" si="8"/>
        <v>141.66162795772934</v>
      </c>
      <c r="Q109" s="257">
        <f t="shared" si="12"/>
        <v>0.81122591977335645</v>
      </c>
    </row>
    <row r="110" spans="1:20" ht="12.65" customHeight="1">
      <c r="A110" s="10">
        <v>28216</v>
      </c>
      <c r="B110" s="255">
        <v>24237.43</v>
      </c>
      <c r="D110" s="257">
        <f>B110/C121</f>
        <v>6.7874471225187666E-2</v>
      </c>
      <c r="E110" s="2"/>
      <c r="F110" s="258">
        <f>D110*E121</f>
        <v>44610.835585110719</v>
      </c>
      <c r="H110" s="261">
        <f t="shared" si="10"/>
        <v>99.481043216068372</v>
      </c>
      <c r="I110" s="262">
        <f t="shared" si="14"/>
        <v>140.06995964800842</v>
      </c>
      <c r="J110" s="258">
        <f t="shared" si="15"/>
        <v>0</v>
      </c>
      <c r="K110" s="261">
        <f t="shared" si="18"/>
        <v>136.34640566295667</v>
      </c>
      <c r="L110" s="261">
        <v>1</v>
      </c>
      <c r="M110" s="261">
        <f t="shared" si="9"/>
        <v>16</v>
      </c>
      <c r="N110" s="263">
        <v>117.716404790252</v>
      </c>
      <c r="O110" s="264">
        <v>79.5</v>
      </c>
      <c r="P110" s="263">
        <f t="shared" si="8"/>
        <v>144.6765013686751</v>
      </c>
      <c r="Q110" s="257">
        <f t="shared" si="12"/>
        <v>0.81365255363950606</v>
      </c>
    </row>
    <row r="111" spans="1:20" ht="12.65" customHeight="1">
      <c r="A111" s="10">
        <v>28246</v>
      </c>
      <c r="B111" s="255">
        <v>25340.53</v>
      </c>
      <c r="D111" s="257">
        <f>B111/C121</f>
        <v>7.0963591202367768E-2</v>
      </c>
      <c r="E111" s="2"/>
      <c r="F111" s="258">
        <f>D111*E121</f>
        <v>46641.175135712227</v>
      </c>
      <c r="H111" s="261">
        <f t="shared" si="10"/>
        <v>104.00864943387467</v>
      </c>
      <c r="I111" s="262">
        <f t="shared" si="14"/>
        <v>140.06995964800842</v>
      </c>
      <c r="J111" s="258">
        <f t="shared" si="15"/>
        <v>0</v>
      </c>
      <c r="K111" s="261">
        <f t="shared" si="18"/>
        <v>136.76213534053227</v>
      </c>
      <c r="L111" s="261">
        <v>1</v>
      </c>
      <c r="M111" s="261">
        <f t="shared" si="9"/>
        <v>17</v>
      </c>
      <c r="N111" s="263">
        <v>118.48223647188701</v>
      </c>
      <c r="O111" s="264">
        <v>79.900000000000006</v>
      </c>
      <c r="P111" s="263">
        <f t="shared" si="8"/>
        <v>145.35662827083939</v>
      </c>
      <c r="Q111" s="257">
        <f t="shared" si="12"/>
        <v>0.81511409477056662</v>
      </c>
    </row>
    <row r="112" spans="1:20" ht="12.65" customHeight="1">
      <c r="A112" s="10">
        <v>28277</v>
      </c>
      <c r="B112" s="255">
        <v>26997.46</v>
      </c>
      <c r="D112" s="257">
        <f>B112/C121</f>
        <v>7.5603656077527809E-2</v>
      </c>
      <c r="E112" s="2"/>
      <c r="F112" s="258">
        <f>D112*E121</f>
        <v>49690.880975235537</v>
      </c>
      <c r="H112" s="261">
        <f t="shared" si="10"/>
        <v>110.8094168805883</v>
      </c>
      <c r="I112" s="262">
        <f t="shared" si="14"/>
        <v>140.06995964800842</v>
      </c>
      <c r="J112" s="258">
        <f t="shared" si="15"/>
        <v>0</v>
      </c>
      <c r="K112" s="261">
        <f t="shared" si="18"/>
        <v>137.17786501810787</v>
      </c>
      <c r="L112" s="261">
        <v>1</v>
      </c>
      <c r="M112" s="261">
        <f t="shared" si="9"/>
        <v>18</v>
      </c>
      <c r="N112" s="263">
        <v>118.039175484735</v>
      </c>
      <c r="O112" s="264">
        <v>80.5</v>
      </c>
      <c r="P112" s="263">
        <f t="shared" si="8"/>
        <v>144.58279247216154</v>
      </c>
      <c r="Q112" s="257">
        <f t="shared" si="12"/>
        <v>0.81641233694848336</v>
      </c>
    </row>
    <row r="113" spans="1:20" ht="12.65" customHeight="1">
      <c r="A113" s="10">
        <v>28307</v>
      </c>
      <c r="B113" s="255">
        <v>29287.42</v>
      </c>
      <c r="D113" s="257">
        <f>B113/C121</f>
        <v>8.2016457440000259E-2</v>
      </c>
      <c r="E113" s="2"/>
      <c r="F113" s="258">
        <f>D113*E121</f>
        <v>53905.726734727374</v>
      </c>
      <c r="H113" s="261">
        <f t="shared" si="10"/>
        <v>120.20841709319615</v>
      </c>
      <c r="I113" s="262">
        <f t="shared" si="14"/>
        <v>140.06995964800842</v>
      </c>
      <c r="J113" s="258">
        <f t="shared" si="15"/>
        <v>0</v>
      </c>
      <c r="K113" s="261">
        <f t="shared" si="18"/>
        <v>137.59359469568346</v>
      </c>
      <c r="L113" s="261">
        <v>1</v>
      </c>
      <c r="M113" s="261">
        <f t="shared" si="9"/>
        <v>19</v>
      </c>
      <c r="N113" s="263">
        <v>117.594418846716</v>
      </c>
      <c r="O113" s="264">
        <v>82.1</v>
      </c>
      <c r="P113" s="263">
        <f t="shared" si="8"/>
        <v>143.34956239115581</v>
      </c>
      <c r="Q113" s="257">
        <f t="shared" si="12"/>
        <v>0.82033329495515206</v>
      </c>
    </row>
    <row r="114" spans="1:20" ht="12.65" customHeight="1">
      <c r="A114" s="10">
        <v>28338</v>
      </c>
      <c r="B114" s="255">
        <v>31489.040000000001</v>
      </c>
      <c r="D114" s="257">
        <f>B114/C121</f>
        <v>8.818187156760364E-2</v>
      </c>
      <c r="E114" s="2"/>
      <c r="F114" s="258">
        <f>D114*E121</f>
        <v>57957.975997165333</v>
      </c>
      <c r="H114" s="261">
        <f t="shared" si="10"/>
        <v>129.24483120002847</v>
      </c>
      <c r="I114" s="262">
        <f t="shared" si="14"/>
        <v>140.06995964800842</v>
      </c>
      <c r="J114" s="258">
        <f t="shared" si="15"/>
        <v>0</v>
      </c>
      <c r="K114" s="261">
        <f t="shared" si="18"/>
        <v>138.00932437325906</v>
      </c>
      <c r="L114" s="261">
        <v>1</v>
      </c>
      <c r="M114" s="261">
        <f t="shared" si="9"/>
        <v>20</v>
      </c>
      <c r="N114" s="263">
        <v>119.840316716066</v>
      </c>
      <c r="O114" s="264">
        <v>80.8</v>
      </c>
      <c r="P114" s="263">
        <f t="shared" si="8"/>
        <v>146.47549925716518</v>
      </c>
      <c r="Q114" s="257">
        <f t="shared" si="12"/>
        <v>0.81815946915233839</v>
      </c>
    </row>
    <row r="115" spans="1:20" ht="12.65" customHeight="1">
      <c r="A115" s="10">
        <v>28369</v>
      </c>
      <c r="B115" s="255">
        <v>32246.13</v>
      </c>
      <c r="D115" s="257">
        <f>B115/C121</f>
        <v>9.0302025536893177E-2</v>
      </c>
      <c r="E115" s="2"/>
      <c r="F115" s="258">
        <f>D115*E121</f>
        <v>59351.457794250724</v>
      </c>
      <c r="H115" s="261">
        <f t="shared" si="10"/>
        <v>132.35226061843022</v>
      </c>
      <c r="I115" s="262">
        <f t="shared" si="14"/>
        <v>140.06995964800842</v>
      </c>
      <c r="J115" s="258">
        <f t="shared" si="15"/>
        <v>0</v>
      </c>
      <c r="K115" s="261">
        <f t="shared" si="18"/>
        <v>138.42505405083466</v>
      </c>
      <c r="L115" s="261">
        <v>1</v>
      </c>
      <c r="M115" s="261">
        <f t="shared" si="9"/>
        <v>21</v>
      </c>
      <c r="N115" s="263">
        <v>120.795280798416</v>
      </c>
      <c r="O115" s="264">
        <v>79.8</v>
      </c>
      <c r="P115" s="263">
        <f t="shared" si="8"/>
        <v>148.00926177258489</v>
      </c>
      <c r="Q115" s="257">
        <f t="shared" si="12"/>
        <v>0.81613325647159185</v>
      </c>
    </row>
    <row r="116" spans="1:20" ht="12.65" customHeight="1">
      <c r="A116" s="10">
        <v>28399</v>
      </c>
      <c r="B116" s="255">
        <v>32599.29</v>
      </c>
      <c r="D116" s="257">
        <f>B116/C121</f>
        <v>9.129101439659848E-2</v>
      </c>
      <c r="E116" s="2"/>
      <c r="F116" s="258">
        <f>D116*E121</f>
        <v>60001.475667236336</v>
      </c>
      <c r="H116" s="261">
        <f t="shared" si="10"/>
        <v>133.80178415381275</v>
      </c>
      <c r="I116" s="262">
        <f t="shared" si="14"/>
        <v>140.06995964800842</v>
      </c>
      <c r="J116" s="258">
        <f t="shared" si="15"/>
        <v>0</v>
      </c>
      <c r="K116" s="261">
        <f t="shared" si="18"/>
        <v>138.84078372841026</v>
      </c>
      <c r="L116" s="261">
        <v>1</v>
      </c>
      <c r="M116" s="261">
        <f t="shared" si="9"/>
        <v>22</v>
      </c>
      <c r="N116" s="263">
        <v>122.055725022872</v>
      </c>
      <c r="O116" s="264">
        <v>80</v>
      </c>
      <c r="P116" s="263">
        <f t="shared" si="8"/>
        <v>149.3383316649597</v>
      </c>
      <c r="Q116" s="257">
        <f t="shared" si="12"/>
        <v>0.81731008818756468</v>
      </c>
    </row>
    <row r="117" spans="1:20" ht="12.65" customHeight="1">
      <c r="A117" s="10">
        <v>28430</v>
      </c>
      <c r="B117" s="255">
        <v>31800.31</v>
      </c>
      <c r="D117" s="257">
        <f>B117/C121</f>
        <v>8.9053551719264282E-2</v>
      </c>
      <c r="E117" s="2"/>
      <c r="F117" s="258">
        <f>D117*E121</f>
        <v>58530.892135245049</v>
      </c>
      <c r="H117" s="261">
        <f t="shared" si="10"/>
        <v>130.52241980252742</v>
      </c>
      <c r="I117" s="262">
        <f t="shared" si="14"/>
        <v>140.06995964800842</v>
      </c>
      <c r="J117" s="258">
        <f t="shared" si="15"/>
        <v>0</v>
      </c>
      <c r="K117" s="261">
        <f t="shared" si="18"/>
        <v>139.25651340598586</v>
      </c>
      <c r="L117" s="261">
        <v>1</v>
      </c>
      <c r="M117" s="261">
        <f t="shared" si="9"/>
        <v>23</v>
      </c>
      <c r="N117" s="263">
        <v>122.43699802461499</v>
      </c>
      <c r="O117" s="264">
        <v>79.099999999999994</v>
      </c>
      <c r="P117" s="263">
        <f t="shared" si="8"/>
        <v>150.17977512084892</v>
      </c>
      <c r="Q117" s="257">
        <f t="shared" si="12"/>
        <v>0.81526955228219344</v>
      </c>
    </row>
    <row r="118" spans="1:20" ht="12.65" customHeight="1">
      <c r="A118" s="10">
        <v>28460</v>
      </c>
      <c r="B118" s="255">
        <v>34126.46</v>
      </c>
      <c r="D118" s="257">
        <f>B118/C121</f>
        <v>9.5567699516306712E-2</v>
      </c>
      <c r="E118" s="2"/>
      <c r="F118" s="258">
        <f>D118*E121</f>
        <v>62812.348345590166</v>
      </c>
      <c r="H118" s="261">
        <f t="shared" si="10"/>
        <v>140.06995964800842</v>
      </c>
      <c r="I118" s="262">
        <f t="shared" si="14"/>
        <v>147.02858060444416</v>
      </c>
      <c r="J118" s="258">
        <f t="shared" si="15"/>
        <v>0</v>
      </c>
      <c r="K118" s="261">
        <f t="shared" si="18"/>
        <v>139.67224308356145</v>
      </c>
      <c r="L118" s="261">
        <v>1</v>
      </c>
      <c r="M118" s="261">
        <f t="shared" si="9"/>
        <v>24</v>
      </c>
      <c r="N118" s="263">
        <v>123.09744956578901</v>
      </c>
      <c r="O118" s="264">
        <v>81</v>
      </c>
      <c r="P118" s="263">
        <f t="shared" si="8"/>
        <v>150.05490993448072</v>
      </c>
      <c r="Q118" s="257">
        <f t="shared" si="12"/>
        <v>0.82034936157395788</v>
      </c>
      <c r="T118" s="257">
        <f t="shared" ref="T118" si="22">AVERAGE(Q107:Q118)</f>
        <v>0.81452299999330069</v>
      </c>
    </row>
    <row r="119" spans="1:20" ht="12.65" customHeight="1">
      <c r="A119" s="10">
        <v>28491</v>
      </c>
      <c r="B119" s="255">
        <v>27864.37</v>
      </c>
      <c r="D119" s="257">
        <f>B119/C121</f>
        <v>7.8031349849096307E-2</v>
      </c>
      <c r="E119" s="2"/>
      <c r="F119" s="258">
        <f>D119*E121</f>
        <v>51286.494845067791</v>
      </c>
      <c r="H119" s="261">
        <f t="shared" si="10"/>
        <v>114.36759574585751</v>
      </c>
      <c r="I119" s="262">
        <f t="shared" si="14"/>
        <v>147.02858060444416</v>
      </c>
      <c r="J119" s="258">
        <f t="shared" si="15"/>
        <v>0</v>
      </c>
      <c r="K119" s="261">
        <f t="shared" si="18"/>
        <v>140.08797276113705</v>
      </c>
      <c r="L119" s="261">
        <v>1</v>
      </c>
      <c r="M119" s="261">
        <f t="shared" si="9"/>
        <v>25</v>
      </c>
      <c r="N119" s="263">
        <v>126.42965823199501</v>
      </c>
      <c r="O119" s="264">
        <v>80.5</v>
      </c>
      <c r="P119" s="263">
        <f t="shared" si="8"/>
        <v>154.03917204610536</v>
      </c>
      <c r="Q119" s="257">
        <f t="shared" si="12"/>
        <v>0.82076303418557339</v>
      </c>
    </row>
    <row r="120" spans="1:20" ht="12.65" customHeight="1">
      <c r="A120" s="10">
        <v>28522</v>
      </c>
      <c r="B120" s="255">
        <v>28118.79</v>
      </c>
      <c r="D120" s="257">
        <f>B120/C121</f>
        <v>7.8743827325838373E-2</v>
      </c>
      <c r="E120" s="2"/>
      <c r="F120" s="258">
        <f>D120*E121</f>
        <v>51754.774229043898</v>
      </c>
      <c r="H120" s="261">
        <f t="shared" si="10"/>
        <v>115.41184701404197</v>
      </c>
      <c r="I120" s="262">
        <f t="shared" si="14"/>
        <v>147.02858060444416</v>
      </c>
      <c r="J120" s="258">
        <f t="shared" si="15"/>
        <v>0</v>
      </c>
      <c r="K120" s="261">
        <f t="shared" si="18"/>
        <v>140.50370243871265</v>
      </c>
      <c r="L120" s="261">
        <v>1</v>
      </c>
      <c r="M120" s="261">
        <f t="shared" si="9"/>
        <v>26</v>
      </c>
      <c r="N120" s="263">
        <v>127.197709684223</v>
      </c>
      <c r="O120" s="264">
        <v>78.7</v>
      </c>
      <c r="P120" s="263">
        <f t="shared" si="8"/>
        <v>155.72826379908278</v>
      </c>
      <c r="Q120" s="257">
        <f t="shared" si="12"/>
        <v>0.81679270404202742</v>
      </c>
    </row>
    <row r="121" spans="1:20" ht="12.65" customHeight="1">
      <c r="A121" s="10">
        <v>28550</v>
      </c>
      <c r="B121" s="255">
        <v>32984.76</v>
      </c>
      <c r="C121" s="259">
        <f t="shared" ref="C121" si="23">SUM(B110:B121)</f>
        <v>357091.99</v>
      </c>
      <c r="D121" s="257">
        <f>B121/C121</f>
        <v>9.237048414331557E-2</v>
      </c>
      <c r="E121" s="260">
        <v>657255</v>
      </c>
      <c r="F121" s="258">
        <f>D121*E121</f>
        <v>60710.962555614875</v>
      </c>
      <c r="H121" s="261">
        <f t="shared" si="10"/>
        <v>135.38392210030699</v>
      </c>
      <c r="I121" s="262">
        <f t="shared" si="14"/>
        <v>147.02858060444416</v>
      </c>
      <c r="J121" s="258">
        <f t="shared" si="15"/>
        <v>0</v>
      </c>
      <c r="K121" s="261">
        <f t="shared" si="18"/>
        <v>140.91943211628825</v>
      </c>
      <c r="L121" s="261">
        <v>1</v>
      </c>
      <c r="M121" s="261">
        <f t="shared" si="9"/>
        <v>27</v>
      </c>
      <c r="N121" s="263">
        <v>132.33066332657199</v>
      </c>
      <c r="O121" s="264">
        <v>79.7</v>
      </c>
      <c r="P121" s="263">
        <f t="shared" si="8"/>
        <v>161.05580623521598</v>
      </c>
      <c r="Q121" s="257">
        <f t="shared" si="12"/>
        <v>0.82164478524486106</v>
      </c>
    </row>
    <row r="122" spans="1:20" ht="12.65" customHeight="1">
      <c r="A122" s="10">
        <v>28581</v>
      </c>
      <c r="B122" s="255">
        <v>28617.03</v>
      </c>
      <c r="D122" s="257">
        <f>B122/C133</f>
        <v>7.3741876696712672E-2</v>
      </c>
      <c r="E122" s="2"/>
      <c r="F122" s="258">
        <f>D122*E133</f>
        <v>50447.702750741497</v>
      </c>
      <c r="H122" s="261">
        <f t="shared" si="10"/>
        <v>112.49711043683941</v>
      </c>
      <c r="I122" s="262">
        <f t="shared" si="14"/>
        <v>147.02858060444416</v>
      </c>
      <c r="J122" s="258">
        <f t="shared" si="15"/>
        <v>0</v>
      </c>
      <c r="K122" s="261">
        <f t="shared" si="18"/>
        <v>141.33516179386385</v>
      </c>
      <c r="L122" s="261">
        <v>1</v>
      </c>
      <c r="M122" s="261">
        <f t="shared" si="9"/>
        <v>28</v>
      </c>
      <c r="N122" s="263">
        <v>132.98763152480299</v>
      </c>
      <c r="O122" s="264">
        <v>80.3</v>
      </c>
      <c r="P122" s="263">
        <f t="shared" si="8"/>
        <v>161.52174338318946</v>
      </c>
      <c r="Q122" s="257">
        <f t="shared" si="12"/>
        <v>0.82334197699505396</v>
      </c>
    </row>
    <row r="123" spans="1:20" ht="12.65" customHeight="1">
      <c r="A123" s="10">
        <v>28611</v>
      </c>
      <c r="B123" s="255">
        <v>29296.55</v>
      </c>
      <c r="D123" s="257">
        <f>B123/C133</f>
        <v>7.5492899778176761E-2</v>
      </c>
      <c r="E123" s="2"/>
      <c r="F123" s="258">
        <f>D123*E133</f>
        <v>51645.598653048059</v>
      </c>
      <c r="H123" s="261">
        <f t="shared" si="10"/>
        <v>115.16838822087365</v>
      </c>
      <c r="I123" s="262">
        <f t="shared" si="14"/>
        <v>147.02858060444416</v>
      </c>
      <c r="J123" s="258">
        <f t="shared" si="15"/>
        <v>0</v>
      </c>
      <c r="K123" s="261">
        <f t="shared" si="18"/>
        <v>141.75089147143945</v>
      </c>
      <c r="L123" s="261">
        <v>1</v>
      </c>
      <c r="M123" s="261">
        <f t="shared" si="9"/>
        <v>29</v>
      </c>
      <c r="N123" s="263">
        <v>131.68953160345899</v>
      </c>
      <c r="O123" s="264">
        <v>80</v>
      </c>
      <c r="P123" s="263">
        <f t="shared" si="8"/>
        <v>160.19598247149264</v>
      </c>
      <c r="Q123" s="257">
        <f t="shared" si="12"/>
        <v>0.82205264808618739</v>
      </c>
    </row>
    <row r="124" spans="1:20" ht="12.65" customHeight="1">
      <c r="A124" s="10">
        <v>28642</v>
      </c>
      <c r="B124" s="255">
        <v>31553.54</v>
      </c>
      <c r="D124" s="257">
        <f>B124/C133</f>
        <v>8.1308831001148316E-2</v>
      </c>
      <c r="E124" s="2"/>
      <c r="F124" s="258">
        <f>D124*E133</f>
        <v>55624.34699385758</v>
      </c>
      <c r="H124" s="261">
        <f t="shared" si="10"/>
        <v>124.04089711801787</v>
      </c>
      <c r="I124" s="262">
        <f t="shared" si="14"/>
        <v>147.02858060444416</v>
      </c>
      <c r="J124" s="258">
        <f t="shared" si="15"/>
        <v>0</v>
      </c>
      <c r="K124" s="261">
        <f t="shared" si="18"/>
        <v>142.16662114901504</v>
      </c>
      <c r="L124" s="261">
        <v>1</v>
      </c>
      <c r="M124" s="261">
        <f t="shared" si="9"/>
        <v>30</v>
      </c>
      <c r="N124" s="263">
        <v>132.320292037831</v>
      </c>
      <c r="O124" s="264">
        <v>81.5</v>
      </c>
      <c r="P124" s="263">
        <f t="shared" si="8"/>
        <v>160.22064761545673</v>
      </c>
      <c r="Q124" s="257">
        <f t="shared" si="12"/>
        <v>0.82586292096016878</v>
      </c>
    </row>
    <row r="125" spans="1:20" ht="12.65" customHeight="1">
      <c r="A125" s="10">
        <v>28672</v>
      </c>
      <c r="B125" s="255">
        <v>34231.67</v>
      </c>
      <c r="D125" s="257">
        <f>B125/C133</f>
        <v>8.82099780537169E-2</v>
      </c>
      <c r="E125" s="2"/>
      <c r="F125" s="258">
        <f>D125*E133</f>
        <v>60345.504506284378</v>
      </c>
      <c r="H125" s="261">
        <f t="shared" si="10"/>
        <v>134.56895982662923</v>
      </c>
      <c r="I125" s="262">
        <f t="shared" si="14"/>
        <v>147.02858060444416</v>
      </c>
      <c r="J125" s="258">
        <f t="shared" si="15"/>
        <v>0</v>
      </c>
      <c r="K125" s="261">
        <f t="shared" si="18"/>
        <v>142.58235082659064</v>
      </c>
      <c r="L125" s="261">
        <v>1</v>
      </c>
      <c r="M125" s="261">
        <f t="shared" si="9"/>
        <v>31</v>
      </c>
      <c r="N125" s="263">
        <v>131.31807655927901</v>
      </c>
      <c r="O125" s="264">
        <v>82.3</v>
      </c>
      <c r="P125" s="263">
        <f t="shared" si="8"/>
        <v>158.72512770039131</v>
      </c>
      <c r="Q125" s="257">
        <f t="shared" ref="Q125:Q188" si="24">N125/P125</f>
        <v>0.82733010495448644</v>
      </c>
    </row>
    <row r="126" spans="1:20" ht="12.65" customHeight="1">
      <c r="A126" s="10">
        <v>28703</v>
      </c>
      <c r="B126" s="255">
        <v>34627.72</v>
      </c>
      <c r="D126" s="257">
        <f>B126/C133</f>
        <v>8.9230540644095191E-2</v>
      </c>
      <c r="E126" s="2"/>
      <c r="F126" s="258">
        <f>D126*E133</f>
        <v>61043.683621113247</v>
      </c>
      <c r="H126" s="261">
        <f t="shared" si="10"/>
        <v>136.1258817220359</v>
      </c>
      <c r="I126" s="262">
        <f t="shared" si="14"/>
        <v>147.02858060444416</v>
      </c>
      <c r="J126" s="258">
        <f t="shared" si="15"/>
        <v>0</v>
      </c>
      <c r="K126" s="261">
        <f t="shared" si="18"/>
        <v>142.99808050416624</v>
      </c>
      <c r="L126" s="261">
        <v>1</v>
      </c>
      <c r="M126" s="261">
        <f t="shared" si="9"/>
        <v>32</v>
      </c>
      <c r="N126" s="263">
        <v>126.495607677018</v>
      </c>
      <c r="O126" s="264">
        <v>84.6</v>
      </c>
      <c r="P126" s="263">
        <f t="shared" ref="P126:P189" si="25" xml:space="preserve"> 48.3757429845 + 1.12703641242*N126 - 0.457483222058*O126</f>
        <v>152.23781826158736</v>
      </c>
      <c r="Q126" s="257">
        <f t="shared" si="24"/>
        <v>0.83090791185448409</v>
      </c>
    </row>
    <row r="127" spans="1:20" ht="12.65" customHeight="1">
      <c r="A127" s="10">
        <v>28734</v>
      </c>
      <c r="B127" s="255">
        <v>33705.4</v>
      </c>
      <c r="D127" s="257">
        <f>B127/C133</f>
        <v>8.6853857678919844E-2</v>
      </c>
      <c r="E127" s="2"/>
      <c r="F127" s="258">
        <f>D127*E133</f>
        <v>59417.766284441212</v>
      </c>
      <c r="H127" s="261">
        <f t="shared" si="10"/>
        <v>132.50012688660732</v>
      </c>
      <c r="I127" s="262">
        <f t="shared" si="14"/>
        <v>147.02858060444416</v>
      </c>
      <c r="J127" s="258">
        <f t="shared" si="15"/>
        <v>0</v>
      </c>
      <c r="K127" s="261">
        <f t="shared" si="18"/>
        <v>143.41381018174184</v>
      </c>
      <c r="L127" s="261">
        <v>1</v>
      </c>
      <c r="M127" s="261">
        <f t="shared" ref="M127:M190" si="26">M126+L127</f>
        <v>33</v>
      </c>
      <c r="N127" s="263">
        <v>120.54554527584099</v>
      </c>
      <c r="O127" s="264">
        <v>85.4</v>
      </c>
      <c r="P127" s="263">
        <f t="shared" si="25"/>
        <v>145.16589470164331</v>
      </c>
      <c r="Q127" s="257">
        <f t="shared" si="24"/>
        <v>0.83039852799857672</v>
      </c>
    </row>
    <row r="128" spans="1:20" ht="12.65" customHeight="1">
      <c r="A128" s="10">
        <v>28764</v>
      </c>
      <c r="B128" s="255">
        <v>34543.32</v>
      </c>
      <c r="D128" s="257">
        <f>B128/C133</f>
        <v>8.9013054259477267E-2</v>
      </c>
      <c r="E128" s="2"/>
      <c r="F128" s="258">
        <f>D128*E133</f>
        <v>60894.898575559513</v>
      </c>
      <c r="H128" s="261">
        <f t="shared" si="10"/>
        <v>135.79409480631233</v>
      </c>
      <c r="I128" s="262">
        <f t="shared" si="14"/>
        <v>147.90265441101488</v>
      </c>
      <c r="J128" s="258">
        <f t="shared" si="15"/>
        <v>0</v>
      </c>
      <c r="K128" s="261">
        <f t="shared" si="18"/>
        <v>143.82953985931744</v>
      </c>
      <c r="L128" s="261">
        <v>1</v>
      </c>
      <c r="M128" s="261">
        <f t="shared" si="26"/>
        <v>34</v>
      </c>
      <c r="N128" s="263">
        <v>122.66934170993299</v>
      </c>
      <c r="O128" s="264">
        <v>84.8</v>
      </c>
      <c r="P128" s="263">
        <f t="shared" si="25"/>
        <v>147.83398054866754</v>
      </c>
      <c r="Q128" s="257">
        <f t="shared" si="24"/>
        <v>0.82977770912114324</v>
      </c>
    </row>
    <row r="129" spans="1:20" ht="12.65" customHeight="1">
      <c r="A129" s="10">
        <v>28795</v>
      </c>
      <c r="B129" s="255">
        <v>34724.47</v>
      </c>
      <c r="D129" s="257">
        <f>B129/C133</f>
        <v>8.9479851162007323E-2</v>
      </c>
      <c r="E129" s="2"/>
      <c r="F129" s="258">
        <f>D129*E133</f>
        <v>61214.239938143153</v>
      </c>
      <c r="H129" s="261">
        <f t="shared" si="10"/>
        <v>136.50621802649394</v>
      </c>
      <c r="I129" s="262">
        <f t="shared" si="14"/>
        <v>147.90265441101488</v>
      </c>
      <c r="J129" s="258">
        <f t="shared" si="15"/>
        <v>0</v>
      </c>
      <c r="K129" s="261">
        <f t="shared" si="18"/>
        <v>144.24526953689303</v>
      </c>
      <c r="L129" s="261">
        <v>1</v>
      </c>
      <c r="M129" s="261">
        <f t="shared" si="26"/>
        <v>35</v>
      </c>
      <c r="N129" s="263">
        <v>125.791072339485</v>
      </c>
      <c r="O129" s="264">
        <v>84.1</v>
      </c>
      <c r="P129" s="263">
        <f t="shared" si="25"/>
        <v>151.67252289338006</v>
      </c>
      <c r="Q129" s="257">
        <f t="shared" si="24"/>
        <v>0.82935966211830781</v>
      </c>
    </row>
    <row r="130" spans="1:20" ht="12.65" customHeight="1">
      <c r="A130" s="10">
        <v>28825</v>
      </c>
      <c r="B130" s="255">
        <v>37401.15</v>
      </c>
      <c r="D130" s="257">
        <f>B130/C133</f>
        <v>9.6377261777873355E-2</v>
      </c>
      <c r="E130" s="2"/>
      <c r="F130" s="258">
        <f>D130*E133</f>
        <v>65932.841309384501</v>
      </c>
      <c r="H130" s="261">
        <f t="shared" ref="H130:H193" si="27">F130/G$574*100</f>
        <v>147.02858060444416</v>
      </c>
      <c r="I130" s="262">
        <f t="shared" si="14"/>
        <v>149.64975534537584</v>
      </c>
      <c r="J130" s="258">
        <f t="shared" si="15"/>
        <v>0</v>
      </c>
      <c r="K130" s="261">
        <f t="shared" si="18"/>
        <v>144.66099921446863</v>
      </c>
      <c r="L130" s="261">
        <v>1</v>
      </c>
      <c r="M130" s="261">
        <f t="shared" si="26"/>
        <v>36</v>
      </c>
      <c r="N130" s="263">
        <v>128.72289728083999</v>
      </c>
      <c r="O130" s="264">
        <v>84.5</v>
      </c>
      <c r="P130" s="263">
        <f t="shared" si="25"/>
        <v>154.79380306830507</v>
      </c>
      <c r="Q130" s="257">
        <f t="shared" si="24"/>
        <v>0.83157655364303629</v>
      </c>
      <c r="T130" s="257">
        <f t="shared" ref="T130" si="28">AVERAGE(Q119:Q130)</f>
        <v>0.8258173782669922</v>
      </c>
    </row>
    <row r="131" spans="1:20" ht="12.65" customHeight="1">
      <c r="A131" s="10">
        <v>28856</v>
      </c>
      <c r="B131" s="255">
        <v>29602.89</v>
      </c>
      <c r="D131" s="257">
        <f>B131/C133</f>
        <v>7.6282292895047052E-2</v>
      </c>
      <c r="E131" s="2"/>
      <c r="F131" s="258">
        <f>D131*E133</f>
        <v>52185.631957016427</v>
      </c>
      <c r="H131" s="261">
        <f t="shared" si="27"/>
        <v>116.37264892896324</v>
      </c>
      <c r="I131" s="262">
        <f t="shared" si="14"/>
        <v>149.64975534537584</v>
      </c>
      <c r="J131" s="258">
        <f t="shared" si="15"/>
        <v>0</v>
      </c>
      <c r="K131" s="261">
        <f t="shared" si="18"/>
        <v>145.07672889204423</v>
      </c>
      <c r="L131" s="261">
        <v>1</v>
      </c>
      <c r="M131" s="261">
        <f t="shared" si="26"/>
        <v>37</v>
      </c>
      <c r="N131" s="263">
        <v>130.71024128621801</v>
      </c>
      <c r="O131" s="264">
        <v>84.7</v>
      </c>
      <c r="P131" s="263">
        <f t="shared" si="25"/>
        <v>156.94211548195909</v>
      </c>
      <c r="Q131" s="257">
        <f t="shared" si="24"/>
        <v>0.83285637436971782</v>
      </c>
    </row>
    <row r="132" spans="1:20" ht="12.65" customHeight="1">
      <c r="A132" s="10">
        <v>28887</v>
      </c>
      <c r="B132" s="255">
        <v>28419.22</v>
      </c>
      <c r="D132" s="257">
        <f>B132/C133</f>
        <v>7.323214942489667E-2</v>
      </c>
      <c r="E132" s="2"/>
      <c r="F132" s="258">
        <f>D132*E133</f>
        <v>50098.992207364914</v>
      </c>
      <c r="H132" s="261">
        <f t="shared" si="27"/>
        <v>111.71949468092377</v>
      </c>
      <c r="I132" s="262">
        <f t="shared" si="14"/>
        <v>149.64975534537584</v>
      </c>
      <c r="J132" s="258">
        <f t="shared" si="15"/>
        <v>0</v>
      </c>
      <c r="K132" s="261">
        <f t="shared" si="18"/>
        <v>145.49245856961983</v>
      </c>
      <c r="L132" s="261">
        <v>1</v>
      </c>
      <c r="M132" s="261">
        <f t="shared" si="26"/>
        <v>38</v>
      </c>
      <c r="N132" s="263">
        <v>123.503477753422</v>
      </c>
      <c r="O132" s="264">
        <v>83.7</v>
      </c>
      <c r="P132" s="263">
        <f t="shared" si="25"/>
        <v>149.27731378685542</v>
      </c>
      <c r="Q132" s="257">
        <f t="shared" si="24"/>
        <v>0.82734257885806806</v>
      </c>
    </row>
    <row r="133" spans="1:20" ht="12.65" customHeight="1">
      <c r="A133" s="10">
        <v>28915</v>
      </c>
      <c r="B133" s="255">
        <v>31347.31</v>
      </c>
      <c r="C133" s="259">
        <f t="shared" ref="C133" si="29">SUM(B122:B133)</f>
        <v>388070.27000000008</v>
      </c>
      <c r="D133" s="257">
        <f>B133/C133</f>
        <v>8.0777406627928483E-2</v>
      </c>
      <c r="E133" s="260">
        <v>684112</v>
      </c>
      <c r="F133" s="258">
        <f>D133*E133</f>
        <v>55260.79320304541</v>
      </c>
      <c r="H133" s="261">
        <f t="shared" si="27"/>
        <v>123.2301812930217</v>
      </c>
      <c r="I133" s="262">
        <f t="shared" si="14"/>
        <v>149.64975534537584</v>
      </c>
      <c r="J133" s="258">
        <f t="shared" si="15"/>
        <v>0</v>
      </c>
      <c r="K133" s="261">
        <f t="shared" si="18"/>
        <v>145.90818824719543</v>
      </c>
      <c r="L133" s="261">
        <v>1</v>
      </c>
      <c r="M133" s="261">
        <f t="shared" si="26"/>
        <v>39</v>
      </c>
      <c r="N133" s="263">
        <v>122.00712806627401</v>
      </c>
      <c r="O133" s="264">
        <v>84</v>
      </c>
      <c r="P133" s="263">
        <f t="shared" si="25"/>
        <v>147.45362823710894</v>
      </c>
      <c r="Q133" s="257">
        <f t="shared" si="24"/>
        <v>0.82742710047177437</v>
      </c>
    </row>
    <row r="134" spans="1:20" ht="12.65" customHeight="1">
      <c r="A134" s="10">
        <v>28946</v>
      </c>
      <c r="B134" s="255">
        <v>27656.09</v>
      </c>
      <c r="D134" s="257">
        <f>B134/C145</f>
        <v>6.4781852576462837E-2</v>
      </c>
      <c r="E134" s="2"/>
      <c r="F134" s="258">
        <f>D134*E145</f>
        <v>44952.386630217865</v>
      </c>
      <c r="H134" s="261">
        <f t="shared" si="27"/>
        <v>100.24269347061185</v>
      </c>
      <c r="I134" s="262">
        <f t="shared" si="14"/>
        <v>149.64975534537584</v>
      </c>
      <c r="J134" s="258">
        <f t="shared" si="15"/>
        <v>0</v>
      </c>
      <c r="K134" s="261">
        <f t="shared" si="18"/>
        <v>146.32391792477102</v>
      </c>
      <c r="L134" s="261">
        <v>1</v>
      </c>
      <c r="M134" s="261">
        <f t="shared" si="26"/>
        <v>40</v>
      </c>
      <c r="N134" s="263">
        <v>119.100770801699</v>
      </c>
      <c r="O134" s="264">
        <v>84.4</v>
      </c>
      <c r="P134" s="263">
        <f t="shared" si="25"/>
        <v>143.9950644836083</v>
      </c>
      <c r="Q134" s="257">
        <f t="shared" si="24"/>
        <v>0.82711703507905199</v>
      </c>
    </row>
    <row r="135" spans="1:20" ht="12.65" customHeight="1">
      <c r="A135" s="10">
        <v>28976</v>
      </c>
      <c r="B135" s="255">
        <v>29616.61</v>
      </c>
      <c r="D135" s="257">
        <f>B135/C145</f>
        <v>6.937419074187981E-2</v>
      </c>
      <c r="E135" s="2"/>
      <c r="F135" s="258">
        <f>D135*E145</f>
        <v>48139.028452553364</v>
      </c>
      <c r="H135" s="261">
        <f t="shared" si="27"/>
        <v>107.34882472065495</v>
      </c>
      <c r="I135" s="262">
        <f t="shared" si="14"/>
        <v>149.64975534537584</v>
      </c>
      <c r="J135" s="258">
        <f t="shared" si="15"/>
        <v>0</v>
      </c>
      <c r="K135" s="261">
        <f t="shared" si="18"/>
        <v>146.73964760234662</v>
      </c>
      <c r="L135" s="261">
        <v>1</v>
      </c>
      <c r="M135" s="261">
        <f t="shared" si="26"/>
        <v>41</v>
      </c>
      <c r="N135" s="263">
        <v>123.638972958314</v>
      </c>
      <c r="O135" s="264">
        <v>81.5</v>
      </c>
      <c r="P135" s="263">
        <f t="shared" si="25"/>
        <v>150.43648490500459</v>
      </c>
      <c r="Q135" s="257">
        <f t="shared" si="24"/>
        <v>0.82186826577600314</v>
      </c>
    </row>
    <row r="136" spans="1:20" ht="12.65" customHeight="1">
      <c r="A136" s="10">
        <v>29007</v>
      </c>
      <c r="B136" s="255">
        <v>32320.33</v>
      </c>
      <c r="D136" s="257">
        <f>B136/C145</f>
        <v>7.57074066971372E-2</v>
      </c>
      <c r="E136" s="2"/>
      <c r="F136" s="258">
        <f>D136*E145</f>
        <v>52533.672336770294</v>
      </c>
      <c r="H136" s="261">
        <f t="shared" si="27"/>
        <v>117.14877023682746</v>
      </c>
      <c r="I136" s="262">
        <f t="shared" si="14"/>
        <v>149.64975534537584</v>
      </c>
      <c r="J136" s="258">
        <f t="shared" si="15"/>
        <v>0</v>
      </c>
      <c r="K136" s="261">
        <f t="shared" si="18"/>
        <v>147.15537727992222</v>
      </c>
      <c r="L136" s="261">
        <v>1</v>
      </c>
      <c r="M136" s="261">
        <f t="shared" si="26"/>
        <v>42</v>
      </c>
      <c r="N136" s="263">
        <v>125.341584314786</v>
      </c>
      <c r="O136" s="264">
        <v>81.5</v>
      </c>
      <c r="P136" s="263">
        <f t="shared" si="25"/>
        <v>152.35538989994836</v>
      </c>
      <c r="Q136" s="257">
        <f t="shared" si="24"/>
        <v>0.82269215678616758</v>
      </c>
    </row>
    <row r="137" spans="1:20" ht="12.65" customHeight="1">
      <c r="A137" s="10">
        <v>29037</v>
      </c>
      <c r="B137" s="255">
        <v>36357.620000000003</v>
      </c>
      <c r="D137" s="257">
        <f>B137/C145</f>
        <v>8.5164387983661341E-2</v>
      </c>
      <c r="E137" s="2"/>
      <c r="F137" s="258">
        <f>D137*E145</f>
        <v>59095.909479414542</v>
      </c>
      <c r="H137" s="261">
        <f t="shared" si="27"/>
        <v>131.78239429293828</v>
      </c>
      <c r="I137" s="262">
        <f t="shared" si="14"/>
        <v>149.64975534537584</v>
      </c>
      <c r="J137" s="258">
        <f t="shared" si="15"/>
        <v>0</v>
      </c>
      <c r="K137" s="261">
        <f t="shared" si="18"/>
        <v>147.57110695749782</v>
      </c>
      <c r="L137" s="261">
        <v>1</v>
      </c>
      <c r="M137" s="261">
        <f t="shared" si="26"/>
        <v>43</v>
      </c>
      <c r="N137" s="263">
        <v>128.87776024088399</v>
      </c>
      <c r="O137" s="264">
        <v>78.8</v>
      </c>
      <c r="P137" s="263">
        <f t="shared" si="25"/>
        <v>157.57599362894041</v>
      </c>
      <c r="Q137" s="257">
        <f t="shared" si="24"/>
        <v>0.81787686863244569</v>
      </c>
    </row>
    <row r="138" spans="1:20" ht="12.65" customHeight="1">
      <c r="A138" s="10">
        <v>29068</v>
      </c>
      <c r="B138" s="255">
        <v>39091.49</v>
      </c>
      <c r="D138" s="257">
        <f>B138/C145</f>
        <v>9.1568227546781594E-2</v>
      </c>
      <c r="E138" s="2"/>
      <c r="F138" s="258">
        <f>D138*E145</f>
        <v>63539.559367621936</v>
      </c>
      <c r="H138" s="261">
        <f t="shared" si="27"/>
        <v>141.69162196751199</v>
      </c>
      <c r="I138" s="262">
        <f t="shared" si="14"/>
        <v>149.64975534537584</v>
      </c>
      <c r="J138" s="258">
        <f t="shared" si="15"/>
        <v>0</v>
      </c>
      <c r="K138" s="261">
        <f t="shared" si="18"/>
        <v>147.98683663507342</v>
      </c>
      <c r="L138" s="261">
        <v>1</v>
      </c>
      <c r="M138" s="261">
        <f t="shared" si="26"/>
        <v>44</v>
      </c>
      <c r="N138" s="263">
        <v>131.706010758921</v>
      </c>
      <c r="O138" s="264">
        <v>79.7</v>
      </c>
      <c r="P138" s="263">
        <f t="shared" si="25"/>
        <v>160.35180004636166</v>
      </c>
      <c r="Q138" s="257">
        <f t="shared" si="24"/>
        <v>0.82135660916086717</v>
      </c>
    </row>
    <row r="139" spans="1:20" ht="12.65" customHeight="1">
      <c r="A139" s="10">
        <v>29099</v>
      </c>
      <c r="B139" s="255">
        <v>40073.31</v>
      </c>
      <c r="D139" s="257">
        <f>B139/C145</f>
        <v>9.3868050786314827E-2</v>
      </c>
      <c r="E139" s="2"/>
      <c r="F139" s="258">
        <f>D139*E145</f>
        <v>65135.415912827004</v>
      </c>
      <c r="H139" s="261">
        <f t="shared" si="27"/>
        <v>145.25034199276922</v>
      </c>
      <c r="I139" s="262">
        <f t="shared" ref="I139:I202" si="30">MAX(H127:H151)</f>
        <v>149.64975534537584</v>
      </c>
      <c r="J139" s="258">
        <f t="shared" si="15"/>
        <v>0</v>
      </c>
      <c r="K139" s="261">
        <f t="shared" si="18"/>
        <v>148.40256631264901</v>
      </c>
      <c r="L139" s="261">
        <v>1</v>
      </c>
      <c r="M139" s="261">
        <f t="shared" si="26"/>
        <v>45</v>
      </c>
      <c r="N139" s="263">
        <v>131.49505575936999</v>
      </c>
      <c r="O139" s="264">
        <v>79.5</v>
      </c>
      <c r="P139" s="263">
        <f t="shared" si="25"/>
        <v>160.20554272489721</v>
      </c>
      <c r="Q139" s="257">
        <f t="shared" si="24"/>
        <v>0.82078967757795696</v>
      </c>
    </row>
    <row r="140" spans="1:20" ht="12.65" customHeight="1">
      <c r="A140" s="10">
        <v>29129</v>
      </c>
      <c r="B140" s="255">
        <v>40805.06</v>
      </c>
      <c r="D140" s="257">
        <f>B140/C145</f>
        <v>9.5582108002024879E-2</v>
      </c>
      <c r="E140" s="2"/>
      <c r="F140" s="258">
        <f>D140*E145</f>
        <v>66324.807071037067</v>
      </c>
      <c r="H140" s="261">
        <f t="shared" si="27"/>
        <v>147.90265441101488</v>
      </c>
      <c r="I140" s="262">
        <f t="shared" si="30"/>
        <v>149.64975534537584</v>
      </c>
      <c r="J140" s="258">
        <f t="shared" si="15"/>
        <v>0</v>
      </c>
      <c r="K140" s="261">
        <f t="shared" si="18"/>
        <v>148.81829599022461</v>
      </c>
      <c r="L140" s="261">
        <v>1</v>
      </c>
      <c r="M140" s="261">
        <f t="shared" si="26"/>
        <v>46</v>
      </c>
      <c r="N140" s="263">
        <v>131.28126053645801</v>
      </c>
      <c r="O140" s="264">
        <v>79.7</v>
      </c>
      <c r="P140" s="263">
        <f t="shared" si="25"/>
        <v>159.87309107946237</v>
      </c>
      <c r="Q140" s="257">
        <f t="shared" si="24"/>
        <v>0.8211592060305305</v>
      </c>
    </row>
    <row r="141" spans="1:20" ht="12.65" customHeight="1">
      <c r="A141" s="10">
        <v>29160</v>
      </c>
      <c r="B141" s="255">
        <v>39717.06</v>
      </c>
      <c r="D141" s="257">
        <f>B141/C145</f>
        <v>9.3033567857586832E-2</v>
      </c>
      <c r="E141" s="2"/>
      <c r="F141" s="258">
        <f>D141*E145</f>
        <v>64556.364870650934</v>
      </c>
      <c r="H141" s="261">
        <f t="shared" si="27"/>
        <v>143.95907270817744</v>
      </c>
      <c r="I141" s="262">
        <f t="shared" si="30"/>
        <v>149.64975534537584</v>
      </c>
      <c r="J141" s="258">
        <f t="shared" si="15"/>
        <v>0</v>
      </c>
      <c r="K141" s="261">
        <f t="shared" si="18"/>
        <v>149.23402566780021</v>
      </c>
      <c r="L141" s="261">
        <v>1</v>
      </c>
      <c r="M141" s="261">
        <f t="shared" si="26"/>
        <v>47</v>
      </c>
      <c r="N141" s="263">
        <v>130.16053590698499</v>
      </c>
      <c r="O141" s="264">
        <v>80.8</v>
      </c>
      <c r="P141" s="263">
        <f t="shared" si="25"/>
        <v>158.10676206948656</v>
      </c>
      <c r="Q141" s="257">
        <f t="shared" si="24"/>
        <v>0.82324458614730567</v>
      </c>
    </row>
    <row r="142" spans="1:20" ht="12.65" customHeight="1">
      <c r="A142" s="10">
        <v>29190</v>
      </c>
      <c r="B142" s="255">
        <v>41287.07</v>
      </c>
      <c r="D142" s="257">
        <f>B142/C145</f>
        <v>9.6711172188624683E-2</v>
      </c>
      <c r="E142" s="2"/>
      <c r="F142" s="258">
        <f>D142*E145</f>
        <v>67108.269226375429</v>
      </c>
      <c r="H142" s="261">
        <f t="shared" si="27"/>
        <v>149.64975534537584</v>
      </c>
      <c r="I142" s="262">
        <f t="shared" si="30"/>
        <v>149.64975534537584</v>
      </c>
      <c r="J142" s="254">
        <f t="shared" si="15"/>
        <v>1</v>
      </c>
      <c r="K142" s="12">
        <f>I142</f>
        <v>149.64975534537584</v>
      </c>
      <c r="N142" s="263">
        <v>131.01320876101099</v>
      </c>
      <c r="O142" s="264">
        <v>81.099999999999994</v>
      </c>
      <c r="P142" s="263">
        <f t="shared" si="25"/>
        <v>158.93051045723854</v>
      </c>
      <c r="Q142" s="257">
        <f t="shared" si="24"/>
        <v>0.82434271672625803</v>
      </c>
      <c r="T142" s="257">
        <f t="shared" ref="T142" si="31">AVERAGE(Q131:Q142)</f>
        <v>0.82400609796801227</v>
      </c>
    </row>
    <row r="143" spans="1:20" ht="12.65" customHeight="1">
      <c r="A143" s="10">
        <v>29221</v>
      </c>
      <c r="B143" s="255">
        <v>32670.74</v>
      </c>
      <c r="D143" s="257">
        <f>B143/C145</f>
        <v>7.6528209961854596E-2</v>
      </c>
      <c r="E143" s="2"/>
      <c r="F143" s="258">
        <f>D143*E145</f>
        <v>53103.231005370748</v>
      </c>
      <c r="H143" s="261">
        <f t="shared" si="27"/>
        <v>118.41887176669073</v>
      </c>
      <c r="I143" s="262">
        <f t="shared" si="30"/>
        <v>149.64975534537584</v>
      </c>
      <c r="J143" s="258">
        <f t="shared" ref="J143:J206" si="32">IF(H143=I143,1,0)</f>
        <v>0</v>
      </c>
      <c r="K143" s="261">
        <f>(K$164-K$142)/(M$163+1)+K142</f>
        <v>149.45316026838347</v>
      </c>
      <c r="L143" s="261">
        <v>1</v>
      </c>
      <c r="M143" s="261">
        <f t="shared" si="26"/>
        <v>1</v>
      </c>
      <c r="N143" s="263">
        <v>135.51661744758701</v>
      </c>
      <c r="O143" s="264">
        <v>79.3</v>
      </c>
      <c r="P143" s="263">
        <f t="shared" si="25"/>
        <v>164.82948582672265</v>
      </c>
      <c r="Q143" s="257">
        <f t="shared" si="24"/>
        <v>0.82216247152556887</v>
      </c>
    </row>
    <row r="144" spans="1:20" ht="12.65" customHeight="1">
      <c r="A144" s="10">
        <v>29252</v>
      </c>
      <c r="B144" s="255">
        <v>32058.27</v>
      </c>
      <c r="D144" s="257">
        <f>B144/C145</f>
        <v>7.5093555198744333E-2</v>
      </c>
      <c r="E144" s="2"/>
      <c r="F144" s="258">
        <f>D144*E145</f>
        <v>52107.718326629489</v>
      </c>
      <c r="H144" s="261">
        <f t="shared" si="27"/>
        <v>116.19890348954289</v>
      </c>
      <c r="I144" s="262">
        <f t="shared" si="30"/>
        <v>149.64975534537584</v>
      </c>
      <c r="J144" s="258">
        <f t="shared" si="32"/>
        <v>0</v>
      </c>
      <c r="K144" s="261">
        <f t="shared" ref="K144:K163" si="33">(K$164-K$142)/(M$163+1)+K143</f>
        <v>149.2565651913911</v>
      </c>
      <c r="L144" s="261">
        <v>1</v>
      </c>
      <c r="M144" s="261">
        <f t="shared" si="26"/>
        <v>2</v>
      </c>
      <c r="N144" s="263">
        <v>128.33089242621401</v>
      </c>
      <c r="O144" s="264">
        <v>79.599999999999994</v>
      </c>
      <c r="P144" s="263">
        <f t="shared" si="25"/>
        <v>156.5936671113804</v>
      </c>
      <c r="Q144" s="257">
        <f t="shared" si="24"/>
        <v>0.81951521280190776</v>
      </c>
    </row>
    <row r="145" spans="1:20" ht="12.65" customHeight="1">
      <c r="A145" s="10">
        <v>29281</v>
      </c>
      <c r="B145" s="255">
        <v>35257.42</v>
      </c>
      <c r="C145" s="259">
        <f t="shared" ref="C145" si="34">SUM(B134:B145)</f>
        <v>426911.06999999995</v>
      </c>
      <c r="D145" s="257">
        <f>B145/C145</f>
        <v>8.2587270458927206E-2</v>
      </c>
      <c r="E145" s="260">
        <v>693904</v>
      </c>
      <c r="F145" s="258">
        <f>D145*E145</f>
        <v>57307.637320531423</v>
      </c>
      <c r="H145" s="261">
        <f t="shared" si="27"/>
        <v>127.79459228056534</v>
      </c>
      <c r="I145" s="262">
        <f t="shared" si="30"/>
        <v>149.64975534537584</v>
      </c>
      <c r="J145" s="258">
        <f t="shared" si="32"/>
        <v>0</v>
      </c>
      <c r="K145" s="261">
        <f t="shared" si="33"/>
        <v>149.05997011439874</v>
      </c>
      <c r="L145" s="261">
        <v>1</v>
      </c>
      <c r="M145" s="261">
        <f t="shared" si="26"/>
        <v>3</v>
      </c>
      <c r="N145" s="263">
        <v>127.87287815233699</v>
      </c>
      <c r="O145" s="264">
        <v>80.2</v>
      </c>
      <c r="P145" s="263">
        <f t="shared" si="25"/>
        <v>155.8029784140781</v>
      </c>
      <c r="Q145" s="257">
        <f t="shared" si="24"/>
        <v>0.82073449079059846</v>
      </c>
    </row>
    <row r="146" spans="1:20" ht="12.65" customHeight="1">
      <c r="A146" s="10">
        <v>29312</v>
      </c>
      <c r="B146" s="255">
        <v>31687.62</v>
      </c>
      <c r="D146" s="257">
        <f>B146/C157</f>
        <v>7.2745913141467597E-2</v>
      </c>
      <c r="E146" s="2"/>
      <c r="F146" s="258">
        <f>D146*E157</f>
        <v>47809.559813443346</v>
      </c>
      <c r="H146" s="261">
        <f t="shared" si="27"/>
        <v>106.6141179281065</v>
      </c>
      <c r="I146" s="262">
        <f t="shared" si="30"/>
        <v>149.64975534537584</v>
      </c>
      <c r="J146" s="258">
        <f t="shared" si="32"/>
        <v>0</v>
      </c>
      <c r="K146" s="261">
        <f t="shared" si="33"/>
        <v>148.86337503740637</v>
      </c>
      <c r="L146" s="261">
        <v>1</v>
      </c>
      <c r="M146" s="261">
        <f t="shared" si="26"/>
        <v>4</v>
      </c>
      <c r="N146" s="263">
        <v>127.24694810778399</v>
      </c>
      <c r="O146" s="264">
        <v>82.4</v>
      </c>
      <c r="P146" s="263">
        <f t="shared" si="25"/>
        <v>154.09106937371158</v>
      </c>
      <c r="Q146" s="257">
        <f t="shared" si="24"/>
        <v>0.82579054467573654</v>
      </c>
    </row>
    <row r="147" spans="1:20" ht="12.65" customHeight="1">
      <c r="A147" s="10">
        <v>29342</v>
      </c>
      <c r="B147" s="255">
        <v>33301.96</v>
      </c>
      <c r="D147" s="257">
        <f>B147/C157</f>
        <v>7.645198628362207E-2</v>
      </c>
      <c r="E147" s="2"/>
      <c r="F147" s="258">
        <f>D147*E157</f>
        <v>50245.239261418108</v>
      </c>
      <c r="H147" s="261">
        <f t="shared" si="27"/>
        <v>112.04562193932787</v>
      </c>
      <c r="I147" s="262">
        <f t="shared" si="30"/>
        <v>149.64975534537584</v>
      </c>
      <c r="J147" s="258">
        <f t="shared" si="32"/>
        <v>0</v>
      </c>
      <c r="K147" s="261">
        <f t="shared" si="33"/>
        <v>148.666779960414</v>
      </c>
      <c r="L147" s="261">
        <v>1</v>
      </c>
      <c r="M147" s="261">
        <f t="shared" si="26"/>
        <v>5</v>
      </c>
      <c r="N147" s="263">
        <v>129.94824169211401</v>
      </c>
      <c r="O147" s="264">
        <v>79.3</v>
      </c>
      <c r="P147" s="263">
        <f t="shared" si="25"/>
        <v>158.55372359226783</v>
      </c>
      <c r="Q147" s="257">
        <f t="shared" si="24"/>
        <v>0.81958492520986226</v>
      </c>
    </row>
    <row r="148" spans="1:20" ht="12.65" customHeight="1">
      <c r="A148" s="10">
        <v>29373</v>
      </c>
      <c r="B148" s="255">
        <v>35434.660000000003</v>
      </c>
      <c r="D148" s="257">
        <f>B148/C157</f>
        <v>8.1348069011097604E-2</v>
      </c>
      <c r="E148" s="2"/>
      <c r="F148" s="258">
        <f>D148*E157</f>
        <v>53463.008478990487</v>
      </c>
      <c r="H148" s="261">
        <f t="shared" si="27"/>
        <v>119.22116649916774</v>
      </c>
      <c r="I148" s="262">
        <f t="shared" si="30"/>
        <v>149.64975534537584</v>
      </c>
      <c r="J148" s="258">
        <f t="shared" si="32"/>
        <v>0</v>
      </c>
      <c r="K148" s="261">
        <f t="shared" si="33"/>
        <v>148.47018488342164</v>
      </c>
      <c r="L148" s="261">
        <v>1</v>
      </c>
      <c r="M148" s="261">
        <f t="shared" si="26"/>
        <v>6</v>
      </c>
      <c r="N148" s="263">
        <v>127.959269532018</v>
      </c>
      <c r="O148" s="264">
        <v>76.900000000000006</v>
      </c>
      <c r="P148" s="263">
        <f t="shared" si="25"/>
        <v>157.41003927748915</v>
      </c>
      <c r="Q148" s="257">
        <f t="shared" si="24"/>
        <v>0.81290412047001603</v>
      </c>
    </row>
    <row r="149" spans="1:20" ht="12.65" customHeight="1">
      <c r="A149" s="10">
        <v>29403</v>
      </c>
      <c r="B149" s="255">
        <v>37941.35</v>
      </c>
      <c r="D149" s="257">
        <f>B149/C157</f>
        <v>8.7102728181227287E-2</v>
      </c>
      <c r="E149" s="2"/>
      <c r="F149" s="258">
        <f>D149*E157</f>
        <v>57245.04529616893</v>
      </c>
      <c r="H149" s="261">
        <f t="shared" si="27"/>
        <v>127.65501363786748</v>
      </c>
      <c r="I149" s="262">
        <f t="shared" si="30"/>
        <v>149.64975534537584</v>
      </c>
      <c r="J149" s="258">
        <f t="shared" si="32"/>
        <v>0</v>
      </c>
      <c r="K149" s="261">
        <f t="shared" si="33"/>
        <v>148.27358980642927</v>
      </c>
      <c r="L149" s="261">
        <v>1</v>
      </c>
      <c r="M149" s="261">
        <f t="shared" si="26"/>
        <v>7</v>
      </c>
      <c r="N149" s="263">
        <v>125.46915117828701</v>
      </c>
      <c r="O149" s="264">
        <v>75.900000000000006</v>
      </c>
      <c r="P149" s="263">
        <f t="shared" si="25"/>
        <v>155.06106844365701</v>
      </c>
      <c r="Q149" s="257">
        <f t="shared" si="24"/>
        <v>0.80915959394332093</v>
      </c>
    </row>
    <row r="150" spans="1:20" ht="12.65" customHeight="1">
      <c r="A150" s="10">
        <v>29434</v>
      </c>
      <c r="B150" s="255">
        <v>39553.879999999997</v>
      </c>
      <c r="D150" s="257">
        <f>B150/C157</f>
        <v>9.0804646069601702E-2</v>
      </c>
      <c r="E150" s="2"/>
      <c r="F150" s="258">
        <f>D150*E157</f>
        <v>59677.993857341142</v>
      </c>
      <c r="H150" s="261">
        <f t="shared" si="27"/>
        <v>133.08042784008936</v>
      </c>
      <c r="I150" s="262">
        <f t="shared" si="30"/>
        <v>149.64975534537584</v>
      </c>
      <c r="J150" s="258">
        <f t="shared" si="32"/>
        <v>0</v>
      </c>
      <c r="K150" s="261">
        <f t="shared" si="33"/>
        <v>148.0769947294369</v>
      </c>
      <c r="L150" s="261">
        <v>1</v>
      </c>
      <c r="M150" s="261">
        <f t="shared" si="26"/>
        <v>8</v>
      </c>
      <c r="N150" s="263">
        <v>124.08150684525199</v>
      </c>
      <c r="O150" s="264">
        <v>75</v>
      </c>
      <c r="P150" s="263">
        <f t="shared" si="25"/>
        <v>153.90887765269048</v>
      </c>
      <c r="Q150" s="257">
        <f t="shared" si="24"/>
        <v>0.8062011024812572</v>
      </c>
    </row>
    <row r="151" spans="1:20" ht="12.65" customHeight="1">
      <c r="A151" s="10">
        <v>29465</v>
      </c>
      <c r="B151" s="255">
        <v>40483.949999999997</v>
      </c>
      <c r="D151" s="257">
        <f>B151/C157</f>
        <v>9.2939826668065217E-2</v>
      </c>
      <c r="E151" s="2"/>
      <c r="F151" s="258">
        <f>D151*E157</f>
        <v>61081.262303999145</v>
      </c>
      <c r="H151" s="261">
        <f t="shared" si="27"/>
        <v>136.20968124130388</v>
      </c>
      <c r="I151" s="262">
        <f t="shared" si="30"/>
        <v>149.64975534537584</v>
      </c>
      <c r="J151" s="258">
        <f t="shared" si="32"/>
        <v>0</v>
      </c>
      <c r="K151" s="261">
        <f t="shared" si="33"/>
        <v>147.88039965244454</v>
      </c>
      <c r="L151" s="261">
        <v>1</v>
      </c>
      <c r="M151" s="261">
        <f t="shared" si="26"/>
        <v>9</v>
      </c>
      <c r="N151" s="263">
        <v>122.812103403332</v>
      </c>
      <c r="O151" s="264">
        <v>76.3</v>
      </c>
      <c r="P151" s="263">
        <f t="shared" si="25"/>
        <v>151.88348556291999</v>
      </c>
      <c r="Q151" s="257">
        <f t="shared" si="24"/>
        <v>0.80859418618263978</v>
      </c>
    </row>
    <row r="152" spans="1:20" ht="12.65" customHeight="1">
      <c r="A152" s="10">
        <v>29495</v>
      </c>
      <c r="B152" s="255">
        <v>41888.5</v>
      </c>
      <c r="D152" s="257">
        <f>B152/C157</f>
        <v>9.6164280644187403E-2</v>
      </c>
      <c r="E152" s="2"/>
      <c r="F152" s="258">
        <f>D152*E157</f>
        <v>63200.415375008335</v>
      </c>
      <c r="H152" s="261">
        <f t="shared" si="27"/>
        <v>140.93533937959015</v>
      </c>
      <c r="I152" s="262">
        <f t="shared" si="30"/>
        <v>149.64975534537584</v>
      </c>
      <c r="J152" s="258">
        <f t="shared" si="32"/>
        <v>0</v>
      </c>
      <c r="K152" s="261">
        <f t="shared" si="33"/>
        <v>147.68380457545217</v>
      </c>
      <c r="L152" s="261">
        <v>1</v>
      </c>
      <c r="M152" s="261">
        <f t="shared" si="26"/>
        <v>10</v>
      </c>
      <c r="N152" s="263">
        <v>123.08068087917</v>
      </c>
      <c r="O152" s="264">
        <v>76</v>
      </c>
      <c r="P152" s="263">
        <f t="shared" si="25"/>
        <v>152.32342712436264</v>
      </c>
      <c r="Q152" s="257">
        <f t="shared" si="24"/>
        <v>0.80802200424943338</v>
      </c>
    </row>
    <row r="153" spans="1:20" ht="12.65" customHeight="1">
      <c r="A153" s="10">
        <v>29526</v>
      </c>
      <c r="B153" s="255">
        <v>40802.199999999997</v>
      </c>
      <c r="D153" s="257">
        <f>B153/C157</f>
        <v>9.3670439660056171E-2</v>
      </c>
      <c r="E153" s="2"/>
      <c r="F153" s="258">
        <f>D153*E157</f>
        <v>61561.430660304497</v>
      </c>
      <c r="H153" s="261">
        <f t="shared" si="27"/>
        <v>137.28044461926098</v>
      </c>
      <c r="I153" s="262">
        <f t="shared" si="30"/>
        <v>149.64975534537584</v>
      </c>
      <c r="J153" s="258">
        <f t="shared" si="32"/>
        <v>0</v>
      </c>
      <c r="K153" s="261">
        <f t="shared" si="33"/>
        <v>147.4872094984598</v>
      </c>
      <c r="L153" s="261">
        <v>1</v>
      </c>
      <c r="M153" s="261">
        <f t="shared" si="26"/>
        <v>11</v>
      </c>
      <c r="N153" s="263">
        <v>122.06478061164999</v>
      </c>
      <c r="O153" s="264">
        <v>76.2</v>
      </c>
      <c r="P153" s="263">
        <f t="shared" si="25"/>
        <v>151.08697388706878</v>
      </c>
      <c r="Q153" s="257">
        <f t="shared" si="24"/>
        <v>0.80791068529103194</v>
      </c>
    </row>
    <row r="154" spans="1:20" ht="12.65" customHeight="1">
      <c r="A154" s="10">
        <v>29556</v>
      </c>
      <c r="B154" s="255">
        <v>39669.67</v>
      </c>
      <c r="D154" s="257">
        <f>B154/C157</f>
        <v>9.1070467525509416E-2</v>
      </c>
      <c r="E154" s="2"/>
      <c r="F154" s="258">
        <f>D154*E157</f>
        <v>59852.695173842621</v>
      </c>
      <c r="H154" s="261">
        <f t="shared" si="27"/>
        <v>133.47000738929171</v>
      </c>
      <c r="I154" s="262">
        <f t="shared" si="30"/>
        <v>149.64975534537584</v>
      </c>
      <c r="J154" s="258">
        <f t="shared" si="32"/>
        <v>0</v>
      </c>
      <c r="K154" s="261">
        <f t="shared" si="33"/>
        <v>147.29061442146744</v>
      </c>
      <c r="L154" s="261">
        <v>1</v>
      </c>
      <c r="M154" s="261">
        <f t="shared" si="26"/>
        <v>12</v>
      </c>
      <c r="N154" s="263">
        <v>117.17215853517401</v>
      </c>
      <c r="O154" s="264">
        <v>76.2</v>
      </c>
      <c r="P154" s="263">
        <f t="shared" si="25"/>
        <v>145.57281065467038</v>
      </c>
      <c r="Q154" s="257">
        <f t="shared" si="24"/>
        <v>0.80490414390041043</v>
      </c>
      <c r="T154" s="257">
        <f t="shared" ref="T154" si="35">AVERAGE(Q143:Q154)</f>
        <v>0.81379029012681536</v>
      </c>
    </row>
    <row r="155" spans="1:20" ht="12.65" customHeight="1">
      <c r="A155" s="10">
        <v>29587</v>
      </c>
      <c r="B155" s="255">
        <v>29548.68</v>
      </c>
      <c r="D155" s="257">
        <f>B155/C157</f>
        <v>6.7835505119192313E-2</v>
      </c>
      <c r="E155" s="2"/>
      <c r="F155" s="258">
        <f>D155*E157</f>
        <v>44582.37582589974</v>
      </c>
      <c r="H155" s="261">
        <f t="shared" si="27"/>
        <v>99.417578667627339</v>
      </c>
      <c r="I155" s="262">
        <f t="shared" si="30"/>
        <v>145.32466365154391</v>
      </c>
      <c r="J155" s="258">
        <f t="shared" si="32"/>
        <v>0</v>
      </c>
      <c r="K155" s="261">
        <f t="shared" si="33"/>
        <v>147.09401934447507</v>
      </c>
      <c r="L155" s="261">
        <v>1</v>
      </c>
      <c r="M155" s="261">
        <f t="shared" si="26"/>
        <v>13</v>
      </c>
      <c r="N155" s="263">
        <v>115.99646804738499</v>
      </c>
      <c r="O155" s="264">
        <v>79.2</v>
      </c>
      <c r="P155" s="263">
        <f t="shared" si="25"/>
        <v>142.87531499902235</v>
      </c>
      <c r="Q155" s="257">
        <f t="shared" si="24"/>
        <v>0.8118720021592164</v>
      </c>
    </row>
    <row r="156" spans="1:20" ht="12.65" customHeight="1">
      <c r="A156" s="10">
        <v>29618</v>
      </c>
      <c r="B156" s="255">
        <v>31288.74</v>
      </c>
      <c r="D156" s="257">
        <f>B156/C157</f>
        <v>7.1830196220036821E-2</v>
      </c>
      <c r="E156" s="2"/>
      <c r="F156" s="258">
        <f>D156*E157</f>
        <v>47207.738748359057</v>
      </c>
      <c r="H156" s="261">
        <f t="shared" si="27"/>
        <v>105.27207206416458</v>
      </c>
      <c r="I156" s="262">
        <f t="shared" si="30"/>
        <v>145.32466365154391</v>
      </c>
      <c r="J156" s="258">
        <f t="shared" si="32"/>
        <v>0</v>
      </c>
      <c r="K156" s="261">
        <f t="shared" si="33"/>
        <v>146.89742426748271</v>
      </c>
      <c r="L156" s="261">
        <v>1</v>
      </c>
      <c r="M156" s="261">
        <f t="shared" si="26"/>
        <v>14</v>
      </c>
      <c r="N156" s="263">
        <v>115.422792829025</v>
      </c>
      <c r="O156" s="264">
        <v>78.400000000000006</v>
      </c>
      <c r="P156" s="263">
        <f t="shared" si="25"/>
        <v>142.59474871667405</v>
      </c>
      <c r="Q156" s="257">
        <f t="shared" si="24"/>
        <v>0.80944630758010694</v>
      </c>
    </row>
    <row r="157" spans="1:20" ht="12.65" customHeight="1">
      <c r="A157" s="10">
        <v>29646</v>
      </c>
      <c r="B157" s="255">
        <v>33991.919999999998</v>
      </c>
      <c r="C157" s="259">
        <f t="shared" ref="C157" si="36">SUM(B146:B157)</f>
        <v>435593.12999999995</v>
      </c>
      <c r="D157" s="257">
        <f>B157/C157</f>
        <v>7.803594147593651E-2</v>
      </c>
      <c r="E157" s="260">
        <v>657213</v>
      </c>
      <c r="F157" s="258">
        <f>D157*E157</f>
        <v>51286.235205224664</v>
      </c>
      <c r="H157" s="261">
        <f t="shared" si="27"/>
        <v>114.36701675552665</v>
      </c>
      <c r="I157" s="262">
        <f t="shared" si="30"/>
        <v>145.32466365154391</v>
      </c>
      <c r="J157" s="258">
        <f t="shared" si="32"/>
        <v>0</v>
      </c>
      <c r="K157" s="261">
        <f t="shared" si="33"/>
        <v>146.70082919049034</v>
      </c>
      <c r="L157" s="261">
        <v>1</v>
      </c>
      <c r="M157" s="261">
        <f t="shared" si="26"/>
        <v>15</v>
      </c>
      <c r="N157" s="263">
        <v>115.082028659084</v>
      </c>
      <c r="O157" s="264">
        <v>77.7</v>
      </c>
      <c r="P157" s="263">
        <f t="shared" si="25"/>
        <v>142.53093334454303</v>
      </c>
      <c r="Q157" s="257">
        <f t="shared" si="24"/>
        <v>0.80741791243935646</v>
      </c>
    </row>
    <row r="158" spans="1:20" ht="12.65" customHeight="1">
      <c r="A158" s="10">
        <v>29677</v>
      </c>
      <c r="B158" s="255">
        <v>30693.360000000001</v>
      </c>
      <c r="D158" s="257">
        <f>B158/C169</f>
        <v>6.4106839887541886E-2</v>
      </c>
      <c r="E158" s="2"/>
      <c r="F158" s="258">
        <f>D158*E169</f>
        <v>42514.374076620028</v>
      </c>
      <c r="H158" s="261">
        <f t="shared" si="27"/>
        <v>94.805986692433237</v>
      </c>
      <c r="I158" s="262">
        <f t="shared" si="30"/>
        <v>145.32466365154391</v>
      </c>
      <c r="J158" s="258">
        <f t="shared" si="32"/>
        <v>0</v>
      </c>
      <c r="K158" s="261">
        <f t="shared" si="33"/>
        <v>146.50423411349797</v>
      </c>
      <c r="L158" s="261">
        <v>1</v>
      </c>
      <c r="M158" s="261">
        <f t="shared" si="26"/>
        <v>16</v>
      </c>
      <c r="N158" s="263">
        <v>112.77959083219601</v>
      </c>
      <c r="O158" s="264">
        <v>78.099999999999994</v>
      </c>
      <c r="P158" s="263">
        <f t="shared" si="25"/>
        <v>139.75300878748391</v>
      </c>
      <c r="Q158" s="257">
        <f t="shared" si="24"/>
        <v>0.80699222013670446</v>
      </c>
    </row>
    <row r="159" spans="1:20" ht="12.65" customHeight="1">
      <c r="A159" s="10">
        <v>29707</v>
      </c>
      <c r="B159" s="255">
        <v>32843.29</v>
      </c>
      <c r="D159" s="257">
        <f>B159/C169</f>
        <v>6.8597231890223348E-2</v>
      </c>
      <c r="E159" s="2"/>
      <c r="F159" s="258">
        <f>D159*E169</f>
        <v>45492.312244958317</v>
      </c>
      <c r="H159" s="261">
        <f t="shared" si="27"/>
        <v>101.44671403442717</v>
      </c>
      <c r="I159" s="262">
        <f t="shared" si="30"/>
        <v>145.32466365154391</v>
      </c>
      <c r="J159" s="258">
        <f t="shared" si="32"/>
        <v>0</v>
      </c>
      <c r="K159" s="261">
        <f t="shared" si="33"/>
        <v>146.30763903650561</v>
      </c>
      <c r="L159" s="261">
        <v>1</v>
      </c>
      <c r="M159" s="261">
        <f t="shared" si="26"/>
        <v>17</v>
      </c>
      <c r="N159" s="263">
        <v>118.17511636459299</v>
      </c>
      <c r="O159" s="264">
        <v>78</v>
      </c>
      <c r="P159" s="263">
        <f t="shared" si="25"/>
        <v>145.87971084884293</v>
      </c>
      <c r="Q159" s="257">
        <f t="shared" si="24"/>
        <v>0.81008603373942267</v>
      </c>
    </row>
    <row r="160" spans="1:20" ht="12.65" customHeight="1">
      <c r="A160" s="10">
        <v>29738</v>
      </c>
      <c r="B160" s="255">
        <v>36951.43</v>
      </c>
      <c r="D160" s="257">
        <f>B160/C169</f>
        <v>7.7177585204933966E-2</v>
      </c>
      <c r="E160" s="2"/>
      <c r="F160" s="258">
        <f>D160*E169</f>
        <v>51182.630956208108</v>
      </c>
      <c r="H160" s="261">
        <f t="shared" si="27"/>
        <v>114.13598188163104</v>
      </c>
      <c r="I160" s="262">
        <f t="shared" si="30"/>
        <v>145.32466365154391</v>
      </c>
      <c r="J160" s="258">
        <f t="shared" si="32"/>
        <v>0</v>
      </c>
      <c r="K160" s="261">
        <f t="shared" si="33"/>
        <v>146.11104395951324</v>
      </c>
      <c r="L160" s="261">
        <v>1</v>
      </c>
      <c r="M160" s="261">
        <f t="shared" si="26"/>
        <v>18</v>
      </c>
      <c r="N160" s="263">
        <v>123.10127336229</v>
      </c>
      <c r="O160" s="264">
        <v>78.7</v>
      </c>
      <c r="P160" s="263">
        <f t="shared" si="25"/>
        <v>151.11143090310443</v>
      </c>
      <c r="Q160" s="257">
        <f t="shared" si="24"/>
        <v>0.81463905560675232</v>
      </c>
    </row>
    <row r="161" spans="1:20" ht="12.65" customHeight="1">
      <c r="A161" s="10">
        <v>29768</v>
      </c>
      <c r="B161" s="255">
        <v>40466.400000000001</v>
      </c>
      <c r="D161" s="257">
        <f>B161/C169</f>
        <v>8.4519030357876265E-2</v>
      </c>
      <c r="E161" s="2"/>
      <c r="F161" s="258">
        <f>D161*E169</f>
        <v>56051.330552736385</v>
      </c>
      <c r="H161" s="261">
        <f t="shared" si="27"/>
        <v>124.9930597331371</v>
      </c>
      <c r="I161" s="262">
        <f t="shared" si="30"/>
        <v>145.32466365154391</v>
      </c>
      <c r="J161" s="258">
        <f t="shared" si="32"/>
        <v>0</v>
      </c>
      <c r="K161" s="261">
        <f t="shared" si="33"/>
        <v>145.91444888252087</v>
      </c>
      <c r="L161" s="261">
        <v>1</v>
      </c>
      <c r="M161" s="261">
        <f t="shared" si="26"/>
        <v>19</v>
      </c>
      <c r="N161" s="263">
        <v>123.855212279648</v>
      </c>
      <c r="O161" s="264">
        <v>79.2</v>
      </c>
      <c r="P161" s="263">
        <f t="shared" si="25"/>
        <v>151.73240590467842</v>
      </c>
      <c r="Q161" s="257">
        <f t="shared" si="24"/>
        <v>0.8162739629756911</v>
      </c>
    </row>
    <row r="162" spans="1:20" ht="12.65" customHeight="1">
      <c r="A162" s="10">
        <v>29799</v>
      </c>
      <c r="B162" s="255">
        <v>42874</v>
      </c>
      <c r="D162" s="257">
        <f>B162/C169</f>
        <v>8.9547597699908735E-2</v>
      </c>
      <c r="E162" s="2"/>
      <c r="F162" s="258">
        <f>D162*E169</f>
        <v>59386.175842625475</v>
      </c>
      <c r="H162" s="261">
        <f t="shared" si="27"/>
        <v>132.42968099456633</v>
      </c>
      <c r="I162" s="262">
        <f t="shared" si="30"/>
        <v>145.32466365154391</v>
      </c>
      <c r="J162" s="258">
        <f t="shared" si="32"/>
        <v>0</v>
      </c>
      <c r="K162" s="261">
        <f t="shared" si="33"/>
        <v>145.71785380552851</v>
      </c>
      <c r="L162" s="261">
        <v>1</v>
      </c>
      <c r="M162" s="261">
        <f t="shared" si="26"/>
        <v>20</v>
      </c>
      <c r="N162" s="263">
        <v>124.008636730638</v>
      </c>
      <c r="O162" s="264">
        <v>78.099999999999994</v>
      </c>
      <c r="P162" s="263">
        <f t="shared" si="25"/>
        <v>152.40855239176349</v>
      </c>
      <c r="Q162" s="257">
        <f t="shared" si="24"/>
        <v>0.81365930444556678</v>
      </c>
    </row>
    <row r="163" spans="1:20" ht="12.65" customHeight="1">
      <c r="A163" s="10">
        <v>29830</v>
      </c>
      <c r="B163" s="255">
        <v>44982.75</v>
      </c>
      <c r="D163" s="257">
        <f>B163/C169</f>
        <v>9.3951980231272325E-2</v>
      </c>
      <c r="E163" s="2"/>
      <c r="F163" s="258">
        <f>D163*E169</f>
        <v>62307.074249775178</v>
      </c>
      <c r="H163" s="261">
        <f t="shared" si="27"/>
        <v>138.94321110132782</v>
      </c>
      <c r="I163" s="262">
        <f t="shared" si="30"/>
        <v>145.32466365154391</v>
      </c>
      <c r="J163" s="258">
        <f t="shared" si="32"/>
        <v>0</v>
      </c>
      <c r="K163" s="261">
        <f t="shared" si="33"/>
        <v>145.52125872853614</v>
      </c>
      <c r="L163" s="261">
        <v>1</v>
      </c>
      <c r="M163" s="261">
        <f t="shared" si="26"/>
        <v>21</v>
      </c>
      <c r="N163" s="263">
        <v>125.02759909813</v>
      </c>
      <c r="O163" s="264">
        <v>79.3</v>
      </c>
      <c r="P163" s="263">
        <f t="shared" si="25"/>
        <v>153.00798021634304</v>
      </c>
      <c r="Q163" s="257">
        <f t="shared" si="24"/>
        <v>0.81713123015772993</v>
      </c>
    </row>
    <row r="164" spans="1:20" ht="12.65" customHeight="1">
      <c r="A164" s="10">
        <v>29860</v>
      </c>
      <c r="B164" s="255">
        <v>47048.74</v>
      </c>
      <c r="D164" s="257">
        <f>B164/C169</f>
        <v>9.8267053267892063E-2</v>
      </c>
      <c r="E164" s="2"/>
      <c r="F164" s="258">
        <f>D164*E169</f>
        <v>65168.744386200655</v>
      </c>
      <c r="H164" s="261">
        <f t="shared" si="27"/>
        <v>145.32466365154391</v>
      </c>
      <c r="I164" s="262">
        <f t="shared" si="30"/>
        <v>145.32466365154391</v>
      </c>
      <c r="J164" s="254">
        <f t="shared" si="32"/>
        <v>1</v>
      </c>
      <c r="K164" s="12">
        <f>I164</f>
        <v>145.32466365154391</v>
      </c>
      <c r="N164" s="263">
        <v>125.726895497874</v>
      </c>
      <c r="O164" s="264">
        <v>79.3</v>
      </c>
      <c r="P164" s="263">
        <f t="shared" si="25"/>
        <v>153.79611272192875</v>
      </c>
      <c r="Q164" s="257">
        <f t="shared" si="24"/>
        <v>0.81749072374276888</v>
      </c>
    </row>
    <row r="165" spans="1:20" ht="12.65" customHeight="1">
      <c r="A165" s="10">
        <v>29891</v>
      </c>
      <c r="B165" s="255">
        <v>46411.44</v>
      </c>
      <c r="D165" s="257">
        <f>B165/C169</f>
        <v>9.6935974198662428E-2</v>
      </c>
      <c r="E165" s="2"/>
      <c r="F165" s="258">
        <f>D165*E169</f>
        <v>64285.999369068952</v>
      </c>
      <c r="H165" s="261">
        <f t="shared" si="27"/>
        <v>143.35616442828888</v>
      </c>
      <c r="I165" s="262">
        <f t="shared" si="30"/>
        <v>145.32466365154391</v>
      </c>
      <c r="J165" s="258">
        <f t="shared" si="32"/>
        <v>0</v>
      </c>
      <c r="K165" s="261">
        <f>(K$274-K$164)/(M$273+1)+K164</f>
        <v>145.88207289235621</v>
      </c>
      <c r="L165" s="261">
        <v>1</v>
      </c>
      <c r="M165" s="261">
        <f t="shared" si="26"/>
        <v>1</v>
      </c>
      <c r="N165" s="263">
        <v>126.36617996540799</v>
      </c>
      <c r="O165" s="264">
        <v>78.099999999999994</v>
      </c>
      <c r="P165" s="263">
        <f t="shared" si="25"/>
        <v>155.0655894612037</v>
      </c>
      <c r="Q165" s="257">
        <f t="shared" si="24"/>
        <v>0.81492083707600327</v>
      </c>
    </row>
    <row r="166" spans="1:20" ht="12.65" customHeight="1">
      <c r="A166" s="10">
        <v>29921</v>
      </c>
      <c r="B166" s="255">
        <v>46317.94</v>
      </c>
      <c r="D166" s="257">
        <f>B166/C169</f>
        <v>9.6740688002251038E-2</v>
      </c>
      <c r="E166" s="2"/>
      <c r="F166" s="258">
        <f>D166*E169</f>
        <v>64156.489469332846</v>
      </c>
      <c r="H166" s="261">
        <f t="shared" si="27"/>
        <v>143.0673606037567</v>
      </c>
      <c r="I166" s="262">
        <f t="shared" si="30"/>
        <v>145.32466365154391</v>
      </c>
      <c r="J166" s="258">
        <f t="shared" si="32"/>
        <v>0</v>
      </c>
      <c r="K166" s="261">
        <f t="shared" ref="K166:K229" si="37">(K$274-K$164)/(M$273+1)+K165</f>
        <v>146.4394821331685</v>
      </c>
      <c r="L166" s="261">
        <v>1</v>
      </c>
      <c r="M166" s="261">
        <f t="shared" si="26"/>
        <v>2</v>
      </c>
      <c r="N166" s="263">
        <v>125.684007498285</v>
      </c>
      <c r="O166" s="264">
        <v>76.599999999999994</v>
      </c>
      <c r="P166" s="263">
        <f t="shared" si="25"/>
        <v>154.9829810842927</v>
      </c>
      <c r="Q166" s="257">
        <f t="shared" si="24"/>
        <v>0.81095360677007189</v>
      </c>
      <c r="T166" s="257">
        <f t="shared" ref="T166" si="38">AVERAGE(Q155:Q166)</f>
        <v>0.81257359973578269</v>
      </c>
    </row>
    <row r="167" spans="1:20" ht="12.65" customHeight="1">
      <c r="A167" s="10">
        <v>29952</v>
      </c>
      <c r="B167" s="255">
        <v>32448.66</v>
      </c>
      <c r="D167" s="257">
        <f>B167/C169</f>
        <v>6.7772998824022032E-2</v>
      </c>
      <c r="E167" s="2"/>
      <c r="F167" s="258">
        <f>D167*E169</f>
        <v>44945.697360114929</v>
      </c>
      <c r="H167" s="261">
        <f t="shared" si="27"/>
        <v>100.227776566244</v>
      </c>
      <c r="I167" s="262">
        <f t="shared" si="30"/>
        <v>145.32466365154391</v>
      </c>
      <c r="J167" s="258">
        <f t="shared" si="32"/>
        <v>0</v>
      </c>
      <c r="K167" s="261">
        <f t="shared" si="37"/>
        <v>146.99689137398079</v>
      </c>
      <c r="L167" s="261">
        <v>1</v>
      </c>
      <c r="M167" s="261">
        <f t="shared" si="26"/>
        <v>3</v>
      </c>
      <c r="N167" s="263">
        <v>118.86678842404</v>
      </c>
      <c r="O167" s="264">
        <v>74.900000000000006</v>
      </c>
      <c r="P167" s="263">
        <f t="shared" si="25"/>
        <v>148.077448433673</v>
      </c>
      <c r="Q167" s="257">
        <f t="shared" si="24"/>
        <v>0.80273390500298181</v>
      </c>
    </row>
    <row r="168" spans="1:20" ht="12.65" customHeight="1">
      <c r="A168" s="10">
        <v>29983</v>
      </c>
      <c r="B168" s="255">
        <v>37478.43</v>
      </c>
      <c r="D168" s="257">
        <f>B168/C169</f>
        <v>7.8278289221070829E-2</v>
      </c>
      <c r="E168" s="2"/>
      <c r="F168" s="258">
        <f>D168*E169</f>
        <v>51912.595845629752</v>
      </c>
      <c r="H168" s="261">
        <f t="shared" si="27"/>
        <v>115.76378525626684</v>
      </c>
      <c r="I168" s="262">
        <f t="shared" si="30"/>
        <v>145.32466365154391</v>
      </c>
      <c r="J168" s="258">
        <f t="shared" si="32"/>
        <v>0</v>
      </c>
      <c r="K168" s="261">
        <f t="shared" si="37"/>
        <v>147.55430061479308</v>
      </c>
      <c r="L168" s="261">
        <v>1</v>
      </c>
      <c r="M168" s="261">
        <f t="shared" si="26"/>
        <v>4</v>
      </c>
      <c r="N168" s="263">
        <v>125.75990370315</v>
      </c>
      <c r="O168" s="264">
        <v>73.8</v>
      </c>
      <c r="P168" s="263">
        <f t="shared" si="25"/>
        <v>156.34947189250246</v>
      </c>
      <c r="Q168" s="257">
        <f t="shared" si="24"/>
        <v>0.80435131747432942</v>
      </c>
    </row>
    <row r="169" spans="1:20" ht="12.65" customHeight="1">
      <c r="A169" s="10">
        <v>30011</v>
      </c>
      <c r="B169" s="255">
        <v>40268.04</v>
      </c>
      <c r="C169" s="259">
        <f t="shared" ref="C169" si="39">SUM(B158:B169)</f>
        <v>478784.48</v>
      </c>
      <c r="D169" s="257">
        <f>B169/C169</f>
        <v>8.4104731214345127E-2</v>
      </c>
      <c r="E169" s="260">
        <v>663180</v>
      </c>
      <c r="F169" s="258">
        <f>D169*E169</f>
        <v>55776.575646729398</v>
      </c>
      <c r="H169" s="261">
        <f t="shared" si="27"/>
        <v>124.38036319159482</v>
      </c>
      <c r="I169" s="262">
        <f t="shared" si="30"/>
        <v>145.32466365154391</v>
      </c>
      <c r="J169" s="258">
        <f t="shared" si="32"/>
        <v>0</v>
      </c>
      <c r="K169" s="261">
        <f t="shared" si="37"/>
        <v>148.11170985560537</v>
      </c>
      <c r="L169" s="261">
        <v>1</v>
      </c>
      <c r="M169" s="261">
        <f t="shared" si="26"/>
        <v>5</v>
      </c>
      <c r="N169" s="263">
        <v>124.799345500671</v>
      </c>
      <c r="O169" s="264">
        <v>72.400000000000006</v>
      </c>
      <c r="P169" s="263">
        <f t="shared" si="25"/>
        <v>155.90736433294109</v>
      </c>
      <c r="Q169" s="257">
        <f t="shared" si="24"/>
        <v>0.8004711389653234</v>
      </c>
    </row>
    <row r="170" spans="1:20" ht="12.65" customHeight="1">
      <c r="A170" s="10">
        <v>30042</v>
      </c>
      <c r="B170" s="255">
        <v>35650.06</v>
      </c>
      <c r="D170" s="257">
        <f>B170/C181</f>
        <v>7.0569787622313668E-2</v>
      </c>
      <c r="E170" s="2"/>
      <c r="F170" s="258">
        <f>D170*E181</f>
        <v>46471.404835683126</v>
      </c>
      <c r="H170" s="261">
        <f t="shared" si="27"/>
        <v>103.63006592759226</v>
      </c>
      <c r="I170" s="262">
        <f t="shared" si="30"/>
        <v>145.32466365154391</v>
      </c>
      <c r="J170" s="258">
        <f t="shared" si="32"/>
        <v>0</v>
      </c>
      <c r="K170" s="261">
        <f t="shared" si="37"/>
        <v>148.66911909641766</v>
      </c>
      <c r="L170" s="261">
        <v>1</v>
      </c>
      <c r="M170" s="261">
        <f t="shared" si="26"/>
        <v>6</v>
      </c>
      <c r="N170" s="263">
        <v>122.20683768950001</v>
      </c>
      <c r="O170" s="264">
        <v>73.2</v>
      </c>
      <c r="P170" s="263">
        <f t="shared" si="25"/>
        <v>152.61952705262172</v>
      </c>
      <c r="Q170" s="257">
        <f t="shared" si="24"/>
        <v>0.80072871440208493</v>
      </c>
    </row>
    <row r="171" spans="1:20" ht="12.65" customHeight="1">
      <c r="A171" s="10">
        <v>30072</v>
      </c>
      <c r="B171" s="255">
        <v>35788.97</v>
      </c>
      <c r="D171" s="257">
        <f>B171/C181</f>
        <v>7.0844761891602853E-2</v>
      </c>
      <c r="E171" s="2"/>
      <c r="F171" s="258">
        <f>D171*E181</f>
        <v>46652.480066572636</v>
      </c>
      <c r="H171" s="261">
        <f t="shared" si="27"/>
        <v>104.03385914583654</v>
      </c>
      <c r="I171" s="262">
        <f t="shared" si="30"/>
        <v>145.32466365154391</v>
      </c>
      <c r="J171" s="258">
        <f t="shared" si="32"/>
        <v>0</v>
      </c>
      <c r="K171" s="261">
        <f t="shared" si="37"/>
        <v>149.22652833722995</v>
      </c>
      <c r="L171" s="261">
        <v>1</v>
      </c>
      <c r="M171" s="261">
        <f t="shared" si="26"/>
        <v>7</v>
      </c>
      <c r="N171" s="263">
        <v>121.009836420193</v>
      </c>
      <c r="O171" s="264">
        <v>75.900000000000006</v>
      </c>
      <c r="P171" s="263">
        <f t="shared" si="25"/>
        <v>150.03525833684316</v>
      </c>
      <c r="Q171" s="257">
        <f t="shared" si="24"/>
        <v>0.80654266044928336</v>
      </c>
    </row>
    <row r="172" spans="1:20" ht="12.65" customHeight="1">
      <c r="A172" s="10">
        <v>30103</v>
      </c>
      <c r="B172" s="255">
        <v>38149.4</v>
      </c>
      <c r="D172" s="257">
        <f>B172/C181</f>
        <v>7.5517265775112113E-2</v>
      </c>
      <c r="E172" s="2"/>
      <c r="F172" s="258">
        <f>D172*E181</f>
        <v>49729.403306429507</v>
      </c>
      <c r="H172" s="261">
        <f t="shared" si="27"/>
        <v>110.89532071188908</v>
      </c>
      <c r="I172" s="262">
        <f t="shared" si="30"/>
        <v>145.32466365154391</v>
      </c>
      <c r="J172" s="258">
        <f t="shared" si="32"/>
        <v>0</v>
      </c>
      <c r="K172" s="261">
        <f t="shared" si="37"/>
        <v>149.78393757804224</v>
      </c>
      <c r="L172" s="261">
        <v>1</v>
      </c>
      <c r="M172" s="261">
        <f t="shared" si="26"/>
        <v>8</v>
      </c>
      <c r="N172" s="263">
        <v>120.389987218576</v>
      </c>
      <c r="O172" s="264">
        <v>75.099999999999994</v>
      </c>
      <c r="P172" s="263">
        <f t="shared" si="25"/>
        <v>149.70265229405774</v>
      </c>
      <c r="Q172" s="257">
        <f t="shared" si="24"/>
        <v>0.80419408322904329</v>
      </c>
    </row>
    <row r="173" spans="1:20" ht="12.65" customHeight="1">
      <c r="A173" s="10">
        <v>30133</v>
      </c>
      <c r="B173" s="255">
        <v>41759.19</v>
      </c>
      <c r="D173" s="257">
        <f>B173/C181</f>
        <v>8.2662895085726218E-2</v>
      </c>
      <c r="E173" s="2"/>
      <c r="F173" s="258">
        <f>D173*E181</f>
        <v>54434.921683167173</v>
      </c>
      <c r="H173" s="261">
        <f t="shared" si="27"/>
        <v>121.38850854059856</v>
      </c>
      <c r="I173" s="262">
        <f t="shared" si="30"/>
        <v>145.32466365154391</v>
      </c>
      <c r="J173" s="258">
        <f t="shared" si="32"/>
        <v>0</v>
      </c>
      <c r="K173" s="261">
        <f t="shared" si="37"/>
        <v>150.34134681885453</v>
      </c>
      <c r="L173" s="261">
        <v>1</v>
      </c>
      <c r="M173" s="261">
        <f t="shared" si="26"/>
        <v>9</v>
      </c>
      <c r="N173" s="263">
        <v>121.324735744506</v>
      </c>
      <c r="O173" s="264">
        <v>76.400000000000006</v>
      </c>
      <c r="P173" s="263">
        <f t="shared" si="25"/>
        <v>150.16141973056139</v>
      </c>
      <c r="Q173" s="257">
        <f t="shared" si="24"/>
        <v>0.80796209813547437</v>
      </c>
    </row>
    <row r="174" spans="1:20" ht="12.65" customHeight="1">
      <c r="A174" s="10">
        <v>30164</v>
      </c>
      <c r="B174" s="255">
        <v>44723.64</v>
      </c>
      <c r="D174" s="257">
        <f>B174/C181</f>
        <v>8.8531064926589534E-2</v>
      </c>
      <c r="E174" s="2"/>
      <c r="F174" s="258">
        <f>D174*E181</f>
        <v>58299.211282262957</v>
      </c>
      <c r="H174" s="261">
        <f t="shared" si="27"/>
        <v>130.00577731767916</v>
      </c>
      <c r="I174" s="262">
        <f t="shared" si="30"/>
        <v>145.32466365154391</v>
      </c>
      <c r="J174" s="258">
        <f t="shared" si="32"/>
        <v>0</v>
      </c>
      <c r="K174" s="261">
        <f t="shared" si="37"/>
        <v>150.89875605966682</v>
      </c>
      <c r="L174" s="261">
        <v>1</v>
      </c>
      <c r="M174" s="261">
        <f t="shared" si="26"/>
        <v>10</v>
      </c>
      <c r="N174" s="263">
        <v>122.57458170083</v>
      </c>
      <c r="O174" s="264">
        <v>76.2</v>
      </c>
      <c r="P174" s="263">
        <f t="shared" si="25"/>
        <v>151.66153827766601</v>
      </c>
      <c r="Q174" s="257">
        <f t="shared" si="24"/>
        <v>0.80821138366945189</v>
      </c>
    </row>
    <row r="175" spans="1:20" ht="12.65" customHeight="1">
      <c r="A175" s="10">
        <v>30195</v>
      </c>
      <c r="B175" s="255">
        <v>47355.4</v>
      </c>
      <c r="D175" s="257">
        <f>B175/C181</f>
        <v>9.3740670303772644E-2</v>
      </c>
      <c r="E175" s="2"/>
      <c r="F175" s="258">
        <f>D175*E181</f>
        <v>61729.824986429448</v>
      </c>
      <c r="H175" s="261">
        <f t="shared" si="27"/>
        <v>137.65595973828664</v>
      </c>
      <c r="I175" s="262">
        <f t="shared" si="30"/>
        <v>145.32466365154391</v>
      </c>
      <c r="J175" s="258">
        <f t="shared" si="32"/>
        <v>0</v>
      </c>
      <c r="K175" s="261">
        <f t="shared" si="37"/>
        <v>151.45616530047911</v>
      </c>
      <c r="L175" s="261">
        <v>1</v>
      </c>
      <c r="M175" s="261">
        <f t="shared" si="26"/>
        <v>11</v>
      </c>
      <c r="N175" s="263">
        <v>124.001006947322</v>
      </c>
      <c r="O175" s="264">
        <v>73.5</v>
      </c>
      <c r="P175" s="263">
        <f t="shared" si="25"/>
        <v>154.50437616961426</v>
      </c>
      <c r="Q175" s="257">
        <f t="shared" si="24"/>
        <v>0.80257278157088707</v>
      </c>
    </row>
    <row r="176" spans="1:20" ht="12.65" customHeight="1">
      <c r="A176" s="10">
        <v>30225</v>
      </c>
      <c r="B176" s="255">
        <v>49580.94</v>
      </c>
      <c r="D176" s="257">
        <f>B176/C181</f>
        <v>9.8146157563680864E-2</v>
      </c>
      <c r="E176" s="2"/>
      <c r="F176" s="258">
        <f>D176*E181</f>
        <v>64630.913240362432</v>
      </c>
      <c r="H176" s="261">
        <f t="shared" si="27"/>
        <v>144.12531370079029</v>
      </c>
      <c r="I176" s="262">
        <f t="shared" si="30"/>
        <v>145.32466365154391</v>
      </c>
      <c r="J176" s="258">
        <f t="shared" si="32"/>
        <v>0</v>
      </c>
      <c r="K176" s="261">
        <f t="shared" si="37"/>
        <v>152.0135745412914</v>
      </c>
      <c r="L176" s="261">
        <v>1</v>
      </c>
      <c r="M176" s="261">
        <f t="shared" si="26"/>
        <v>12</v>
      </c>
      <c r="N176" s="263">
        <v>124.37056573643299</v>
      </c>
      <c r="O176" s="264">
        <v>73.3</v>
      </c>
      <c r="P176" s="263">
        <f t="shared" si="25"/>
        <v>155.01237902588383</v>
      </c>
      <c r="Q176" s="257">
        <f t="shared" si="24"/>
        <v>0.80232666912147521</v>
      </c>
    </row>
    <row r="177" spans="1:20" ht="12.65" customHeight="1">
      <c r="A177" s="10">
        <v>30256</v>
      </c>
      <c r="B177" s="255">
        <v>48531.07</v>
      </c>
      <c r="D177" s="257">
        <f>B177/C181</f>
        <v>9.6067925355066391E-2</v>
      </c>
      <c r="E177" s="2"/>
      <c r="F177" s="258">
        <f>D177*E181</f>
        <v>63262.362001042253</v>
      </c>
      <c r="H177" s="261">
        <f t="shared" si="27"/>
        <v>141.07347880022064</v>
      </c>
      <c r="I177" s="262">
        <f t="shared" si="30"/>
        <v>144.12531370079029</v>
      </c>
      <c r="J177" s="258">
        <f t="shared" si="32"/>
        <v>0</v>
      </c>
      <c r="K177" s="261">
        <f t="shared" si="37"/>
        <v>152.5709837821037</v>
      </c>
      <c r="L177" s="261">
        <v>1</v>
      </c>
      <c r="M177" s="261">
        <f t="shared" si="26"/>
        <v>13</v>
      </c>
      <c r="N177" s="263">
        <v>123.81815204975</v>
      </c>
      <c r="O177" s="264">
        <v>73</v>
      </c>
      <c r="P177" s="263">
        <f t="shared" si="25"/>
        <v>154.52703365289031</v>
      </c>
      <c r="Q177" s="257">
        <f t="shared" si="24"/>
        <v>0.8012717847666655</v>
      </c>
    </row>
    <row r="178" spans="1:20" ht="12.65" customHeight="1">
      <c r="A178" s="10">
        <v>30286</v>
      </c>
      <c r="B178" s="255">
        <v>48568.9</v>
      </c>
      <c r="D178" s="257">
        <f>B178/C181</f>
        <v>9.6142810364116926E-2</v>
      </c>
      <c r="E178" s="2"/>
      <c r="F178" s="258">
        <f>D178*E181</f>
        <v>63311.675052547187</v>
      </c>
      <c r="H178" s="261">
        <f t="shared" si="27"/>
        <v>141.18344566686943</v>
      </c>
      <c r="I178" s="262">
        <f t="shared" si="30"/>
        <v>144.12531370079029</v>
      </c>
      <c r="J178" s="258">
        <f t="shared" si="32"/>
        <v>0</v>
      </c>
      <c r="K178" s="261">
        <f t="shared" si="37"/>
        <v>153.12839302291599</v>
      </c>
      <c r="L178" s="261">
        <v>1</v>
      </c>
      <c r="M178" s="261">
        <f t="shared" si="26"/>
        <v>14</v>
      </c>
      <c r="N178" s="263">
        <v>123.597115593496</v>
      </c>
      <c r="O178" s="264">
        <v>73.2</v>
      </c>
      <c r="P178" s="263">
        <f t="shared" si="25"/>
        <v>154.18642087380817</v>
      </c>
      <c r="Q178" s="257">
        <f t="shared" si="24"/>
        <v>0.80160830566689412</v>
      </c>
      <c r="T178" s="257">
        <f t="shared" ref="T178" si="40">AVERAGE(Q167:Q178)</f>
        <v>0.80358123687115779</v>
      </c>
    </row>
    <row r="179" spans="1:20" ht="12.65" customHeight="1">
      <c r="A179" s="10">
        <v>30317</v>
      </c>
      <c r="B179" s="255">
        <v>33808.61</v>
      </c>
      <c r="D179" s="257">
        <f>B179/C181</f>
        <v>6.6924611838118375E-2</v>
      </c>
      <c r="E179" s="2"/>
      <c r="F179" s="258">
        <f>D179*E181</f>
        <v>44070.994613802199</v>
      </c>
      <c r="H179" s="261">
        <f t="shared" si="27"/>
        <v>98.277211404980946</v>
      </c>
      <c r="I179" s="262">
        <f t="shared" si="30"/>
        <v>144.12531370079029</v>
      </c>
      <c r="J179" s="258">
        <f t="shared" si="32"/>
        <v>0</v>
      </c>
      <c r="K179" s="261">
        <f t="shared" si="37"/>
        <v>153.68580226372828</v>
      </c>
      <c r="L179" s="261">
        <v>1</v>
      </c>
      <c r="M179" s="261">
        <f t="shared" si="26"/>
        <v>15</v>
      </c>
      <c r="N179" s="263">
        <v>118.150591819594</v>
      </c>
      <c r="O179" s="264">
        <v>75.5</v>
      </c>
      <c r="P179" s="263">
        <f t="shared" si="25"/>
        <v>146.99577884877604</v>
      </c>
      <c r="Q179" s="257">
        <f t="shared" si="24"/>
        <v>0.80376860305045272</v>
      </c>
    </row>
    <row r="180" spans="1:20" ht="12.65" customHeight="1">
      <c r="A180" s="10">
        <v>30348</v>
      </c>
      <c r="B180" s="255">
        <v>39281.620000000003</v>
      </c>
      <c r="D180" s="257">
        <f>B180/C181</f>
        <v>7.7758510949502729E-2</v>
      </c>
      <c r="E180" s="2"/>
      <c r="F180" s="258">
        <f>D180*E181</f>
        <v>51205.30135493369</v>
      </c>
      <c r="H180" s="261">
        <f t="shared" si="27"/>
        <v>114.18653630155538</v>
      </c>
      <c r="I180" s="262">
        <f t="shared" si="30"/>
        <v>144.12531370079029</v>
      </c>
      <c r="J180" s="258">
        <f t="shared" si="32"/>
        <v>0</v>
      </c>
      <c r="K180" s="261">
        <f t="shared" si="37"/>
        <v>154.24321150454057</v>
      </c>
      <c r="L180" s="261">
        <v>1</v>
      </c>
      <c r="M180" s="261">
        <f t="shared" si="26"/>
        <v>16</v>
      </c>
      <c r="N180" s="263">
        <v>123.03210085544799</v>
      </c>
      <c r="O180" s="264">
        <v>74.900000000000006</v>
      </c>
      <c r="P180" s="263">
        <f t="shared" si="25"/>
        <v>152.77190721297552</v>
      </c>
      <c r="Q180" s="257">
        <f t="shared" si="24"/>
        <v>0.80533196907682769</v>
      </c>
    </row>
    <row r="181" spans="1:20" ht="12.65" customHeight="1">
      <c r="A181" s="10">
        <v>30376</v>
      </c>
      <c r="B181" s="255">
        <v>41976.74</v>
      </c>
      <c r="C181" s="259">
        <f t="shared" ref="C181" si="41">SUM(B170:B181)</f>
        <v>505174.54</v>
      </c>
      <c r="D181" s="257">
        <f>B181/C181</f>
        <v>8.3093538324397739E-2</v>
      </c>
      <c r="E181" s="260">
        <v>658517</v>
      </c>
      <c r="F181" s="258">
        <f>D181*E181</f>
        <v>54718.507576767428</v>
      </c>
      <c r="H181" s="261">
        <f t="shared" si="27"/>
        <v>122.02089796273552</v>
      </c>
      <c r="I181" s="262">
        <f t="shared" si="30"/>
        <v>144.12531370079029</v>
      </c>
      <c r="J181" s="258">
        <f t="shared" si="32"/>
        <v>0</v>
      </c>
      <c r="K181" s="261">
        <f t="shared" si="37"/>
        <v>154.80062074535286</v>
      </c>
      <c r="L181" s="261">
        <v>1</v>
      </c>
      <c r="M181" s="261">
        <f t="shared" si="26"/>
        <v>17</v>
      </c>
      <c r="N181" s="263">
        <v>122.005881831246</v>
      </c>
      <c r="O181" s="264">
        <v>75.400000000000006</v>
      </c>
      <c r="P181" s="263">
        <f t="shared" si="25"/>
        <v>151.38657939455274</v>
      </c>
      <c r="Q181" s="257">
        <f t="shared" si="24"/>
        <v>0.80592270674976407</v>
      </c>
    </row>
    <row r="182" spans="1:20" ht="12.65" customHeight="1">
      <c r="A182" s="10">
        <v>30407</v>
      </c>
      <c r="B182" s="255">
        <v>36190.04</v>
      </c>
      <c r="D182" s="257">
        <f>B182/C193</f>
        <v>7.5216931709586071E-2</v>
      </c>
      <c r="E182" s="2"/>
      <c r="F182" s="258">
        <f>D182*E193</f>
        <v>47120.92555730926</v>
      </c>
      <c r="H182" s="261">
        <f t="shared" si="27"/>
        <v>105.07848082792617</v>
      </c>
      <c r="I182" s="262">
        <f t="shared" si="30"/>
        <v>144.12531370079029</v>
      </c>
      <c r="J182" s="258">
        <f t="shared" si="32"/>
        <v>0</v>
      </c>
      <c r="K182" s="261">
        <f t="shared" si="37"/>
        <v>155.35802998616515</v>
      </c>
      <c r="L182" s="261">
        <v>1</v>
      </c>
      <c r="M182" s="261">
        <f t="shared" si="26"/>
        <v>18</v>
      </c>
      <c r="N182" s="263">
        <v>122.537876192228</v>
      </c>
      <c r="O182" s="264">
        <v>73.099999999999994</v>
      </c>
      <c r="P182" s="263">
        <f t="shared" si="25"/>
        <v>153.03836782131498</v>
      </c>
      <c r="Q182" s="257">
        <f t="shared" si="24"/>
        <v>0.80070035989472366</v>
      </c>
    </row>
    <row r="183" spans="1:20" ht="12.65" customHeight="1">
      <c r="A183" s="10">
        <v>30437</v>
      </c>
      <c r="B183" s="255">
        <v>35447.81</v>
      </c>
      <c r="D183" s="257">
        <f>B183/C193</f>
        <v>7.3674290053959104E-2</v>
      </c>
      <c r="E183" s="2"/>
      <c r="F183" s="258">
        <f>D183*E193</f>
        <v>46154.511467233599</v>
      </c>
      <c r="H183" s="261">
        <f t="shared" si="27"/>
        <v>102.92340167286274</v>
      </c>
      <c r="I183" s="262">
        <f t="shared" si="30"/>
        <v>144.12531370079029</v>
      </c>
      <c r="J183" s="258">
        <f t="shared" si="32"/>
        <v>0</v>
      </c>
      <c r="K183" s="261">
        <f t="shared" si="37"/>
        <v>155.91543922697744</v>
      </c>
      <c r="L183" s="261">
        <v>1</v>
      </c>
      <c r="M183" s="261">
        <f t="shared" si="26"/>
        <v>19</v>
      </c>
      <c r="N183" s="263">
        <v>119.168941481053</v>
      </c>
      <c r="O183" s="264">
        <v>72.599999999999994</v>
      </c>
      <c r="P183" s="263">
        <f t="shared" si="25"/>
        <v>149.47019734178411</v>
      </c>
      <c r="Q183" s="257">
        <f t="shared" si="24"/>
        <v>0.79727560142679721</v>
      </c>
    </row>
    <row r="184" spans="1:20" ht="12.65" customHeight="1">
      <c r="A184" s="10">
        <v>30468</v>
      </c>
      <c r="B184" s="255">
        <v>36481.279999999999</v>
      </c>
      <c r="D184" s="257">
        <f>B184/C193</f>
        <v>7.5822241324913928E-2</v>
      </c>
      <c r="E184" s="2"/>
      <c r="F184" s="258">
        <f>D184*E193</f>
        <v>47500.132056094852</v>
      </c>
      <c r="H184" s="261">
        <f t="shared" si="27"/>
        <v>105.92410179867737</v>
      </c>
      <c r="I184" s="262">
        <f t="shared" si="30"/>
        <v>144.12531370079029</v>
      </c>
      <c r="J184" s="258">
        <f t="shared" si="32"/>
        <v>0</v>
      </c>
      <c r="K184" s="261">
        <f t="shared" si="37"/>
        <v>156.47284846778973</v>
      </c>
      <c r="L184" s="261">
        <v>1</v>
      </c>
      <c r="M184" s="261">
        <f t="shared" si="26"/>
        <v>20</v>
      </c>
      <c r="N184" s="263">
        <v>115.59958855089501</v>
      </c>
      <c r="O184" s="264">
        <v>72.5</v>
      </c>
      <c r="P184" s="263">
        <f t="shared" si="25"/>
        <v>145.49315494292381</v>
      </c>
      <c r="Q184" s="257">
        <f t="shared" si="24"/>
        <v>0.7945362693952448</v>
      </c>
    </row>
    <row r="185" spans="1:20" ht="12.65" customHeight="1">
      <c r="A185" s="10">
        <v>30498</v>
      </c>
      <c r="B185" s="255">
        <v>39154.61</v>
      </c>
      <c r="D185" s="257">
        <f>B185/C193</f>
        <v>8.1378457345874053E-2</v>
      </c>
      <c r="E185" s="2"/>
      <c r="F185" s="258">
        <f>D185*E193</f>
        <v>50980.918038097683</v>
      </c>
      <c r="H185" s="261">
        <f t="shared" si="27"/>
        <v>113.68616713907822</v>
      </c>
      <c r="I185" s="262">
        <f t="shared" si="30"/>
        <v>144.12531370079029</v>
      </c>
      <c r="J185" s="258">
        <f t="shared" si="32"/>
        <v>0</v>
      </c>
      <c r="K185" s="261">
        <f t="shared" si="37"/>
        <v>157.03025770860202</v>
      </c>
      <c r="L185" s="261">
        <v>1</v>
      </c>
      <c r="M185" s="261">
        <f t="shared" si="26"/>
        <v>21</v>
      </c>
      <c r="N185" s="263">
        <v>114.415171184573</v>
      </c>
      <c r="O185" s="264">
        <v>72.8</v>
      </c>
      <c r="P185" s="263">
        <f t="shared" si="25"/>
        <v>144.02102847695892</v>
      </c>
      <c r="Q185" s="257">
        <f t="shared" si="24"/>
        <v>0.7944337878608998</v>
      </c>
    </row>
    <row r="186" spans="1:20" ht="12.65" customHeight="1">
      <c r="A186" s="10">
        <v>30529</v>
      </c>
      <c r="B186" s="255">
        <v>41566.230000000003</v>
      </c>
      <c r="D186" s="257">
        <f>B186/C193</f>
        <v>8.6390738538419637E-2</v>
      </c>
      <c r="E186" s="2"/>
      <c r="F186" s="258">
        <f>D186*E193</f>
        <v>54120.946799948135</v>
      </c>
      <c r="H186" s="261">
        <f t="shared" si="27"/>
        <v>120.68835243465246</v>
      </c>
      <c r="I186" s="262">
        <f t="shared" si="30"/>
        <v>144.12531370079029</v>
      </c>
      <c r="J186" s="258">
        <f t="shared" si="32"/>
        <v>0</v>
      </c>
      <c r="K186" s="261">
        <f t="shared" si="37"/>
        <v>157.58766694941431</v>
      </c>
      <c r="L186" s="261">
        <v>1</v>
      </c>
      <c r="M186" s="261">
        <f t="shared" si="26"/>
        <v>22</v>
      </c>
      <c r="N186" s="263">
        <v>114.402354953594</v>
      </c>
      <c r="O186" s="264">
        <v>74.599999999999994</v>
      </c>
      <c r="P186" s="263">
        <f t="shared" si="25"/>
        <v>143.18311431827118</v>
      </c>
      <c r="Q186" s="257">
        <f t="shared" si="24"/>
        <v>0.79899334148646495</v>
      </c>
    </row>
    <row r="187" spans="1:20" ht="12.65" customHeight="1">
      <c r="A187" s="10">
        <v>30560</v>
      </c>
      <c r="B187" s="255">
        <v>43645.25</v>
      </c>
      <c r="D187" s="257">
        <f>B187/C193</f>
        <v>9.0711748002981249E-2</v>
      </c>
      <c r="E187" s="2"/>
      <c r="F187" s="258">
        <f>D187*E193</f>
        <v>56827.916636183654</v>
      </c>
      <c r="H187" s="261">
        <f t="shared" si="27"/>
        <v>126.724827199833</v>
      </c>
      <c r="I187" s="262">
        <f t="shared" si="30"/>
        <v>144.12531370079029</v>
      </c>
      <c r="J187" s="258">
        <f t="shared" si="32"/>
        <v>0</v>
      </c>
      <c r="K187" s="261">
        <f t="shared" si="37"/>
        <v>158.1450761902266</v>
      </c>
      <c r="L187" s="261">
        <v>1</v>
      </c>
      <c r="M187" s="261">
        <f t="shared" si="26"/>
        <v>23</v>
      </c>
      <c r="N187" s="263">
        <v>114.609927875938</v>
      </c>
      <c r="O187" s="264">
        <v>74.3</v>
      </c>
      <c r="P187" s="263">
        <f t="shared" si="25"/>
        <v>143.55430152660273</v>
      </c>
      <c r="Q187" s="257">
        <f t="shared" si="24"/>
        <v>0.7983733448398207</v>
      </c>
    </row>
    <row r="188" spans="1:20" ht="12.65" customHeight="1">
      <c r="A188" s="10">
        <v>30590</v>
      </c>
      <c r="B188" s="255">
        <v>45837.75</v>
      </c>
      <c r="D188" s="257">
        <f>B188/C193</f>
        <v>9.5268612896561564E-2</v>
      </c>
      <c r="E188" s="2"/>
      <c r="F188" s="258">
        <f>D188*E193</f>
        <v>59682.642115470233</v>
      </c>
      <c r="H188" s="261">
        <f t="shared" si="27"/>
        <v>133.09079333900357</v>
      </c>
      <c r="I188" s="262">
        <f t="shared" si="30"/>
        <v>144.12531370079029</v>
      </c>
      <c r="J188" s="258">
        <f t="shared" si="32"/>
        <v>0</v>
      </c>
      <c r="K188" s="261">
        <f t="shared" si="37"/>
        <v>158.70248543103889</v>
      </c>
      <c r="L188" s="261">
        <v>1</v>
      </c>
      <c r="M188" s="261">
        <f t="shared" si="26"/>
        <v>24</v>
      </c>
      <c r="N188" s="263">
        <v>114.99605533079399</v>
      </c>
      <c r="O188" s="264">
        <v>74.400000000000006</v>
      </c>
      <c r="P188" s="263">
        <f t="shared" si="25"/>
        <v>143.94373290585469</v>
      </c>
      <c r="Q188" s="257">
        <f t="shared" si="24"/>
        <v>0.79889588111492349</v>
      </c>
    </row>
    <row r="189" spans="1:20" ht="12.65" customHeight="1">
      <c r="A189" s="10">
        <v>30621</v>
      </c>
      <c r="B189" s="255">
        <v>45512.59</v>
      </c>
      <c r="D189" s="257">
        <f>B189/C193</f>
        <v>9.4592804372595041E-2</v>
      </c>
      <c r="E189" s="2"/>
      <c r="F189" s="258">
        <f>D189*E193</f>
        <v>59259.270376886496</v>
      </c>
      <c r="H189" s="261">
        <f t="shared" si="27"/>
        <v>132.14668499245269</v>
      </c>
      <c r="I189" s="262">
        <f t="shared" si="30"/>
        <v>141.18344566686943</v>
      </c>
      <c r="J189" s="258">
        <f t="shared" si="32"/>
        <v>0</v>
      </c>
      <c r="K189" s="261">
        <f t="shared" si="37"/>
        <v>159.25989467185119</v>
      </c>
      <c r="L189" s="261">
        <v>1</v>
      </c>
      <c r="M189" s="261">
        <f t="shared" si="26"/>
        <v>25</v>
      </c>
      <c r="N189" s="263">
        <v>115.798063166609</v>
      </c>
      <c r="O189" s="264">
        <v>74.099999999999994</v>
      </c>
      <c r="P189" s="263">
        <f t="shared" si="25"/>
        <v>144.98486990648175</v>
      </c>
      <c r="Q189" s="257">
        <f t="shared" ref="Q189:Q252" si="42">N189/P189</f>
        <v>0.79869067193908683</v>
      </c>
    </row>
    <row r="190" spans="1:20" ht="12.65" customHeight="1">
      <c r="A190" s="10">
        <v>30651</v>
      </c>
      <c r="B190" s="255">
        <v>46307.51</v>
      </c>
      <c r="D190" s="257">
        <f>B190/C193</f>
        <v>9.6244956272802523E-2</v>
      </c>
      <c r="E190" s="2"/>
      <c r="F190" s="258">
        <f>D190*E193</f>
        <v>60294.289021353776</v>
      </c>
      <c r="H190" s="261">
        <f t="shared" si="27"/>
        <v>134.45475058120962</v>
      </c>
      <c r="I190" s="262">
        <f t="shared" si="30"/>
        <v>141.18344566686943</v>
      </c>
      <c r="J190" s="258">
        <f t="shared" si="32"/>
        <v>0</v>
      </c>
      <c r="K190" s="261">
        <f t="shared" si="37"/>
        <v>159.81730391266348</v>
      </c>
      <c r="L190" s="261">
        <v>1</v>
      </c>
      <c r="M190" s="261">
        <f t="shared" si="26"/>
        <v>26</v>
      </c>
      <c r="N190" s="263">
        <v>116.999986040598</v>
      </c>
      <c r="O190" s="264">
        <v>72.099999999999994</v>
      </c>
      <c r="P190" s="263">
        <f t="shared" ref="P190:P253" si="43" xml:space="preserve"> 48.3757429845 + 1.12703641242*N190 - 0.457483222058*O190</f>
        <v>147.25444719450385</v>
      </c>
      <c r="Q190" s="257">
        <f t="shared" si="42"/>
        <v>0.79454297150059128</v>
      </c>
      <c r="T190" s="257">
        <f t="shared" ref="T190" si="44">AVERAGE(Q179:Q190)</f>
        <v>0.79928879236129979</v>
      </c>
    </row>
    <row r="191" spans="1:20" ht="12.65" customHeight="1">
      <c r="A191" s="10">
        <v>30682</v>
      </c>
      <c r="B191" s="255">
        <v>32457.86</v>
      </c>
      <c r="D191" s="257">
        <f>B191/C193</f>
        <v>6.7460014939450336E-2</v>
      </c>
      <c r="E191" s="2"/>
      <c r="F191" s="258">
        <f>D191*E193</f>
        <v>42261.473179072636</v>
      </c>
      <c r="H191" s="261">
        <f t="shared" si="27"/>
        <v>94.242024041020997</v>
      </c>
      <c r="I191" s="262">
        <f t="shared" si="30"/>
        <v>134.45475058120962</v>
      </c>
      <c r="J191" s="258">
        <f t="shared" si="32"/>
        <v>0</v>
      </c>
      <c r="K191" s="261">
        <f t="shared" si="37"/>
        <v>160.37471315347577</v>
      </c>
      <c r="L191" s="261">
        <v>1</v>
      </c>
      <c r="M191" s="261">
        <f t="shared" ref="M191:M254" si="45">M190+L191</f>
        <v>27</v>
      </c>
      <c r="N191" s="263">
        <v>114.427656813154</v>
      </c>
      <c r="O191" s="264">
        <v>75.3</v>
      </c>
      <c r="P191" s="263">
        <f t="shared" si="43"/>
        <v>142.89139217985667</v>
      </c>
      <c r="Q191" s="257">
        <f t="shared" si="42"/>
        <v>0.80080160930285071</v>
      </c>
    </row>
    <row r="192" spans="1:20" ht="12.65" customHeight="1">
      <c r="A192" s="10">
        <v>30713</v>
      </c>
      <c r="B192" s="255">
        <v>37818.65</v>
      </c>
      <c r="D192" s="257">
        <f>B192/C193</f>
        <v>7.8601814598677905E-2</v>
      </c>
      <c r="E192" s="2"/>
      <c r="F192" s="258">
        <f>D192*E193</f>
        <v>49241.442986189948</v>
      </c>
      <c r="H192" s="261">
        <f t="shared" si="27"/>
        <v>109.80718145000804</v>
      </c>
      <c r="I192" s="262">
        <f t="shared" si="30"/>
        <v>134.45475058120962</v>
      </c>
      <c r="J192" s="258">
        <f t="shared" si="32"/>
        <v>0</v>
      </c>
      <c r="K192" s="261">
        <f t="shared" si="37"/>
        <v>160.93212239428806</v>
      </c>
      <c r="L192" s="261">
        <v>1</v>
      </c>
      <c r="M192" s="261">
        <f t="shared" si="45"/>
        <v>28</v>
      </c>
      <c r="N192" s="263">
        <v>117.361991882289</v>
      </c>
      <c r="O192" s="264">
        <v>75.2</v>
      </c>
      <c r="P192" s="263">
        <f t="shared" si="43"/>
        <v>146.24424297121857</v>
      </c>
      <c r="Q192" s="257">
        <f t="shared" si="42"/>
        <v>0.8025067482853756</v>
      </c>
    </row>
    <row r="193" spans="1:20" ht="12.65" customHeight="1">
      <c r="A193" s="10">
        <v>30742</v>
      </c>
      <c r="B193" s="255">
        <v>40722.620000000003</v>
      </c>
      <c r="C193" s="259">
        <f t="shared" ref="C193" si="46">SUM(B182:B193)</f>
        <v>481142.19999999995</v>
      </c>
      <c r="D193" s="257">
        <f>B193/C193</f>
        <v>8.4637389944178673E-2</v>
      </c>
      <c r="E193" s="260">
        <v>626467</v>
      </c>
      <c r="F193" s="258">
        <f>D193*E193</f>
        <v>53022.53176615978</v>
      </c>
      <c r="H193" s="261">
        <f t="shared" si="27"/>
        <v>118.23891448953698</v>
      </c>
      <c r="I193" s="262">
        <f t="shared" si="30"/>
        <v>134.45475058120962</v>
      </c>
      <c r="J193" s="258">
        <f t="shared" si="32"/>
        <v>0</v>
      </c>
      <c r="K193" s="261">
        <f t="shared" si="37"/>
        <v>161.48953163510035</v>
      </c>
      <c r="L193" s="261">
        <v>1</v>
      </c>
      <c r="M193" s="261">
        <f t="shared" si="45"/>
        <v>29</v>
      </c>
      <c r="N193" s="263">
        <v>117.933480701891</v>
      </c>
      <c r="O193" s="264">
        <v>76.3</v>
      </c>
      <c r="P193" s="263">
        <f t="shared" si="43"/>
        <v>146.38510013593714</v>
      </c>
      <c r="Q193" s="257">
        <f t="shared" si="42"/>
        <v>0.80563855605778734</v>
      </c>
    </row>
    <row r="194" spans="1:20" ht="12.65" customHeight="1">
      <c r="A194" s="10">
        <v>30773</v>
      </c>
      <c r="B194" s="255">
        <v>36227.629999999997</v>
      </c>
      <c r="D194" s="257">
        <f>B194/C205</f>
        <v>7.3906846637157214E-2</v>
      </c>
      <c r="E194" s="2"/>
      <c r="F194" s="258">
        <f>D194*E205</f>
        <v>46282.093314813865</v>
      </c>
      <c r="H194" s="261">
        <f t="shared" ref="H194:H257" si="47">F194/G$574*100</f>
        <v>103.2079059894991</v>
      </c>
      <c r="I194" s="262">
        <f t="shared" si="30"/>
        <v>134.45475058120962</v>
      </c>
      <c r="J194" s="258">
        <f t="shared" si="32"/>
        <v>0</v>
      </c>
      <c r="K194" s="261">
        <f t="shared" si="37"/>
        <v>162.04694087591264</v>
      </c>
      <c r="L194" s="261">
        <v>1</v>
      </c>
      <c r="M194" s="261">
        <f t="shared" si="45"/>
        <v>30</v>
      </c>
      <c r="N194" s="263">
        <v>119.429101249948</v>
      </c>
      <c r="O194" s="264">
        <v>76.400000000000006</v>
      </c>
      <c r="P194" s="263">
        <f t="shared" si="43"/>
        <v>148.02497063055515</v>
      </c>
      <c r="Q194" s="257">
        <f t="shared" si="42"/>
        <v>0.80681726023119771</v>
      </c>
    </row>
    <row r="195" spans="1:20" ht="12.65" customHeight="1">
      <c r="A195" s="10">
        <v>30803</v>
      </c>
      <c r="B195" s="255">
        <v>36624.74</v>
      </c>
      <c r="D195" s="257">
        <f>B195/C205</f>
        <v>7.4716978237487713E-2</v>
      </c>
      <c r="E195" s="2"/>
      <c r="F195" s="258">
        <f>D195*E205</f>
        <v>46789.415545836033</v>
      </c>
      <c r="H195" s="261">
        <f t="shared" si="47"/>
        <v>104.33922182626483</v>
      </c>
      <c r="I195" s="262">
        <f t="shared" si="30"/>
        <v>134.45475058120962</v>
      </c>
      <c r="J195" s="258">
        <f t="shared" si="32"/>
        <v>0</v>
      </c>
      <c r="K195" s="261">
        <f t="shared" si="37"/>
        <v>162.60435011672493</v>
      </c>
      <c r="L195" s="261">
        <v>1</v>
      </c>
      <c r="M195" s="261">
        <f t="shared" si="45"/>
        <v>31</v>
      </c>
      <c r="N195" s="263">
        <v>120.47233066337201</v>
      </c>
      <c r="O195" s="264">
        <v>72.7</v>
      </c>
      <c r="P195" s="263">
        <f t="shared" si="43"/>
        <v>150.89341608760614</v>
      </c>
      <c r="Q195" s="257">
        <f t="shared" si="42"/>
        <v>0.79839355345648633</v>
      </c>
    </row>
    <row r="196" spans="1:20" ht="12.65" customHeight="1">
      <c r="A196" s="10">
        <v>30834</v>
      </c>
      <c r="B196" s="255">
        <v>38343.919999999998</v>
      </c>
      <c r="D196" s="257">
        <f>B196/C205</f>
        <v>7.8224223193938583E-2</v>
      </c>
      <c r="E196" s="2"/>
      <c r="F196" s="258">
        <f>D196*E205</f>
        <v>48985.729496954606</v>
      </c>
      <c r="H196" s="261">
        <f t="shared" si="47"/>
        <v>109.2369467897534</v>
      </c>
      <c r="I196" s="262">
        <f t="shared" si="30"/>
        <v>134.45475058120962</v>
      </c>
      <c r="J196" s="258">
        <f t="shared" si="32"/>
        <v>0</v>
      </c>
      <c r="K196" s="261">
        <f t="shared" si="37"/>
        <v>163.16175935753722</v>
      </c>
      <c r="L196" s="261">
        <v>1</v>
      </c>
      <c r="M196" s="261">
        <f t="shared" si="45"/>
        <v>32</v>
      </c>
      <c r="N196" s="263">
        <v>119.613413194578</v>
      </c>
      <c r="O196" s="264">
        <v>76.599999999999994</v>
      </c>
      <c r="P196" s="263">
        <f t="shared" si="43"/>
        <v>148.14120025898549</v>
      </c>
      <c r="Q196" s="257">
        <f t="shared" si="42"/>
        <v>0.80742840604413735</v>
      </c>
    </row>
    <row r="197" spans="1:20" ht="12.65" customHeight="1">
      <c r="A197" s="10">
        <v>30864</v>
      </c>
      <c r="B197" s="255">
        <v>41179.980000000003</v>
      </c>
      <c r="D197" s="257">
        <f>B197/C205</f>
        <v>8.4009979851875527E-2</v>
      </c>
      <c r="E197" s="2"/>
      <c r="F197" s="258">
        <f>D197*E205</f>
        <v>52608.897602801197</v>
      </c>
      <c r="H197" s="261">
        <f t="shared" si="47"/>
        <v>117.31652069123628</v>
      </c>
      <c r="I197" s="262">
        <f t="shared" si="30"/>
        <v>134.45475058120962</v>
      </c>
      <c r="J197" s="258">
        <f t="shared" si="32"/>
        <v>0</v>
      </c>
      <c r="K197" s="261">
        <f t="shared" si="37"/>
        <v>163.71916859834951</v>
      </c>
      <c r="L197" s="261">
        <v>1</v>
      </c>
      <c r="M197" s="261">
        <f t="shared" si="45"/>
        <v>33</v>
      </c>
      <c r="N197" s="263">
        <v>118.724236471816</v>
      </c>
      <c r="O197" s="264">
        <v>77</v>
      </c>
      <c r="P197" s="263">
        <f t="shared" si="43"/>
        <v>146.95607242653321</v>
      </c>
      <c r="Q197" s="257">
        <f t="shared" si="42"/>
        <v>0.80788928631152024</v>
      </c>
    </row>
    <row r="198" spans="1:20" ht="12.65" customHeight="1">
      <c r="A198" s="10">
        <v>30895</v>
      </c>
      <c r="B198" s="255">
        <v>43199.51</v>
      </c>
      <c r="D198" s="257">
        <f>B198/C205</f>
        <v>8.8129959381012216E-2</v>
      </c>
      <c r="E198" s="2"/>
      <c r="F198" s="258">
        <f>D198*E205</f>
        <v>55188.919423496234</v>
      </c>
      <c r="H198" s="261">
        <f t="shared" si="47"/>
        <v>123.06990456931423</v>
      </c>
      <c r="I198" s="262">
        <f t="shared" si="30"/>
        <v>134.45475058120962</v>
      </c>
      <c r="J198" s="258">
        <f t="shared" si="32"/>
        <v>0</v>
      </c>
      <c r="K198" s="261">
        <f t="shared" si="37"/>
        <v>164.2765778391618</v>
      </c>
      <c r="L198" s="261">
        <v>1</v>
      </c>
      <c r="M198" s="261">
        <f t="shared" si="45"/>
        <v>34</v>
      </c>
      <c r="N198" s="263">
        <v>117.30307728568</v>
      </c>
      <c r="O198" s="264">
        <v>74.900000000000006</v>
      </c>
      <c r="P198" s="263">
        <f t="shared" si="43"/>
        <v>146.3150890422346</v>
      </c>
      <c r="Q198" s="257">
        <f t="shared" si="42"/>
        <v>0.80171551720014245</v>
      </c>
    </row>
    <row r="199" spans="1:20" ht="12.65" customHeight="1">
      <c r="A199" s="10">
        <v>30926</v>
      </c>
      <c r="B199" s="255">
        <v>45031.69</v>
      </c>
      <c r="D199" s="257">
        <f>B199/C205</f>
        <v>9.1867732077478059E-2</v>
      </c>
      <c r="E199" s="2"/>
      <c r="F199" s="258">
        <f>D199*E205</f>
        <v>57529.594917022463</v>
      </c>
      <c r="H199" s="261">
        <f t="shared" si="47"/>
        <v>128.28955214758091</v>
      </c>
      <c r="I199" s="262">
        <f t="shared" si="30"/>
        <v>134.45475058120962</v>
      </c>
      <c r="J199" s="258">
        <f t="shared" si="32"/>
        <v>0</v>
      </c>
      <c r="K199" s="261">
        <f t="shared" si="37"/>
        <v>164.83398707997409</v>
      </c>
      <c r="L199" s="261">
        <v>1</v>
      </c>
      <c r="M199" s="261">
        <f t="shared" si="45"/>
        <v>35</v>
      </c>
      <c r="N199" s="263">
        <v>116.542491938293</v>
      </c>
      <c r="O199" s="264">
        <v>76.2</v>
      </c>
      <c r="P199" s="263">
        <f t="shared" si="43"/>
        <v>144.86315347230089</v>
      </c>
      <c r="Q199" s="257">
        <f t="shared" si="42"/>
        <v>0.80450058655237644</v>
      </c>
    </row>
    <row r="200" spans="1:20" ht="12.65" customHeight="1">
      <c r="A200" s="10">
        <v>30956</v>
      </c>
      <c r="B200" s="255">
        <v>47028.04</v>
      </c>
      <c r="D200" s="257">
        <f>B200/C205</f>
        <v>9.5940422818884236E-2</v>
      </c>
      <c r="E200" s="2"/>
      <c r="F200" s="258">
        <f>D200*E205</f>
        <v>60080.003458487321</v>
      </c>
      <c r="H200" s="261">
        <f t="shared" si="47"/>
        <v>133.97689915653888</v>
      </c>
      <c r="I200" s="262">
        <f>MAX(H188:H212)</f>
        <v>138.70328377064297</v>
      </c>
      <c r="J200" s="258">
        <f t="shared" si="32"/>
        <v>0</v>
      </c>
      <c r="K200" s="261">
        <f t="shared" si="37"/>
        <v>165.39139632078638</v>
      </c>
      <c r="L200" s="261">
        <v>1</v>
      </c>
      <c r="M200" s="261">
        <f t="shared" si="45"/>
        <v>36</v>
      </c>
      <c r="N200" s="263">
        <v>115.814377639109</v>
      </c>
      <c r="O200" s="264">
        <v>77.599999999999994</v>
      </c>
      <c r="P200" s="263">
        <f t="shared" si="43"/>
        <v>143.40206563383566</v>
      </c>
      <c r="Q200" s="257">
        <f t="shared" si="42"/>
        <v>0.80762000970634995</v>
      </c>
    </row>
    <row r="201" spans="1:20" ht="12.65" customHeight="1">
      <c r="A201" s="10">
        <v>30987</v>
      </c>
      <c r="B201" s="255">
        <v>46428.86</v>
      </c>
      <c r="D201" s="257">
        <f>B201/C205</f>
        <v>9.4718054577626054E-2</v>
      </c>
      <c r="E201" s="2"/>
      <c r="F201" s="258">
        <f>D201*E205</f>
        <v>59314.529573710141</v>
      </c>
      <c r="H201" s="261">
        <f t="shared" si="47"/>
        <v>132.26991161385973</v>
      </c>
      <c r="I201" s="262">
        <f t="shared" si="30"/>
        <v>138.70328377064297</v>
      </c>
      <c r="J201" s="258">
        <f t="shared" si="32"/>
        <v>0</v>
      </c>
      <c r="K201" s="261">
        <f t="shared" si="37"/>
        <v>165.94880556159868</v>
      </c>
      <c r="L201" s="261">
        <v>1</v>
      </c>
      <c r="M201" s="261">
        <f t="shared" si="45"/>
        <v>37</v>
      </c>
      <c r="N201" s="263">
        <v>115.589311849954</v>
      </c>
      <c r="O201" s="264">
        <v>77.900000000000006</v>
      </c>
      <c r="P201" s="263">
        <f t="shared" si="43"/>
        <v>143.01116332765054</v>
      </c>
      <c r="Q201" s="257">
        <f t="shared" si="42"/>
        <v>0.80825376956852812</v>
      </c>
    </row>
    <row r="202" spans="1:20" ht="12.65" customHeight="1">
      <c r="A202" s="10">
        <v>31017</v>
      </c>
      <c r="B202" s="255">
        <v>46480.14</v>
      </c>
      <c r="D202" s="257">
        <f>B202/C205</f>
        <v>9.4822669290085954E-2</v>
      </c>
      <c r="E202" s="2"/>
      <c r="F202" s="258">
        <f>D202*E205</f>
        <v>59380.041608176209</v>
      </c>
      <c r="H202" s="261">
        <f t="shared" si="47"/>
        <v>132.4160018057697</v>
      </c>
      <c r="I202" s="262">
        <f t="shared" si="30"/>
        <v>138.7715872765545</v>
      </c>
      <c r="J202" s="258">
        <f t="shared" si="32"/>
        <v>0</v>
      </c>
      <c r="K202" s="261">
        <f t="shared" si="37"/>
        <v>166.50621480241097</v>
      </c>
      <c r="L202" s="261">
        <v>1</v>
      </c>
      <c r="M202" s="261">
        <f t="shared" si="45"/>
        <v>38</v>
      </c>
      <c r="N202" s="263">
        <v>114.544252255598</v>
      </c>
      <c r="O202" s="264">
        <v>77</v>
      </c>
      <c r="P202" s="263">
        <f t="shared" si="43"/>
        <v>142.24507801151466</v>
      </c>
      <c r="Q202" s="257">
        <f t="shared" si="42"/>
        <v>0.8052598645720852</v>
      </c>
      <c r="T202" s="257">
        <f t="shared" ref="T202" si="48">AVERAGE(Q191:Q202)</f>
        <v>0.80473543060740316</v>
      </c>
    </row>
    <row r="203" spans="1:20" ht="12.65" customHeight="1">
      <c r="A203" s="10">
        <v>31048</v>
      </c>
      <c r="B203" s="255">
        <v>32409</v>
      </c>
      <c r="D203" s="257">
        <f>B203/C205</f>
        <v>6.6116579877392695E-2</v>
      </c>
      <c r="E203" s="2"/>
      <c r="F203" s="258">
        <f>D203*E205</f>
        <v>41403.656883980606</v>
      </c>
      <c r="H203" s="261">
        <f t="shared" si="47"/>
        <v>92.329115241976226</v>
      </c>
      <c r="I203" s="262">
        <f t="shared" ref="I203:I266" si="49">MAX(H191:H215)</f>
        <v>138.7715872765545</v>
      </c>
      <c r="J203" s="258">
        <f t="shared" si="32"/>
        <v>0</v>
      </c>
      <c r="K203" s="261">
        <f t="shared" si="37"/>
        <v>167.06362404322326</v>
      </c>
      <c r="L203" s="261">
        <v>1</v>
      </c>
      <c r="M203" s="261">
        <f t="shared" si="45"/>
        <v>39</v>
      </c>
      <c r="N203" s="263">
        <v>112.63477180794099</v>
      </c>
      <c r="O203" s="264">
        <v>74.3</v>
      </c>
      <c r="P203" s="263">
        <f t="shared" si="43"/>
        <v>141.32822871775778</v>
      </c>
      <c r="Q203" s="257">
        <f t="shared" si="42"/>
        <v>0.79697292487037674</v>
      </c>
    </row>
    <row r="204" spans="1:20" ht="12.65" customHeight="1">
      <c r="A204" s="10">
        <v>31079</v>
      </c>
      <c r="B204" s="255">
        <v>37440.42</v>
      </c>
      <c r="D204" s="257">
        <f>B204/C205</f>
        <v>7.6381021308066621E-2</v>
      </c>
      <c r="E204" s="2"/>
      <c r="F204" s="258">
        <f>D204*E205</f>
        <v>47831.475925580096</v>
      </c>
      <c r="H204" s="261">
        <f t="shared" si="47"/>
        <v>106.66299030787721</v>
      </c>
      <c r="I204" s="262">
        <f t="shared" si="49"/>
        <v>138.7715872765545</v>
      </c>
      <c r="J204" s="258">
        <f t="shared" si="32"/>
        <v>0</v>
      </c>
      <c r="K204" s="261">
        <f t="shared" si="37"/>
        <v>167.62103328403555</v>
      </c>
      <c r="L204" s="261">
        <v>1</v>
      </c>
      <c r="M204" s="261">
        <f t="shared" si="45"/>
        <v>40</v>
      </c>
      <c r="N204" s="263">
        <v>112.95631989913301</v>
      </c>
      <c r="O204" s="264">
        <v>74.400000000000006</v>
      </c>
      <c r="P204" s="263">
        <f t="shared" si="43"/>
        <v>141.64487680266953</v>
      </c>
      <c r="Q204" s="257">
        <f t="shared" si="42"/>
        <v>0.79746138687738377</v>
      </c>
    </row>
    <row r="205" spans="1:20" ht="12.65" customHeight="1">
      <c r="A205" s="10">
        <v>31107</v>
      </c>
      <c r="B205" s="255">
        <v>39785.69</v>
      </c>
      <c r="C205" s="259">
        <f t="shared" ref="C205" si="50">SUM(B194:B205)</f>
        <v>490179.62</v>
      </c>
      <c r="D205" s="257">
        <f>B205/C205</f>
        <v>8.1165532748995156E-2</v>
      </c>
      <c r="E205" s="260">
        <v>626222</v>
      </c>
      <c r="F205" s="258">
        <f>D205*E205</f>
        <v>50827.642249141245</v>
      </c>
      <c r="H205" s="261">
        <f t="shared" si="47"/>
        <v>113.3443659783252</v>
      </c>
      <c r="I205" s="262">
        <f t="shared" si="49"/>
        <v>138.7715872765545</v>
      </c>
      <c r="J205" s="258">
        <f t="shared" si="32"/>
        <v>0</v>
      </c>
      <c r="K205" s="261">
        <f t="shared" si="37"/>
        <v>168.17844252484784</v>
      </c>
      <c r="L205" s="261">
        <v>1</v>
      </c>
      <c r="M205" s="261">
        <f t="shared" si="45"/>
        <v>41</v>
      </c>
      <c r="N205" s="263">
        <v>112.88005622394201</v>
      </c>
      <c r="O205" s="264">
        <v>74.400000000000006</v>
      </c>
      <c r="P205" s="263">
        <f t="shared" si="43"/>
        <v>141.55892486378431</v>
      </c>
      <c r="Q205" s="257">
        <f t="shared" si="42"/>
        <v>0.79740684900341907</v>
      </c>
    </row>
    <row r="206" spans="1:20" ht="12.65" customHeight="1">
      <c r="A206" s="10">
        <v>31138</v>
      </c>
      <c r="B206" s="255">
        <v>35431.53</v>
      </c>
      <c r="D206" s="257">
        <f>B206/C217</f>
        <v>7.1041078998218474E-2</v>
      </c>
      <c r="E206" s="2"/>
      <c r="F206" s="258">
        <f>D206*E217</f>
        <v>46004.995060903311</v>
      </c>
      <c r="H206" s="261">
        <f t="shared" si="47"/>
        <v>102.58998384097127</v>
      </c>
      <c r="I206" s="262">
        <f t="shared" si="49"/>
        <v>138.7715872765545</v>
      </c>
      <c r="J206" s="258">
        <f t="shared" si="32"/>
        <v>0</v>
      </c>
      <c r="K206" s="261">
        <f t="shared" si="37"/>
        <v>168.73585176566013</v>
      </c>
      <c r="L206" s="261">
        <v>1</v>
      </c>
      <c r="M206" s="261">
        <f t="shared" si="45"/>
        <v>42</v>
      </c>
      <c r="N206" s="263">
        <v>118.51074631533299</v>
      </c>
      <c r="O206" s="264">
        <v>75.5</v>
      </c>
      <c r="P206" s="263">
        <f t="shared" si="43"/>
        <v>147.40168607957065</v>
      </c>
      <c r="Q206" s="257">
        <f t="shared" si="42"/>
        <v>0.80399858012043568</v>
      </c>
    </row>
    <row r="207" spans="1:20" ht="12.65" customHeight="1">
      <c r="A207" s="10">
        <v>31168</v>
      </c>
      <c r="B207" s="255">
        <v>35818.9</v>
      </c>
      <c r="D207" s="257">
        <f>B207/C217</f>
        <v>7.1817765265267619E-2</v>
      </c>
      <c r="E207" s="2"/>
      <c r="F207" s="258">
        <f>D207*E217</f>
        <v>46507.963883777804</v>
      </c>
      <c r="H207" s="261">
        <f t="shared" si="47"/>
        <v>103.71159168687794</v>
      </c>
      <c r="I207" s="262">
        <f t="shared" si="49"/>
        <v>138.7715872765545</v>
      </c>
      <c r="J207" s="258">
        <f t="shared" ref="J207:J270" si="51">IF(H207=I207,1,0)</f>
        <v>0</v>
      </c>
      <c r="K207" s="261">
        <f t="shared" si="37"/>
        <v>169.29326100647242</v>
      </c>
      <c r="L207" s="261">
        <v>1</v>
      </c>
      <c r="M207" s="261">
        <f t="shared" si="45"/>
        <v>43</v>
      </c>
      <c r="N207" s="263">
        <v>119.953253729151</v>
      </c>
      <c r="O207" s="264">
        <v>74.8</v>
      </c>
      <c r="P207" s="263">
        <f t="shared" si="43"/>
        <v>149.34768271556993</v>
      </c>
      <c r="Q207" s="257">
        <f t="shared" si="42"/>
        <v>0.80318121813513432</v>
      </c>
    </row>
    <row r="208" spans="1:20" ht="12.65" customHeight="1">
      <c r="A208" s="10">
        <v>31199</v>
      </c>
      <c r="B208" s="255">
        <v>38170.32</v>
      </c>
      <c r="D208" s="257">
        <f>B208/C217</f>
        <v>7.6532419528800438E-2</v>
      </c>
      <c r="E208" s="2"/>
      <c r="F208" s="258">
        <f>D208*E217</f>
        <v>49561.093835719177</v>
      </c>
      <c r="H208" s="261">
        <f t="shared" si="47"/>
        <v>110.51999481830738</v>
      </c>
      <c r="I208" s="262">
        <f t="shared" si="49"/>
        <v>138.7715872765545</v>
      </c>
      <c r="J208" s="258">
        <f t="shared" si="51"/>
        <v>0</v>
      </c>
      <c r="K208" s="261">
        <f t="shared" si="37"/>
        <v>169.85067024728471</v>
      </c>
      <c r="L208" s="261">
        <v>1</v>
      </c>
      <c r="M208" s="261">
        <f t="shared" si="45"/>
        <v>44</v>
      </c>
      <c r="N208" s="263">
        <v>121.595004815289</v>
      </c>
      <c r="O208" s="264">
        <v>75.8</v>
      </c>
      <c r="P208" s="263">
        <f t="shared" si="43"/>
        <v>150.74051274771955</v>
      </c>
      <c r="Q208" s="257">
        <f t="shared" si="42"/>
        <v>0.80665112914131654</v>
      </c>
    </row>
    <row r="209" spans="1:20" ht="12.65" customHeight="1">
      <c r="A209" s="10">
        <v>31229</v>
      </c>
      <c r="B209" s="255">
        <v>41053.19</v>
      </c>
      <c r="D209" s="257">
        <f>B209/C217</f>
        <v>8.2312643961998611E-2</v>
      </c>
      <c r="E209" s="2"/>
      <c r="F209" s="258">
        <f>D209*E217</f>
        <v>53304.268914842949</v>
      </c>
      <c r="H209" s="261">
        <f t="shared" si="47"/>
        <v>118.86718125692917</v>
      </c>
      <c r="I209" s="262">
        <f t="shared" si="49"/>
        <v>138.7715872765545</v>
      </c>
      <c r="J209" s="258">
        <f t="shared" si="51"/>
        <v>0</v>
      </c>
      <c r="K209" s="261">
        <f t="shared" si="37"/>
        <v>170.408079488097</v>
      </c>
      <c r="L209" s="261">
        <v>1</v>
      </c>
      <c r="M209" s="261">
        <f t="shared" si="45"/>
        <v>45</v>
      </c>
      <c r="N209" s="263">
        <v>121.03857118099999</v>
      </c>
      <c r="O209" s="264">
        <v>76.3</v>
      </c>
      <c r="P209" s="263">
        <f t="shared" si="43"/>
        <v>149.88465016975164</v>
      </c>
      <c r="Q209" s="257">
        <f t="shared" si="42"/>
        <v>0.80754480891751046</v>
      </c>
    </row>
    <row r="210" spans="1:20" ht="12.65" customHeight="1">
      <c r="A210" s="10">
        <v>31260</v>
      </c>
      <c r="B210" s="255">
        <v>43621.42</v>
      </c>
      <c r="D210" s="257">
        <f>B210/C217</f>
        <v>8.7462007546229792E-2</v>
      </c>
      <c r="E210" s="2"/>
      <c r="F210" s="258">
        <f>D210*E217</f>
        <v>56638.909232810125</v>
      </c>
      <c r="H210" s="261">
        <f t="shared" si="47"/>
        <v>126.3033454361192</v>
      </c>
      <c r="I210" s="262">
        <f t="shared" si="49"/>
        <v>138.7715872765545</v>
      </c>
      <c r="J210" s="258">
        <f t="shared" si="51"/>
        <v>0</v>
      </c>
      <c r="K210" s="261">
        <f t="shared" si="37"/>
        <v>170.96548872890929</v>
      </c>
      <c r="L210" s="261">
        <v>1</v>
      </c>
      <c r="M210" s="261">
        <f t="shared" si="45"/>
        <v>46</v>
      </c>
      <c r="N210" s="263">
        <v>121.039927508235</v>
      </c>
      <c r="O210" s="264">
        <v>77</v>
      </c>
      <c r="P210" s="263">
        <f t="shared" si="43"/>
        <v>149.56594054449204</v>
      </c>
      <c r="Q210" s="257">
        <f t="shared" si="42"/>
        <v>0.80927467221207838</v>
      </c>
    </row>
    <row r="211" spans="1:20" ht="12.65" customHeight="1">
      <c r="A211" s="10">
        <v>31291</v>
      </c>
      <c r="B211" s="255">
        <v>45407.48</v>
      </c>
      <c r="D211" s="257">
        <f>B211/C217</f>
        <v>9.1043101265737766E-2</v>
      </c>
      <c r="E211" s="2"/>
      <c r="F211" s="258">
        <f>D211*E217</f>
        <v>58957.964646970257</v>
      </c>
      <c r="H211" s="261">
        <f t="shared" si="47"/>
        <v>131.47478078026057</v>
      </c>
      <c r="I211" s="262">
        <f t="shared" si="49"/>
        <v>143.36242181630459</v>
      </c>
      <c r="J211" s="258">
        <f t="shared" si="51"/>
        <v>0</v>
      </c>
      <c r="K211" s="261">
        <f t="shared" si="37"/>
        <v>171.52289796972158</v>
      </c>
      <c r="L211" s="261">
        <v>1</v>
      </c>
      <c r="M211" s="261">
        <f t="shared" si="45"/>
        <v>47</v>
      </c>
      <c r="N211" s="263">
        <v>119.905055525664</v>
      </c>
      <c r="O211" s="264">
        <v>76.900000000000006</v>
      </c>
      <c r="P211" s="263">
        <f t="shared" si="43"/>
        <v>148.33264681890506</v>
      </c>
      <c r="Q211" s="257">
        <f t="shared" si="42"/>
        <v>0.80835243014339608</v>
      </c>
    </row>
    <row r="212" spans="1:20" ht="12.65" customHeight="1">
      <c r="A212" s="10">
        <v>31321</v>
      </c>
      <c r="B212" s="255">
        <v>47903.99</v>
      </c>
      <c r="D212" s="257">
        <f>B212/C217</f>
        <v>9.6048664506440104E-2</v>
      </c>
      <c r="E212" s="2"/>
      <c r="F212" s="258">
        <f>D212*E217</f>
        <v>62199.482307074002</v>
      </c>
      <c r="H212" s="261">
        <f t="shared" si="47"/>
        <v>138.70328377064297</v>
      </c>
      <c r="I212" s="262">
        <f t="shared" si="49"/>
        <v>152.46245150938506</v>
      </c>
      <c r="J212" s="258">
        <f t="shared" si="51"/>
        <v>0</v>
      </c>
      <c r="K212" s="261">
        <f t="shared" si="37"/>
        <v>172.08030721053387</v>
      </c>
      <c r="L212" s="261">
        <v>1</v>
      </c>
      <c r="M212" s="261">
        <f t="shared" si="45"/>
        <v>48</v>
      </c>
      <c r="N212" s="263">
        <v>119.779230259187</v>
      </c>
      <c r="O212" s="264">
        <v>79</v>
      </c>
      <c r="P212" s="263">
        <f t="shared" si="43"/>
        <v>147.23012239566123</v>
      </c>
      <c r="Q212" s="257">
        <f t="shared" si="42"/>
        <v>0.81355111515357148</v>
      </c>
    </row>
    <row r="213" spans="1:20" ht="12.65" customHeight="1">
      <c r="A213" s="10">
        <v>31352</v>
      </c>
      <c r="B213" s="255">
        <v>47318.28</v>
      </c>
      <c r="D213" s="257">
        <f>B213/C217</f>
        <v>9.4874301717702322E-2</v>
      </c>
      <c r="E213" s="2"/>
      <c r="F213" s="258">
        <f>D213*E217</f>
        <v>61438.984929254824</v>
      </c>
      <c r="H213" s="261">
        <f t="shared" si="47"/>
        <v>137.00739371352449</v>
      </c>
      <c r="I213" s="262">
        <f t="shared" si="49"/>
        <v>152.46245150938506</v>
      </c>
      <c r="J213" s="258">
        <f t="shared" si="51"/>
        <v>0</v>
      </c>
      <c r="K213" s="261">
        <f t="shared" si="37"/>
        <v>172.63771645134617</v>
      </c>
      <c r="L213" s="261">
        <v>1</v>
      </c>
      <c r="M213" s="261">
        <f t="shared" si="45"/>
        <v>49</v>
      </c>
      <c r="N213" s="263">
        <v>119.32969960938399</v>
      </c>
      <c r="O213" s="264">
        <v>75.400000000000006</v>
      </c>
      <c r="P213" s="263">
        <f t="shared" si="43"/>
        <v>148.37042458424321</v>
      </c>
      <c r="Q213" s="257">
        <f t="shared" si="42"/>
        <v>0.80426877488397164</v>
      </c>
    </row>
    <row r="214" spans="1:20" ht="12.65" customHeight="1">
      <c r="A214" s="10">
        <v>31382</v>
      </c>
      <c r="B214" s="255">
        <v>47927.58</v>
      </c>
      <c r="D214" s="257">
        <f>B214/C217</f>
        <v>9.6095963029918158E-2</v>
      </c>
      <c r="E214" s="2"/>
      <c r="F214" s="258">
        <f>D214*E217</f>
        <v>62230.112026803494</v>
      </c>
      <c r="H214" s="261">
        <f t="shared" si="47"/>
        <v>138.7715872765545</v>
      </c>
      <c r="I214" s="262">
        <f t="shared" si="49"/>
        <v>154.91259589521272</v>
      </c>
      <c r="J214" s="258">
        <f t="shared" si="51"/>
        <v>0</v>
      </c>
      <c r="K214" s="261">
        <f t="shared" si="37"/>
        <v>173.19512569215846</v>
      </c>
      <c r="L214" s="261">
        <v>1</v>
      </c>
      <c r="M214" s="261">
        <f t="shared" si="45"/>
        <v>50</v>
      </c>
      <c r="N214" s="263">
        <v>119.241370612419</v>
      </c>
      <c r="O214" s="264">
        <v>74.599999999999994</v>
      </c>
      <c r="P214" s="263">
        <f t="shared" si="43"/>
        <v>148.63686116603753</v>
      </c>
      <c r="Q214" s="257">
        <f t="shared" si="42"/>
        <v>0.80223283563031</v>
      </c>
      <c r="T214" s="257">
        <f t="shared" ref="T214" si="52">AVERAGE(Q203:Q214)</f>
        <v>0.80424139375740877</v>
      </c>
    </row>
    <row r="215" spans="1:20" ht="12.65" customHeight="1">
      <c r="A215" s="10">
        <v>31413</v>
      </c>
      <c r="B215" s="255">
        <v>33767.89</v>
      </c>
      <c r="D215" s="257">
        <f>B215/C217</f>
        <v>6.7705440354767402E-2</v>
      </c>
      <c r="E215" s="2"/>
      <c r="F215" s="258">
        <f>D215*E217</f>
        <v>43844.892181261341</v>
      </c>
      <c r="H215" s="261">
        <f t="shared" si="47"/>
        <v>97.773008657647466</v>
      </c>
      <c r="I215" s="262">
        <f t="shared" si="49"/>
        <v>154.91259589521272</v>
      </c>
      <c r="J215" s="258">
        <f t="shared" si="51"/>
        <v>0</v>
      </c>
      <c r="K215" s="261">
        <f t="shared" si="37"/>
        <v>173.75253493297075</v>
      </c>
      <c r="L215" s="261">
        <v>1</v>
      </c>
      <c r="M215" s="261">
        <f t="shared" si="45"/>
        <v>51</v>
      </c>
      <c r="N215" s="263">
        <v>118.9818318864</v>
      </c>
      <c r="O215" s="264">
        <v>74.5</v>
      </c>
      <c r="P215" s="263">
        <f t="shared" si="43"/>
        <v>148.39009989358681</v>
      </c>
      <c r="Q215" s="257">
        <f t="shared" si="42"/>
        <v>0.80181785693064433</v>
      </c>
    </row>
    <row r="216" spans="1:20" ht="12.65" customHeight="1">
      <c r="A216" s="10">
        <v>31444</v>
      </c>
      <c r="B216" s="255">
        <v>40111.42</v>
      </c>
      <c r="D216" s="257">
        <f>B216/C217</f>
        <v>8.0424372217364606E-2</v>
      </c>
      <c r="E216" s="2"/>
      <c r="F216" s="258">
        <f>D216*E217</f>
        <v>52081.456233637626</v>
      </c>
      <c r="H216" s="261">
        <f t="shared" si="47"/>
        <v>116.14033968158904</v>
      </c>
      <c r="I216" s="262">
        <f t="shared" si="49"/>
        <v>154.91259589521272</v>
      </c>
      <c r="J216" s="258">
        <f t="shared" si="51"/>
        <v>0</v>
      </c>
      <c r="K216" s="261">
        <f t="shared" si="37"/>
        <v>174.30994417378304</v>
      </c>
      <c r="L216" s="261">
        <v>1</v>
      </c>
      <c r="M216" s="261">
        <f t="shared" si="45"/>
        <v>52</v>
      </c>
      <c r="N216" s="263">
        <v>121.609337943415</v>
      </c>
      <c r="O216" s="264">
        <v>75.099999999999994</v>
      </c>
      <c r="P216" s="263">
        <f t="shared" si="43"/>
        <v>151.076904960462</v>
      </c>
      <c r="Q216" s="257">
        <f t="shared" si="42"/>
        <v>0.80494988943042689</v>
      </c>
    </row>
    <row r="217" spans="1:20" ht="12.65" customHeight="1">
      <c r="A217" s="10">
        <v>31472</v>
      </c>
      <c r="B217" s="255">
        <v>42215.07</v>
      </c>
      <c r="C217" s="259">
        <f t="shared" ref="C217" si="53">SUM(B206:B217)</f>
        <v>498747.07</v>
      </c>
      <c r="D217" s="257">
        <f>B217/C217</f>
        <v>8.4642241607554708E-2</v>
      </c>
      <c r="E217" s="260">
        <v>647583</v>
      </c>
      <c r="F217" s="258">
        <f>D217*E217</f>
        <v>54812.876746945098</v>
      </c>
      <c r="H217" s="261">
        <f t="shared" si="47"/>
        <v>122.2313388427051</v>
      </c>
      <c r="I217" s="262">
        <f t="shared" si="49"/>
        <v>154.91259589521272</v>
      </c>
      <c r="J217" s="258">
        <f t="shared" si="51"/>
        <v>0</v>
      </c>
      <c r="K217" s="261">
        <f t="shared" si="37"/>
        <v>174.86735341459533</v>
      </c>
      <c r="L217" s="261">
        <v>1</v>
      </c>
      <c r="M217" s="261">
        <f t="shared" si="45"/>
        <v>53</v>
      </c>
      <c r="N217" s="263">
        <v>121.295303308824</v>
      </c>
      <c r="O217" s="264">
        <v>74.099999999999994</v>
      </c>
      <c r="P217" s="263">
        <f t="shared" si="43"/>
        <v>151.18045971457497</v>
      </c>
      <c r="Q217" s="257">
        <f t="shared" si="42"/>
        <v>0.8023213022226986</v>
      </c>
    </row>
    <row r="218" spans="1:20" ht="12.65" customHeight="1">
      <c r="A218" s="10">
        <v>31503</v>
      </c>
      <c r="B218" s="255">
        <v>35938.75</v>
      </c>
      <c r="D218" s="257">
        <f>B218/C229</f>
        <v>6.8233406236511016E-2</v>
      </c>
      <c r="E218" s="2"/>
      <c r="F218" s="258">
        <f>D218*E229</f>
        <v>47625.825818584904</v>
      </c>
      <c r="H218" s="261">
        <f t="shared" si="47"/>
        <v>106.2043957329707</v>
      </c>
      <c r="I218" s="262">
        <f t="shared" si="49"/>
        <v>154.91259589521272</v>
      </c>
      <c r="J218" s="258">
        <f t="shared" si="51"/>
        <v>0</v>
      </c>
      <c r="K218" s="261">
        <f t="shared" si="37"/>
        <v>175.42476265540762</v>
      </c>
      <c r="L218" s="261">
        <v>1</v>
      </c>
      <c r="M218" s="261">
        <f t="shared" si="45"/>
        <v>54</v>
      </c>
      <c r="N218" s="263">
        <v>123.22555304469201</v>
      </c>
      <c r="O218" s="264">
        <v>74.3</v>
      </c>
      <c r="P218" s="263">
        <f t="shared" si="43"/>
        <v>153.26442480755071</v>
      </c>
      <c r="Q218" s="257">
        <f t="shared" si="42"/>
        <v>0.80400623431968921</v>
      </c>
    </row>
    <row r="219" spans="1:20" ht="12.65" customHeight="1">
      <c r="A219" s="10">
        <v>31533</v>
      </c>
      <c r="B219" s="255">
        <v>36025.85</v>
      </c>
      <c r="D219" s="257">
        <f>B219/C229</f>
        <v>6.8398774527929057E-2</v>
      </c>
      <c r="E219" s="2"/>
      <c r="F219" s="258">
        <f>D219*E229</f>
        <v>47741.250240102032</v>
      </c>
      <c r="H219" s="261">
        <f t="shared" si="47"/>
        <v>106.46178929474847</v>
      </c>
      <c r="I219" s="262">
        <f t="shared" si="49"/>
        <v>154.91259589521272</v>
      </c>
      <c r="J219" s="258">
        <f t="shared" si="51"/>
        <v>0</v>
      </c>
      <c r="K219" s="261">
        <f t="shared" si="37"/>
        <v>175.98217189621991</v>
      </c>
      <c r="L219" s="261">
        <v>1</v>
      </c>
      <c r="M219" s="261">
        <f t="shared" si="45"/>
        <v>55</v>
      </c>
      <c r="N219" s="263">
        <v>123.774818110674</v>
      </c>
      <c r="O219" s="264">
        <v>74.8</v>
      </c>
      <c r="P219" s="263">
        <f t="shared" si="43"/>
        <v>153.65472492595367</v>
      </c>
      <c r="Q219" s="257">
        <f t="shared" si="42"/>
        <v>0.80553863976731721</v>
      </c>
    </row>
    <row r="220" spans="1:20" ht="12.65" customHeight="1">
      <c r="A220" s="10">
        <v>31564</v>
      </c>
      <c r="B220" s="255">
        <v>38382</v>
      </c>
      <c r="D220" s="257">
        <f>B220/C229</f>
        <v>7.2872167178039474E-2</v>
      </c>
      <c r="E220" s="2"/>
      <c r="F220" s="258">
        <f>D220*E229</f>
        <v>50863.606735596702</v>
      </c>
      <c r="H220" s="261">
        <f t="shared" si="47"/>
        <v>113.42456588008436</v>
      </c>
      <c r="I220" s="262">
        <f t="shared" si="49"/>
        <v>154.91259589521272</v>
      </c>
      <c r="J220" s="258">
        <f t="shared" si="51"/>
        <v>0</v>
      </c>
      <c r="K220" s="261">
        <f t="shared" si="37"/>
        <v>176.5395811370322</v>
      </c>
      <c r="L220" s="261">
        <v>1</v>
      </c>
      <c r="M220" s="261">
        <f t="shared" si="45"/>
        <v>56</v>
      </c>
      <c r="N220" s="263">
        <v>125.726883530984</v>
      </c>
      <c r="O220" s="264">
        <v>75.3</v>
      </c>
      <c r="P220" s="263">
        <f t="shared" si="43"/>
        <v>155.62603212303998</v>
      </c>
      <c r="Q220" s="257">
        <f t="shared" si="42"/>
        <v>0.80787823101203715</v>
      </c>
    </row>
    <row r="221" spans="1:20" ht="12.65" customHeight="1">
      <c r="A221" s="10">
        <v>31594</v>
      </c>
      <c r="B221" s="255">
        <v>41974.83</v>
      </c>
      <c r="D221" s="257">
        <f>B221/C229</f>
        <v>7.969352376191409E-2</v>
      </c>
      <c r="E221" s="2"/>
      <c r="F221" s="258">
        <f>D221*E229</f>
        <v>55624.804489435846</v>
      </c>
      <c r="H221" s="261">
        <f t="shared" si="47"/>
        <v>124.0419173216701</v>
      </c>
      <c r="I221" s="262">
        <f t="shared" si="49"/>
        <v>154.91259589521272</v>
      </c>
      <c r="J221" s="258">
        <f t="shared" si="51"/>
        <v>0</v>
      </c>
      <c r="K221" s="261">
        <f t="shared" si="37"/>
        <v>177.09699037784449</v>
      </c>
      <c r="L221" s="261">
        <v>1</v>
      </c>
      <c r="M221" s="261">
        <f t="shared" si="45"/>
        <v>57</v>
      </c>
      <c r="N221" s="263">
        <v>127.44031029136301</v>
      </c>
      <c r="O221" s="264">
        <v>73.2</v>
      </c>
      <c r="P221" s="263">
        <f t="shared" si="43"/>
        <v>158.51784123832374</v>
      </c>
      <c r="Q221" s="257">
        <f t="shared" si="42"/>
        <v>0.80394931760244448</v>
      </c>
    </row>
    <row r="222" spans="1:20" ht="12.65" customHeight="1">
      <c r="A222" s="10">
        <v>31625</v>
      </c>
      <c r="B222" s="255">
        <v>45232.47</v>
      </c>
      <c r="D222" s="257">
        <f>B222/C229</f>
        <v>8.5878487721214494E-2</v>
      </c>
      <c r="E222" s="2"/>
      <c r="F222" s="258">
        <f>D222*E229</f>
        <v>59941.810373604174</v>
      </c>
      <c r="H222" s="261">
        <f t="shared" si="47"/>
        <v>133.66873204715591</v>
      </c>
      <c r="I222" s="262">
        <f t="shared" si="49"/>
        <v>154.91259589521272</v>
      </c>
      <c r="J222" s="258">
        <f t="shared" si="51"/>
        <v>0</v>
      </c>
      <c r="K222" s="261">
        <f t="shared" si="37"/>
        <v>177.65439961865678</v>
      </c>
      <c r="L222" s="261">
        <v>1</v>
      </c>
      <c r="M222" s="261">
        <f t="shared" si="45"/>
        <v>58</v>
      </c>
      <c r="N222" s="263">
        <v>128.93173833755</v>
      </c>
      <c r="O222" s="264">
        <v>75.3</v>
      </c>
      <c r="P222" s="263">
        <f t="shared" si="43"/>
        <v>159.23802018655914</v>
      </c>
      <c r="Q222" s="257">
        <f t="shared" si="42"/>
        <v>0.80967936040963662</v>
      </c>
    </row>
    <row r="223" spans="1:20" ht="12.65" customHeight="1">
      <c r="A223" s="10">
        <v>31656</v>
      </c>
      <c r="B223" s="255">
        <v>48512.74</v>
      </c>
      <c r="D223" s="257">
        <f>B223/C229</f>
        <v>9.2106417058641088E-2</v>
      </c>
      <c r="E223" s="2"/>
      <c r="F223" s="258">
        <f>D223*E229</f>
        <v>64288.805404258543</v>
      </c>
      <c r="H223" s="261">
        <f t="shared" si="47"/>
        <v>143.36242181630459</v>
      </c>
      <c r="I223" s="262">
        <f t="shared" si="49"/>
        <v>158.52274992900215</v>
      </c>
      <c r="J223" s="258">
        <f t="shared" si="51"/>
        <v>0</v>
      </c>
      <c r="K223" s="261">
        <f t="shared" si="37"/>
        <v>178.21180885946907</v>
      </c>
      <c r="L223" s="261">
        <v>1</v>
      </c>
      <c r="M223" s="261">
        <f t="shared" si="45"/>
        <v>59</v>
      </c>
      <c r="N223" s="263">
        <v>130.92496368906399</v>
      </c>
      <c r="O223" s="264">
        <v>75.599999999999994</v>
      </c>
      <c r="P223" s="263">
        <f t="shared" si="43"/>
        <v>161.34721276925666</v>
      </c>
      <c r="Q223" s="257">
        <f t="shared" si="42"/>
        <v>0.81144856140961252</v>
      </c>
    </row>
    <row r="224" spans="1:20" ht="12.65" customHeight="1">
      <c r="A224" s="10">
        <v>31686</v>
      </c>
      <c r="B224" s="255">
        <v>51592.12</v>
      </c>
      <c r="D224" s="257">
        <f>B224/C229</f>
        <v>9.7952936108318317E-2</v>
      </c>
      <c r="E224" s="2"/>
      <c r="F224" s="258">
        <f>D224*E229</f>
        <v>68369.582156628458</v>
      </c>
      <c r="H224" s="261">
        <f t="shared" si="47"/>
        <v>152.46245150938506</v>
      </c>
      <c r="I224" s="262">
        <f t="shared" si="49"/>
        <v>173.17511556215851</v>
      </c>
      <c r="J224" s="258">
        <f t="shared" si="51"/>
        <v>0</v>
      </c>
      <c r="K224" s="261">
        <f t="shared" si="37"/>
        <v>178.76921810028136</v>
      </c>
      <c r="L224" s="261">
        <v>1</v>
      </c>
      <c r="M224" s="261">
        <f t="shared" si="45"/>
        <v>60</v>
      </c>
      <c r="N224" s="263">
        <v>131.49617408181399</v>
      </c>
      <c r="O224" s="264">
        <v>74.5</v>
      </c>
      <c r="P224" s="263">
        <f t="shared" si="43"/>
        <v>162.49421922530243</v>
      </c>
      <c r="Q224" s="257">
        <f t="shared" si="42"/>
        <v>0.80923601287927138</v>
      </c>
    </row>
    <row r="225" spans="1:20" ht="12.65" customHeight="1">
      <c r="A225" s="10">
        <v>31717</v>
      </c>
      <c r="B225" s="255">
        <v>51341.07</v>
      </c>
      <c r="D225" s="257">
        <f>B225/C229</f>
        <v>9.7476291911297655E-2</v>
      </c>
      <c r="E225" s="2"/>
      <c r="F225" s="258">
        <f>D225*E229</f>
        <v>68036.892133415182</v>
      </c>
      <c r="H225" s="261">
        <f t="shared" si="47"/>
        <v>151.72056111117246</v>
      </c>
      <c r="I225" s="262">
        <f t="shared" si="49"/>
        <v>175.51905950074482</v>
      </c>
      <c r="J225" s="258">
        <f t="shared" si="51"/>
        <v>0</v>
      </c>
      <c r="K225" s="261">
        <f t="shared" si="37"/>
        <v>179.32662734109365</v>
      </c>
      <c r="L225" s="261">
        <v>1</v>
      </c>
      <c r="M225" s="261">
        <f t="shared" si="45"/>
        <v>61</v>
      </c>
      <c r="N225" s="263">
        <v>131.70051509162101</v>
      </c>
      <c r="O225" s="264">
        <v>75</v>
      </c>
      <c r="P225" s="263">
        <f t="shared" si="43"/>
        <v>162.49577737287663</v>
      </c>
      <c r="Q225" s="257">
        <f t="shared" si="42"/>
        <v>0.81048576905115388</v>
      </c>
    </row>
    <row r="226" spans="1:20" ht="12.65" customHeight="1">
      <c r="A226" s="10">
        <v>31747</v>
      </c>
      <c r="B226" s="255">
        <v>52421.23</v>
      </c>
      <c r="D226" s="257">
        <f>B226/C229</f>
        <v>9.9527086557200203E-2</v>
      </c>
      <c r="E226" s="2"/>
      <c r="F226" s="258">
        <f>D226*E229</f>
        <v>69468.313983540822</v>
      </c>
      <c r="H226" s="261">
        <f t="shared" si="47"/>
        <v>154.91259589521272</v>
      </c>
      <c r="I226" s="262">
        <f t="shared" si="49"/>
        <v>181.35292217150928</v>
      </c>
      <c r="J226" s="258">
        <f t="shared" si="51"/>
        <v>0</v>
      </c>
      <c r="K226" s="261">
        <f t="shared" si="37"/>
        <v>179.88403658190595</v>
      </c>
      <c r="L226" s="261">
        <v>1</v>
      </c>
      <c r="M226" s="261">
        <f t="shared" si="45"/>
        <v>62</v>
      </c>
      <c r="N226" s="263">
        <v>132.22675393877</v>
      </c>
      <c r="O226" s="264">
        <v>75.900000000000006</v>
      </c>
      <c r="P226" s="263">
        <f t="shared" si="43"/>
        <v>162.67713281539125</v>
      </c>
      <c r="Q226" s="257">
        <f t="shared" si="42"/>
        <v>0.81281709143978553</v>
      </c>
      <c r="T226" s="257">
        <f t="shared" ref="T226" si="54">AVERAGE(Q215:Q226)</f>
        <v>0.80701068887289307</v>
      </c>
    </row>
    <row r="227" spans="1:20" ht="12.65" customHeight="1">
      <c r="A227" s="10">
        <v>31778</v>
      </c>
      <c r="B227" s="255">
        <v>37111.199999999997</v>
      </c>
      <c r="D227" s="257">
        <f>B227/C229</f>
        <v>7.0459422921621023E-2</v>
      </c>
      <c r="E227" s="2"/>
      <c r="F227" s="258">
        <f>D227*E229</f>
        <v>49179.54984852473</v>
      </c>
      <c r="H227" s="261">
        <f t="shared" si="47"/>
        <v>109.66916130709672</v>
      </c>
      <c r="I227" s="262">
        <f t="shared" si="49"/>
        <v>181.35292217150928</v>
      </c>
      <c r="J227" s="258">
        <f t="shared" si="51"/>
        <v>0</v>
      </c>
      <c r="K227" s="261">
        <f t="shared" si="37"/>
        <v>180.44144582271824</v>
      </c>
      <c r="L227" s="261">
        <v>1</v>
      </c>
      <c r="M227" s="261">
        <f t="shared" si="45"/>
        <v>63</v>
      </c>
      <c r="N227" s="263">
        <v>132.225337002207</v>
      </c>
      <c r="O227" s="264">
        <v>73.7</v>
      </c>
      <c r="P227" s="263">
        <f t="shared" si="43"/>
        <v>163.68199896481823</v>
      </c>
      <c r="Q227" s="257">
        <f t="shared" si="42"/>
        <v>0.80781843964788991</v>
      </c>
    </row>
    <row r="228" spans="1:20" ht="12.65" customHeight="1">
      <c r="A228" s="10">
        <v>31809</v>
      </c>
      <c r="B228" s="255">
        <v>43115.03</v>
      </c>
      <c r="D228" s="257">
        <f>B228/C229</f>
        <v>8.1858310511338309E-2</v>
      </c>
      <c r="E228" s="2"/>
      <c r="F228" s="258">
        <f>D228*E229</f>
        <v>57135.79100394596</v>
      </c>
      <c r="H228" s="261">
        <f t="shared" si="47"/>
        <v>127.41137930948916</v>
      </c>
      <c r="I228" s="262">
        <f t="shared" si="49"/>
        <v>181.35292217150928</v>
      </c>
      <c r="J228" s="258">
        <f t="shared" si="51"/>
        <v>0</v>
      </c>
      <c r="K228" s="261">
        <f t="shared" si="37"/>
        <v>180.99885506353053</v>
      </c>
      <c r="L228" s="261">
        <v>1</v>
      </c>
      <c r="M228" s="261">
        <f t="shared" si="45"/>
        <v>64</v>
      </c>
      <c r="N228" s="263">
        <v>132.41234528170301</v>
      </c>
      <c r="O228" s="264">
        <v>73.900000000000006</v>
      </c>
      <c r="P228" s="263">
        <f t="shared" si="43"/>
        <v>163.80126746082269</v>
      </c>
      <c r="Q228" s="257">
        <f t="shared" si="42"/>
        <v>0.80837192125740331</v>
      </c>
    </row>
    <row r="229" spans="1:20" ht="12.65" customHeight="1">
      <c r="A229" s="10">
        <v>31837</v>
      </c>
      <c r="B229" s="255">
        <v>45055.86</v>
      </c>
      <c r="C229" s="259">
        <f t="shared" ref="C229" si="55">SUM(B218:B229)</f>
        <v>526703.15</v>
      </c>
      <c r="D229" s="257">
        <f>B229/C229</f>
        <v>8.5543175505975233E-2</v>
      </c>
      <c r="E229" s="260">
        <v>697984</v>
      </c>
      <c r="F229" s="258">
        <f>D229*E229</f>
        <v>59707.767812362617</v>
      </c>
      <c r="H229" s="261">
        <f t="shared" si="47"/>
        <v>133.14682301218949</v>
      </c>
      <c r="I229" s="262">
        <f t="shared" si="49"/>
        <v>181.35292217150928</v>
      </c>
      <c r="J229" s="258">
        <f t="shared" si="51"/>
        <v>0</v>
      </c>
      <c r="K229" s="261">
        <f t="shared" si="37"/>
        <v>181.55626430434282</v>
      </c>
      <c r="L229" s="261">
        <v>1</v>
      </c>
      <c r="M229" s="261">
        <f t="shared" si="45"/>
        <v>65</v>
      </c>
      <c r="N229" s="263">
        <v>131.39554439114201</v>
      </c>
      <c r="O229" s="264">
        <v>73.099999999999994</v>
      </c>
      <c r="P229" s="263">
        <f t="shared" si="43"/>
        <v>163.02128241062573</v>
      </c>
      <c r="Q229" s="257">
        <f t="shared" si="42"/>
        <v>0.8060023970378094</v>
      </c>
    </row>
    <row r="230" spans="1:20" ht="12.65" customHeight="1">
      <c r="A230" s="10">
        <v>31868</v>
      </c>
      <c r="B230" s="255">
        <v>39658.379999999997</v>
      </c>
      <c r="D230" s="257">
        <f>B230/C241</f>
        <v>6.4019355491499869E-2</v>
      </c>
      <c r="E230" s="2"/>
      <c r="F230" s="258">
        <f>D230*E241</f>
        <v>50446.227817614032</v>
      </c>
      <c r="H230" s="261">
        <f t="shared" si="47"/>
        <v>112.49382137299943</v>
      </c>
      <c r="I230" s="262">
        <f t="shared" si="49"/>
        <v>181.35292217150928</v>
      </c>
      <c r="J230" s="258">
        <f t="shared" si="51"/>
        <v>0</v>
      </c>
      <c r="K230" s="261">
        <f t="shared" ref="K230:K273" si="56">(K$274-K$164)/(M$273+1)+K229</f>
        <v>182.11367354515511</v>
      </c>
      <c r="L230" s="261">
        <v>1</v>
      </c>
      <c r="M230" s="261">
        <f t="shared" si="45"/>
        <v>66</v>
      </c>
      <c r="N230" s="263">
        <v>131.32457477378699</v>
      </c>
      <c r="O230" s="264">
        <v>74.599999999999994</v>
      </c>
      <c r="P230" s="263">
        <f t="shared" si="43"/>
        <v>162.25507223460414</v>
      </c>
      <c r="Q230" s="257">
        <f t="shared" si="42"/>
        <v>0.80937115225529077</v>
      </c>
    </row>
    <row r="231" spans="1:20" ht="12.65" customHeight="1">
      <c r="A231" s="10">
        <v>31898</v>
      </c>
      <c r="B231" s="255">
        <v>40065.15</v>
      </c>
      <c r="D231" s="257">
        <f>B231/C241</f>
        <v>6.4675992329244564E-2</v>
      </c>
      <c r="E231" s="2"/>
      <c r="F231" s="258">
        <f>D231*E241</f>
        <v>50963.647139567445</v>
      </c>
      <c r="H231" s="261">
        <f t="shared" si="47"/>
        <v>113.64765346901282</v>
      </c>
      <c r="I231" s="262">
        <f t="shared" si="49"/>
        <v>181.35292217150928</v>
      </c>
      <c r="J231" s="258">
        <f t="shared" si="51"/>
        <v>0</v>
      </c>
      <c r="K231" s="261">
        <f t="shared" si="56"/>
        <v>182.6710827859674</v>
      </c>
      <c r="L231" s="261">
        <v>1</v>
      </c>
      <c r="M231" s="261">
        <f t="shared" si="45"/>
        <v>67</v>
      </c>
      <c r="N231" s="263">
        <v>132.418546065394</v>
      </c>
      <c r="O231" s="264">
        <v>76.099999999999994</v>
      </c>
      <c r="P231" s="263">
        <f t="shared" si="43"/>
        <v>162.80179288130037</v>
      </c>
      <c r="Q231" s="257">
        <f t="shared" si="42"/>
        <v>0.81337277508940609</v>
      </c>
    </row>
    <row r="232" spans="1:20" ht="12.65" customHeight="1">
      <c r="A232" s="10">
        <v>31929</v>
      </c>
      <c r="B232" s="255">
        <v>42523.34</v>
      </c>
      <c r="D232" s="257">
        <f>B232/C241</f>
        <v>6.8644176089540612E-2</v>
      </c>
      <c r="E232" s="2"/>
      <c r="F232" s="258">
        <f>D232*E241</f>
        <v>54090.512451740571</v>
      </c>
      <c r="H232" s="261">
        <f t="shared" si="47"/>
        <v>120.62048460232924</v>
      </c>
      <c r="I232" s="262">
        <f t="shared" si="49"/>
        <v>181.35292217150928</v>
      </c>
      <c r="J232" s="258">
        <f t="shared" si="51"/>
        <v>0</v>
      </c>
      <c r="K232" s="261">
        <f t="shared" si="56"/>
        <v>183.22849202677969</v>
      </c>
      <c r="L232" s="261">
        <v>1</v>
      </c>
      <c r="M232" s="261">
        <f t="shared" si="45"/>
        <v>68</v>
      </c>
      <c r="N232" s="263">
        <v>134.83507016273001</v>
      </c>
      <c r="O232" s="264">
        <v>75.400000000000006</v>
      </c>
      <c r="P232" s="263">
        <f t="shared" si="43"/>
        <v>165.84554178592902</v>
      </c>
      <c r="Q232" s="257">
        <f t="shared" si="42"/>
        <v>0.81301594671006072</v>
      </c>
    </row>
    <row r="233" spans="1:20" ht="12.65" customHeight="1">
      <c r="A233" s="10">
        <v>31959</v>
      </c>
      <c r="B233" s="255">
        <v>47060.14</v>
      </c>
      <c r="D233" s="257">
        <f>B233/C241</f>
        <v>7.5967798789051716E-2</v>
      </c>
      <c r="E233" s="2"/>
      <c r="F233" s="258">
        <f>D233*E241</f>
        <v>59861.409960992125</v>
      </c>
      <c r="H233" s="261">
        <f t="shared" si="47"/>
        <v>133.48944114581448</v>
      </c>
      <c r="I233" s="262">
        <f t="shared" si="49"/>
        <v>181.35292217150928</v>
      </c>
      <c r="J233" s="258">
        <f t="shared" si="51"/>
        <v>0</v>
      </c>
      <c r="K233" s="261">
        <f t="shared" si="56"/>
        <v>183.78590126759198</v>
      </c>
      <c r="L233" s="261">
        <v>1</v>
      </c>
      <c r="M233" s="261">
        <f t="shared" si="45"/>
        <v>69</v>
      </c>
      <c r="N233" s="263">
        <v>138.36207510075999</v>
      </c>
      <c r="O233" s="264">
        <v>75.5</v>
      </c>
      <c r="P233" s="263">
        <f t="shared" si="43"/>
        <v>169.77485645566816</v>
      </c>
      <c r="Q233" s="257">
        <f t="shared" si="42"/>
        <v>0.81497388947514315</v>
      </c>
    </row>
    <row r="234" spans="1:20" ht="12.65" customHeight="1">
      <c r="A234" s="10">
        <v>31990</v>
      </c>
      <c r="B234" s="255">
        <v>51460.57</v>
      </c>
      <c r="D234" s="257">
        <f>B234/C241</f>
        <v>8.3071283411607161E-2</v>
      </c>
      <c r="E234" s="2"/>
      <c r="F234" s="258">
        <f>D234*E241</f>
        <v>65458.842187811853</v>
      </c>
      <c r="H234" s="261">
        <f t="shared" si="47"/>
        <v>145.97157446503698</v>
      </c>
      <c r="I234" s="262">
        <f t="shared" si="49"/>
        <v>181.35292217150928</v>
      </c>
      <c r="J234" s="258">
        <f t="shared" si="51"/>
        <v>0</v>
      </c>
      <c r="K234" s="261">
        <f t="shared" si="56"/>
        <v>184.34331050840427</v>
      </c>
      <c r="L234" s="261">
        <v>1</v>
      </c>
      <c r="M234" s="261">
        <f t="shared" si="45"/>
        <v>70</v>
      </c>
      <c r="N234" s="263">
        <v>141.59925313268599</v>
      </c>
      <c r="O234" s="264">
        <v>79.8</v>
      </c>
      <c r="P234" s="263">
        <f t="shared" si="43"/>
        <v>171.45609611628547</v>
      </c>
      <c r="Q234" s="257">
        <f t="shared" si="42"/>
        <v>0.82586304214374573</v>
      </c>
    </row>
    <row r="235" spans="1:20" ht="12.65" customHeight="1">
      <c r="A235" s="10">
        <v>32021</v>
      </c>
      <c r="B235" s="255">
        <v>55885.34</v>
      </c>
      <c r="D235" s="257">
        <f>B235/C241</f>
        <v>9.0214059379715883E-2</v>
      </c>
      <c r="E235" s="2"/>
      <c r="F235" s="258">
        <f>D235*E241</f>
        <v>71087.235366266046</v>
      </c>
      <c r="H235" s="261">
        <f t="shared" si="47"/>
        <v>158.52274992900215</v>
      </c>
      <c r="I235" s="262">
        <f t="shared" si="49"/>
        <v>181.35292217150928</v>
      </c>
      <c r="J235" s="258">
        <f t="shared" si="51"/>
        <v>0</v>
      </c>
      <c r="K235" s="261">
        <f t="shared" si="56"/>
        <v>184.90071974921656</v>
      </c>
      <c r="L235" s="261">
        <v>1</v>
      </c>
      <c r="M235" s="261">
        <f t="shared" si="45"/>
        <v>71</v>
      </c>
      <c r="N235" s="263">
        <v>145.04328921049401</v>
      </c>
      <c r="O235" s="264">
        <v>77.599999999999994</v>
      </c>
      <c r="P235" s="263">
        <f t="shared" si="43"/>
        <v>176.34411327019086</v>
      </c>
      <c r="Q235" s="257">
        <f t="shared" si="42"/>
        <v>0.82250145196659685</v>
      </c>
    </row>
    <row r="236" spans="1:20" ht="12.65" customHeight="1">
      <c r="A236" s="10">
        <v>32051</v>
      </c>
      <c r="B236" s="255">
        <v>61050.86</v>
      </c>
      <c r="D236" s="257">
        <f>B236/C241</f>
        <v>9.8552606268884152E-2</v>
      </c>
      <c r="E236" s="2"/>
      <c r="F236" s="258">
        <f>D236*E241</f>
        <v>77657.876898180402</v>
      </c>
      <c r="H236" s="261">
        <f t="shared" si="47"/>
        <v>173.17511556215851</v>
      </c>
      <c r="I236" s="262">
        <f t="shared" si="49"/>
        <v>181.35292217150928</v>
      </c>
      <c r="J236" s="258">
        <f t="shared" si="51"/>
        <v>0</v>
      </c>
      <c r="K236" s="261">
        <f t="shared" si="56"/>
        <v>185.45812899002885</v>
      </c>
      <c r="L236" s="261">
        <v>1</v>
      </c>
      <c r="M236" s="261">
        <f t="shared" si="45"/>
        <v>72</v>
      </c>
      <c r="N236" s="263">
        <v>149.46264793293</v>
      </c>
      <c r="O236" s="264">
        <v>78.5</v>
      </c>
      <c r="P236" s="263">
        <f t="shared" si="43"/>
        <v>180.91315657006999</v>
      </c>
      <c r="Q236" s="257">
        <f t="shared" si="42"/>
        <v>0.82615687419638384</v>
      </c>
    </row>
    <row r="237" spans="1:20" ht="12.65" customHeight="1">
      <c r="A237" s="10">
        <v>32082</v>
      </c>
      <c r="B237" s="255">
        <v>61877.19</v>
      </c>
      <c r="D237" s="257">
        <f>B237/C241</f>
        <v>9.988652646490051E-2</v>
      </c>
      <c r="E237" s="2"/>
      <c r="F237" s="258">
        <f>D237*E241</f>
        <v>78708.984669918165</v>
      </c>
      <c r="H237" s="261">
        <f t="shared" si="47"/>
        <v>175.51905950074482</v>
      </c>
      <c r="I237" s="262">
        <f t="shared" si="49"/>
        <v>181.35292217150928</v>
      </c>
      <c r="J237" s="258">
        <f t="shared" si="51"/>
        <v>0</v>
      </c>
      <c r="K237" s="261">
        <f t="shared" si="56"/>
        <v>186.01553823084114</v>
      </c>
      <c r="L237" s="261">
        <v>1</v>
      </c>
      <c r="M237" s="261">
        <f t="shared" si="45"/>
        <v>73</v>
      </c>
      <c r="N237" s="263">
        <v>152.042778093891</v>
      </c>
      <c r="O237" s="264">
        <v>77.2</v>
      </c>
      <c r="P237" s="263">
        <f t="shared" si="43"/>
        <v>184.41578539893149</v>
      </c>
      <c r="Q237" s="257">
        <f t="shared" si="42"/>
        <v>0.82445641930808344</v>
      </c>
    </row>
    <row r="238" spans="1:20" ht="12.65" customHeight="1">
      <c r="A238" s="10">
        <v>32112</v>
      </c>
      <c r="B238" s="255">
        <v>63933.85</v>
      </c>
      <c r="D238" s="257">
        <f>B238/C241</f>
        <v>0.10320653216521272</v>
      </c>
      <c r="E238" s="2"/>
      <c r="F238" s="258">
        <f>D238*E241</f>
        <v>81325.096041672979</v>
      </c>
      <c r="H238" s="261">
        <f t="shared" si="47"/>
        <v>181.35292217150928</v>
      </c>
      <c r="I238" s="262">
        <f t="shared" si="49"/>
        <v>184.81689952408388</v>
      </c>
      <c r="J238" s="258">
        <f t="shared" si="51"/>
        <v>0</v>
      </c>
      <c r="K238" s="261">
        <f t="shared" si="56"/>
        <v>186.57294747165344</v>
      </c>
      <c r="L238" s="261">
        <v>1</v>
      </c>
      <c r="M238" s="261">
        <f t="shared" si="45"/>
        <v>74</v>
      </c>
      <c r="N238" s="263">
        <v>154.05478231917201</v>
      </c>
      <c r="O238" s="264">
        <v>80.400000000000006</v>
      </c>
      <c r="P238" s="263">
        <f t="shared" si="43"/>
        <v>185.21944111218048</v>
      </c>
      <c r="Q238" s="257">
        <f t="shared" si="42"/>
        <v>0.83174196722614446</v>
      </c>
      <c r="T238" s="257">
        <f t="shared" ref="T238" si="57">AVERAGE(Q227:Q238)</f>
        <v>0.81697052302616313</v>
      </c>
    </row>
    <row r="239" spans="1:20" ht="12.65" customHeight="1">
      <c r="A239" s="10">
        <v>32143</v>
      </c>
      <c r="B239" s="255">
        <v>45739.1</v>
      </c>
      <c r="D239" s="257">
        <f>B239/C241</f>
        <v>7.3835282801800309E-2</v>
      </c>
      <c r="E239" s="2"/>
      <c r="F239" s="258">
        <f>D239*E241</f>
        <v>58181.021483293815</v>
      </c>
      <c r="H239" s="261">
        <f t="shared" si="47"/>
        <v>129.7422170336196</v>
      </c>
      <c r="I239" s="262">
        <f t="shared" si="49"/>
        <v>184.81689952408388</v>
      </c>
      <c r="J239" s="258">
        <f t="shared" si="51"/>
        <v>0</v>
      </c>
      <c r="K239" s="261">
        <f t="shared" si="56"/>
        <v>187.13035671246573</v>
      </c>
      <c r="L239" s="261">
        <v>1</v>
      </c>
      <c r="M239" s="261">
        <f t="shared" si="45"/>
        <v>75</v>
      </c>
      <c r="N239" s="263">
        <v>154.763622317086</v>
      </c>
      <c r="O239" s="264">
        <v>84.1</v>
      </c>
      <c r="P239" s="263">
        <f t="shared" si="43"/>
        <v>184.32564167879468</v>
      </c>
      <c r="Q239" s="257">
        <f t="shared" si="42"/>
        <v>0.83962068927326261</v>
      </c>
    </row>
    <row r="240" spans="1:20" ht="12.65" customHeight="1">
      <c r="A240" s="10">
        <v>32174</v>
      </c>
      <c r="B240" s="255">
        <v>53922.03</v>
      </c>
      <c r="D240" s="257">
        <f>B240/C241</f>
        <v>8.7044745836650936E-2</v>
      </c>
      <c r="E240" s="2"/>
      <c r="F240" s="258">
        <f>D240*E241</f>
        <v>68589.86700334755</v>
      </c>
      <c r="H240" s="261">
        <f t="shared" si="47"/>
        <v>152.95368118641045</v>
      </c>
      <c r="I240" s="262">
        <f t="shared" si="49"/>
        <v>184.81689952408388</v>
      </c>
      <c r="J240" s="258">
        <f t="shared" si="51"/>
        <v>0</v>
      </c>
      <c r="K240" s="261">
        <f t="shared" si="56"/>
        <v>187.68776595327802</v>
      </c>
      <c r="L240" s="261">
        <v>1</v>
      </c>
      <c r="M240" s="261">
        <f t="shared" si="45"/>
        <v>76</v>
      </c>
      <c r="N240" s="263">
        <v>158.675015213823</v>
      </c>
      <c r="O240" s="264">
        <v>87</v>
      </c>
      <c r="P240" s="263">
        <f t="shared" si="43"/>
        <v>187.40722255273002</v>
      </c>
      <c r="Q240" s="257">
        <f t="shared" si="42"/>
        <v>0.84668569894192447</v>
      </c>
    </row>
    <row r="241" spans="1:20" ht="12.65" customHeight="1">
      <c r="A241" s="10">
        <v>32203</v>
      </c>
      <c r="B241" s="255">
        <v>56298.89</v>
      </c>
      <c r="C241" s="259">
        <f t="shared" ref="C241" si="58">SUM(B230:B241)</f>
        <v>619474.84</v>
      </c>
      <c r="D241" s="257">
        <f>B241/C241</f>
        <v>9.0881640971891609E-2</v>
      </c>
      <c r="E241" s="260">
        <v>787984</v>
      </c>
      <c r="F241" s="258">
        <f>D241*E241</f>
        <v>71613.278979595038</v>
      </c>
      <c r="H241" s="261">
        <f t="shared" si="47"/>
        <v>159.69581397823472</v>
      </c>
      <c r="I241" s="262">
        <f t="shared" si="49"/>
        <v>184.81689952408388</v>
      </c>
      <c r="J241" s="258">
        <f t="shared" si="51"/>
        <v>0</v>
      </c>
      <c r="K241" s="261">
        <f t="shared" si="56"/>
        <v>188.24517519409031</v>
      </c>
      <c r="L241" s="261">
        <v>1</v>
      </c>
      <c r="M241" s="261">
        <f t="shared" si="45"/>
        <v>77</v>
      </c>
      <c r="N241" s="263">
        <v>156.686636800787</v>
      </c>
      <c r="O241" s="264">
        <v>85.7</v>
      </c>
      <c r="P241" s="263">
        <f t="shared" si="43"/>
        <v>185.76097586824392</v>
      </c>
      <c r="Q241" s="257">
        <f t="shared" si="42"/>
        <v>0.84348521571032931</v>
      </c>
    </row>
    <row r="242" spans="1:20" ht="12.65" customHeight="1">
      <c r="A242" s="10">
        <v>32234</v>
      </c>
      <c r="B242" s="255">
        <v>47631.12</v>
      </c>
      <c r="D242" s="257">
        <f>B242/C253</f>
        <v>7.0723420924425587E-2</v>
      </c>
      <c r="E242" s="2"/>
      <c r="F242" s="258">
        <f>D242*E253</f>
        <v>59285.746398843781</v>
      </c>
      <c r="H242" s="261">
        <f t="shared" si="47"/>
        <v>132.20572585662791</v>
      </c>
      <c r="I242" s="262">
        <f t="shared" si="49"/>
        <v>184.81689952408388</v>
      </c>
      <c r="J242" s="258">
        <f t="shared" si="51"/>
        <v>0</v>
      </c>
      <c r="K242" s="261">
        <f t="shared" si="56"/>
        <v>188.8025844349026</v>
      </c>
      <c r="L242" s="261">
        <v>1</v>
      </c>
      <c r="M242" s="261">
        <f t="shared" si="45"/>
        <v>78</v>
      </c>
      <c r="N242" s="263">
        <v>154.61120129336601</v>
      </c>
      <c r="O242" s="264">
        <v>81.599999999999994</v>
      </c>
      <c r="P242" s="263">
        <f t="shared" si="43"/>
        <v>185.29756569018889</v>
      </c>
      <c r="Q242" s="257">
        <f t="shared" si="42"/>
        <v>0.83439413096160464</v>
      </c>
    </row>
    <row r="243" spans="1:20" ht="12.65" customHeight="1">
      <c r="A243" s="10">
        <v>32264</v>
      </c>
      <c r="B243" s="255">
        <v>45917.919999999998</v>
      </c>
      <c r="D243" s="257">
        <f>B243/C253</f>
        <v>6.8179635165708879E-2</v>
      </c>
      <c r="E243" s="2"/>
      <c r="F243" s="258">
        <f>D243*E253</f>
        <v>57153.351848169776</v>
      </c>
      <c r="H243" s="261">
        <f t="shared" si="47"/>
        <v>127.45053955117096</v>
      </c>
      <c r="I243" s="262">
        <f t="shared" si="49"/>
        <v>184.81689952408388</v>
      </c>
      <c r="J243" s="258">
        <f t="shared" si="51"/>
        <v>0</v>
      </c>
      <c r="K243" s="261">
        <f t="shared" si="56"/>
        <v>189.35999367571489</v>
      </c>
      <c r="L243" s="261">
        <v>1</v>
      </c>
      <c r="M243" s="261">
        <f t="shared" si="45"/>
        <v>79</v>
      </c>
      <c r="N243" s="263">
        <v>148.09762321429301</v>
      </c>
      <c r="O243" s="264">
        <v>81.7</v>
      </c>
      <c r="P243" s="263">
        <f t="shared" si="43"/>
        <v>177.9107776977271</v>
      </c>
      <c r="Q243" s="257">
        <f t="shared" si="42"/>
        <v>0.83242637197569302</v>
      </c>
    </row>
    <row r="244" spans="1:20" ht="12.65" customHeight="1">
      <c r="A244" s="10">
        <v>32295</v>
      </c>
      <c r="B244" s="255">
        <v>48134.68</v>
      </c>
      <c r="D244" s="257">
        <f>B244/C253</f>
        <v>7.1471114571786884E-2</v>
      </c>
      <c r="E244" s="2"/>
      <c r="F244" s="258">
        <f>D244*E253</f>
        <v>59912.520038779221</v>
      </c>
      <c r="H244" s="261">
        <f t="shared" si="47"/>
        <v>133.60341533595076</v>
      </c>
      <c r="I244" s="262">
        <f t="shared" si="49"/>
        <v>184.81689952408388</v>
      </c>
      <c r="J244" s="258">
        <f t="shared" si="51"/>
        <v>0</v>
      </c>
      <c r="K244" s="261">
        <f t="shared" si="56"/>
        <v>189.91740291652718</v>
      </c>
      <c r="L244" s="261">
        <v>1</v>
      </c>
      <c r="M244" s="261">
        <f t="shared" si="45"/>
        <v>80</v>
      </c>
      <c r="N244" s="263">
        <v>149.797853322859</v>
      </c>
      <c r="O244" s="264">
        <v>80.099999999999994</v>
      </c>
      <c r="P244" s="263">
        <f t="shared" si="43"/>
        <v>180.55897209486659</v>
      </c>
      <c r="Q244" s="257">
        <f t="shared" si="42"/>
        <v>0.82963395053087952</v>
      </c>
    </row>
    <row r="245" spans="1:20" ht="12.65" customHeight="1">
      <c r="A245" s="10">
        <v>32325</v>
      </c>
      <c r="B245" s="255">
        <v>52927.22</v>
      </c>
      <c r="D245" s="257">
        <f>B245/C253</f>
        <v>7.8587151812085795E-2</v>
      </c>
      <c r="E245" s="2"/>
      <c r="F245" s="258">
        <f>D245*E253</f>
        <v>65877.723272428033</v>
      </c>
      <c r="H245" s="261">
        <f t="shared" si="47"/>
        <v>146.90566876599652</v>
      </c>
      <c r="I245" s="262">
        <f t="shared" si="49"/>
        <v>184.81689952408388</v>
      </c>
      <c r="J245" s="258">
        <f t="shared" si="51"/>
        <v>0</v>
      </c>
      <c r="K245" s="261">
        <f t="shared" si="56"/>
        <v>190.47481215733947</v>
      </c>
      <c r="L245" s="261">
        <v>1</v>
      </c>
      <c r="M245" s="261">
        <f t="shared" si="45"/>
        <v>81</v>
      </c>
      <c r="N245" s="263">
        <v>153.194361744334</v>
      </c>
      <c r="O245" s="264">
        <v>80.8</v>
      </c>
      <c r="P245" s="263">
        <f t="shared" si="43"/>
        <v>184.06672250551949</v>
      </c>
      <c r="Q245" s="257">
        <f t="shared" si="42"/>
        <v>0.83227625101946534</v>
      </c>
    </row>
    <row r="246" spans="1:20" ht="12.65" customHeight="1">
      <c r="A246" s="10">
        <v>32356</v>
      </c>
      <c r="B246" s="255">
        <v>57115.57</v>
      </c>
      <c r="D246" s="257">
        <f>B246/C253</f>
        <v>8.4806078430414697E-2</v>
      </c>
      <c r="E246" s="2"/>
      <c r="F246" s="258">
        <f>D246*E253</f>
        <v>71090.900202334306</v>
      </c>
      <c r="H246" s="261">
        <f t="shared" si="47"/>
        <v>158.53092242141358</v>
      </c>
      <c r="I246" s="262">
        <f t="shared" si="49"/>
        <v>184.81689952408388</v>
      </c>
      <c r="J246" s="258">
        <f t="shared" si="51"/>
        <v>0</v>
      </c>
      <c r="K246" s="261">
        <f t="shared" si="56"/>
        <v>191.03222139815176</v>
      </c>
      <c r="L246" s="261">
        <v>1</v>
      </c>
      <c r="M246" s="261">
        <f t="shared" si="45"/>
        <v>82</v>
      </c>
      <c r="N246" s="263">
        <v>154.45589637314001</v>
      </c>
      <c r="O246" s="264">
        <v>80</v>
      </c>
      <c r="P246" s="263">
        <f t="shared" si="43"/>
        <v>185.85450454535902</v>
      </c>
      <c r="Q246" s="257">
        <f t="shared" si="42"/>
        <v>0.83105812662960787</v>
      </c>
    </row>
    <row r="247" spans="1:20" ht="12.65" customHeight="1">
      <c r="A247" s="10">
        <v>32387</v>
      </c>
      <c r="B247" s="255">
        <v>61060.4</v>
      </c>
      <c r="D247" s="257">
        <f>B247/C253</f>
        <v>9.066342280034137E-2</v>
      </c>
      <c r="E247" s="2"/>
      <c r="F247" s="258">
        <f>D247*E253</f>
        <v>76000.971411378967</v>
      </c>
      <c r="H247" s="261">
        <f t="shared" si="47"/>
        <v>169.48025793002648</v>
      </c>
      <c r="I247" s="262">
        <f t="shared" si="49"/>
        <v>184.81689952408388</v>
      </c>
      <c r="J247" s="258">
        <f t="shared" si="51"/>
        <v>0</v>
      </c>
      <c r="K247" s="261">
        <f t="shared" si="56"/>
        <v>191.58963063896405</v>
      </c>
      <c r="L247" s="261">
        <v>1</v>
      </c>
      <c r="M247" s="261">
        <f t="shared" si="45"/>
        <v>83</v>
      </c>
      <c r="N247" s="263">
        <v>155.44612441404101</v>
      </c>
      <c r="O247" s="264">
        <v>80</v>
      </c>
      <c r="P247" s="263">
        <f t="shared" si="43"/>
        <v>186.97052760405376</v>
      </c>
      <c r="Q247" s="257">
        <f t="shared" si="42"/>
        <v>0.83139373037031927</v>
      </c>
    </row>
    <row r="248" spans="1:20" ht="12.65" customHeight="1">
      <c r="A248" s="10">
        <v>32417</v>
      </c>
      <c r="B248" s="255">
        <v>64484.56</v>
      </c>
      <c r="D248" s="257">
        <f>B248/C253</f>
        <v>9.574766833125857E-2</v>
      </c>
      <c r="E248" s="2"/>
      <c r="F248" s="258">
        <f>D248*E253</f>
        <v>80262.972418054109</v>
      </c>
      <c r="H248" s="261">
        <f t="shared" si="47"/>
        <v>178.98441315982646</v>
      </c>
      <c r="I248" s="262">
        <f t="shared" si="49"/>
        <v>185.81820419606268</v>
      </c>
      <c r="J248" s="258">
        <f t="shared" si="51"/>
        <v>0</v>
      </c>
      <c r="K248" s="261">
        <f t="shared" si="56"/>
        <v>192.14703987977634</v>
      </c>
      <c r="L248" s="261">
        <v>1</v>
      </c>
      <c r="M248" s="261">
        <f t="shared" si="45"/>
        <v>84</v>
      </c>
      <c r="N248" s="263">
        <v>155.22994568891599</v>
      </c>
      <c r="O248" s="264">
        <v>80.7</v>
      </c>
      <c r="P248" s="263">
        <f t="shared" si="43"/>
        <v>186.40664805380672</v>
      </c>
      <c r="Q248" s="257">
        <f t="shared" si="42"/>
        <v>0.8327489781593439</v>
      </c>
    </row>
    <row r="249" spans="1:20" ht="12.65" customHeight="1">
      <c r="A249" s="10">
        <v>32448</v>
      </c>
      <c r="B249" s="255">
        <v>64815.35</v>
      </c>
      <c r="D249" s="257">
        <f>B249/C253</f>
        <v>9.6238830420405139E-2</v>
      </c>
      <c r="E249" s="2"/>
      <c r="F249" s="258">
        <f>D249*E253</f>
        <v>80674.701809495542</v>
      </c>
      <c r="H249" s="261">
        <f t="shared" si="47"/>
        <v>179.90255936457902</v>
      </c>
      <c r="I249" s="262">
        <f t="shared" si="49"/>
        <v>187.14077522524505</v>
      </c>
      <c r="J249" s="258">
        <f t="shared" si="51"/>
        <v>0</v>
      </c>
      <c r="K249" s="261">
        <f t="shared" si="56"/>
        <v>192.70444912058863</v>
      </c>
      <c r="L249" s="261">
        <v>1</v>
      </c>
      <c r="M249" s="261">
        <f t="shared" si="45"/>
        <v>85</v>
      </c>
      <c r="N249" s="263">
        <v>156.03069273240601</v>
      </c>
      <c r="O249" s="264">
        <v>81.599999999999994</v>
      </c>
      <c r="P249" s="263">
        <f t="shared" si="43"/>
        <v>186.89738422910546</v>
      </c>
      <c r="Q249" s="257">
        <f t="shared" si="42"/>
        <v>0.8348468512600371</v>
      </c>
    </row>
    <row r="250" spans="1:20" ht="12.65" customHeight="1">
      <c r="A250" s="10">
        <v>32478</v>
      </c>
      <c r="B250" s="255">
        <v>66585.89</v>
      </c>
      <c r="D250" s="257">
        <f>B250/C253</f>
        <v>9.8867755494674497E-2</v>
      </c>
      <c r="E250" s="2"/>
      <c r="F250" s="258">
        <f>D250*E253</f>
        <v>82878.466605053763</v>
      </c>
      <c r="H250" s="261">
        <f t="shared" si="47"/>
        <v>184.81689952408388</v>
      </c>
      <c r="I250" s="262">
        <f t="shared" si="49"/>
        <v>192.50020025694877</v>
      </c>
      <c r="J250" s="258">
        <f t="shared" si="51"/>
        <v>0</v>
      </c>
      <c r="K250" s="261">
        <f t="shared" si="56"/>
        <v>193.26185836140093</v>
      </c>
      <c r="L250" s="261">
        <v>1</v>
      </c>
      <c r="M250" s="261">
        <f t="shared" si="45"/>
        <v>86</v>
      </c>
      <c r="N250" s="263">
        <v>156.701108149654</v>
      </c>
      <c r="O250" s="264">
        <v>83.4</v>
      </c>
      <c r="P250" s="263">
        <f t="shared" si="43"/>
        <v>186.82949701608729</v>
      </c>
      <c r="Q250" s="257">
        <f t="shared" si="42"/>
        <v>0.83873858599619833</v>
      </c>
      <c r="T250" s="257">
        <f t="shared" ref="T250" si="59">AVERAGE(Q239:Q250)</f>
        <v>0.8356090484023887</v>
      </c>
    </row>
    <row r="251" spans="1:20" ht="12.65" customHeight="1">
      <c r="A251" s="10">
        <v>32509</v>
      </c>
      <c r="B251" s="255">
        <v>48136.61</v>
      </c>
      <c r="D251" s="257">
        <f>B251/C253</f>
        <v>7.1473980265526274E-2</v>
      </c>
      <c r="E251" s="2"/>
      <c r="F251" s="258">
        <f>D251*E253</f>
        <v>59914.922281064304</v>
      </c>
      <c r="H251" s="261">
        <f t="shared" si="47"/>
        <v>133.60877227592829</v>
      </c>
      <c r="I251" s="262">
        <f t="shared" si="49"/>
        <v>192.50020025694877</v>
      </c>
      <c r="J251" s="258">
        <f t="shared" si="51"/>
        <v>0</v>
      </c>
      <c r="K251" s="261">
        <f t="shared" si="56"/>
        <v>193.81926760221322</v>
      </c>
      <c r="L251" s="261">
        <v>1</v>
      </c>
      <c r="M251" s="261">
        <f t="shared" si="45"/>
        <v>87</v>
      </c>
      <c r="N251" s="263">
        <v>157.470064729923</v>
      </c>
      <c r="O251" s="264">
        <v>79.099999999999994</v>
      </c>
      <c r="P251" s="263">
        <f t="shared" si="43"/>
        <v>189.66331693646981</v>
      </c>
      <c r="Q251" s="257">
        <f t="shared" si="42"/>
        <v>0.83026105033621045</v>
      </c>
    </row>
    <row r="252" spans="1:20" ht="12.65" customHeight="1">
      <c r="A252" s="10">
        <v>32540</v>
      </c>
      <c r="B252" s="255">
        <v>56588.35</v>
      </c>
      <c r="D252" s="257">
        <f>B252/C253</f>
        <v>8.4023254050476212E-2</v>
      </c>
      <c r="E252" s="2"/>
      <c r="F252" s="258">
        <f>D252*E253</f>
        <v>70434.677312416999</v>
      </c>
      <c r="H252" s="261">
        <f t="shared" si="47"/>
        <v>157.06756185407588</v>
      </c>
      <c r="I252" s="262">
        <f t="shared" si="49"/>
        <v>192.50020025694877</v>
      </c>
      <c r="J252" s="258">
        <f t="shared" si="51"/>
        <v>0</v>
      </c>
      <c r="K252" s="261">
        <f t="shared" si="56"/>
        <v>194.37667684302551</v>
      </c>
      <c r="L252" s="261">
        <v>1</v>
      </c>
      <c r="M252" s="261">
        <f t="shared" si="45"/>
        <v>88</v>
      </c>
      <c r="N252" s="263">
        <v>163.77864100173699</v>
      </c>
      <c r="O252" s="264">
        <v>80.7</v>
      </c>
      <c r="P252" s="263">
        <f t="shared" si="43"/>
        <v>196.04133895004017</v>
      </c>
      <c r="Q252" s="257">
        <f t="shared" si="42"/>
        <v>0.8354291083651233</v>
      </c>
    </row>
    <row r="253" spans="1:20" ht="12.65" customHeight="1">
      <c r="A253" s="10">
        <v>32568</v>
      </c>
      <c r="B253" s="255">
        <v>60086.720000000001</v>
      </c>
      <c r="C253" s="259">
        <f t="shared" ref="C253" si="60">SUM(B242:B253)</f>
        <v>673484.39</v>
      </c>
      <c r="D253" s="257">
        <f>B253/C253</f>
        <v>8.9217687732896081E-2</v>
      </c>
      <c r="E253" s="260">
        <v>838276</v>
      </c>
      <c r="F253" s="258">
        <f>D253*E253</f>
        <v>74789.046401981192</v>
      </c>
      <c r="H253" s="261">
        <f t="shared" si="47"/>
        <v>166.77769558943734</v>
      </c>
      <c r="I253" s="262">
        <f t="shared" si="49"/>
        <v>192.50020025694877</v>
      </c>
      <c r="J253" s="258">
        <f t="shared" si="51"/>
        <v>0</v>
      </c>
      <c r="K253" s="261">
        <f t="shared" si="56"/>
        <v>194.9340860838378</v>
      </c>
      <c r="L253" s="261">
        <v>1</v>
      </c>
      <c r="M253" s="261">
        <f t="shared" si="45"/>
        <v>89</v>
      </c>
      <c r="N253" s="263">
        <v>163.091615320025</v>
      </c>
      <c r="O253" s="264">
        <v>81.7</v>
      </c>
      <c r="P253" s="263">
        <f t="shared" si="43"/>
        <v>194.80955276842511</v>
      </c>
      <c r="Q253" s="257">
        <f t="shared" ref="Q253:Q316" si="61">N253/P253</f>
        <v>0.83718489674834373</v>
      </c>
    </row>
    <row r="254" spans="1:20" ht="12.65" customHeight="1">
      <c r="A254" s="10">
        <v>32599</v>
      </c>
      <c r="B254" s="255">
        <v>51636.42</v>
      </c>
      <c r="D254" s="257">
        <f>B254/C265</f>
        <v>6.9231576775351952E-2</v>
      </c>
      <c r="E254" s="2"/>
      <c r="F254" s="258">
        <f>D254*E265</f>
        <v>60392.296747405344</v>
      </c>
      <c r="H254" s="261">
        <f t="shared" si="47"/>
        <v>134.67330534941706</v>
      </c>
      <c r="I254" s="262">
        <f t="shared" si="49"/>
        <v>192.50020025694877</v>
      </c>
      <c r="J254" s="258">
        <f t="shared" si="51"/>
        <v>0</v>
      </c>
      <c r="K254" s="261">
        <f t="shared" si="56"/>
        <v>195.49149532465009</v>
      </c>
      <c r="L254" s="261">
        <v>1</v>
      </c>
      <c r="M254" s="261">
        <f t="shared" si="45"/>
        <v>90</v>
      </c>
      <c r="N254" s="263">
        <v>156.86300860498301</v>
      </c>
      <c r="O254" s="264">
        <v>79.099999999999994</v>
      </c>
      <c r="P254" s="263">
        <f t="shared" ref="P254:P317" si="62" xml:space="preserve"> 48.3757429845 + 1.12703641242*N254 - 0.457483222058*O254</f>
        <v>188.97914257927985</v>
      </c>
      <c r="Q254" s="257">
        <f t="shared" si="61"/>
        <v>0.83005461059903163</v>
      </c>
    </row>
    <row r="255" spans="1:20" ht="12.65" customHeight="1">
      <c r="A255" s="10">
        <v>32629</v>
      </c>
      <c r="B255" s="255">
        <v>51481.98</v>
      </c>
      <c r="D255" s="257">
        <f>B255/C265</f>
        <v>6.9024511205794947E-2</v>
      </c>
      <c r="E255" s="2"/>
      <c r="F255" s="258">
        <f>D255*E265</f>
        <v>60211.668688572667</v>
      </c>
      <c r="H255" s="261">
        <f t="shared" si="47"/>
        <v>134.27050931363144</v>
      </c>
      <c r="I255" s="262">
        <f t="shared" si="49"/>
        <v>192.50020025694877</v>
      </c>
      <c r="J255" s="258">
        <f t="shared" si="51"/>
        <v>0</v>
      </c>
      <c r="K255" s="261">
        <f t="shared" si="56"/>
        <v>196.04890456546238</v>
      </c>
      <c r="L255" s="261">
        <v>1</v>
      </c>
      <c r="M255" s="261">
        <f t="shared" ref="M255:M318" si="63">M254+L255</f>
        <v>91</v>
      </c>
      <c r="N255" s="263">
        <v>154.74664309005701</v>
      </c>
      <c r="O255" s="264">
        <v>78.2</v>
      </c>
      <c r="P255" s="263">
        <f t="shared" si="62"/>
        <v>187.00565648182044</v>
      </c>
      <c r="Q255" s="257">
        <f t="shared" si="61"/>
        <v>0.82749712496049843</v>
      </c>
    </row>
    <row r="256" spans="1:20" ht="12.65" customHeight="1">
      <c r="A256" s="10">
        <v>32660</v>
      </c>
      <c r="B256" s="255">
        <v>53935.74</v>
      </c>
      <c r="D256" s="257">
        <f>B256/C265</f>
        <v>7.2314392143092446E-2</v>
      </c>
      <c r="E256" s="2"/>
      <c r="F256" s="258">
        <f>D256*E265</f>
        <v>63081.507497438834</v>
      </c>
      <c r="H256" s="261">
        <f t="shared" si="47"/>
        <v>140.67017779828208</v>
      </c>
      <c r="I256" s="262">
        <f t="shared" si="49"/>
        <v>192.50020025694877</v>
      </c>
      <c r="J256" s="258">
        <f t="shared" si="51"/>
        <v>0</v>
      </c>
      <c r="K256" s="261">
        <f t="shared" si="56"/>
        <v>196.60631380627467</v>
      </c>
      <c r="L256" s="261">
        <v>1</v>
      </c>
      <c r="M256" s="261">
        <f t="shared" si="63"/>
        <v>92</v>
      </c>
      <c r="N256" s="263">
        <v>157.397771856259</v>
      </c>
      <c r="O256" s="264">
        <v>79.099999999999994</v>
      </c>
      <c r="P256" s="263">
        <f t="shared" si="62"/>
        <v>189.581840235492</v>
      </c>
      <c r="Q256" s="257">
        <f t="shared" si="61"/>
        <v>0.83023654407376224</v>
      </c>
    </row>
    <row r="257" spans="1:20" ht="12.65" customHeight="1">
      <c r="A257" s="10">
        <v>32690</v>
      </c>
      <c r="B257" s="255">
        <v>58643.6</v>
      </c>
      <c r="D257" s="257">
        <f>B257/C265</f>
        <v>7.8626459692268169E-2</v>
      </c>
      <c r="E257" s="2"/>
      <c r="F257" s="258">
        <f>D257*E265</f>
        <v>68587.66919813845</v>
      </c>
      <c r="H257" s="261">
        <f t="shared" si="47"/>
        <v>152.94878013597912</v>
      </c>
      <c r="I257" s="262">
        <f t="shared" si="49"/>
        <v>192.50020025694877</v>
      </c>
      <c r="J257" s="258">
        <f t="shared" si="51"/>
        <v>0</v>
      </c>
      <c r="K257" s="261">
        <f t="shared" si="56"/>
        <v>197.16372304708696</v>
      </c>
      <c r="L257" s="261">
        <v>1</v>
      </c>
      <c r="M257" s="261">
        <f t="shared" si="63"/>
        <v>93</v>
      </c>
      <c r="N257" s="263">
        <v>159.690238491249</v>
      </c>
      <c r="O257" s="264">
        <v>81.2</v>
      </c>
      <c r="P257" s="263">
        <f t="shared" si="62"/>
        <v>191.20481884106186</v>
      </c>
      <c r="Q257" s="257">
        <f t="shared" si="61"/>
        <v>0.83517894297418727</v>
      </c>
    </row>
    <row r="258" spans="1:20" ht="12.65" customHeight="1">
      <c r="A258" s="10">
        <v>32721</v>
      </c>
      <c r="B258" s="255">
        <v>62923.22</v>
      </c>
      <c r="D258" s="257">
        <f>B258/C265</f>
        <v>8.4364364074472287E-2</v>
      </c>
      <c r="E258" s="2"/>
      <c r="F258" s="258">
        <f>D258*E265</f>
        <v>73592.975162535891</v>
      </c>
      <c r="H258" s="261">
        <f t="shared" ref="H258:H321" si="64">F258/G$574*100</f>
        <v>164.11048675776803</v>
      </c>
      <c r="I258" s="262">
        <f t="shared" si="49"/>
        <v>192.50020025694877</v>
      </c>
      <c r="J258" s="258">
        <f t="shared" si="51"/>
        <v>0</v>
      </c>
      <c r="K258" s="261">
        <f t="shared" si="56"/>
        <v>197.72113228789925</v>
      </c>
      <c r="L258" s="261">
        <v>1</v>
      </c>
      <c r="M258" s="261">
        <f t="shared" si="63"/>
        <v>94</v>
      </c>
      <c r="N258" s="263">
        <v>160.28459204939699</v>
      </c>
      <c r="O258" s="264">
        <v>80.7</v>
      </c>
      <c r="P258" s="263">
        <f t="shared" si="62"/>
        <v>192.10341855397505</v>
      </c>
      <c r="Q258" s="257">
        <f t="shared" si="61"/>
        <v>0.83436616201789271</v>
      </c>
    </row>
    <row r="259" spans="1:20" ht="12.65" customHeight="1">
      <c r="A259" s="10">
        <v>32752</v>
      </c>
      <c r="B259" s="255">
        <v>67147.45</v>
      </c>
      <c r="D259" s="257">
        <f>B259/C265</f>
        <v>9.0028004264124176E-2</v>
      </c>
      <c r="E259" s="2"/>
      <c r="F259" s="258">
        <f>D259*E265</f>
        <v>78533.498763693598</v>
      </c>
      <c r="H259" s="261">
        <f t="shared" si="64"/>
        <v>175.12773033616034</v>
      </c>
      <c r="I259" s="262">
        <f t="shared" si="49"/>
        <v>192.50020025694877</v>
      </c>
      <c r="J259" s="258">
        <f t="shared" si="51"/>
        <v>0</v>
      </c>
      <c r="K259" s="261">
        <f t="shared" si="56"/>
        <v>198.27854152871154</v>
      </c>
      <c r="L259" s="261">
        <v>1</v>
      </c>
      <c r="M259" s="261">
        <f t="shared" si="63"/>
        <v>95</v>
      </c>
      <c r="N259" s="263">
        <v>161.46816381159999</v>
      </c>
      <c r="O259" s="264">
        <v>79.5</v>
      </c>
      <c r="P259" s="263">
        <f t="shared" si="62"/>
        <v>193.98632689315954</v>
      </c>
      <c r="Q259" s="257">
        <f t="shared" si="61"/>
        <v>0.83236878803592507</v>
      </c>
    </row>
    <row r="260" spans="1:20" ht="12.65" customHeight="1">
      <c r="A260" s="10">
        <v>32782</v>
      </c>
      <c r="B260" s="255">
        <v>71246.39</v>
      </c>
      <c r="D260" s="257">
        <f>B260/C265</f>
        <v>9.5523661773059945E-2</v>
      </c>
      <c r="E260" s="2"/>
      <c r="F260" s="258">
        <f>D260*E265</f>
        <v>83327.48720886097</v>
      </c>
      <c r="H260" s="261">
        <f t="shared" si="64"/>
        <v>185.81820419606268</v>
      </c>
      <c r="I260" s="262">
        <f t="shared" si="49"/>
        <v>198.41411809496759</v>
      </c>
      <c r="J260" s="258">
        <f t="shared" si="51"/>
        <v>0</v>
      </c>
      <c r="K260" s="261">
        <f t="shared" si="56"/>
        <v>198.83595076952383</v>
      </c>
      <c r="L260" s="261">
        <v>1</v>
      </c>
      <c r="M260" s="261">
        <f t="shared" si="63"/>
        <v>96</v>
      </c>
      <c r="N260" s="263">
        <v>162.35071856911401</v>
      </c>
      <c r="O260" s="264">
        <v>80.599999999999994</v>
      </c>
      <c r="P260" s="263">
        <f t="shared" si="62"/>
        <v>194.47776669656852</v>
      </c>
      <c r="Q260" s="257">
        <f t="shared" si="61"/>
        <v>0.83480349104594387</v>
      </c>
    </row>
    <row r="261" spans="1:20" ht="12.65" customHeight="1">
      <c r="A261" s="10">
        <v>32813</v>
      </c>
      <c r="B261" s="255">
        <v>71753.490000000005</v>
      </c>
      <c r="D261" s="257">
        <f>B261/C265</f>
        <v>9.620355655629205E-2</v>
      </c>
      <c r="E261" s="2"/>
      <c r="F261" s="258">
        <f>D261*E265</f>
        <v>83920.575065854355</v>
      </c>
      <c r="H261" s="261">
        <f t="shared" si="64"/>
        <v>187.14077522524505</v>
      </c>
      <c r="I261" s="262">
        <f t="shared" si="49"/>
        <v>199.82351910829436</v>
      </c>
      <c r="J261" s="258">
        <f t="shared" si="51"/>
        <v>0</v>
      </c>
      <c r="K261" s="261">
        <f t="shared" si="56"/>
        <v>199.39336001033612</v>
      </c>
      <c r="L261" s="261">
        <v>1</v>
      </c>
      <c r="M261" s="261">
        <f t="shared" si="63"/>
        <v>97</v>
      </c>
      <c r="N261" s="263">
        <v>162.965962802196</v>
      </c>
      <c r="O261" s="264">
        <v>80</v>
      </c>
      <c r="P261" s="263">
        <f t="shared" si="62"/>
        <v>195.44565928301816</v>
      </c>
      <c r="Q261" s="257">
        <f t="shared" si="61"/>
        <v>0.83381725334820855</v>
      </c>
    </row>
    <row r="262" spans="1:20" ht="12.65" customHeight="1">
      <c r="A262" s="10">
        <v>32843</v>
      </c>
      <c r="B262" s="255">
        <v>73808.399999999994</v>
      </c>
      <c r="D262" s="257">
        <f>B262/C265</f>
        <v>9.8958678995675675E-2</v>
      </c>
      <c r="E262" s="2"/>
      <c r="F262" s="258">
        <f>D262*E265</f>
        <v>86323.931737544786</v>
      </c>
      <c r="H262" s="261">
        <f>F262/G$574*100</f>
        <v>192.50020025694877</v>
      </c>
      <c r="I262" s="262">
        <f t="shared" si="49"/>
        <v>206.63968014089619</v>
      </c>
      <c r="J262" s="258">
        <f t="shared" si="51"/>
        <v>0</v>
      </c>
      <c r="K262" s="261">
        <f t="shared" si="56"/>
        <v>199.95076925114842</v>
      </c>
      <c r="L262" s="261">
        <v>1</v>
      </c>
      <c r="M262" s="261">
        <f t="shared" si="63"/>
        <v>98</v>
      </c>
      <c r="N262" s="263">
        <v>163.30800153709799</v>
      </c>
      <c r="O262" s="264">
        <v>79</v>
      </c>
      <c r="P262" s="263">
        <f t="shared" si="62"/>
        <v>196.28863261376875</v>
      </c>
      <c r="Q262" s="257">
        <f t="shared" si="61"/>
        <v>0.83197890454733692</v>
      </c>
      <c r="T262" s="257">
        <f t="shared" ref="T262" si="65">AVERAGE(Q251:Q262)</f>
        <v>0.83276473975437193</v>
      </c>
    </row>
    <row r="263" spans="1:20" ht="12.65" customHeight="1">
      <c r="A263" s="10">
        <v>32874</v>
      </c>
      <c r="B263" s="255">
        <v>53563.57</v>
      </c>
      <c r="D263" s="257">
        <f>B263/C265</f>
        <v>7.1815404879287503E-2</v>
      </c>
      <c r="E263" s="2"/>
      <c r="F263" s="258">
        <f>D263*E265</f>
        <v>62646.229430514715</v>
      </c>
      <c r="H263" s="261">
        <f t="shared" si="64"/>
        <v>139.69951863848956</v>
      </c>
      <c r="I263" s="262">
        <f t="shared" si="49"/>
        <v>206.63968014089619</v>
      </c>
      <c r="J263" s="258">
        <f t="shared" si="51"/>
        <v>0</v>
      </c>
      <c r="K263" s="261">
        <f t="shared" si="56"/>
        <v>200.50817849196071</v>
      </c>
      <c r="L263" s="261">
        <v>1</v>
      </c>
      <c r="M263" s="261">
        <f t="shared" si="63"/>
        <v>99</v>
      </c>
      <c r="N263" s="263">
        <v>162.50672737415499</v>
      </c>
      <c r="O263" s="264">
        <v>79.400000000000006</v>
      </c>
      <c r="P263" s="263">
        <f t="shared" si="62"/>
        <v>195.20257416697746</v>
      </c>
      <c r="Q263" s="257">
        <f t="shared" si="61"/>
        <v>0.83250299371127023</v>
      </c>
    </row>
    <row r="264" spans="1:20" ht="12.65" customHeight="1">
      <c r="A264" s="10">
        <v>32905</v>
      </c>
      <c r="B264" s="255">
        <v>63242.42</v>
      </c>
      <c r="D264" s="257">
        <f>B264/C265</f>
        <v>8.4792331762911802E-2</v>
      </c>
      <c r="E264" s="2"/>
      <c r="F264" s="258">
        <f>D264*E265</f>
        <v>73966.301220418507</v>
      </c>
      <c r="H264" s="261">
        <f t="shared" si="64"/>
        <v>164.94299449295829</v>
      </c>
      <c r="I264" s="262">
        <f t="shared" si="49"/>
        <v>206.63968014089619</v>
      </c>
      <c r="J264" s="258">
        <f t="shared" si="51"/>
        <v>0</v>
      </c>
      <c r="K264" s="261">
        <f t="shared" si="56"/>
        <v>201.065587732773</v>
      </c>
      <c r="L264" s="261">
        <v>1</v>
      </c>
      <c r="M264" s="261">
        <f t="shared" si="63"/>
        <v>100</v>
      </c>
      <c r="N264" s="263">
        <v>173.445992210757</v>
      </c>
      <c r="O264" s="264">
        <v>77.5</v>
      </c>
      <c r="P264" s="263">
        <f t="shared" si="62"/>
        <v>208.40074208484384</v>
      </c>
      <c r="Q264" s="257">
        <f t="shared" si="61"/>
        <v>0.83227147118384004</v>
      </c>
    </row>
    <row r="265" spans="1:20" ht="12.65" customHeight="1">
      <c r="A265" s="10">
        <v>32933</v>
      </c>
      <c r="B265" s="255">
        <v>66468.02</v>
      </c>
      <c r="C265" s="259">
        <f t="shared" ref="C265" si="66">SUM(B254:B265)</f>
        <v>745850.7</v>
      </c>
      <c r="D265" s="257">
        <f>B265/C265</f>
        <v>8.911705787766909E-2</v>
      </c>
      <c r="E265" s="260">
        <v>872323</v>
      </c>
      <c r="F265" s="258">
        <f>D265*E265</f>
        <v>77738.859279021926</v>
      </c>
      <c r="H265" s="261">
        <f t="shared" si="64"/>
        <v>173.35570423803898</v>
      </c>
      <c r="I265" s="262">
        <f t="shared" si="49"/>
        <v>206.63968014089619</v>
      </c>
      <c r="J265" s="258">
        <f t="shared" si="51"/>
        <v>0</v>
      </c>
      <c r="K265" s="261">
        <f t="shared" si="56"/>
        <v>201.62299697358529</v>
      </c>
      <c r="L265" s="261">
        <v>1</v>
      </c>
      <c r="M265" s="261">
        <f t="shared" si="63"/>
        <v>101</v>
      </c>
      <c r="N265" s="263">
        <v>169.50585494903601</v>
      </c>
      <c r="O265" s="264">
        <v>79.400000000000006</v>
      </c>
      <c r="P265" s="263">
        <f t="shared" si="62"/>
        <v>203.09084579904123</v>
      </c>
      <c r="Q265" s="257">
        <f t="shared" si="61"/>
        <v>0.83463070076906554</v>
      </c>
    </row>
    <row r="266" spans="1:20" ht="12.65" customHeight="1">
      <c r="A266" s="10">
        <v>32964</v>
      </c>
      <c r="B266" s="255">
        <v>58435.92</v>
      </c>
      <c r="D266" s="257">
        <f>B266/C277</f>
        <v>7.0880368593947154E-2</v>
      </c>
      <c r="E266" s="2"/>
      <c r="F266" s="258">
        <f>D266*E277</f>
        <v>66569.920738643443</v>
      </c>
      <c r="H266" s="261">
        <f t="shared" si="64"/>
        <v>148.44925173518914</v>
      </c>
      <c r="I266" s="262">
        <f t="shared" si="49"/>
        <v>206.63968014089619</v>
      </c>
      <c r="J266" s="258">
        <f t="shared" si="51"/>
        <v>0</v>
      </c>
      <c r="K266" s="261">
        <f t="shared" si="56"/>
        <v>202.18040621439758</v>
      </c>
      <c r="L266" s="261">
        <v>1</v>
      </c>
      <c r="M266" s="261">
        <f t="shared" si="63"/>
        <v>102</v>
      </c>
      <c r="N266" s="263">
        <v>171.24108919227899</v>
      </c>
      <c r="O266" s="264">
        <v>81.3</v>
      </c>
      <c r="P266" s="263">
        <f t="shared" si="62"/>
        <v>204.17729985334398</v>
      </c>
      <c r="Q266" s="257">
        <f t="shared" si="61"/>
        <v>0.83868818578401061</v>
      </c>
    </row>
    <row r="267" spans="1:20" ht="12.65" customHeight="1">
      <c r="A267" s="10">
        <v>32994</v>
      </c>
      <c r="B267" s="255">
        <v>59473.39</v>
      </c>
      <c r="D267" s="257">
        <f>B267/C277</f>
        <v>7.2138777052394673E-2</v>
      </c>
      <c r="E267" s="2"/>
      <c r="F267" s="258">
        <f>D267*E277</f>
        <v>67751.801603507396</v>
      </c>
      <c r="H267" s="261">
        <f t="shared" si="64"/>
        <v>151.08481638784983</v>
      </c>
      <c r="I267" s="262">
        <f t="shared" ref="I267:I330" si="67">MAX(H255:H279)</f>
        <v>206.63968014089619</v>
      </c>
      <c r="J267" s="258">
        <f t="shared" si="51"/>
        <v>0</v>
      </c>
      <c r="K267" s="261">
        <f t="shared" si="56"/>
        <v>202.73781545520987</v>
      </c>
      <c r="L267" s="261">
        <v>1</v>
      </c>
      <c r="M267" s="261">
        <f t="shared" si="63"/>
        <v>103</v>
      </c>
      <c r="N267" s="263">
        <v>172.46443423097901</v>
      </c>
      <c r="O267" s="264">
        <v>84</v>
      </c>
      <c r="P267" s="263">
        <f t="shared" si="62"/>
        <v>204.32084955735561</v>
      </c>
      <c r="Q267" s="257">
        <f t="shared" si="61"/>
        <v>0.84408632111998882</v>
      </c>
    </row>
    <row r="268" spans="1:20" ht="12.65" customHeight="1">
      <c r="A268" s="10">
        <v>33025</v>
      </c>
      <c r="B268" s="255">
        <v>61805.23</v>
      </c>
      <c r="D268" s="257">
        <f>B268/C277</f>
        <v>7.4967203107843272E-2</v>
      </c>
      <c r="E268" s="2"/>
      <c r="F268" s="258">
        <f>D268*E277</f>
        <v>70408.222585245996</v>
      </c>
      <c r="H268" s="261">
        <f t="shared" si="64"/>
        <v>157.00856847673938</v>
      </c>
      <c r="I268" s="262">
        <f t="shared" si="67"/>
        <v>206.63968014089619</v>
      </c>
      <c r="J268" s="258">
        <f t="shared" si="51"/>
        <v>0</v>
      </c>
      <c r="K268" s="261">
        <f t="shared" si="56"/>
        <v>203.29522469602216</v>
      </c>
      <c r="L268" s="261">
        <v>1</v>
      </c>
      <c r="M268" s="261">
        <f t="shared" si="63"/>
        <v>104</v>
      </c>
      <c r="N268" s="263">
        <v>174.73799767793801</v>
      </c>
      <c r="O268" s="264">
        <v>81.7</v>
      </c>
      <c r="P268" s="263">
        <f t="shared" si="62"/>
        <v>207.93544975875895</v>
      </c>
      <c r="Q268" s="257">
        <f t="shared" si="61"/>
        <v>0.84034731875043089</v>
      </c>
    </row>
    <row r="269" spans="1:20" ht="12.65" customHeight="1">
      <c r="A269" s="10">
        <v>33055</v>
      </c>
      <c r="B269" s="255">
        <v>65976.78</v>
      </c>
      <c r="D269" s="257">
        <f>B269/C277</f>
        <v>8.0027121760755382E-2</v>
      </c>
      <c r="E269" s="2"/>
      <c r="F269" s="258">
        <f>D269*E277</f>
        <v>75160.432405118569</v>
      </c>
      <c r="H269" s="261">
        <f t="shared" si="64"/>
        <v>167.60587705125874</v>
      </c>
      <c r="I269" s="262">
        <f t="shared" si="67"/>
        <v>206.63968014089619</v>
      </c>
      <c r="J269" s="258">
        <f t="shared" si="51"/>
        <v>0</v>
      </c>
      <c r="K269" s="261">
        <f t="shared" si="56"/>
        <v>203.85263393683445</v>
      </c>
      <c r="L269" s="261">
        <v>1</v>
      </c>
      <c r="M269" s="261">
        <f t="shared" si="63"/>
        <v>105</v>
      </c>
      <c r="N269" s="263">
        <v>175.03396956922001</v>
      </c>
      <c r="O269" s="264">
        <v>79.5</v>
      </c>
      <c r="P269" s="263">
        <f t="shared" si="62"/>
        <v>209.27548394581419</v>
      </c>
      <c r="Q269" s="257">
        <f t="shared" si="61"/>
        <v>0.83638067043983022</v>
      </c>
    </row>
    <row r="270" spans="1:20" ht="12.65" customHeight="1">
      <c r="A270" s="10">
        <v>33086</v>
      </c>
      <c r="B270" s="255">
        <v>70488.97</v>
      </c>
      <c r="D270" s="257">
        <f>B270/C277</f>
        <v>8.550022272957597E-2</v>
      </c>
      <c r="E270" s="2"/>
      <c r="F270" s="258">
        <f>D270*E277</f>
        <v>80300.697684722269</v>
      </c>
      <c r="H270" s="261">
        <f t="shared" si="64"/>
        <v>179.06853955724827</v>
      </c>
      <c r="I270" s="262">
        <f t="shared" si="67"/>
        <v>206.63968014089619</v>
      </c>
      <c r="J270" s="258">
        <f t="shared" si="51"/>
        <v>0</v>
      </c>
      <c r="K270" s="261">
        <f t="shared" si="56"/>
        <v>204.41004317764674</v>
      </c>
      <c r="L270" s="261">
        <v>1</v>
      </c>
      <c r="M270" s="261">
        <f t="shared" si="63"/>
        <v>106</v>
      </c>
      <c r="N270" s="263">
        <v>175.23977368822599</v>
      </c>
      <c r="O270" s="264">
        <v>78.099999999999994</v>
      </c>
      <c r="P270" s="263">
        <f t="shared" si="62"/>
        <v>210.14790919264115</v>
      </c>
      <c r="Q270" s="257">
        <f t="shared" si="61"/>
        <v>0.83388778104656225</v>
      </c>
    </row>
    <row r="271" spans="1:20" ht="12.65" customHeight="1">
      <c r="A271" s="10">
        <v>33117</v>
      </c>
      <c r="B271" s="255">
        <v>74221.48</v>
      </c>
      <c r="D271" s="257">
        <f>B271/C277</f>
        <v>9.0027603911913709E-2</v>
      </c>
      <c r="E271" s="2"/>
      <c r="F271" s="258">
        <f>D271*E277</f>
        <v>84552.755235218501</v>
      </c>
      <c r="H271" s="261">
        <f t="shared" si="64"/>
        <v>188.55052112944068</v>
      </c>
      <c r="I271" s="262">
        <f t="shared" si="67"/>
        <v>206.63968014089619</v>
      </c>
      <c r="J271" s="258">
        <f t="shared" ref="J271:J334" si="68">IF(H271=I271,1,0)</f>
        <v>0</v>
      </c>
      <c r="K271" s="261">
        <f t="shared" si="56"/>
        <v>204.96745241845903</v>
      </c>
      <c r="L271" s="261">
        <v>1</v>
      </c>
      <c r="M271" s="261">
        <f t="shared" si="63"/>
        <v>107</v>
      </c>
      <c r="N271" s="263">
        <v>174.88588203703699</v>
      </c>
      <c r="O271" s="264">
        <v>79.7</v>
      </c>
      <c r="P271" s="263">
        <f t="shared" si="62"/>
        <v>209.0170872604069</v>
      </c>
      <c r="Q271" s="257">
        <f t="shared" si="61"/>
        <v>0.83670614842676927</v>
      </c>
    </row>
    <row r="272" spans="1:20" ht="12.65" customHeight="1">
      <c r="A272" s="10">
        <v>33147</v>
      </c>
      <c r="B272" s="255">
        <v>78104.210000000006</v>
      </c>
      <c r="D272" s="257">
        <f>B272/C277</f>
        <v>9.4737195778539188E-2</v>
      </c>
      <c r="E272" s="2"/>
      <c r="F272" s="258">
        <f>D272*E277</f>
        <v>88975.942691658885</v>
      </c>
      <c r="H272" s="261">
        <f t="shared" si="64"/>
        <v>198.41411809496759</v>
      </c>
      <c r="I272" s="262">
        <f t="shared" si="67"/>
        <v>206.63968014089619</v>
      </c>
      <c r="J272" s="258">
        <f t="shared" si="68"/>
        <v>0</v>
      </c>
      <c r="K272" s="261">
        <f t="shared" si="56"/>
        <v>205.52486165927132</v>
      </c>
      <c r="L272" s="261">
        <v>1</v>
      </c>
      <c r="M272" s="261">
        <f t="shared" si="63"/>
        <v>108</v>
      </c>
      <c r="N272" s="263">
        <v>174.80166161641901</v>
      </c>
      <c r="O272" s="264">
        <v>79.599999999999994</v>
      </c>
      <c r="P272" s="263">
        <f t="shared" si="62"/>
        <v>208.96791610190689</v>
      </c>
      <c r="Q272" s="265">
        <f t="shared" si="61"/>
        <v>0.83649999902939121</v>
      </c>
      <c r="R272" s="256">
        <v>-14</v>
      </c>
      <c r="S272" s="266">
        <v>0.83442799999999995</v>
      </c>
    </row>
    <row r="273" spans="1:21" ht="12.65" customHeight="1">
      <c r="A273" s="10">
        <v>33178</v>
      </c>
      <c r="B273" s="255">
        <v>78659.009999999995</v>
      </c>
      <c r="D273" s="257">
        <f>B273/C277</f>
        <v>9.5410145370090432E-2</v>
      </c>
      <c r="E273" s="2"/>
      <c r="F273" s="258">
        <f>D273*E277</f>
        <v>89607.968199699128</v>
      </c>
      <c r="H273" s="261">
        <f t="shared" si="64"/>
        <v>199.82351910829436</v>
      </c>
      <c r="I273" s="262">
        <f t="shared" si="67"/>
        <v>206.63968014089619</v>
      </c>
      <c r="J273" s="258">
        <f t="shared" si="68"/>
        <v>0</v>
      </c>
      <c r="K273" s="261">
        <f t="shared" si="56"/>
        <v>206.08227090008361</v>
      </c>
      <c r="L273" s="261">
        <v>1</v>
      </c>
      <c r="M273" s="261">
        <f t="shared" si="63"/>
        <v>109</v>
      </c>
      <c r="N273" s="263">
        <v>175.05124894071301</v>
      </c>
      <c r="O273" s="264">
        <v>79.5</v>
      </c>
      <c r="P273" s="263">
        <f t="shared" si="62"/>
        <v>209.29495842667052</v>
      </c>
      <c r="Q273" s="265">
        <f t="shared" si="61"/>
        <v>0.83638540678009077</v>
      </c>
      <c r="R273" s="256">
        <v>-14</v>
      </c>
      <c r="S273" s="266">
        <v>0.83442799999999995</v>
      </c>
    </row>
    <row r="274" spans="1:21" ht="12.65" customHeight="1">
      <c r="A274" s="10">
        <v>33208</v>
      </c>
      <c r="B274" s="255">
        <v>81342.14</v>
      </c>
      <c r="D274" s="257">
        <f>B274/C277</f>
        <v>9.8664671753614083E-2</v>
      </c>
      <c r="E274" s="2"/>
      <c r="F274" s="258">
        <f>D274*E277</f>
        <v>92664.577070261555</v>
      </c>
      <c r="H274" s="261">
        <f t="shared" si="64"/>
        <v>206.63968014089619</v>
      </c>
      <c r="I274" s="262">
        <f t="shared" si="67"/>
        <v>206.63968014089619</v>
      </c>
      <c r="J274" s="254">
        <f t="shared" si="68"/>
        <v>1</v>
      </c>
      <c r="K274" s="12">
        <f>I274</f>
        <v>206.63968014089619</v>
      </c>
      <c r="N274" s="263">
        <v>175.282649119989</v>
      </c>
      <c r="O274" s="264">
        <v>81.3</v>
      </c>
      <c r="P274" s="263">
        <f t="shared" si="62"/>
        <v>208.73228505485071</v>
      </c>
      <c r="Q274" s="265">
        <f t="shared" si="61"/>
        <v>0.83974862381221094</v>
      </c>
      <c r="R274" s="256">
        <v>-14</v>
      </c>
      <c r="S274" s="266">
        <v>0.83442799999999995</v>
      </c>
      <c r="T274" s="257">
        <f t="shared" ref="T274" si="69">AVERAGE(Q263:Q274)</f>
        <v>0.83684463507112172</v>
      </c>
    </row>
    <row r="275" spans="1:21" ht="12.65" customHeight="1">
      <c r="A275" s="10">
        <v>33239</v>
      </c>
      <c r="B275" s="255">
        <v>62292.5</v>
      </c>
      <c r="D275" s="257">
        <f>B275/C277</f>
        <v>7.5558241585628377E-2</v>
      </c>
      <c r="E275" s="2"/>
      <c r="F275" s="258">
        <f>D275*E277</f>
        <v>70963.318240081557</v>
      </c>
      <c r="H275" s="261">
        <f t="shared" si="64"/>
        <v>158.24641784906046</v>
      </c>
      <c r="I275" s="262">
        <f t="shared" si="67"/>
        <v>206.63968014089619</v>
      </c>
      <c r="J275" s="258">
        <f t="shared" si="68"/>
        <v>0</v>
      </c>
      <c r="K275" s="261">
        <f>(K$346-K$274)/(M$345+1)+K274</f>
        <v>206.57670037889125</v>
      </c>
      <c r="L275" s="261">
        <v>1</v>
      </c>
      <c r="M275" s="261">
        <f t="shared" si="63"/>
        <v>1</v>
      </c>
      <c r="N275" s="263">
        <v>181.08128861175601</v>
      </c>
      <c r="O275" s="264">
        <v>81.900000000000006</v>
      </c>
      <c r="P275" s="263">
        <f t="shared" si="62"/>
        <v>214.9930729713339</v>
      </c>
      <c r="Q275" s="265">
        <f t="shared" si="61"/>
        <v>0.8422656884201124</v>
      </c>
      <c r="R275" s="256">
        <v>-18</v>
      </c>
      <c r="S275" s="266">
        <v>0.83442799999999995</v>
      </c>
    </row>
    <row r="276" spans="1:21" ht="12.65" customHeight="1">
      <c r="A276" s="10">
        <v>33270</v>
      </c>
      <c r="B276" s="255">
        <v>64141.91</v>
      </c>
      <c r="D276" s="257">
        <f>B276/C277</f>
        <v>7.7801499884314049E-2</v>
      </c>
      <c r="E276" s="2"/>
      <c r="F276" s="258">
        <f>D276*E277</f>
        <v>73070.157271849253</v>
      </c>
      <c r="H276" s="261">
        <f t="shared" si="64"/>
        <v>162.94461598903288</v>
      </c>
      <c r="I276" s="262">
        <f t="shared" si="67"/>
        <v>206.63968014089619</v>
      </c>
      <c r="J276" s="258">
        <f t="shared" si="68"/>
        <v>0</v>
      </c>
      <c r="K276" s="261">
        <f t="shared" ref="K276:K339" si="70">(K$346-K$274)/(M$345+1)+K275</f>
        <v>206.5137206168863</v>
      </c>
      <c r="L276" s="261">
        <v>1</v>
      </c>
      <c r="M276" s="261">
        <f t="shared" si="63"/>
        <v>2</v>
      </c>
      <c r="N276" s="263">
        <v>172.780205416391</v>
      </c>
      <c r="O276" s="264">
        <v>82.6</v>
      </c>
      <c r="P276" s="263">
        <f t="shared" si="62"/>
        <v>205.31721169218918</v>
      </c>
      <c r="Q276" s="265">
        <f t="shared" si="61"/>
        <v>0.84152811151274765</v>
      </c>
      <c r="R276" s="256">
        <v>-18</v>
      </c>
      <c r="S276" s="266">
        <v>0.83442799999999995</v>
      </c>
    </row>
    <row r="277" spans="1:21" ht="12.65" customHeight="1">
      <c r="A277" s="10">
        <v>33298</v>
      </c>
      <c r="B277" s="255">
        <v>69488.710000000006</v>
      </c>
      <c r="C277" s="259">
        <f t="shared" ref="C277" si="71">SUM(B266:B277)</f>
        <v>824430.25</v>
      </c>
      <c r="D277" s="257">
        <f>B277/C277</f>
        <v>8.4286948471383724E-2</v>
      </c>
      <c r="E277" s="260">
        <v>939187</v>
      </c>
      <c r="F277" s="258">
        <f>D277*E277</f>
        <v>79161.206273993463</v>
      </c>
      <c r="H277" s="261">
        <f t="shared" si="64"/>
        <v>176.52750232294716</v>
      </c>
      <c r="I277" s="262">
        <f t="shared" si="67"/>
        <v>206.63968014089619</v>
      </c>
      <c r="J277" s="258">
        <f t="shared" si="68"/>
        <v>0</v>
      </c>
      <c r="K277" s="261">
        <f t="shared" si="70"/>
        <v>206.45074085488136</v>
      </c>
      <c r="L277" s="261">
        <v>1</v>
      </c>
      <c r="M277" s="261">
        <f t="shared" si="63"/>
        <v>3</v>
      </c>
      <c r="N277" s="263">
        <v>173.19773442139899</v>
      </c>
      <c r="O277" s="264">
        <v>83</v>
      </c>
      <c r="P277" s="263">
        <f t="shared" si="62"/>
        <v>205.60478879525147</v>
      </c>
      <c r="Q277" s="265">
        <f t="shared" si="61"/>
        <v>0.84238181141722057</v>
      </c>
      <c r="R277" s="256">
        <v>-18</v>
      </c>
      <c r="S277" s="266">
        <v>0.83442799999999995</v>
      </c>
    </row>
    <row r="278" spans="1:21" ht="12.65" customHeight="1">
      <c r="A278" s="10">
        <v>33329</v>
      </c>
      <c r="B278" s="255">
        <v>63690.67</v>
      </c>
      <c r="D278" s="257">
        <f>B278/C289</f>
        <v>7.2616060284856496E-2</v>
      </c>
      <c r="E278" s="2"/>
      <c r="F278" s="258">
        <f>D278*E289</f>
        <v>67366.282206562799</v>
      </c>
      <c r="H278" s="261">
        <f t="shared" si="64"/>
        <v>150.22511781271535</v>
      </c>
      <c r="I278" s="262">
        <f t="shared" si="67"/>
        <v>206.63968014089619</v>
      </c>
      <c r="J278" s="258">
        <f t="shared" si="68"/>
        <v>0</v>
      </c>
      <c r="K278" s="261">
        <f t="shared" si="70"/>
        <v>206.38776109287642</v>
      </c>
      <c r="L278" s="261">
        <v>1</v>
      </c>
      <c r="M278" s="261">
        <f t="shared" si="63"/>
        <v>4</v>
      </c>
      <c r="N278" s="263">
        <v>171.136785781431</v>
      </c>
      <c r="O278" s="264">
        <v>85.2</v>
      </c>
      <c r="P278" s="263">
        <f t="shared" si="62"/>
        <v>202.27556154535245</v>
      </c>
      <c r="Q278" s="265">
        <f t="shared" si="61"/>
        <v>0.84605764766625169</v>
      </c>
      <c r="R278" s="256">
        <v>-12</v>
      </c>
      <c r="S278" s="266">
        <v>0.83442799999999995</v>
      </c>
    </row>
    <row r="279" spans="1:21" ht="12.65" customHeight="1">
      <c r="A279" s="10">
        <v>33359</v>
      </c>
      <c r="B279" s="255">
        <v>64776.55</v>
      </c>
      <c r="D279" s="257">
        <f>B279/C289</f>
        <v>7.3854111753652793E-2</v>
      </c>
      <c r="E279" s="2"/>
      <c r="F279" s="258">
        <f>D279*E289</f>
        <v>68514.82874442247</v>
      </c>
      <c r="H279" s="261">
        <f t="shared" si="64"/>
        <v>152.78634775315203</v>
      </c>
      <c r="I279" s="262">
        <f t="shared" si="67"/>
        <v>206.63968014089619</v>
      </c>
      <c r="J279" s="258">
        <f t="shared" si="68"/>
        <v>0</v>
      </c>
      <c r="K279" s="261">
        <f t="shared" si="70"/>
        <v>206.32478133087147</v>
      </c>
      <c r="L279" s="261">
        <v>1</v>
      </c>
      <c r="M279" s="261">
        <f t="shared" si="63"/>
        <v>5</v>
      </c>
      <c r="N279" s="263">
        <v>173.30753719320199</v>
      </c>
      <c r="O279" s="264">
        <v>82.9</v>
      </c>
      <c r="P279" s="263">
        <f t="shared" si="62"/>
        <v>205.77428883946391</v>
      </c>
      <c r="Q279" s="265">
        <f t="shared" si="61"/>
        <v>0.84222153394688171</v>
      </c>
      <c r="R279" s="256">
        <v>-12</v>
      </c>
      <c r="S279" s="266">
        <v>0.83442799999999995</v>
      </c>
    </row>
    <row r="280" spans="1:21" ht="12.65" customHeight="1">
      <c r="A280" s="10">
        <v>33390</v>
      </c>
      <c r="B280" s="255">
        <v>66019.63</v>
      </c>
      <c r="D280" s="257">
        <f>B280/C289</f>
        <v>7.5271392686933905E-2</v>
      </c>
      <c r="E280" s="2"/>
      <c r="F280" s="258">
        <f>D280*E289</f>
        <v>69829.647352632019</v>
      </c>
      <c r="H280" s="261">
        <f t="shared" si="64"/>
        <v>155.71836023552393</v>
      </c>
      <c r="I280" s="262">
        <f t="shared" si="67"/>
        <v>206.63968014089619</v>
      </c>
      <c r="J280" s="258">
        <f t="shared" si="68"/>
        <v>0</v>
      </c>
      <c r="K280" s="261">
        <f t="shared" si="70"/>
        <v>206.26180156886653</v>
      </c>
      <c r="L280" s="261">
        <v>1</v>
      </c>
      <c r="M280" s="261">
        <f t="shared" si="63"/>
        <v>6</v>
      </c>
      <c r="N280" s="263">
        <v>172.97665138903</v>
      </c>
      <c r="O280" s="264">
        <v>82</v>
      </c>
      <c r="P280" s="263">
        <f t="shared" si="62"/>
        <v>205.81310338966139</v>
      </c>
      <c r="Q280" s="265">
        <f t="shared" si="61"/>
        <v>0.84045499795772061</v>
      </c>
      <c r="R280" s="256">
        <v>-12</v>
      </c>
      <c r="S280" s="266">
        <v>0.83442799999999995</v>
      </c>
    </row>
    <row r="281" spans="1:21" ht="12.65" customHeight="1">
      <c r="A281" s="10">
        <v>33420</v>
      </c>
      <c r="B281" s="255">
        <v>69756.679999999993</v>
      </c>
      <c r="D281" s="257">
        <f>B281/C289</f>
        <v>7.9532139953174347E-2</v>
      </c>
      <c r="E281" s="2"/>
      <c r="F281" s="258">
        <f>D281*E289</f>
        <v>73782.363895259608</v>
      </c>
      <c r="H281" s="261">
        <f t="shared" si="64"/>
        <v>164.53281887635791</v>
      </c>
      <c r="I281" s="262">
        <f t="shared" si="67"/>
        <v>206.63968014089619</v>
      </c>
      <c r="J281" s="258">
        <f t="shared" si="68"/>
        <v>0</v>
      </c>
      <c r="K281" s="261">
        <f t="shared" si="70"/>
        <v>206.19882180686159</v>
      </c>
      <c r="L281" s="261">
        <v>1</v>
      </c>
      <c r="M281" s="261">
        <f t="shared" si="63"/>
        <v>7</v>
      </c>
      <c r="N281" s="263">
        <v>171.858208175051</v>
      </c>
      <c r="O281" s="264">
        <v>80.7</v>
      </c>
      <c r="P281" s="263">
        <f t="shared" si="62"/>
        <v>205.14730535095839</v>
      </c>
      <c r="Q281" s="265">
        <f t="shared" si="61"/>
        <v>0.83773076073820407</v>
      </c>
      <c r="R281" s="256">
        <v>-11</v>
      </c>
      <c r="S281" s="266">
        <v>0.83442799999999995</v>
      </c>
    </row>
    <row r="282" spans="1:21" ht="12.65" customHeight="1">
      <c r="A282" s="10">
        <v>33451</v>
      </c>
      <c r="B282" s="255">
        <v>74247.039999999994</v>
      </c>
      <c r="D282" s="257">
        <f>B282/C289</f>
        <v>8.4651763478263795E-2</v>
      </c>
      <c r="E282" s="2"/>
      <c r="F282" s="258">
        <f>D282*E289</f>
        <v>78531.864237602713</v>
      </c>
      <c r="H282" s="261">
        <f t="shared" si="64"/>
        <v>175.12408538401917</v>
      </c>
      <c r="I282" s="262">
        <f t="shared" si="67"/>
        <v>206.63968014089619</v>
      </c>
      <c r="J282" s="258">
        <f t="shared" si="68"/>
        <v>0</v>
      </c>
      <c r="K282" s="261">
        <f t="shared" si="70"/>
        <v>206.13584204485664</v>
      </c>
      <c r="L282" s="261">
        <v>1</v>
      </c>
      <c r="M282" s="261">
        <f t="shared" si="63"/>
        <v>8</v>
      </c>
      <c r="N282" s="263">
        <v>171.79801400914599</v>
      </c>
      <c r="O282" s="264">
        <v>81.599999999999994</v>
      </c>
      <c r="P282" s="263">
        <f t="shared" si="62"/>
        <v>204.66772943431602</v>
      </c>
      <c r="Q282" s="265">
        <f t="shared" si="61"/>
        <v>0.83939961851328937</v>
      </c>
      <c r="R282" s="256">
        <v>-11</v>
      </c>
      <c r="S282" s="266">
        <v>0.83442799999999995</v>
      </c>
    </row>
    <row r="283" spans="1:21" ht="12.65" customHeight="1">
      <c r="A283" s="10">
        <v>33482</v>
      </c>
      <c r="B283" s="255">
        <v>77685.37</v>
      </c>
      <c r="D283" s="257">
        <f>B283/C289</f>
        <v>8.8571929156521387E-2</v>
      </c>
      <c r="E283" s="2"/>
      <c r="F283" s="258">
        <f>D283*E289</f>
        <v>82168.621538150677</v>
      </c>
      <c r="H283" s="261">
        <f t="shared" si="64"/>
        <v>183.23396284847345</v>
      </c>
      <c r="I283" s="262">
        <f t="shared" si="67"/>
        <v>206.63968014089619</v>
      </c>
      <c r="J283" s="258">
        <f t="shared" si="68"/>
        <v>0</v>
      </c>
      <c r="K283" s="261">
        <f t="shared" si="70"/>
        <v>206.0728622828517</v>
      </c>
      <c r="L283" s="261">
        <v>1</v>
      </c>
      <c r="M283" s="261">
        <f t="shared" si="63"/>
        <v>9</v>
      </c>
      <c r="N283" s="263">
        <v>170.867018175819</v>
      </c>
      <c r="O283" s="264">
        <v>80.2</v>
      </c>
      <c r="P283" s="263">
        <f t="shared" si="62"/>
        <v>204.25893974122636</v>
      </c>
      <c r="Q283" s="265">
        <f t="shared" si="61"/>
        <v>0.83652161512386558</v>
      </c>
      <c r="R283" s="256">
        <v>-11</v>
      </c>
      <c r="S283" s="266">
        <v>0.83442799999999995</v>
      </c>
    </row>
    <row r="284" spans="1:21" ht="12.65" customHeight="1">
      <c r="A284" s="10">
        <v>33512</v>
      </c>
      <c r="B284" s="255">
        <v>81849.95</v>
      </c>
      <c r="D284" s="257">
        <f>B284/C289</f>
        <v>9.3320118998787269E-2</v>
      </c>
      <c r="E284" s="2"/>
      <c r="F284" s="258">
        <f>D284*E289</f>
        <v>86573.540995769945</v>
      </c>
      <c r="H284" s="261">
        <f t="shared" si="64"/>
        <v>193.05682263532259</v>
      </c>
      <c r="I284" s="262">
        <f t="shared" si="67"/>
        <v>206.63968014089619</v>
      </c>
      <c r="J284" s="258">
        <f t="shared" si="68"/>
        <v>0</v>
      </c>
      <c r="K284" s="261">
        <f t="shared" si="70"/>
        <v>206.00988252084676</v>
      </c>
      <c r="L284" s="261">
        <v>1</v>
      </c>
      <c r="M284" s="261">
        <f t="shared" si="63"/>
        <v>10</v>
      </c>
      <c r="N284" s="263">
        <v>170.99195358701201</v>
      </c>
      <c r="O284" s="264">
        <v>80.8</v>
      </c>
      <c r="P284" s="263">
        <f t="shared" si="62"/>
        <v>204.12525656560678</v>
      </c>
      <c r="Q284" s="265">
        <f t="shared" si="61"/>
        <v>0.83768151214572717</v>
      </c>
      <c r="R284" s="256">
        <v>-11</v>
      </c>
      <c r="S284" s="266">
        <v>0.83442799999999995</v>
      </c>
    </row>
    <row r="285" spans="1:21" ht="12.65" customHeight="1">
      <c r="A285" s="10">
        <v>33543</v>
      </c>
      <c r="B285" s="255">
        <v>83164.52</v>
      </c>
      <c r="D285" s="257">
        <f>B285/C289</f>
        <v>9.4818908293493445E-2</v>
      </c>
      <c r="E285" s="2"/>
      <c r="F285" s="258">
        <f>D285*E289</f>
        <v>87963.975318415338</v>
      </c>
      <c r="H285" s="261">
        <f t="shared" si="64"/>
        <v>196.15745626224253</v>
      </c>
      <c r="I285" s="262">
        <f t="shared" si="67"/>
        <v>206.63968014089619</v>
      </c>
      <c r="J285" s="258">
        <f t="shared" si="68"/>
        <v>0</v>
      </c>
      <c r="K285" s="261">
        <f t="shared" si="70"/>
        <v>205.94690275884182</v>
      </c>
      <c r="L285" s="261">
        <v>1</v>
      </c>
      <c r="M285" s="261">
        <f t="shared" si="63"/>
        <v>11</v>
      </c>
      <c r="N285" s="263">
        <v>172.547619909437</v>
      </c>
      <c r="O285" s="264">
        <v>80.900000000000006</v>
      </c>
      <c r="P285" s="263">
        <f t="shared" si="62"/>
        <v>205.83280083434946</v>
      </c>
      <c r="Q285" s="265">
        <f t="shared" si="61"/>
        <v>0.83829020063862525</v>
      </c>
      <c r="R285" s="256">
        <v>-11</v>
      </c>
      <c r="S285" s="266">
        <v>0.83442799999999995</v>
      </c>
    </row>
    <row r="286" spans="1:21" ht="12.65" customHeight="1">
      <c r="A286" s="10">
        <v>33573</v>
      </c>
      <c r="B286" s="255">
        <v>86746.15</v>
      </c>
      <c r="D286" s="257">
        <f>B286/C289</f>
        <v>9.8902455538294756E-2</v>
      </c>
      <c r="E286" s="2"/>
      <c r="F286" s="258">
        <f>D286*E289</f>
        <v>91752.302515153744</v>
      </c>
      <c r="H286" s="261">
        <f t="shared" si="64"/>
        <v>204.60533078941512</v>
      </c>
      <c r="I286" s="262">
        <f t="shared" si="67"/>
        <v>206.63968014089619</v>
      </c>
      <c r="J286" s="258">
        <f t="shared" si="68"/>
        <v>0</v>
      </c>
      <c r="K286" s="261">
        <f t="shared" si="70"/>
        <v>205.88392299683687</v>
      </c>
      <c r="L286" s="261">
        <v>1</v>
      </c>
      <c r="M286" s="261">
        <f t="shared" si="63"/>
        <v>12</v>
      </c>
      <c r="N286" s="263">
        <v>173.360130858068</v>
      </c>
      <c r="O286" s="264">
        <v>79</v>
      </c>
      <c r="P286" s="263">
        <f t="shared" si="62"/>
        <v>207.61774838085671</v>
      </c>
      <c r="Q286" s="265">
        <f t="shared" si="61"/>
        <v>0.83499668120884307</v>
      </c>
      <c r="R286" s="256">
        <v>-11</v>
      </c>
      <c r="S286" s="266">
        <v>0.83442799999999995</v>
      </c>
      <c r="T286" s="257">
        <f t="shared" ref="T286" si="72">AVERAGE(Q275:Q286)</f>
        <v>0.83996084827412398</v>
      </c>
      <c r="U286" s="257">
        <f>AVERAGE(S275:S286)</f>
        <v>0.83442799999999995</v>
      </c>
    </row>
    <row r="287" spans="1:21" ht="12.65" customHeight="1">
      <c r="A287" s="10">
        <v>33604</v>
      </c>
      <c r="B287" s="255">
        <v>66352.240000000005</v>
      </c>
      <c r="D287" s="257">
        <f>B287/C289</f>
        <v>7.5650613502342923E-2</v>
      </c>
      <c r="E287" s="2"/>
      <c r="F287" s="258">
        <f>D287*E289</f>
        <v>70181.452399191039</v>
      </c>
      <c r="H287" s="261">
        <f t="shared" si="64"/>
        <v>156.50287665583616</v>
      </c>
      <c r="I287" s="262">
        <f t="shared" si="67"/>
        <v>204.60533078941512</v>
      </c>
      <c r="J287" s="258">
        <f t="shared" si="68"/>
        <v>0</v>
      </c>
      <c r="K287" s="261">
        <f t="shared" si="70"/>
        <v>205.82094323483193</v>
      </c>
      <c r="L287" s="261">
        <v>1</v>
      </c>
      <c r="M287" s="261">
        <f t="shared" si="63"/>
        <v>13</v>
      </c>
      <c r="N287" s="263">
        <v>176.311872074885</v>
      </c>
      <c r="O287" s="264">
        <v>79.099999999999994</v>
      </c>
      <c r="P287" s="263">
        <f t="shared" si="62"/>
        <v>210.89871989004459</v>
      </c>
      <c r="Q287" s="265">
        <f t="shared" si="61"/>
        <v>0.83600257112422494</v>
      </c>
      <c r="R287" s="256">
        <v>-10</v>
      </c>
      <c r="S287" s="266">
        <v>0.83442799999999995</v>
      </c>
    </row>
    <row r="288" spans="1:21" ht="12.65" customHeight="1">
      <c r="A288" s="10">
        <v>33635</v>
      </c>
      <c r="B288" s="255">
        <v>69408.47</v>
      </c>
      <c r="D288" s="257">
        <f>B288/C289</f>
        <v>7.9135133007701974E-2</v>
      </c>
      <c r="E288" s="2"/>
      <c r="F288" s="258">
        <f>D288*E289</f>
        <v>73414.058566910157</v>
      </c>
      <c r="H288" s="261">
        <f t="shared" si="64"/>
        <v>163.71150724196053</v>
      </c>
      <c r="I288" s="262">
        <f t="shared" si="67"/>
        <v>204.60533078941512</v>
      </c>
      <c r="J288" s="258">
        <f t="shared" si="68"/>
        <v>0</v>
      </c>
      <c r="K288" s="261">
        <f t="shared" si="70"/>
        <v>205.75796347282699</v>
      </c>
      <c r="L288" s="261">
        <v>1</v>
      </c>
      <c r="M288" s="261">
        <f t="shared" si="63"/>
        <v>14</v>
      </c>
      <c r="N288" s="263">
        <v>174.84326639592001</v>
      </c>
      <c r="O288" s="264">
        <v>78.2</v>
      </c>
      <c r="P288" s="263">
        <f t="shared" si="62"/>
        <v>209.65528271421644</v>
      </c>
      <c r="Q288" s="265">
        <f t="shared" si="61"/>
        <v>0.83395593057509987</v>
      </c>
      <c r="R288" s="256">
        <v>-10</v>
      </c>
      <c r="S288" s="266">
        <v>0.83442799999999995</v>
      </c>
    </row>
    <row r="289" spans="1:21" ht="12.65" customHeight="1">
      <c r="A289" s="10">
        <v>33664</v>
      </c>
      <c r="B289" s="255">
        <v>73390.66</v>
      </c>
      <c r="C289" s="259">
        <f t="shared" ref="C289" si="73">SUM(B278:B289)</f>
        <v>877087.93</v>
      </c>
      <c r="D289" s="257">
        <f>B289/C289</f>
        <v>8.3675373345976842E-2</v>
      </c>
      <c r="E289" s="260">
        <v>927705</v>
      </c>
      <c r="F289" s="258">
        <f>D289*E289</f>
        <v>77626.062229929448</v>
      </c>
      <c r="H289" s="261">
        <f t="shared" si="64"/>
        <v>173.10416965079716</v>
      </c>
      <c r="I289" s="262">
        <f t="shared" si="67"/>
        <v>204.60533078941512</v>
      </c>
      <c r="J289" s="258">
        <f t="shared" si="68"/>
        <v>0</v>
      </c>
      <c r="K289" s="261">
        <f t="shared" si="70"/>
        <v>205.69498371082204</v>
      </c>
      <c r="L289" s="261">
        <v>1</v>
      </c>
      <c r="M289" s="261">
        <f t="shared" si="63"/>
        <v>15</v>
      </c>
      <c r="N289" s="263">
        <v>170.76495592966401</v>
      </c>
      <c r="O289" s="264">
        <v>75.7</v>
      </c>
      <c r="P289" s="263">
        <f t="shared" si="62"/>
        <v>206.20258637273733</v>
      </c>
      <c r="Q289" s="265">
        <f t="shared" si="61"/>
        <v>0.82814167820855888</v>
      </c>
      <c r="R289" s="256">
        <v>-10</v>
      </c>
      <c r="S289" s="266">
        <v>0.83442799999999995</v>
      </c>
    </row>
    <row r="290" spans="1:21" ht="12.65" customHeight="1">
      <c r="A290" s="10">
        <v>33695</v>
      </c>
      <c r="B290" s="255">
        <v>66503.5</v>
      </c>
      <c r="D290" s="257">
        <f>B290/C301</f>
        <v>7.7910721097941171E-2</v>
      </c>
      <c r="E290" s="2"/>
      <c r="F290" s="258">
        <f>D290*E301</f>
        <v>72706.986125088588</v>
      </c>
      <c r="H290" s="261">
        <f t="shared" si="64"/>
        <v>162.13475345066371</v>
      </c>
      <c r="I290" s="262">
        <f t="shared" si="67"/>
        <v>204.60533078941512</v>
      </c>
      <c r="J290" s="258">
        <f t="shared" si="68"/>
        <v>0</v>
      </c>
      <c r="K290" s="261">
        <f t="shared" si="70"/>
        <v>205.6320039488171</v>
      </c>
      <c r="L290" s="261">
        <v>1</v>
      </c>
      <c r="M290" s="261">
        <f t="shared" si="63"/>
        <v>16</v>
      </c>
      <c r="N290" s="263">
        <v>182.14116929366</v>
      </c>
      <c r="O290" s="264">
        <v>77.2</v>
      </c>
      <c r="P290" s="263">
        <f t="shared" si="62"/>
        <v>218.33776823633283</v>
      </c>
      <c r="Q290" s="265">
        <f t="shared" si="61"/>
        <v>0.83421741810838257</v>
      </c>
      <c r="R290" s="256">
        <v>-7</v>
      </c>
      <c r="S290" s="266">
        <v>0.83442799999999995</v>
      </c>
    </row>
    <row r="291" spans="1:21" ht="12.65" customHeight="1">
      <c r="A291" s="10">
        <v>33725</v>
      </c>
      <c r="B291" s="255">
        <v>64310.51</v>
      </c>
      <c r="D291" s="257">
        <f>B291/C301</f>
        <v>7.5341571620686984E-2</v>
      </c>
      <c r="E291" s="2"/>
      <c r="F291" s="258">
        <f>D291*E301</f>
        <v>70309.432710569687</v>
      </c>
      <c r="H291" s="261">
        <f t="shared" si="64"/>
        <v>156.7882695367378</v>
      </c>
      <c r="I291" s="262">
        <f t="shared" si="67"/>
        <v>204.60533078941512</v>
      </c>
      <c r="J291" s="258">
        <f t="shared" si="68"/>
        <v>0</v>
      </c>
      <c r="K291" s="261">
        <f t="shared" si="70"/>
        <v>205.56902418681216</v>
      </c>
      <c r="L291" s="261">
        <v>1</v>
      </c>
      <c r="M291" s="261">
        <f t="shared" si="63"/>
        <v>17</v>
      </c>
      <c r="N291" s="263">
        <v>177.53566764668199</v>
      </c>
      <c r="O291" s="264">
        <v>75.900000000000006</v>
      </c>
      <c r="P291" s="263">
        <f t="shared" si="62"/>
        <v>213.74192837140373</v>
      </c>
      <c r="Q291" s="265">
        <f t="shared" si="61"/>
        <v>0.83060758831646375</v>
      </c>
      <c r="R291" s="256">
        <v>-7</v>
      </c>
      <c r="S291" s="266">
        <v>0.83442799999999995</v>
      </c>
    </row>
    <row r="292" spans="1:21" ht="12.65" customHeight="1">
      <c r="A292" s="10">
        <v>33756</v>
      </c>
      <c r="B292" s="255">
        <v>65010.07</v>
      </c>
      <c r="D292" s="257">
        <f>B292/C301</f>
        <v>7.6161125840408891E-2</v>
      </c>
      <c r="E292" s="2"/>
      <c r="F292" s="258">
        <f>D292*E301</f>
        <v>71074.248084402148</v>
      </c>
      <c r="H292" s="261">
        <f t="shared" si="64"/>
        <v>158.49378861654483</v>
      </c>
      <c r="I292" s="262">
        <f t="shared" si="67"/>
        <v>204.60533078941512</v>
      </c>
      <c r="J292" s="258">
        <f t="shared" si="68"/>
        <v>0</v>
      </c>
      <c r="K292" s="261">
        <f t="shared" si="70"/>
        <v>205.50604442480721</v>
      </c>
      <c r="L292" s="261">
        <v>1</v>
      </c>
      <c r="M292" s="261">
        <f t="shared" si="63"/>
        <v>18</v>
      </c>
      <c r="N292" s="263">
        <v>176.18265825579499</v>
      </c>
      <c r="O292" s="264">
        <v>77.099999999999994</v>
      </c>
      <c r="P292" s="263">
        <f t="shared" si="62"/>
        <v>211.66805765505831</v>
      </c>
      <c r="Q292" s="265">
        <f t="shared" si="61"/>
        <v>0.8323535454882306</v>
      </c>
      <c r="R292" s="256">
        <v>-7</v>
      </c>
      <c r="S292" s="266">
        <v>0.83442799999999995</v>
      </c>
    </row>
    <row r="293" spans="1:21" ht="12.65" customHeight="1">
      <c r="A293" s="10">
        <v>33786</v>
      </c>
      <c r="B293" s="255">
        <v>68669.45</v>
      </c>
      <c r="D293" s="257">
        <f>B293/C301</f>
        <v>8.0448192454517675E-2</v>
      </c>
      <c r="E293" s="2"/>
      <c r="F293" s="258">
        <f>D293*E301</f>
        <v>75074.977232287987</v>
      </c>
      <c r="H293" s="261">
        <f t="shared" si="64"/>
        <v>167.41531416155058</v>
      </c>
      <c r="I293" s="262">
        <f t="shared" si="67"/>
        <v>204.60533078941512</v>
      </c>
      <c r="J293" s="258">
        <f t="shared" si="68"/>
        <v>0</v>
      </c>
      <c r="K293" s="261">
        <f t="shared" si="70"/>
        <v>205.44306466280227</v>
      </c>
      <c r="L293" s="261">
        <v>1</v>
      </c>
      <c r="M293" s="261">
        <f t="shared" si="63"/>
        <v>19</v>
      </c>
      <c r="N293" s="263">
        <v>175.11086210755201</v>
      </c>
      <c r="O293" s="264">
        <v>77.5</v>
      </c>
      <c r="P293" s="263">
        <f t="shared" si="62"/>
        <v>210.27711108047376</v>
      </c>
      <c r="Q293" s="265">
        <f t="shared" si="61"/>
        <v>0.83276235443683877</v>
      </c>
      <c r="R293" s="256">
        <v>-3</v>
      </c>
      <c r="S293" s="266">
        <v>0.83442799999999995</v>
      </c>
    </row>
    <row r="294" spans="1:21" ht="12.65" customHeight="1">
      <c r="A294" s="10">
        <v>33817</v>
      </c>
      <c r="B294" s="255">
        <v>72579.850000000006</v>
      </c>
      <c r="D294" s="257">
        <f>B294/C301</f>
        <v>8.5029336060213456E-2</v>
      </c>
      <c r="E294" s="2"/>
      <c r="F294" s="258">
        <f>D294*E301</f>
        <v>79350.14167541574</v>
      </c>
      <c r="H294" s="261">
        <f t="shared" si="64"/>
        <v>176.94882352411759</v>
      </c>
      <c r="I294" s="262">
        <f t="shared" si="67"/>
        <v>204.60533078941512</v>
      </c>
      <c r="J294" s="258">
        <f t="shared" si="68"/>
        <v>0</v>
      </c>
      <c r="K294" s="261">
        <f t="shared" si="70"/>
        <v>205.38008490079733</v>
      </c>
      <c r="L294" s="261">
        <v>1</v>
      </c>
      <c r="M294" s="261">
        <f t="shared" si="63"/>
        <v>20</v>
      </c>
      <c r="N294" s="263">
        <v>174.157122869288</v>
      </c>
      <c r="O294" s="264">
        <v>76</v>
      </c>
      <c r="P294" s="263">
        <f t="shared" si="62"/>
        <v>209.88843706408352</v>
      </c>
      <c r="Q294" s="265">
        <f t="shared" si="61"/>
        <v>0.82976044466953669</v>
      </c>
      <c r="R294" s="256">
        <v>-3</v>
      </c>
      <c r="S294" s="266">
        <v>0.83442799999999995</v>
      </c>
    </row>
    <row r="295" spans="1:21" ht="12.65" customHeight="1">
      <c r="A295" s="10">
        <v>33848</v>
      </c>
      <c r="B295" s="255">
        <v>75558.460000000006</v>
      </c>
      <c r="D295" s="257">
        <f>B295/C301</f>
        <v>8.8518861468192572E-2</v>
      </c>
      <c r="E295" s="2"/>
      <c r="F295" s="258">
        <f>D295*E301</f>
        <v>82606.598191870522</v>
      </c>
      <c r="H295" s="261">
        <f t="shared" si="64"/>
        <v>184.21063978906128</v>
      </c>
      <c r="I295" s="262">
        <f t="shared" si="67"/>
        <v>204.60533078941512</v>
      </c>
      <c r="J295" s="258">
        <f t="shared" si="68"/>
        <v>0</v>
      </c>
      <c r="K295" s="261">
        <f t="shared" si="70"/>
        <v>205.31710513879239</v>
      </c>
      <c r="L295" s="261">
        <v>1</v>
      </c>
      <c r="M295" s="261">
        <f t="shared" si="63"/>
        <v>21</v>
      </c>
      <c r="N295" s="263">
        <v>172.453013966615</v>
      </c>
      <c r="O295" s="264">
        <v>76</v>
      </c>
      <c r="P295" s="263">
        <f t="shared" si="62"/>
        <v>207.96784428004196</v>
      </c>
      <c r="Q295" s="265">
        <f t="shared" si="61"/>
        <v>0.82922922321777792</v>
      </c>
      <c r="R295" s="256">
        <v>-3</v>
      </c>
      <c r="S295" s="266">
        <v>0.83442799999999995</v>
      </c>
    </row>
    <row r="296" spans="1:21" ht="12.65" customHeight="1">
      <c r="A296" s="10">
        <v>33878</v>
      </c>
      <c r="B296" s="255">
        <v>79090.38</v>
      </c>
      <c r="D296" s="257">
        <f>B296/C301</f>
        <v>9.2656605106651302E-2</v>
      </c>
      <c r="E296" s="2"/>
      <c r="F296" s="258">
        <f>D296*E301</f>
        <v>86467.977794972961</v>
      </c>
      <c r="H296" s="261">
        <f t="shared" si="64"/>
        <v>192.82141934814416</v>
      </c>
      <c r="I296" s="262">
        <f t="shared" si="67"/>
        <v>204.60533078941512</v>
      </c>
      <c r="J296" s="258">
        <f t="shared" si="68"/>
        <v>0</v>
      </c>
      <c r="K296" s="261">
        <f t="shared" si="70"/>
        <v>205.25412537678744</v>
      </c>
      <c r="L296" s="261">
        <v>1</v>
      </c>
      <c r="M296" s="261">
        <f t="shared" si="63"/>
        <v>22</v>
      </c>
      <c r="N296" s="263">
        <v>171.43599432012201</v>
      </c>
      <c r="O296" s="264">
        <v>73.8</v>
      </c>
      <c r="P296" s="263">
        <f t="shared" si="62"/>
        <v>207.82808919482542</v>
      </c>
      <c r="Q296" s="265">
        <f t="shared" si="61"/>
        <v>0.82489328071246337</v>
      </c>
      <c r="R296" s="256">
        <v>-1</v>
      </c>
      <c r="S296" s="266">
        <v>0.83442799999999995</v>
      </c>
    </row>
    <row r="297" spans="1:21" ht="12.65" customHeight="1">
      <c r="A297" s="10">
        <v>33909</v>
      </c>
      <c r="B297" s="255">
        <v>79191.360000000001</v>
      </c>
      <c r="D297" s="257">
        <f>B297/C301</f>
        <v>9.2774906017377354E-2</v>
      </c>
      <c r="E297" s="2"/>
      <c r="F297" s="258">
        <f>D297*E301</f>
        <v>86578.377269570701</v>
      </c>
      <c r="H297" s="261">
        <f t="shared" si="64"/>
        <v>193.0676074044637</v>
      </c>
      <c r="I297" s="262">
        <f t="shared" si="67"/>
        <v>204.60533078941512</v>
      </c>
      <c r="J297" s="258">
        <f t="shared" si="68"/>
        <v>0</v>
      </c>
      <c r="K297" s="261">
        <f t="shared" si="70"/>
        <v>205.1911456147825</v>
      </c>
      <c r="L297" s="261">
        <v>1</v>
      </c>
      <c r="M297" s="261">
        <f t="shared" si="63"/>
        <v>23</v>
      </c>
      <c r="N297" s="263">
        <v>170.10477891347099</v>
      </c>
      <c r="O297" s="264">
        <v>72.2</v>
      </c>
      <c r="P297" s="263">
        <f t="shared" si="62"/>
        <v>207.05973411404801</v>
      </c>
      <c r="Q297" s="265">
        <f t="shared" si="61"/>
        <v>0.82152514896874007</v>
      </c>
      <c r="R297" s="256">
        <v>-1</v>
      </c>
      <c r="S297" s="266">
        <v>0.83442799999999995</v>
      </c>
    </row>
    <row r="298" spans="1:21" ht="12.65" customHeight="1">
      <c r="A298" s="10">
        <v>33939</v>
      </c>
      <c r="B298" s="255">
        <v>82948.23</v>
      </c>
      <c r="D298" s="257">
        <f>B298/C301</f>
        <v>9.7176184909033E-2</v>
      </c>
      <c r="E298" s="2"/>
      <c r="F298" s="258">
        <f>D298*E301</f>
        <v>90685.690342773771</v>
      </c>
      <c r="H298" s="261">
        <f t="shared" si="64"/>
        <v>202.2268124266985</v>
      </c>
      <c r="I298" s="262">
        <f t="shared" si="67"/>
        <v>204.60533078941512</v>
      </c>
      <c r="J298" s="258">
        <f t="shared" si="68"/>
        <v>0</v>
      </c>
      <c r="K298" s="261">
        <f t="shared" si="70"/>
        <v>205.12816585277756</v>
      </c>
      <c r="L298" s="261">
        <v>1</v>
      </c>
      <c r="M298" s="261">
        <f t="shared" si="63"/>
        <v>24</v>
      </c>
      <c r="N298" s="263">
        <v>170.68003859767899</v>
      </c>
      <c r="O298" s="264">
        <v>72.099999999999994</v>
      </c>
      <c r="P298" s="263">
        <f t="shared" si="62"/>
        <v>207.75382104695348</v>
      </c>
      <c r="Q298" s="265">
        <f t="shared" si="61"/>
        <v>0.82154945568536319</v>
      </c>
      <c r="R298" s="256">
        <v>-1</v>
      </c>
      <c r="S298" s="266">
        <v>0.83442799999999995</v>
      </c>
      <c r="T298" s="257">
        <f t="shared" ref="T298" si="74">AVERAGE(Q287:Q298)</f>
        <v>0.82958321995930684</v>
      </c>
      <c r="U298" s="257">
        <f t="shared" ref="U298" si="75">AVERAGE(S287:S298)</f>
        <v>0.83442799999999995</v>
      </c>
    </row>
    <row r="299" spans="1:21" ht="12.65" customHeight="1">
      <c r="A299" s="10">
        <v>33970</v>
      </c>
      <c r="B299" s="255">
        <v>64408.82</v>
      </c>
      <c r="D299" s="257">
        <f>B299/C301</f>
        <v>7.5456744551301733E-2</v>
      </c>
      <c r="E299" s="2"/>
      <c r="F299" s="258">
        <f>D299*E301</f>
        <v>70416.913125975741</v>
      </c>
      <c r="H299" s="261">
        <f t="shared" si="64"/>
        <v>157.02794816435491</v>
      </c>
      <c r="I299" s="262">
        <f t="shared" si="67"/>
        <v>202.2268124266985</v>
      </c>
      <c r="J299" s="258">
        <f t="shared" si="68"/>
        <v>0</v>
      </c>
      <c r="K299" s="261">
        <f t="shared" si="70"/>
        <v>205.06518609077261</v>
      </c>
      <c r="L299" s="261">
        <v>1</v>
      </c>
      <c r="M299" s="261">
        <f t="shared" si="63"/>
        <v>25</v>
      </c>
      <c r="N299" s="263">
        <v>174.65305850493201</v>
      </c>
      <c r="O299" s="264">
        <v>73.7</v>
      </c>
      <c r="P299" s="263">
        <f t="shared" si="62"/>
        <v>211.49958599440433</v>
      </c>
      <c r="Q299" s="265">
        <f t="shared" si="61"/>
        <v>0.82578439898011347</v>
      </c>
      <c r="R299" s="256">
        <v>-1</v>
      </c>
      <c r="S299" s="266">
        <v>0.83442799999999995</v>
      </c>
    </row>
    <row r="300" spans="1:21" ht="12.65" customHeight="1">
      <c r="A300" s="10">
        <v>34001</v>
      </c>
      <c r="B300" s="255">
        <v>65538.64</v>
      </c>
      <c r="D300" s="257">
        <f>B300/C301</f>
        <v>7.6780360464913447E-2</v>
      </c>
      <c r="E300" s="2"/>
      <c r="F300" s="258">
        <f>D300*E301</f>
        <v>71652.123409101419</v>
      </c>
      <c r="H300" s="261">
        <f t="shared" si="64"/>
        <v>159.78243608068459</v>
      </c>
      <c r="I300" s="262">
        <f t="shared" si="67"/>
        <v>202.2268124266985</v>
      </c>
      <c r="J300" s="258">
        <f t="shared" si="68"/>
        <v>0</v>
      </c>
      <c r="K300" s="261">
        <f t="shared" si="70"/>
        <v>205.00220632876767</v>
      </c>
      <c r="L300" s="261">
        <v>1</v>
      </c>
      <c r="M300" s="261">
        <f t="shared" si="63"/>
        <v>26</v>
      </c>
      <c r="N300" s="263">
        <v>171.57298621297701</v>
      </c>
      <c r="O300" s="264">
        <v>71.400000000000006</v>
      </c>
      <c r="P300" s="263">
        <f t="shared" si="62"/>
        <v>209.08044377921854</v>
      </c>
      <c r="Q300" s="265">
        <f t="shared" si="61"/>
        <v>0.82060752843126705</v>
      </c>
      <c r="R300" s="256">
        <v>-1</v>
      </c>
      <c r="S300" s="266">
        <v>0.83442799999999995</v>
      </c>
    </row>
    <row r="301" spans="1:21" ht="12.65" customHeight="1">
      <c r="A301" s="10">
        <v>34029</v>
      </c>
      <c r="B301" s="255">
        <v>69776.72</v>
      </c>
      <c r="C301" s="259">
        <f t="shared" ref="C301" si="76">SUM(B290:B301)</f>
        <v>853585.99</v>
      </c>
      <c r="D301" s="257">
        <f>B301/C301</f>
        <v>8.1745390408762456E-2</v>
      </c>
      <c r="E301" s="260">
        <v>933209</v>
      </c>
      <c r="F301" s="258">
        <f>D301*E301</f>
        <v>76285.534037970807</v>
      </c>
      <c r="H301" s="261">
        <f t="shared" si="64"/>
        <v>170.11482544220974</v>
      </c>
      <c r="I301" s="262">
        <f t="shared" si="67"/>
        <v>202.2268124266985</v>
      </c>
      <c r="J301" s="258">
        <f t="shared" si="68"/>
        <v>0</v>
      </c>
      <c r="K301" s="261">
        <f t="shared" si="70"/>
        <v>204.93922656676273</v>
      </c>
      <c r="L301" s="261">
        <v>1</v>
      </c>
      <c r="M301" s="261">
        <f t="shared" si="63"/>
        <v>27</v>
      </c>
      <c r="N301" s="263">
        <v>168.77187743234401</v>
      </c>
      <c r="O301" s="264">
        <v>69.5</v>
      </c>
      <c r="P301" s="263">
        <f t="shared" si="62"/>
        <v>206.79271031020596</v>
      </c>
      <c r="Q301" s="265">
        <f t="shared" si="61"/>
        <v>0.81614036190720851</v>
      </c>
      <c r="R301" s="256">
        <v>-1</v>
      </c>
      <c r="S301" s="266">
        <v>0.83442799999999995</v>
      </c>
    </row>
    <row r="302" spans="1:21" ht="12.65" customHeight="1">
      <c r="A302" s="10">
        <v>34060</v>
      </c>
      <c r="B302" s="255">
        <v>64057.120000000003</v>
      </c>
      <c r="D302" s="257">
        <f>B302/C313</f>
        <v>7.6214470499598799E-2</v>
      </c>
      <c r="E302" s="2"/>
      <c r="F302" s="258">
        <f>D302*E313</f>
        <v>68848.34192581258</v>
      </c>
      <c r="H302" s="261">
        <f t="shared" si="64"/>
        <v>153.53007377343019</v>
      </c>
      <c r="I302" s="262">
        <f t="shared" si="67"/>
        <v>202.2268124266985</v>
      </c>
      <c r="J302" s="258">
        <f t="shared" si="68"/>
        <v>0</v>
      </c>
      <c r="K302" s="261">
        <f t="shared" si="70"/>
        <v>204.87624680475778</v>
      </c>
      <c r="L302" s="261">
        <v>1</v>
      </c>
      <c r="M302" s="261">
        <f t="shared" si="63"/>
        <v>28</v>
      </c>
      <c r="N302" s="263">
        <v>170.316095560072</v>
      </c>
      <c r="O302" s="264">
        <v>68.599999999999994</v>
      </c>
      <c r="P302" s="263">
        <f t="shared" si="62"/>
        <v>208.94483526872665</v>
      </c>
      <c r="Q302" s="265">
        <f t="shared" si="61"/>
        <v>0.81512469710498592</v>
      </c>
      <c r="R302" s="256">
        <v>1</v>
      </c>
      <c r="S302" s="266">
        <v>0.83442799999999995</v>
      </c>
    </row>
    <row r="303" spans="1:21" ht="12.65" customHeight="1">
      <c r="A303" s="10">
        <v>34090</v>
      </c>
      <c r="B303" s="255">
        <v>60464.78</v>
      </c>
      <c r="D303" s="257">
        <f>B303/C313</f>
        <v>7.1940343112127603E-2</v>
      </c>
      <c r="E303" s="2"/>
      <c r="F303" s="258">
        <f>D303*E313</f>
        <v>64987.30895034047</v>
      </c>
      <c r="H303" s="261">
        <f t="shared" si="64"/>
        <v>144.92006718525943</v>
      </c>
      <c r="I303" s="262">
        <f t="shared" si="67"/>
        <v>202.2268124266985</v>
      </c>
      <c r="J303" s="258">
        <f t="shared" si="68"/>
        <v>0</v>
      </c>
      <c r="K303" s="261">
        <f t="shared" si="70"/>
        <v>204.81326704275284</v>
      </c>
      <c r="L303" s="261">
        <v>1</v>
      </c>
      <c r="M303" s="261">
        <f t="shared" si="63"/>
        <v>29</v>
      </c>
      <c r="N303" s="263">
        <v>164.57769568768001</v>
      </c>
      <c r="O303" s="264">
        <v>71.099999999999994</v>
      </c>
      <c r="P303" s="263">
        <f t="shared" si="62"/>
        <v>201.33374160836959</v>
      </c>
      <c r="Q303" s="265">
        <f t="shared" si="61"/>
        <v>0.81743722822085774</v>
      </c>
      <c r="R303" s="256">
        <v>1</v>
      </c>
      <c r="S303" s="266">
        <v>0.83442799999999995</v>
      </c>
    </row>
    <row r="304" spans="1:21" ht="12.65" customHeight="1">
      <c r="A304" s="10">
        <v>34121</v>
      </c>
      <c r="B304" s="255">
        <v>61753.93</v>
      </c>
      <c r="D304" s="257">
        <f>B304/C313</f>
        <v>7.3474159878235065E-2</v>
      </c>
      <c r="E304" s="2"/>
      <c r="F304" s="258">
        <f>D304*E313</f>
        <v>66372.882326003644</v>
      </c>
      <c r="H304" s="261">
        <f t="shared" si="64"/>
        <v>148.00986102246313</v>
      </c>
      <c r="I304" s="262">
        <f t="shared" si="67"/>
        <v>202.2268124266985</v>
      </c>
      <c r="J304" s="258">
        <f t="shared" si="68"/>
        <v>0</v>
      </c>
      <c r="K304" s="261">
        <f t="shared" si="70"/>
        <v>204.7502872807479</v>
      </c>
      <c r="L304" s="261">
        <v>1</v>
      </c>
      <c r="M304" s="261">
        <f t="shared" si="63"/>
        <v>30</v>
      </c>
      <c r="N304" s="263">
        <v>164.993617632096</v>
      </c>
      <c r="O304" s="264">
        <v>68.2</v>
      </c>
      <c r="P304" s="263">
        <f t="shared" si="62"/>
        <v>203.12920212841914</v>
      </c>
      <c r="Q304" s="265">
        <f t="shared" si="61"/>
        <v>0.81225946788185754</v>
      </c>
      <c r="R304" s="256">
        <v>1</v>
      </c>
      <c r="S304" s="266">
        <v>0.83442799999999995</v>
      </c>
    </row>
    <row r="305" spans="1:21" ht="12.65" customHeight="1">
      <c r="A305" s="10">
        <v>34151</v>
      </c>
      <c r="B305" s="255">
        <v>66631.42</v>
      </c>
      <c r="D305" s="257">
        <f>B305/C313</f>
        <v>7.9277344874954997E-2</v>
      </c>
      <c r="E305" s="2"/>
      <c r="F305" s="258">
        <f>D305*E313</f>
        <v>71615.189492790596</v>
      </c>
      <c r="H305" s="261">
        <f t="shared" si="64"/>
        <v>159.70007437468951</v>
      </c>
      <c r="I305" s="262">
        <f t="shared" si="67"/>
        <v>202.2268124266985</v>
      </c>
      <c r="J305" s="258">
        <f t="shared" si="68"/>
        <v>0</v>
      </c>
      <c r="K305" s="261">
        <f t="shared" si="70"/>
        <v>204.68730751874295</v>
      </c>
      <c r="L305" s="261">
        <v>1</v>
      </c>
      <c r="M305" s="261">
        <f t="shared" si="63"/>
        <v>31</v>
      </c>
      <c r="N305" s="263">
        <v>167.13669018752501</v>
      </c>
      <c r="O305" s="264">
        <v>68.400000000000006</v>
      </c>
      <c r="P305" s="263">
        <f t="shared" si="62"/>
        <v>205.45302628843399</v>
      </c>
      <c r="Q305" s="265">
        <f t="shared" si="61"/>
        <v>0.81350317981144282</v>
      </c>
      <c r="R305" s="256">
        <v>4</v>
      </c>
      <c r="S305" s="266">
        <v>0.83442799999999995</v>
      </c>
    </row>
    <row r="306" spans="1:21" ht="12.65" customHeight="1">
      <c r="A306" s="10">
        <v>34182</v>
      </c>
      <c r="B306" s="255">
        <v>71143.34</v>
      </c>
      <c r="D306" s="257">
        <f>B306/C313</f>
        <v>8.4645578628463572E-2</v>
      </c>
      <c r="E306" s="2"/>
      <c r="F306" s="258">
        <f>D306*E313</f>
        <v>76464.583454022562</v>
      </c>
      <c r="H306" s="261">
        <f t="shared" si="64"/>
        <v>170.51410114423226</v>
      </c>
      <c r="I306" s="262">
        <f t="shared" si="67"/>
        <v>202.2268124266985</v>
      </c>
      <c r="J306" s="258">
        <f t="shared" si="68"/>
        <v>0</v>
      </c>
      <c r="K306" s="261">
        <f t="shared" si="70"/>
        <v>204.62432775673801</v>
      </c>
      <c r="L306" s="261">
        <v>1</v>
      </c>
      <c r="M306" s="261">
        <f t="shared" si="63"/>
        <v>32</v>
      </c>
      <c r="N306" s="263">
        <v>168.41336492389499</v>
      </c>
      <c r="O306" s="264">
        <v>68.400000000000006</v>
      </c>
      <c r="P306" s="263">
        <f t="shared" si="62"/>
        <v>206.89188520313968</v>
      </c>
      <c r="Q306" s="265">
        <f t="shared" si="61"/>
        <v>0.81401629048203594</v>
      </c>
      <c r="R306" s="256">
        <v>4</v>
      </c>
      <c r="S306" s="266">
        <v>0.83442799999999995</v>
      </c>
    </row>
    <row r="307" spans="1:21" ht="12.65" customHeight="1">
      <c r="A307" s="10">
        <v>34213</v>
      </c>
      <c r="B307" s="255">
        <v>75737.06</v>
      </c>
      <c r="D307" s="257">
        <f>B307/C313</f>
        <v>9.0111137139733163E-2</v>
      </c>
      <c r="E307" s="2"/>
      <c r="F307" s="258">
        <f>D307*E313</f>
        <v>81401.895735177954</v>
      </c>
      <c r="H307" s="261">
        <f t="shared" si="64"/>
        <v>181.52418355965281</v>
      </c>
      <c r="I307" s="262">
        <f t="shared" si="67"/>
        <v>202.2268124266985</v>
      </c>
      <c r="J307" s="258">
        <f t="shared" si="68"/>
        <v>0</v>
      </c>
      <c r="K307" s="261">
        <f t="shared" si="70"/>
        <v>204.56134799473307</v>
      </c>
      <c r="L307" s="261">
        <v>1</v>
      </c>
      <c r="M307" s="261">
        <f t="shared" si="63"/>
        <v>33</v>
      </c>
      <c r="N307" s="263">
        <v>170.42960693614501</v>
      </c>
      <c r="O307" s="264">
        <v>69</v>
      </c>
      <c r="P307" s="263">
        <f t="shared" si="62"/>
        <v>208.88977343396164</v>
      </c>
      <c r="Q307" s="265">
        <f t="shared" si="61"/>
        <v>0.81588296130745996</v>
      </c>
      <c r="R307" s="256">
        <v>4</v>
      </c>
      <c r="S307" s="266">
        <v>0.83442799999999995</v>
      </c>
    </row>
    <row r="308" spans="1:21" ht="12.65" customHeight="1">
      <c r="A308" s="10">
        <v>34243</v>
      </c>
      <c r="B308" s="255">
        <v>80268.38</v>
      </c>
      <c r="D308" s="257">
        <f>B308/C313</f>
        <v>9.5502452804006585E-2</v>
      </c>
      <c r="E308" s="2"/>
      <c r="F308" s="258">
        <f>D308*E313</f>
        <v>86272.140740499352</v>
      </c>
      <c r="H308" s="261">
        <f t="shared" si="64"/>
        <v>192.3847076339637</v>
      </c>
      <c r="I308" s="262">
        <f t="shared" si="67"/>
        <v>202.2268124266985</v>
      </c>
      <c r="J308" s="258">
        <f t="shared" si="68"/>
        <v>0</v>
      </c>
      <c r="K308" s="261">
        <f t="shared" si="70"/>
        <v>204.49836823272813</v>
      </c>
      <c r="L308" s="261">
        <v>1</v>
      </c>
      <c r="M308" s="261">
        <f t="shared" si="63"/>
        <v>34</v>
      </c>
      <c r="N308" s="263">
        <v>171.366184649042</v>
      </c>
      <c r="O308" s="264">
        <v>69.400000000000006</v>
      </c>
      <c r="P308" s="263">
        <f t="shared" si="62"/>
        <v>209.76233733063438</v>
      </c>
      <c r="Q308" s="265">
        <f t="shared" si="61"/>
        <v>0.81695401962902858</v>
      </c>
      <c r="R308" s="256">
        <v>2</v>
      </c>
      <c r="S308" s="266">
        <v>0.83442799999999995</v>
      </c>
    </row>
    <row r="309" spans="1:21" ht="12.65" customHeight="1">
      <c r="A309" s="10">
        <v>34274</v>
      </c>
      <c r="B309" s="255">
        <v>80565.929999999993</v>
      </c>
      <c r="D309" s="257">
        <f>B309/C313</f>
        <v>9.5856474584835233E-2</v>
      </c>
      <c r="E309" s="2"/>
      <c r="F309" s="258">
        <f>D309*E313</f>
        <v>86591.946316210902</v>
      </c>
      <c r="H309" s="261">
        <f t="shared" si="64"/>
        <v>193.09786603776456</v>
      </c>
      <c r="I309" s="262">
        <f t="shared" si="67"/>
        <v>202.2268124266985</v>
      </c>
      <c r="J309" s="258">
        <f t="shared" si="68"/>
        <v>0</v>
      </c>
      <c r="K309" s="261">
        <f t="shared" si="70"/>
        <v>204.43538847072318</v>
      </c>
      <c r="L309" s="261">
        <v>1</v>
      </c>
      <c r="M309" s="261">
        <f t="shared" si="63"/>
        <v>35</v>
      </c>
      <c r="N309" s="263">
        <v>170.118869454215</v>
      </c>
      <c r="O309" s="264">
        <v>68.2</v>
      </c>
      <c r="P309" s="263">
        <f t="shared" si="62"/>
        <v>208.90554755476921</v>
      </c>
      <c r="Q309" s="265">
        <f t="shared" si="61"/>
        <v>0.81433390087266389</v>
      </c>
      <c r="R309" s="256">
        <v>2</v>
      </c>
      <c r="S309" s="266">
        <v>0.83442799999999995</v>
      </c>
    </row>
    <row r="310" spans="1:21" ht="12.65" customHeight="1">
      <c r="A310" s="10">
        <v>34304</v>
      </c>
      <c r="B310" s="255">
        <v>83425.100000000006</v>
      </c>
      <c r="D310" s="257">
        <f>B310/C313</f>
        <v>9.9258284213777956E-2</v>
      </c>
      <c r="E310" s="2"/>
      <c r="F310" s="258">
        <f>D310*E313</f>
        <v>89664.971044516322</v>
      </c>
      <c r="H310" s="261">
        <f t="shared" si="64"/>
        <v>199.95063402094556</v>
      </c>
      <c r="I310" s="262">
        <f t="shared" si="67"/>
        <v>202.2268124266985</v>
      </c>
      <c r="J310" s="258">
        <f t="shared" si="68"/>
        <v>0</v>
      </c>
      <c r="K310" s="261">
        <f t="shared" si="70"/>
        <v>204.37240870871824</v>
      </c>
      <c r="L310" s="261">
        <v>1</v>
      </c>
      <c r="M310" s="261">
        <f t="shared" si="63"/>
        <v>36</v>
      </c>
      <c r="N310" s="263">
        <v>168.157335561275</v>
      </c>
      <c r="O310" s="264">
        <v>67.900000000000006</v>
      </c>
      <c r="P310" s="263">
        <f t="shared" si="62"/>
        <v>206.83207239984728</v>
      </c>
      <c r="Q310" s="265">
        <f t="shared" si="61"/>
        <v>0.81301383102807012</v>
      </c>
      <c r="R310" s="256">
        <v>2</v>
      </c>
      <c r="S310" s="266">
        <v>0.83442799999999995</v>
      </c>
      <c r="T310" s="257">
        <f t="shared" ref="T310" si="77">AVERAGE(Q299:Q310)</f>
        <v>0.81625482213808276</v>
      </c>
      <c r="U310" s="257">
        <f t="shared" ref="U310" si="78">AVERAGE(S299:S310)</f>
        <v>0.83442799999999995</v>
      </c>
    </row>
    <row r="311" spans="1:21" ht="12.65" customHeight="1">
      <c r="A311" s="10">
        <v>34335</v>
      </c>
      <c r="B311" s="255">
        <v>63147.55</v>
      </c>
      <c r="D311" s="257">
        <f>B311/C313</f>
        <v>7.5132273923600376E-2</v>
      </c>
      <c r="E311" s="2"/>
      <c r="F311" s="258">
        <f>D311*E313</f>
        <v>67870.739648884395</v>
      </c>
      <c r="H311" s="261">
        <f t="shared" si="64"/>
        <v>151.35004524261115</v>
      </c>
      <c r="I311" s="262">
        <f t="shared" si="67"/>
        <v>199.95063402094556</v>
      </c>
      <c r="J311" s="258">
        <f t="shared" si="68"/>
        <v>0</v>
      </c>
      <c r="K311" s="261">
        <f t="shared" si="70"/>
        <v>204.3094289467133</v>
      </c>
      <c r="L311" s="261">
        <v>1</v>
      </c>
      <c r="M311" s="261">
        <f t="shared" si="63"/>
        <v>37</v>
      </c>
      <c r="N311" s="263">
        <v>166.90475053291101</v>
      </c>
      <c r="O311" s="264">
        <v>67.7</v>
      </c>
      <c r="P311" s="263">
        <f t="shared" si="62"/>
        <v>205.51186010764053</v>
      </c>
      <c r="Q311" s="265">
        <f t="shared" si="61"/>
        <v>0.8121416955960189</v>
      </c>
      <c r="R311" s="256">
        <v>2</v>
      </c>
      <c r="S311" s="266">
        <v>0.83442799999999995</v>
      </c>
    </row>
    <row r="312" spans="1:21" ht="12.65" customHeight="1">
      <c r="A312" s="10">
        <v>34366</v>
      </c>
      <c r="B312" s="255">
        <v>63856.67</v>
      </c>
      <c r="D312" s="257">
        <f>B312/C313</f>
        <v>7.5975977251515767E-2</v>
      </c>
      <c r="E312" s="2"/>
      <c r="F312" s="258">
        <f>D312*E313</f>
        <v>68632.899050156775</v>
      </c>
      <c r="H312" s="261">
        <f t="shared" si="64"/>
        <v>153.04964157029829</v>
      </c>
      <c r="I312" s="262">
        <f t="shared" si="67"/>
        <v>199.95063402094556</v>
      </c>
      <c r="J312" s="258">
        <f t="shared" si="68"/>
        <v>0</v>
      </c>
      <c r="K312" s="261">
        <f t="shared" si="70"/>
        <v>204.24644918470835</v>
      </c>
      <c r="L312" s="261">
        <v>1</v>
      </c>
      <c r="M312" s="261">
        <f t="shared" si="63"/>
        <v>38</v>
      </c>
      <c r="N312" s="263">
        <v>165.06833632594601</v>
      </c>
      <c r="O312" s="264">
        <v>67.3</v>
      </c>
      <c r="P312" s="263">
        <f t="shared" si="62"/>
        <v>203.62514771692878</v>
      </c>
      <c r="Q312" s="265">
        <f t="shared" si="61"/>
        <v>0.81064808633272134</v>
      </c>
      <c r="R312" s="256">
        <v>2</v>
      </c>
      <c r="S312" s="266">
        <v>0.83442799999999995</v>
      </c>
    </row>
    <row r="313" spans="1:21" ht="12.65" customHeight="1">
      <c r="A313" s="10">
        <v>34394</v>
      </c>
      <c r="B313" s="255">
        <v>69433.73</v>
      </c>
      <c r="C313" s="259">
        <f t="shared" ref="C313" si="79">SUM(B302:B313)</f>
        <v>840485.01</v>
      </c>
      <c r="D313" s="257">
        <f>B313/C313</f>
        <v>8.261150308915087E-2</v>
      </c>
      <c r="E313" s="260">
        <v>903350</v>
      </c>
      <c r="F313" s="258">
        <f>D313*E313</f>
        <v>74627.101315584441</v>
      </c>
      <c r="H313" s="261">
        <f t="shared" si="64"/>
        <v>166.41656211307082</v>
      </c>
      <c r="I313" s="262">
        <f t="shared" si="67"/>
        <v>199.95063402094556</v>
      </c>
      <c r="J313" s="258">
        <f t="shared" si="68"/>
        <v>0</v>
      </c>
      <c r="K313" s="261">
        <f t="shared" si="70"/>
        <v>204.18346942270341</v>
      </c>
      <c r="L313" s="261">
        <v>1</v>
      </c>
      <c r="M313" s="261">
        <f t="shared" si="63"/>
        <v>39</v>
      </c>
      <c r="N313" s="263">
        <v>165.546733786407</v>
      </c>
      <c r="O313" s="264">
        <v>67.7</v>
      </c>
      <c r="P313" s="263">
        <f t="shared" si="62"/>
        <v>203.98132578565435</v>
      </c>
      <c r="Q313" s="265">
        <f t="shared" si="61"/>
        <v>0.81157788904835926</v>
      </c>
      <c r="R313" s="256">
        <v>2</v>
      </c>
      <c r="S313" s="266">
        <v>0.83442799999999995</v>
      </c>
    </row>
    <row r="314" spans="1:21" ht="12.65" customHeight="1">
      <c r="A314" s="10">
        <v>34425</v>
      </c>
      <c r="B314" s="255">
        <v>61836.29</v>
      </c>
      <c r="D314" s="257">
        <f>B314/C325</f>
        <v>7.8026075723827706E-2</v>
      </c>
      <c r="E314" s="2"/>
      <c r="F314" s="258">
        <f>D314*E325</f>
        <v>67710.482330607614</v>
      </c>
      <c r="H314" s="261">
        <f t="shared" si="64"/>
        <v>150.9926754467738</v>
      </c>
      <c r="I314" s="262">
        <f t="shared" si="67"/>
        <v>199.95063402094556</v>
      </c>
      <c r="J314" s="258">
        <f t="shared" si="68"/>
        <v>0</v>
      </c>
      <c r="K314" s="261">
        <f t="shared" si="70"/>
        <v>204.12048966069847</v>
      </c>
      <c r="L314" s="261">
        <v>1</v>
      </c>
      <c r="M314" s="261">
        <f t="shared" si="63"/>
        <v>40</v>
      </c>
      <c r="N314" s="263">
        <v>166.06268783242899</v>
      </c>
      <c r="O314" s="264">
        <v>67</v>
      </c>
      <c r="P314" s="263">
        <f t="shared" si="62"/>
        <v>204.88306303809716</v>
      </c>
      <c r="Q314" s="265">
        <f t="shared" si="61"/>
        <v>0.81052423450712618</v>
      </c>
      <c r="R314" s="256">
        <v>5</v>
      </c>
      <c r="S314" s="266">
        <v>0.83442799999999995</v>
      </c>
    </row>
    <row r="315" spans="1:21" ht="12.65" customHeight="1">
      <c r="A315" s="10">
        <v>34455</v>
      </c>
      <c r="B315" s="255">
        <v>59976.68</v>
      </c>
      <c r="D315" s="257">
        <f>B315/C325</f>
        <v>7.56795883993652E-2</v>
      </c>
      <c r="E315" s="2"/>
      <c r="F315" s="258">
        <f>D315*E325</f>
        <v>65674.217055850328</v>
      </c>
      <c r="H315" s="261">
        <f t="shared" si="64"/>
        <v>146.45185501288981</v>
      </c>
      <c r="I315" s="262">
        <f t="shared" si="67"/>
        <v>199.95063402094556</v>
      </c>
      <c r="J315" s="258">
        <f t="shared" si="68"/>
        <v>0</v>
      </c>
      <c r="K315" s="261">
        <f t="shared" si="70"/>
        <v>204.05750989869352</v>
      </c>
      <c r="L315" s="261">
        <v>1</v>
      </c>
      <c r="M315" s="261">
        <f t="shared" si="63"/>
        <v>41</v>
      </c>
      <c r="N315" s="263">
        <v>166.542030900203</v>
      </c>
      <c r="O315" s="264">
        <v>65.400000000000006</v>
      </c>
      <c r="P315" s="263">
        <f t="shared" si="62"/>
        <v>206.15527328481238</v>
      </c>
      <c r="Q315" s="265">
        <f t="shared" si="61"/>
        <v>0.80784754251771196</v>
      </c>
      <c r="R315" s="256">
        <v>5</v>
      </c>
      <c r="S315" s="266">
        <v>0.83442799999999995</v>
      </c>
    </row>
    <row r="316" spans="1:21" ht="12.65" customHeight="1">
      <c r="A316" s="10">
        <v>34486</v>
      </c>
      <c r="B316" s="255">
        <v>61061.2</v>
      </c>
      <c r="D316" s="257">
        <f>B316/C325</f>
        <v>7.7048054063201199E-2</v>
      </c>
      <c r="E316" s="2"/>
      <c r="F316" s="258">
        <f>D316*E325</f>
        <v>66861.761979667557</v>
      </c>
      <c r="H316" s="261">
        <f t="shared" si="64"/>
        <v>149.10005037479678</v>
      </c>
      <c r="I316" s="262">
        <f t="shared" si="67"/>
        <v>199.95063402094556</v>
      </c>
      <c r="J316" s="258">
        <f t="shared" si="68"/>
        <v>0</v>
      </c>
      <c r="K316" s="261">
        <f t="shared" si="70"/>
        <v>203.99453013668858</v>
      </c>
      <c r="L316" s="261">
        <v>1</v>
      </c>
      <c r="M316" s="261">
        <f t="shared" si="63"/>
        <v>42</v>
      </c>
      <c r="N316" s="263">
        <v>166.30142270514699</v>
      </c>
      <c r="O316" s="264">
        <v>65.599999999999994</v>
      </c>
      <c r="P316" s="263">
        <f t="shared" si="62"/>
        <v>205.79260244344599</v>
      </c>
      <c r="Q316" s="265">
        <f t="shared" si="61"/>
        <v>0.80810204414829923</v>
      </c>
      <c r="R316" s="256">
        <v>5</v>
      </c>
      <c r="S316" s="266">
        <v>0.83442799999999995</v>
      </c>
    </row>
    <row r="317" spans="1:21" ht="12.65" customHeight="1">
      <c r="A317" s="10">
        <v>34516</v>
      </c>
      <c r="B317" s="255">
        <v>64128.04</v>
      </c>
      <c r="D317" s="257">
        <f>B317/C325</f>
        <v>8.0917844603236255E-2</v>
      </c>
      <c r="E317" s="2"/>
      <c r="F317" s="258">
        <f>D317*E325</f>
        <v>70219.939121776202</v>
      </c>
      <c r="H317" s="261">
        <f t="shared" si="64"/>
        <v>156.58870108083343</v>
      </c>
      <c r="I317" s="262">
        <f t="shared" si="67"/>
        <v>199.95063402094556</v>
      </c>
      <c r="J317" s="258">
        <f t="shared" si="68"/>
        <v>0</v>
      </c>
      <c r="K317" s="261">
        <f t="shared" si="70"/>
        <v>203.93155037468364</v>
      </c>
      <c r="L317" s="261">
        <v>1</v>
      </c>
      <c r="M317" s="261">
        <f t="shared" si="63"/>
        <v>43</v>
      </c>
      <c r="N317" s="263">
        <v>164.11851907034799</v>
      </c>
      <c r="O317" s="264">
        <v>67</v>
      </c>
      <c r="P317" s="263">
        <f t="shared" si="62"/>
        <v>202.69191405134234</v>
      </c>
      <c r="Q317" s="265">
        <f t="shared" ref="Q317:Q380" si="80">N317/P317</f>
        <v>0.80969445593560474</v>
      </c>
      <c r="R317" s="256">
        <v>6</v>
      </c>
      <c r="S317" s="266">
        <v>0.83442799999999995</v>
      </c>
    </row>
    <row r="318" spans="1:21" ht="12.65" customHeight="1">
      <c r="A318" s="10">
        <v>34547</v>
      </c>
      <c r="B318" s="255">
        <v>67100.800000000003</v>
      </c>
      <c r="D318" s="257">
        <f>B318/C325</f>
        <v>8.4668923409367186E-2</v>
      </c>
      <c r="E318" s="2"/>
      <c r="F318" s="258">
        <f>D318*E325</f>
        <v>73475.099052184974</v>
      </c>
      <c r="H318" s="261">
        <f t="shared" si="64"/>
        <v>163.84762599145063</v>
      </c>
      <c r="I318" s="262">
        <f t="shared" si="67"/>
        <v>199.95063402094556</v>
      </c>
      <c r="J318" s="258">
        <f t="shared" si="68"/>
        <v>0</v>
      </c>
      <c r="K318" s="261">
        <f t="shared" si="70"/>
        <v>203.8685706126787</v>
      </c>
      <c r="L318" s="261">
        <v>1</v>
      </c>
      <c r="M318" s="261">
        <f t="shared" si="63"/>
        <v>44</v>
      </c>
      <c r="N318" s="263">
        <v>162.43869840425501</v>
      </c>
      <c r="O318" s="264">
        <v>63.8</v>
      </c>
      <c r="P318" s="263">
        <f t="shared" ref="P318:P381" si="81" xml:space="preserve"> 48.3757429845 + 1.12703641242*N318 - 0.457483222058*O318</f>
        <v>202.26264130490554</v>
      </c>
      <c r="Q318" s="265">
        <f t="shared" si="80"/>
        <v>0.80310776798065742</v>
      </c>
      <c r="R318" s="256">
        <v>6</v>
      </c>
      <c r="S318" s="266">
        <v>0.83442799999999995</v>
      </c>
    </row>
    <row r="319" spans="1:21" ht="12.65" customHeight="1">
      <c r="A319" s="10">
        <v>34578</v>
      </c>
      <c r="B319" s="255">
        <v>69873.3</v>
      </c>
      <c r="D319" s="257">
        <f>B319/C325</f>
        <v>8.8167310763206039E-2</v>
      </c>
      <c r="E319" s="2"/>
      <c r="F319" s="258">
        <f>D319*E325</f>
        <v>76510.975109134859</v>
      </c>
      <c r="H319" s="261">
        <f t="shared" si="64"/>
        <v>170.61755337027915</v>
      </c>
      <c r="I319" s="262">
        <f t="shared" si="67"/>
        <v>199.95063402094556</v>
      </c>
      <c r="J319" s="258">
        <f t="shared" si="68"/>
        <v>0</v>
      </c>
      <c r="K319" s="261">
        <f t="shared" si="70"/>
        <v>203.80559085067375</v>
      </c>
      <c r="L319" s="261">
        <v>1</v>
      </c>
      <c r="M319" s="261">
        <f t="shared" ref="M319:M382" si="82">M318+L319</f>
        <v>45</v>
      </c>
      <c r="N319" s="263">
        <v>160.81696945524601</v>
      </c>
      <c r="O319" s="264">
        <v>65.8</v>
      </c>
      <c r="P319" s="263">
        <f t="shared" si="81"/>
        <v>199.5199272841808</v>
      </c>
      <c r="Q319" s="265">
        <f t="shared" si="80"/>
        <v>0.80601958733771351</v>
      </c>
      <c r="R319" s="256">
        <v>6</v>
      </c>
      <c r="S319" s="266">
        <v>0.83442799999999995</v>
      </c>
    </row>
    <row r="320" spans="1:21" ht="12.65" customHeight="1">
      <c r="A320" s="10">
        <v>34608</v>
      </c>
      <c r="B320" s="255">
        <v>72992.41</v>
      </c>
      <c r="D320" s="257">
        <f>B320/C325</f>
        <v>9.210305647257748E-2</v>
      </c>
      <c r="E320" s="2"/>
      <c r="F320" s="258">
        <f>D320*E325</f>
        <v>79926.387685507434</v>
      </c>
      <c r="H320" s="261">
        <f t="shared" si="64"/>
        <v>178.23383765759309</v>
      </c>
      <c r="I320" s="262">
        <f t="shared" si="67"/>
        <v>199.95063402094556</v>
      </c>
      <c r="J320" s="258">
        <f t="shared" si="68"/>
        <v>0</v>
      </c>
      <c r="K320" s="261">
        <f t="shared" si="70"/>
        <v>203.74261108866881</v>
      </c>
      <c r="L320" s="261">
        <v>1</v>
      </c>
      <c r="M320" s="261">
        <f t="shared" si="82"/>
        <v>46</v>
      </c>
      <c r="N320" s="263">
        <v>159.23463444119</v>
      </c>
      <c r="O320" s="264">
        <v>66.8</v>
      </c>
      <c r="P320" s="263">
        <f t="shared" si="81"/>
        <v>197.27909488463456</v>
      </c>
      <c r="Q320" s="265">
        <f t="shared" si="80"/>
        <v>0.80715412109077089</v>
      </c>
      <c r="R320" s="256">
        <v>4</v>
      </c>
      <c r="S320" s="266">
        <v>0.83442799999999995</v>
      </c>
    </row>
    <row r="321" spans="1:21" ht="12.65" customHeight="1">
      <c r="A321" s="10">
        <v>34639</v>
      </c>
      <c r="B321" s="255">
        <v>74847.320000000007</v>
      </c>
      <c r="D321" s="257">
        <f>B321/C325</f>
        <v>9.4443613257612385E-2</v>
      </c>
      <c r="E321" s="2"/>
      <c r="F321" s="258">
        <f>D321*E325</f>
        <v>81957.506479663221</v>
      </c>
      <c r="H321" s="261">
        <f t="shared" si="64"/>
        <v>182.76318156895931</v>
      </c>
      <c r="I321" s="262">
        <f t="shared" si="67"/>
        <v>199.95063402094556</v>
      </c>
      <c r="J321" s="258">
        <f t="shared" si="68"/>
        <v>0</v>
      </c>
      <c r="K321" s="261">
        <f t="shared" si="70"/>
        <v>203.67963132666387</v>
      </c>
      <c r="L321" s="261">
        <v>1</v>
      </c>
      <c r="M321" s="261">
        <f t="shared" si="82"/>
        <v>47</v>
      </c>
      <c r="N321" s="263">
        <v>161.08428905853299</v>
      </c>
      <c r="O321" s="264">
        <v>67.8</v>
      </c>
      <c r="P321" s="263">
        <f t="shared" si="81"/>
        <v>198.90623976672288</v>
      </c>
      <c r="Q321" s="265">
        <f t="shared" si="80"/>
        <v>0.80985035586340859</v>
      </c>
      <c r="R321" s="256">
        <v>4</v>
      </c>
      <c r="S321" s="266">
        <v>0.83442799999999995</v>
      </c>
    </row>
    <row r="322" spans="1:21" ht="12.65" customHeight="1">
      <c r="A322" s="10">
        <v>34669</v>
      </c>
      <c r="B322" s="255">
        <v>78431.210000000006</v>
      </c>
      <c r="D322" s="257">
        <f>B322/C325</f>
        <v>9.8965826225529255E-2</v>
      </c>
      <c r="E322" s="2"/>
      <c r="F322" s="258">
        <f>D322*E325</f>
        <v>85881.851237730705</v>
      </c>
      <c r="H322" s="261">
        <f t="shared" ref="H322:H385" si="83">F322/G$574*100</f>
        <v>191.51437184261474</v>
      </c>
      <c r="I322" s="262">
        <f t="shared" si="67"/>
        <v>199.95063402094556</v>
      </c>
      <c r="J322" s="258">
        <f t="shared" si="68"/>
        <v>0</v>
      </c>
      <c r="K322" s="261">
        <f t="shared" si="70"/>
        <v>203.61665156465892</v>
      </c>
      <c r="L322" s="261">
        <v>1</v>
      </c>
      <c r="M322" s="261">
        <f t="shared" si="82"/>
        <v>48</v>
      </c>
      <c r="N322" s="263">
        <v>160.362847809447</v>
      </c>
      <c r="O322" s="264">
        <v>70</v>
      </c>
      <c r="P322" s="263">
        <f t="shared" si="81"/>
        <v>197.08668612105362</v>
      </c>
      <c r="Q322" s="265">
        <f t="shared" si="80"/>
        <v>0.81366656959744976</v>
      </c>
      <c r="R322" s="256">
        <v>4</v>
      </c>
      <c r="S322" s="266">
        <v>0.83442799999999995</v>
      </c>
      <c r="T322" s="257">
        <f t="shared" ref="T322" si="84">AVERAGE(Q311:Q322)</f>
        <v>0.80919452916298695</v>
      </c>
      <c r="U322" s="257">
        <f t="shared" ref="U322" si="85">AVERAGE(S311:S322)</f>
        <v>0.83442799999999995</v>
      </c>
    </row>
    <row r="323" spans="1:21" ht="12.65" customHeight="1">
      <c r="A323" s="10">
        <v>34700</v>
      </c>
      <c r="B323" s="255">
        <v>59589.21</v>
      </c>
      <c r="D323" s="257">
        <f>B323/C325</f>
        <v>7.5190672205319414E-2</v>
      </c>
      <c r="E323" s="2"/>
      <c r="F323" s="258">
        <f>D323*E325</f>
        <v>65249.939005070752</v>
      </c>
      <c r="H323" s="261">
        <f t="shared" si="83"/>
        <v>145.50572561289897</v>
      </c>
      <c r="I323" s="262">
        <f t="shared" si="67"/>
        <v>196.01065982810437</v>
      </c>
      <c r="J323" s="258">
        <f t="shared" si="68"/>
        <v>0</v>
      </c>
      <c r="K323" s="261">
        <f t="shared" si="70"/>
        <v>203.55367180265398</v>
      </c>
      <c r="L323" s="261">
        <v>1</v>
      </c>
      <c r="M323" s="261">
        <f t="shared" si="82"/>
        <v>49</v>
      </c>
      <c r="N323" s="263">
        <v>159.52021734213699</v>
      </c>
      <c r="O323" s="264">
        <v>66.5</v>
      </c>
      <c r="P323" s="263">
        <f t="shared" si="81"/>
        <v>197.73820217938373</v>
      </c>
      <c r="Q323" s="265">
        <f t="shared" si="80"/>
        <v>0.80672432329198462</v>
      </c>
      <c r="R323" s="256">
        <v>6</v>
      </c>
      <c r="S323" s="266">
        <v>0.83442799999999995</v>
      </c>
    </row>
    <row r="324" spans="1:21" ht="12.65" customHeight="1">
      <c r="A324" s="10">
        <v>34731</v>
      </c>
      <c r="B324" s="255">
        <v>59016.25</v>
      </c>
      <c r="D324" s="257">
        <f>B324/C325</f>
        <v>7.4467701594587044E-2</v>
      </c>
      <c r="E324" s="2"/>
      <c r="F324" s="258">
        <f>D324*E325</f>
        <v>64622.550169871472</v>
      </c>
      <c r="H324" s="261">
        <f t="shared" si="83"/>
        <v>144.10666426358478</v>
      </c>
      <c r="I324" s="262">
        <f t="shared" si="67"/>
        <v>196.01065982810437</v>
      </c>
      <c r="J324" s="258">
        <f t="shared" si="68"/>
        <v>0</v>
      </c>
      <c r="K324" s="261">
        <f t="shared" si="70"/>
        <v>203.49069204064904</v>
      </c>
      <c r="L324" s="261">
        <v>1</v>
      </c>
      <c r="M324" s="261">
        <f t="shared" si="82"/>
        <v>50</v>
      </c>
      <c r="N324" s="263">
        <v>155.63527827756999</v>
      </c>
      <c r="O324" s="264">
        <v>65.400000000000006</v>
      </c>
      <c r="P324" s="263">
        <f t="shared" si="81"/>
        <v>193.86296593784766</v>
      </c>
      <c r="Q324" s="265">
        <f t="shared" si="80"/>
        <v>0.80281077680131319</v>
      </c>
      <c r="R324" s="256">
        <v>6</v>
      </c>
      <c r="S324" s="266">
        <v>0.83442799999999995</v>
      </c>
    </row>
    <row r="325" spans="1:21" ht="12.65" customHeight="1">
      <c r="A325" s="10">
        <v>34759</v>
      </c>
      <c r="B325" s="255">
        <v>63655.3</v>
      </c>
      <c r="C325" s="259">
        <f t="shared" ref="C325" si="86">SUM(B314:B325)</f>
        <v>792508.01</v>
      </c>
      <c r="D325" s="257">
        <f>B325/C325</f>
        <v>8.0321333282170865E-2</v>
      </c>
      <c r="E325" s="260">
        <v>867793</v>
      </c>
      <c r="F325" s="258">
        <f>D325*E325</f>
        <v>69702.290772934895</v>
      </c>
      <c r="H325" s="261">
        <f t="shared" si="83"/>
        <v>155.43435826061071</v>
      </c>
      <c r="I325" s="262">
        <f t="shared" si="67"/>
        <v>196.01065982810437</v>
      </c>
      <c r="J325" s="258">
        <f t="shared" si="68"/>
        <v>0</v>
      </c>
      <c r="K325" s="261">
        <f t="shared" si="70"/>
        <v>203.42771227864409</v>
      </c>
      <c r="L325" s="261">
        <v>1</v>
      </c>
      <c r="M325" s="261">
        <f t="shared" si="82"/>
        <v>51</v>
      </c>
      <c r="N325" s="263">
        <v>154.332749596621</v>
      </c>
      <c r="O325" s="264">
        <v>65.599999999999994</v>
      </c>
      <c r="P325" s="263">
        <f t="shared" si="81"/>
        <v>192.30347204178514</v>
      </c>
      <c r="Q325" s="265">
        <f t="shared" si="80"/>
        <v>0.80254791012346582</v>
      </c>
      <c r="R325" s="256">
        <v>6</v>
      </c>
      <c r="S325" s="266">
        <v>0.83442799999999995</v>
      </c>
    </row>
    <row r="326" spans="1:21" ht="12.65" customHeight="1">
      <c r="A326" s="10">
        <v>34790</v>
      </c>
      <c r="B326" s="255">
        <v>56426.75</v>
      </c>
      <c r="D326" s="257">
        <f>B326/C337</f>
        <v>7.332701720429137E-2</v>
      </c>
      <c r="E326" s="2"/>
      <c r="F326" s="258">
        <f>D326*E337</f>
        <v>63818.189594290481</v>
      </c>
      <c r="H326" s="261">
        <f t="shared" si="83"/>
        <v>142.31296037682367</v>
      </c>
      <c r="I326" s="262">
        <f t="shared" si="67"/>
        <v>196.01065982810437</v>
      </c>
      <c r="J326" s="258">
        <f t="shared" si="68"/>
        <v>0</v>
      </c>
      <c r="K326" s="261">
        <f t="shared" si="70"/>
        <v>203.36473251663915</v>
      </c>
      <c r="L326" s="261">
        <v>1</v>
      </c>
      <c r="M326" s="261">
        <f t="shared" si="82"/>
        <v>52</v>
      </c>
      <c r="N326" s="263">
        <v>155.81791060829499</v>
      </c>
      <c r="O326" s="264">
        <v>66.400000000000006</v>
      </c>
      <c r="P326" s="263">
        <f t="shared" si="81"/>
        <v>193.61131600260185</v>
      </c>
      <c r="Q326" s="265">
        <f t="shared" si="80"/>
        <v>0.80479753882877914</v>
      </c>
      <c r="R326" s="256">
        <v>6</v>
      </c>
      <c r="S326" s="266">
        <v>0.83442799999999995</v>
      </c>
    </row>
    <row r="327" spans="1:21" ht="12.65" customHeight="1">
      <c r="A327" s="10">
        <v>34820</v>
      </c>
      <c r="B327" s="255">
        <v>53769.56</v>
      </c>
      <c r="D327" s="257">
        <f>B327/C337</f>
        <v>6.9873977345623783E-2</v>
      </c>
      <c r="E327" s="2"/>
      <c r="F327" s="258">
        <f>D327*E337</f>
        <v>60812.929585375328</v>
      </c>
      <c r="H327" s="261">
        <f t="shared" si="83"/>
        <v>135.61130601637063</v>
      </c>
      <c r="I327" s="262">
        <f t="shared" si="67"/>
        <v>196.01065982810437</v>
      </c>
      <c r="J327" s="258">
        <f t="shared" si="68"/>
        <v>0</v>
      </c>
      <c r="K327" s="261">
        <f t="shared" si="70"/>
        <v>203.30175275463421</v>
      </c>
      <c r="L327" s="261">
        <v>1</v>
      </c>
      <c r="M327" s="261">
        <f t="shared" si="82"/>
        <v>53</v>
      </c>
      <c r="N327" s="263">
        <v>154.36316548940999</v>
      </c>
      <c r="O327" s="264">
        <v>68.400000000000006</v>
      </c>
      <c r="P327" s="263">
        <f t="shared" si="81"/>
        <v>191.05679883871218</v>
      </c>
      <c r="Q327" s="265">
        <f t="shared" si="80"/>
        <v>0.80794384930379526</v>
      </c>
      <c r="R327" s="256">
        <v>6</v>
      </c>
      <c r="S327" s="266">
        <v>0.83442799999999995</v>
      </c>
    </row>
    <row r="328" spans="1:21" ht="12.65" customHeight="1">
      <c r="A328" s="10">
        <v>34851</v>
      </c>
      <c r="B328" s="255">
        <v>55481.04</v>
      </c>
      <c r="D328" s="257">
        <f>B328/C337</f>
        <v>7.209805942380125E-2</v>
      </c>
      <c r="E328" s="2"/>
      <c r="F328" s="258">
        <f>D328*E337</f>
        <v>62748.599371900978</v>
      </c>
      <c r="H328" s="261">
        <f t="shared" si="83"/>
        <v>139.92780103736203</v>
      </c>
      <c r="I328" s="262">
        <f t="shared" si="67"/>
        <v>196.01065982810437</v>
      </c>
      <c r="J328" s="258">
        <f t="shared" si="68"/>
        <v>0</v>
      </c>
      <c r="K328" s="261">
        <f t="shared" si="70"/>
        <v>203.23877299262926</v>
      </c>
      <c r="L328" s="261">
        <v>1</v>
      </c>
      <c r="M328" s="261">
        <f t="shared" si="82"/>
        <v>54</v>
      </c>
      <c r="N328" s="263">
        <v>156.174873770353</v>
      </c>
      <c r="O328" s="264">
        <v>67.3</v>
      </c>
      <c r="P328" s="263">
        <f t="shared" si="81"/>
        <v>193.60189158428159</v>
      </c>
      <c r="Q328" s="265">
        <f t="shared" si="80"/>
        <v>0.80668051583764966</v>
      </c>
      <c r="R328" s="256">
        <v>6</v>
      </c>
      <c r="S328" s="266">
        <v>0.83442799999999995</v>
      </c>
    </row>
    <row r="329" spans="1:21" ht="12.65" customHeight="1">
      <c r="A329" s="10">
        <v>34881</v>
      </c>
      <c r="B329" s="255">
        <v>59861.39</v>
      </c>
      <c r="D329" s="257">
        <f>B329/C337</f>
        <v>7.7790359614948498E-2</v>
      </c>
      <c r="E329" s="2"/>
      <c r="F329" s="258">
        <f>D329*E337</f>
        <v>67702.739151160815</v>
      </c>
      <c r="H329" s="261">
        <f t="shared" si="83"/>
        <v>150.97540835103186</v>
      </c>
      <c r="I329" s="262">
        <f t="shared" si="67"/>
        <v>196.01065982810437</v>
      </c>
      <c r="J329" s="258">
        <f t="shared" si="68"/>
        <v>0</v>
      </c>
      <c r="K329" s="261">
        <f t="shared" si="70"/>
        <v>203.17579323062432</v>
      </c>
      <c r="L329" s="261">
        <v>1</v>
      </c>
      <c r="M329" s="261">
        <f t="shared" si="82"/>
        <v>55</v>
      </c>
      <c r="N329" s="263">
        <v>158.58899684495199</v>
      </c>
      <c r="O329" s="264">
        <v>67.099999999999994</v>
      </c>
      <c r="P329" s="263">
        <f t="shared" si="81"/>
        <v>196.4141928378296</v>
      </c>
      <c r="Q329" s="265">
        <f t="shared" si="80"/>
        <v>0.80742126907240264</v>
      </c>
      <c r="R329" s="256">
        <v>7</v>
      </c>
      <c r="S329" s="266">
        <v>0.83442799999999995</v>
      </c>
    </row>
    <row r="330" spans="1:21" ht="12.65" customHeight="1">
      <c r="A330" s="10">
        <v>34912</v>
      </c>
      <c r="B330" s="255">
        <v>63563.58</v>
      </c>
      <c r="D330" s="257">
        <f>B330/C337</f>
        <v>8.2601385410755554E-2</v>
      </c>
      <c r="E330" s="2"/>
      <c r="F330" s="258">
        <f>D330*E337</f>
        <v>71889.885554845008</v>
      </c>
      <c r="H330" s="261">
        <f t="shared" si="83"/>
        <v>160.31263969569505</v>
      </c>
      <c r="I330" s="262">
        <f t="shared" si="67"/>
        <v>196.01065982810437</v>
      </c>
      <c r="J330" s="258">
        <f t="shared" si="68"/>
        <v>0</v>
      </c>
      <c r="K330" s="261">
        <f t="shared" si="70"/>
        <v>203.11281346861938</v>
      </c>
      <c r="L330" s="261">
        <v>1</v>
      </c>
      <c r="M330" s="261">
        <f t="shared" si="82"/>
        <v>56</v>
      </c>
      <c r="N330" s="263">
        <v>159.55752940162401</v>
      </c>
      <c r="O330" s="264">
        <v>67.5</v>
      </c>
      <c r="P330" s="263">
        <f t="shared" si="81"/>
        <v>197.32277100699</v>
      </c>
      <c r="Q330" s="265">
        <f t="shared" si="80"/>
        <v>0.80861184235027705</v>
      </c>
      <c r="R330" s="256">
        <v>7</v>
      </c>
      <c r="S330" s="266">
        <v>0.83442799999999995</v>
      </c>
    </row>
    <row r="331" spans="1:21" ht="12.65" customHeight="1">
      <c r="A331" s="10">
        <v>34943</v>
      </c>
      <c r="B331" s="255">
        <v>67218.570000000007</v>
      </c>
      <c r="D331" s="257">
        <f>B331/C337</f>
        <v>8.7351074425478417E-2</v>
      </c>
      <c r="E331" s="2"/>
      <c r="F331" s="258">
        <f>D331*E337</f>
        <v>76023.649147205651</v>
      </c>
      <c r="H331" s="261">
        <f t="shared" si="83"/>
        <v>169.53082871150204</v>
      </c>
      <c r="I331" s="262">
        <f t="shared" ref="I331:I394" si="87">MAX(H319:H343)</f>
        <v>196.01065982810437</v>
      </c>
      <c r="J331" s="258">
        <f t="shared" si="68"/>
        <v>0</v>
      </c>
      <c r="K331" s="261">
        <f t="shared" si="70"/>
        <v>203.04983370661444</v>
      </c>
      <c r="L331" s="261">
        <v>1</v>
      </c>
      <c r="M331" s="261">
        <f t="shared" si="82"/>
        <v>57</v>
      </c>
      <c r="N331" s="263">
        <v>160.442137598578</v>
      </c>
      <c r="O331" s="264">
        <v>68.8</v>
      </c>
      <c r="P331" s="263">
        <f t="shared" si="81"/>
        <v>197.72502846700695</v>
      </c>
      <c r="Q331" s="265">
        <f t="shared" si="80"/>
        <v>0.81144071057928768</v>
      </c>
      <c r="R331" s="256">
        <v>7</v>
      </c>
      <c r="S331" s="266">
        <v>0.83442799999999995</v>
      </c>
    </row>
    <row r="332" spans="1:21" ht="12.65" customHeight="1">
      <c r="A332" s="10">
        <v>34973</v>
      </c>
      <c r="B332" s="255">
        <v>71621.149999999994</v>
      </c>
      <c r="D332" s="257">
        <f>B332/C337</f>
        <v>9.3072262681106604E-2</v>
      </c>
      <c r="E332" s="2"/>
      <c r="F332" s="258">
        <f>D332*E337</f>
        <v>81002.930873408739</v>
      </c>
      <c r="H332" s="261">
        <f t="shared" si="83"/>
        <v>180.63450193556321</v>
      </c>
      <c r="I332" s="262">
        <f t="shared" si="87"/>
        <v>196.01065982810437</v>
      </c>
      <c r="J332" s="258">
        <f t="shared" si="68"/>
        <v>0</v>
      </c>
      <c r="K332" s="261">
        <f t="shared" si="70"/>
        <v>202.98685394460949</v>
      </c>
      <c r="L332" s="261">
        <v>1</v>
      </c>
      <c r="M332" s="261">
        <f t="shared" si="82"/>
        <v>58</v>
      </c>
      <c r="N332" s="263">
        <v>161.48625518970599</v>
      </c>
      <c r="O332" s="264">
        <v>65.099999999999994</v>
      </c>
      <c r="P332" s="263">
        <f t="shared" si="81"/>
        <v>200.59447493267106</v>
      </c>
      <c r="Q332" s="265">
        <f t="shared" si="80"/>
        <v>0.80503840020473327</v>
      </c>
      <c r="R332" s="256">
        <v>7</v>
      </c>
      <c r="S332" s="266">
        <v>0.83442799999999995</v>
      </c>
    </row>
    <row r="333" spans="1:21" ht="12.65" customHeight="1">
      <c r="A333" s="10">
        <v>35004</v>
      </c>
      <c r="B333" s="255">
        <v>72545.679999999993</v>
      </c>
      <c r="D333" s="257">
        <f>B333/C337</f>
        <v>9.4273696880593255E-2</v>
      </c>
      <c r="E333" s="2"/>
      <c r="F333" s="258">
        <f>D333*E337</f>
        <v>82048.566690208565</v>
      </c>
      <c r="H333" s="261">
        <f t="shared" si="83"/>
        <v>182.96624355203386</v>
      </c>
      <c r="I333" s="262">
        <f t="shared" si="87"/>
        <v>196.01065982810437</v>
      </c>
      <c r="J333" s="258">
        <f t="shared" si="68"/>
        <v>0</v>
      </c>
      <c r="K333" s="261">
        <f t="shared" si="70"/>
        <v>202.92387418260455</v>
      </c>
      <c r="L333" s="261">
        <v>1</v>
      </c>
      <c r="M333" s="261">
        <f t="shared" si="82"/>
        <v>59</v>
      </c>
      <c r="N333" s="263">
        <v>161.56428371556501</v>
      </c>
      <c r="O333" s="264">
        <v>64.400000000000006</v>
      </c>
      <c r="P333" s="263">
        <f t="shared" si="81"/>
        <v>201.00265417796223</v>
      </c>
      <c r="Q333" s="265">
        <f t="shared" si="80"/>
        <v>0.80379179258260158</v>
      </c>
      <c r="R333" s="256">
        <v>7</v>
      </c>
      <c r="S333" s="266">
        <v>0.83442799999999995</v>
      </c>
    </row>
    <row r="334" spans="1:21" ht="12.65" customHeight="1">
      <c r="A334" s="10">
        <v>35034</v>
      </c>
      <c r="B334" s="255">
        <v>77717.759999999995</v>
      </c>
      <c r="D334" s="257">
        <f>B334/C337</f>
        <v>0.10099485659902417</v>
      </c>
      <c r="E334" s="2"/>
      <c r="F334" s="258">
        <f>D334*E337</f>
        <v>87898.146579832508</v>
      </c>
      <c r="H334" s="261">
        <f t="shared" si="83"/>
        <v>196.01065982810437</v>
      </c>
      <c r="I334" s="262">
        <f t="shared" si="87"/>
        <v>202.10513727654083</v>
      </c>
      <c r="J334" s="258">
        <f t="shared" si="68"/>
        <v>0</v>
      </c>
      <c r="K334" s="261">
        <f t="shared" si="70"/>
        <v>202.86089442059961</v>
      </c>
      <c r="L334" s="261">
        <v>1</v>
      </c>
      <c r="M334" s="261">
        <f t="shared" si="82"/>
        <v>60</v>
      </c>
      <c r="N334" s="263">
        <v>163.74949435216999</v>
      </c>
      <c r="O334" s="264">
        <v>68.5</v>
      </c>
      <c r="P334" s="263">
        <f t="shared" si="81"/>
        <v>201.58978492378574</v>
      </c>
      <c r="Q334" s="265">
        <f t="shared" si="80"/>
        <v>0.81229063473666641</v>
      </c>
      <c r="R334" s="256">
        <v>7</v>
      </c>
      <c r="S334" s="266">
        <v>0.83442799999999995</v>
      </c>
      <c r="T334" s="257">
        <f t="shared" ref="T334" si="88">AVERAGE(Q323:Q334)</f>
        <v>0.80667496364274627</v>
      </c>
      <c r="U334" s="257">
        <f t="shared" ref="U334" si="89">AVERAGE(S323:S334)</f>
        <v>0.83442799999999995</v>
      </c>
    </row>
    <row r="335" spans="1:21" ht="12.65" customHeight="1">
      <c r="A335" s="10">
        <v>35065</v>
      </c>
      <c r="B335" s="255">
        <v>60318.57</v>
      </c>
      <c r="D335" s="257">
        <f>B335/C337</f>
        <v>7.8384468716136455E-2</v>
      </c>
      <c r="E335" s="2"/>
      <c r="F335" s="258">
        <f>D335*E337</f>
        <v>68219.805966434025</v>
      </c>
      <c r="H335" s="261">
        <f t="shared" si="83"/>
        <v>152.12845436599949</v>
      </c>
      <c r="I335" s="262">
        <f t="shared" si="87"/>
        <v>202.10513727654083</v>
      </c>
      <c r="J335" s="258">
        <f t="shared" ref="J335:J398" si="90">IF(H335=I335,1,0)</f>
        <v>0</v>
      </c>
      <c r="K335" s="261">
        <f t="shared" si="70"/>
        <v>202.79791465859466</v>
      </c>
      <c r="L335" s="261">
        <v>1</v>
      </c>
      <c r="M335" s="261">
        <f t="shared" si="82"/>
        <v>61</v>
      </c>
      <c r="N335" s="263">
        <v>166.35753648309301</v>
      </c>
      <c r="O335" s="264">
        <v>69.2</v>
      </c>
      <c r="P335" s="263">
        <f t="shared" si="81"/>
        <v>204.20890511502083</v>
      </c>
      <c r="Q335" s="265">
        <f t="shared" si="80"/>
        <v>0.81464388827407896</v>
      </c>
      <c r="R335" s="256">
        <v>5</v>
      </c>
      <c r="S335" s="266">
        <v>0.83442799999999995</v>
      </c>
    </row>
    <row r="336" spans="1:21" ht="12.65" customHeight="1">
      <c r="A336" s="10">
        <v>35096</v>
      </c>
      <c r="B336" s="255">
        <v>62475.81</v>
      </c>
      <c r="D336" s="257">
        <f>B336/C337</f>
        <v>8.1187819513298898E-2</v>
      </c>
      <c r="E336" s="2"/>
      <c r="F336" s="258">
        <f>D336*E337</f>
        <v>70659.626642272837</v>
      </c>
      <c r="H336" s="261">
        <f t="shared" si="83"/>
        <v>157.56919321137514</v>
      </c>
      <c r="I336" s="262">
        <f t="shared" si="87"/>
        <v>202.10513727654083</v>
      </c>
      <c r="J336" s="258">
        <f t="shared" si="90"/>
        <v>0</v>
      </c>
      <c r="K336" s="261">
        <f t="shared" si="70"/>
        <v>202.73493489658972</v>
      </c>
      <c r="L336" s="261">
        <v>1</v>
      </c>
      <c r="M336" s="261">
        <f t="shared" si="82"/>
        <v>62</v>
      </c>
      <c r="N336" s="263">
        <v>169.94870682390399</v>
      </c>
      <c r="O336" s="264">
        <v>72.099999999999994</v>
      </c>
      <c r="P336" s="263">
        <f t="shared" si="81"/>
        <v>206.92958350834934</v>
      </c>
      <c r="Q336" s="265">
        <f t="shared" si="80"/>
        <v>0.82128762810295219</v>
      </c>
      <c r="R336" s="256">
        <v>5</v>
      </c>
      <c r="S336" s="266">
        <v>0.83442799999999995</v>
      </c>
    </row>
    <row r="337" spans="1:21" ht="12.65" customHeight="1">
      <c r="A337" s="10">
        <v>35125</v>
      </c>
      <c r="B337" s="255">
        <v>68522.100000000006</v>
      </c>
      <c r="C337" s="259">
        <f t="shared" ref="C337" si="91">SUM(B326:B337)</f>
        <v>769521.95999999985</v>
      </c>
      <c r="D337" s="257">
        <f>B337/C337</f>
        <v>8.9045022184941966E-2</v>
      </c>
      <c r="E337" s="260">
        <v>870323</v>
      </c>
      <c r="F337" s="258">
        <f>D337*E337</f>
        <v>77497.930843065245</v>
      </c>
      <c r="H337" s="261">
        <f t="shared" si="83"/>
        <v>172.81843987535609</v>
      </c>
      <c r="I337" s="262">
        <f t="shared" si="87"/>
        <v>202.10513727654083</v>
      </c>
      <c r="J337" s="258">
        <f t="shared" si="90"/>
        <v>0</v>
      </c>
      <c r="K337" s="261">
        <f t="shared" si="70"/>
        <v>202.67195513458478</v>
      </c>
      <c r="L337" s="261">
        <v>1</v>
      </c>
      <c r="M337" s="261">
        <f t="shared" si="82"/>
        <v>63</v>
      </c>
      <c r="N337" s="263">
        <v>170.37228535696201</v>
      </c>
      <c r="O337" s="264">
        <v>74</v>
      </c>
      <c r="P337" s="263">
        <f t="shared" si="81"/>
        <v>206.53775381671497</v>
      </c>
      <c r="Q337" s="265">
        <f t="shared" si="80"/>
        <v>0.82489657318609755</v>
      </c>
      <c r="R337" s="256">
        <v>5</v>
      </c>
      <c r="S337" s="266">
        <v>0.83442799999999995</v>
      </c>
    </row>
    <row r="338" spans="1:21" ht="12.65" customHeight="1">
      <c r="A338" s="10">
        <v>35156</v>
      </c>
      <c r="B338" s="255">
        <v>59772.71</v>
      </c>
      <c r="D338" s="257">
        <f>B338/C349</f>
        <v>7.7356000413564704E-2</v>
      </c>
      <c r="E338" s="2"/>
      <c r="F338" s="258">
        <f>D338*E349</f>
        <v>70305.619823871588</v>
      </c>
      <c r="H338" s="261">
        <f t="shared" si="83"/>
        <v>156.77976689513929</v>
      </c>
      <c r="I338" s="262">
        <f t="shared" si="87"/>
        <v>202.10513727654083</v>
      </c>
      <c r="J338" s="258">
        <f t="shared" si="90"/>
        <v>0</v>
      </c>
      <c r="K338" s="261">
        <f t="shared" si="70"/>
        <v>202.60897537257983</v>
      </c>
      <c r="L338" s="261">
        <v>1</v>
      </c>
      <c r="M338" s="261">
        <f t="shared" si="82"/>
        <v>64</v>
      </c>
      <c r="N338" s="263">
        <v>171.503428292992</v>
      </c>
      <c r="O338" s="264">
        <v>75.8</v>
      </c>
      <c r="P338" s="263">
        <f t="shared" si="81"/>
        <v>206.98912329356804</v>
      </c>
      <c r="Q338" s="265">
        <f t="shared" si="80"/>
        <v>0.82856251364354316</v>
      </c>
      <c r="R338" s="256">
        <v>3</v>
      </c>
      <c r="S338" s="266">
        <v>0.83442799999999995</v>
      </c>
    </row>
    <row r="339" spans="1:21" ht="12.65" customHeight="1">
      <c r="A339" s="10">
        <v>35186</v>
      </c>
      <c r="B339" s="255">
        <v>58023.91</v>
      </c>
      <c r="D339" s="257">
        <f>B339/C349</f>
        <v>7.5092757312771027E-2</v>
      </c>
      <c r="E339" s="2"/>
      <c r="F339" s="258">
        <f>D339*E349</f>
        <v>68248.653225770453</v>
      </c>
      <c r="H339" s="261">
        <f t="shared" si="83"/>
        <v>152.19278302999049</v>
      </c>
      <c r="I339" s="262">
        <f t="shared" si="87"/>
        <v>202.10513727654083</v>
      </c>
      <c r="J339" s="258">
        <f t="shared" si="90"/>
        <v>0</v>
      </c>
      <c r="K339" s="261">
        <f t="shared" si="70"/>
        <v>202.54599561057489</v>
      </c>
      <c r="L339" s="261">
        <v>1</v>
      </c>
      <c r="M339" s="261">
        <f t="shared" si="82"/>
        <v>65</v>
      </c>
      <c r="N339" s="263">
        <v>172.99568640270701</v>
      </c>
      <c r="O339" s="264">
        <v>72.900000000000006</v>
      </c>
      <c r="P339" s="263">
        <f t="shared" si="81"/>
        <v>209.99765386391408</v>
      </c>
      <c r="Q339" s="265">
        <f t="shared" si="80"/>
        <v>0.82379818640647451</v>
      </c>
      <c r="R339" s="256">
        <v>3</v>
      </c>
      <c r="S339" s="266">
        <v>0.83442799999999995</v>
      </c>
    </row>
    <row r="340" spans="1:21" ht="12.65" customHeight="1">
      <c r="A340" s="10">
        <v>35217</v>
      </c>
      <c r="B340" s="255">
        <v>58674.95</v>
      </c>
      <c r="D340" s="257">
        <f>B340/C349</f>
        <v>7.593531323016621E-2</v>
      </c>
      <c r="E340" s="2"/>
      <c r="F340" s="258">
        <f>D340*E349</f>
        <v>69014.416911742403</v>
      </c>
      <c r="H340" s="261">
        <f t="shared" si="83"/>
        <v>153.90041682205731</v>
      </c>
      <c r="I340" s="262">
        <f t="shared" si="87"/>
        <v>202.10513727654083</v>
      </c>
      <c r="J340" s="258">
        <f t="shared" si="90"/>
        <v>0</v>
      </c>
      <c r="K340" s="261">
        <f t="shared" ref="K340:K345" si="92">(K$346-K$274)/(M$345+1)+K339</f>
        <v>202.48301584856995</v>
      </c>
      <c r="L340" s="261">
        <v>1</v>
      </c>
      <c r="M340" s="261">
        <f t="shared" si="82"/>
        <v>66</v>
      </c>
      <c r="N340" s="263">
        <v>171.77145950608599</v>
      </c>
      <c r="O340" s="264">
        <v>72.2</v>
      </c>
      <c r="P340" s="263">
        <f t="shared" si="81"/>
        <v>208.93814382979886</v>
      </c>
      <c r="Q340" s="265">
        <f t="shared" si="80"/>
        <v>0.82211632762474962</v>
      </c>
      <c r="R340" s="256">
        <v>3</v>
      </c>
      <c r="S340" s="266">
        <v>0.83442799999999995</v>
      </c>
    </row>
    <row r="341" spans="1:21" ht="12.65" customHeight="1">
      <c r="A341" s="10">
        <v>35247</v>
      </c>
      <c r="B341" s="255">
        <v>60997.66</v>
      </c>
      <c r="D341" s="257">
        <f>B341/C349</f>
        <v>7.8941292977790026E-2</v>
      </c>
      <c r="E341" s="2"/>
      <c r="F341" s="258">
        <f>D341*E349</f>
        <v>71746.42565320828</v>
      </c>
      <c r="H341" s="261">
        <f t="shared" si="83"/>
        <v>159.99272771719671</v>
      </c>
      <c r="I341" s="262">
        <f t="shared" si="87"/>
        <v>202.10513727654083</v>
      </c>
      <c r="J341" s="258">
        <f t="shared" si="90"/>
        <v>0</v>
      </c>
      <c r="K341" s="261">
        <f t="shared" si="92"/>
        <v>202.42003608656501</v>
      </c>
      <c r="L341" s="261">
        <v>1</v>
      </c>
      <c r="M341" s="261">
        <f t="shared" si="82"/>
        <v>67</v>
      </c>
      <c r="N341" s="263">
        <v>168.784722216495</v>
      </c>
      <c r="O341" s="264">
        <v>71.099999999999994</v>
      </c>
      <c r="P341" s="263">
        <f t="shared" si="81"/>
        <v>206.075213694361</v>
      </c>
      <c r="Q341" s="265">
        <f t="shared" si="80"/>
        <v>0.81904426636590499</v>
      </c>
      <c r="R341" s="256">
        <v>3</v>
      </c>
      <c r="S341" s="266">
        <v>0.83442799999999995</v>
      </c>
    </row>
    <row r="342" spans="1:21" ht="12.65" customHeight="1">
      <c r="A342" s="10">
        <v>35278</v>
      </c>
      <c r="B342" s="255">
        <v>64989.24</v>
      </c>
      <c r="D342" s="257">
        <f>B342/C349</f>
        <v>8.4107072881876299E-2</v>
      </c>
      <c r="E342" s="2"/>
      <c r="F342" s="258">
        <f>D342*E349</f>
        <v>76441.386045276333</v>
      </c>
      <c r="H342" s="261">
        <f t="shared" si="83"/>
        <v>170.46237150519465</v>
      </c>
      <c r="I342" s="262">
        <f t="shared" si="87"/>
        <v>202.10513727654083</v>
      </c>
      <c r="J342" s="258">
        <f t="shared" si="90"/>
        <v>0</v>
      </c>
      <c r="K342" s="261">
        <f t="shared" si="92"/>
        <v>202.35705632456006</v>
      </c>
      <c r="L342" s="261">
        <v>1</v>
      </c>
      <c r="M342" s="261">
        <f t="shared" si="82"/>
        <v>68</v>
      </c>
      <c r="N342" s="263">
        <v>170.47548095037101</v>
      </c>
      <c r="O342" s="264">
        <v>72.400000000000006</v>
      </c>
      <c r="P342" s="263">
        <f t="shared" si="81"/>
        <v>207.386032163381</v>
      </c>
      <c r="Q342" s="265">
        <f t="shared" si="80"/>
        <v>0.82202007132316679</v>
      </c>
      <c r="R342" s="256">
        <v>3</v>
      </c>
      <c r="S342" s="266">
        <v>0.83442799999999995</v>
      </c>
    </row>
    <row r="343" spans="1:21" ht="12.65" customHeight="1">
      <c r="A343" s="10">
        <v>35309</v>
      </c>
      <c r="B343" s="255">
        <v>68224.13</v>
      </c>
      <c r="D343" s="257">
        <f>B343/C349</f>
        <v>8.8293567892355776E-2</v>
      </c>
      <c r="E343" s="2"/>
      <c r="F343" s="258">
        <f>D343*E349</f>
        <v>80246.315527510684</v>
      </c>
      <c r="H343" s="261">
        <f t="shared" si="83"/>
        <v>178.94726871215443</v>
      </c>
      <c r="I343" s="262">
        <f t="shared" si="87"/>
        <v>202.10513727654083</v>
      </c>
      <c r="J343" s="258">
        <f t="shared" si="90"/>
        <v>0</v>
      </c>
      <c r="K343" s="261">
        <f t="shared" si="92"/>
        <v>202.29407656255512</v>
      </c>
      <c r="L343" s="261">
        <v>1</v>
      </c>
      <c r="M343" s="261">
        <f t="shared" si="82"/>
        <v>69</v>
      </c>
      <c r="N343" s="263">
        <v>170.184135315926</v>
      </c>
      <c r="O343" s="264">
        <v>71.7</v>
      </c>
      <c r="P343" s="263">
        <f t="shared" si="81"/>
        <v>207.37791328020248</v>
      </c>
      <c r="Q343" s="265">
        <f t="shared" si="80"/>
        <v>0.82064735161057667</v>
      </c>
      <c r="R343" s="256">
        <v>3</v>
      </c>
      <c r="S343" s="266">
        <v>0.83442799999999995</v>
      </c>
    </row>
    <row r="344" spans="1:21" ht="12.65" customHeight="1">
      <c r="A344" s="10">
        <v>35339</v>
      </c>
      <c r="B344" s="255">
        <v>72269.259999999995</v>
      </c>
      <c r="D344" s="257">
        <f>B344/C349</f>
        <v>9.3528650557219428E-2</v>
      </c>
      <c r="E344" s="2"/>
      <c r="F344" s="258">
        <f>D344*E349</f>
        <v>85004.262288133337</v>
      </c>
      <c r="H344" s="261">
        <f t="shared" si="83"/>
        <v>189.55737052049696</v>
      </c>
      <c r="I344" s="262">
        <f t="shared" si="87"/>
        <v>202.10513727654083</v>
      </c>
      <c r="J344" s="258">
        <f t="shared" si="90"/>
        <v>0</v>
      </c>
      <c r="K344" s="261">
        <f t="shared" si="92"/>
        <v>202.23109680055018</v>
      </c>
      <c r="L344" s="261">
        <v>1</v>
      </c>
      <c r="M344" s="261">
        <f t="shared" si="82"/>
        <v>70</v>
      </c>
      <c r="N344" s="263">
        <v>169.516512264206</v>
      </c>
      <c r="O344" s="264">
        <v>73.099999999999994</v>
      </c>
      <c r="P344" s="263">
        <f t="shared" si="81"/>
        <v>205.98500128026186</v>
      </c>
      <c r="Q344" s="265">
        <f t="shared" si="80"/>
        <v>0.82295560944052881</v>
      </c>
      <c r="R344" s="256">
        <v>4</v>
      </c>
      <c r="S344" s="266">
        <v>0.83442799999999995</v>
      </c>
    </row>
    <row r="345" spans="1:21" ht="12.65" customHeight="1">
      <c r="A345" s="10">
        <v>35370</v>
      </c>
      <c r="B345" s="255">
        <v>72918.62</v>
      </c>
      <c r="D345" s="257">
        <f>B345/C349</f>
        <v>9.4369032270354938E-2</v>
      </c>
      <c r="E345" s="2"/>
      <c r="F345" s="258">
        <f>D345*E349</f>
        <v>85768.049931170244</v>
      </c>
      <c r="H345" s="261">
        <f t="shared" si="83"/>
        <v>191.26059778643531</v>
      </c>
      <c r="I345" s="262">
        <f t="shared" si="87"/>
        <v>202.10513727654083</v>
      </c>
      <c r="J345" s="258">
        <f t="shared" si="90"/>
        <v>0</v>
      </c>
      <c r="K345" s="261">
        <f t="shared" si="92"/>
        <v>202.16811703854523</v>
      </c>
      <c r="L345" s="261">
        <v>1</v>
      </c>
      <c r="M345" s="261">
        <f t="shared" si="82"/>
        <v>71</v>
      </c>
      <c r="N345" s="263">
        <v>169.15610775509199</v>
      </c>
      <c r="O345" s="264">
        <v>75.2</v>
      </c>
      <c r="P345" s="263">
        <f t="shared" si="81"/>
        <v>204.61809750896822</v>
      </c>
      <c r="Q345" s="265">
        <f t="shared" si="80"/>
        <v>0.8266918215661645</v>
      </c>
      <c r="R345" s="256">
        <v>4</v>
      </c>
      <c r="S345" s="266">
        <v>0.83442799999999995</v>
      </c>
    </row>
    <row r="346" spans="1:21" ht="12.65" customHeight="1">
      <c r="A346" s="10">
        <v>35400</v>
      </c>
      <c r="B346" s="255">
        <v>77053.13</v>
      </c>
      <c r="D346" s="257">
        <f>B346/C349</f>
        <v>9.9719787778510552E-2</v>
      </c>
      <c r="E346" s="2"/>
      <c r="F346" s="258">
        <f>D346*E349</f>
        <v>90631.126880801545</v>
      </c>
      <c r="H346" s="261">
        <f t="shared" si="83"/>
        <v>202.10513727654083</v>
      </c>
      <c r="I346" s="262">
        <f t="shared" si="87"/>
        <v>202.10513727654083</v>
      </c>
      <c r="J346" s="254">
        <f t="shared" si="90"/>
        <v>1</v>
      </c>
      <c r="K346" s="12">
        <f>I346</f>
        <v>202.10513727654083</v>
      </c>
      <c r="N346" s="263">
        <v>168.26828798800199</v>
      </c>
      <c r="O346" s="264">
        <v>69.7</v>
      </c>
      <c r="P346" s="263">
        <f t="shared" si="81"/>
        <v>206.13365002511054</v>
      </c>
      <c r="Q346" s="265">
        <f t="shared" si="80"/>
        <v>0.81630674063892084</v>
      </c>
      <c r="R346" s="256">
        <v>4</v>
      </c>
      <c r="S346" s="266">
        <v>0.83442799999999995</v>
      </c>
      <c r="T346" s="257">
        <f t="shared" ref="T346" si="93">AVERAGE(Q335:Q346)</f>
        <v>0.82191424818193004</v>
      </c>
      <c r="U346" s="257">
        <f t="shared" ref="U346" si="94">AVERAGE(S335:S346)</f>
        <v>0.83442799999999995</v>
      </c>
    </row>
    <row r="347" spans="1:21" ht="12.65" customHeight="1">
      <c r="A347" s="10">
        <v>35431</v>
      </c>
      <c r="B347" s="255">
        <v>58120.33</v>
      </c>
      <c r="D347" s="257">
        <f>B347/C349</f>
        <v>7.5217541107246391E-2</v>
      </c>
      <c r="E347" s="2"/>
      <c r="F347" s="258">
        <f>D347*E349</f>
        <v>68362.06397564974</v>
      </c>
      <c r="H347" s="261">
        <f t="shared" si="83"/>
        <v>152.44568615457743</v>
      </c>
      <c r="I347" s="262">
        <f t="shared" si="87"/>
        <v>202.10513727654083</v>
      </c>
      <c r="J347" s="258">
        <f t="shared" si="90"/>
        <v>0</v>
      </c>
      <c r="K347" s="261">
        <f>(K$370-K$346)/(M$369+1)+K346</f>
        <v>201.23288235060619</v>
      </c>
      <c r="L347" s="261">
        <v>1</v>
      </c>
      <c r="M347" s="261">
        <f t="shared" si="82"/>
        <v>1</v>
      </c>
      <c r="N347" s="263">
        <v>166.65995815429599</v>
      </c>
      <c r="O347" s="264">
        <v>76.3</v>
      </c>
      <c r="P347" s="263">
        <f t="shared" si="81"/>
        <v>201.30161447375968</v>
      </c>
      <c r="Q347" s="265">
        <f t="shared" si="80"/>
        <v>0.82791168163244244</v>
      </c>
      <c r="R347" s="256">
        <v>3</v>
      </c>
      <c r="S347" s="266">
        <v>0.83442799999999995</v>
      </c>
    </row>
    <row r="348" spans="1:21" ht="12.65" customHeight="1">
      <c r="A348" s="10">
        <v>35462</v>
      </c>
      <c r="B348" s="255">
        <v>58224.95</v>
      </c>
      <c r="D348" s="257">
        <f>B348/C349</f>
        <v>7.5352937089179728E-2</v>
      </c>
      <c r="E348" s="2"/>
      <c r="F348" s="258">
        <f>D348*E349</f>
        <v>68485.119696997703</v>
      </c>
      <c r="H348" s="261">
        <f t="shared" si="83"/>
        <v>152.72009732336275</v>
      </c>
      <c r="I348" s="262">
        <f t="shared" si="87"/>
        <v>202.10513727654083</v>
      </c>
      <c r="J348" s="258">
        <f t="shared" si="90"/>
        <v>0</v>
      </c>
      <c r="K348" s="261">
        <f t="shared" ref="K348:K369" si="95">(K$370-K$346)/(M$369+1)+K347</f>
        <v>200.36062742467155</v>
      </c>
      <c r="L348" s="261">
        <v>1</v>
      </c>
      <c r="M348" s="261">
        <f t="shared" si="82"/>
        <v>2</v>
      </c>
      <c r="N348" s="263">
        <v>164.25655760655701</v>
      </c>
      <c r="O348" s="264">
        <v>78.8</v>
      </c>
      <c r="P348" s="263">
        <f t="shared" si="81"/>
        <v>197.44918648768265</v>
      </c>
      <c r="Q348" s="265">
        <f t="shared" si="80"/>
        <v>0.83189280507267993</v>
      </c>
      <c r="R348" s="256">
        <v>3</v>
      </c>
      <c r="S348" s="266">
        <v>0.83442799999999995</v>
      </c>
    </row>
    <row r="349" spans="1:21" ht="12.65" customHeight="1">
      <c r="A349" s="10">
        <v>35490</v>
      </c>
      <c r="B349" s="255">
        <v>63427.6</v>
      </c>
      <c r="C349" s="259">
        <f t="shared" ref="C349" si="96">SUM(B338:B349)</f>
        <v>772696.49</v>
      </c>
      <c r="D349" s="257">
        <f>B349/C349</f>
        <v>8.2086046488964892E-2</v>
      </c>
      <c r="E349" s="260">
        <v>908858</v>
      </c>
      <c r="F349" s="258">
        <f>D349*E349</f>
        <v>74604.560039867647</v>
      </c>
      <c r="H349" s="261">
        <f t="shared" si="83"/>
        <v>166.36629563421394</v>
      </c>
      <c r="I349" s="262">
        <f t="shared" si="87"/>
        <v>202.10513727654083</v>
      </c>
      <c r="J349" s="258">
        <f t="shared" si="90"/>
        <v>0</v>
      </c>
      <c r="K349" s="261">
        <f t="shared" si="95"/>
        <v>199.48837249873691</v>
      </c>
      <c r="L349" s="261">
        <v>1</v>
      </c>
      <c r="M349" s="261">
        <f t="shared" si="82"/>
        <v>3</v>
      </c>
      <c r="N349" s="263">
        <v>162.38622162107399</v>
      </c>
      <c r="O349" s="264">
        <v>75.2</v>
      </c>
      <c r="P349" s="263">
        <f t="shared" si="81"/>
        <v>196.98818932799264</v>
      </c>
      <c r="Q349" s="265">
        <f t="shared" si="80"/>
        <v>0.82434496288858672</v>
      </c>
      <c r="R349" s="256">
        <v>3</v>
      </c>
      <c r="S349" s="266">
        <v>0.83442799999999995</v>
      </c>
    </row>
    <row r="350" spans="1:21" ht="12.65" customHeight="1">
      <c r="A350" s="10">
        <v>35521</v>
      </c>
      <c r="B350" s="255">
        <v>55544.17</v>
      </c>
      <c r="D350" s="257">
        <f>B350/C361</f>
        <v>7.8839825498578681E-2</v>
      </c>
      <c r="E350" s="2"/>
      <c r="F350" s="258">
        <f>D350*E361</f>
        <v>64641.719004190643</v>
      </c>
      <c r="H350" s="261">
        <f t="shared" si="83"/>
        <v>144.14941028280401</v>
      </c>
      <c r="I350" s="262">
        <f t="shared" si="87"/>
        <v>202.10513727654083</v>
      </c>
      <c r="J350" s="258">
        <f t="shared" si="90"/>
        <v>0</v>
      </c>
      <c r="K350" s="261">
        <f t="shared" si="95"/>
        <v>198.61611757280227</v>
      </c>
      <c r="L350" s="261">
        <v>1</v>
      </c>
      <c r="M350" s="261">
        <f t="shared" si="82"/>
        <v>4</v>
      </c>
      <c r="N350" s="263">
        <v>157.830168547634</v>
      </c>
      <c r="O350" s="264">
        <v>75.3</v>
      </c>
      <c r="P350" s="263">
        <f t="shared" si="81"/>
        <v>191.80760329510196</v>
      </c>
      <c r="Q350" s="265">
        <f t="shared" si="80"/>
        <v>0.8228566846998624</v>
      </c>
      <c r="R350" s="256">
        <v>9</v>
      </c>
      <c r="S350" s="266">
        <v>0.83442799999999995</v>
      </c>
    </row>
    <row r="351" spans="1:21" ht="12.65" customHeight="1">
      <c r="A351" s="10">
        <v>35551</v>
      </c>
      <c r="B351" s="255">
        <v>53841.03</v>
      </c>
      <c r="D351" s="257">
        <f>B351/C361</f>
        <v>7.6422375379157512E-2</v>
      </c>
      <c r="E351" s="2"/>
      <c r="F351" s="258">
        <f>D351*E361</f>
        <v>62659.622641875794</v>
      </c>
      <c r="H351" s="261">
        <f t="shared" si="83"/>
        <v>139.72938516353307</v>
      </c>
      <c r="I351" s="262">
        <f t="shared" si="87"/>
        <v>202.10513727654083</v>
      </c>
      <c r="J351" s="258">
        <f t="shared" si="90"/>
        <v>0</v>
      </c>
      <c r="K351" s="261">
        <f t="shared" si="95"/>
        <v>197.74386264686763</v>
      </c>
      <c r="L351" s="261">
        <v>1</v>
      </c>
      <c r="M351" s="261">
        <f t="shared" si="82"/>
        <v>5</v>
      </c>
      <c r="N351" s="263">
        <v>159.03853874165699</v>
      </c>
      <c r="O351" s="264">
        <v>71.900000000000006</v>
      </c>
      <c r="P351" s="263">
        <f t="shared" si="81"/>
        <v>194.72492345844609</v>
      </c>
      <c r="Q351" s="265">
        <f t="shared" si="80"/>
        <v>0.81673437543086513</v>
      </c>
      <c r="R351" s="256">
        <v>9</v>
      </c>
      <c r="S351" s="266">
        <v>0.83442799999999995</v>
      </c>
    </row>
    <row r="352" spans="1:21" ht="12.65" customHeight="1">
      <c r="A352" s="10">
        <v>35582</v>
      </c>
      <c r="B352" s="255">
        <v>54261.279999999999</v>
      </c>
      <c r="D352" s="257">
        <f>B352/C361</f>
        <v>7.7018881487103272E-2</v>
      </c>
      <c r="E352" s="2"/>
      <c r="F352" s="258">
        <f>D352*E361</f>
        <v>63148.705157853816</v>
      </c>
      <c r="H352" s="261">
        <f t="shared" si="83"/>
        <v>140.82002689373351</v>
      </c>
      <c r="I352" s="262">
        <f t="shared" si="87"/>
        <v>202.10513727654083</v>
      </c>
      <c r="J352" s="258">
        <f t="shared" si="90"/>
        <v>0</v>
      </c>
      <c r="K352" s="261">
        <f t="shared" si="95"/>
        <v>196.87160772093299</v>
      </c>
      <c r="L352" s="261">
        <v>1</v>
      </c>
      <c r="M352" s="261">
        <f t="shared" si="82"/>
        <v>6</v>
      </c>
      <c r="N352" s="263">
        <v>157.23110829621899</v>
      </c>
      <c r="O352" s="264">
        <v>77.900000000000006</v>
      </c>
      <c r="P352" s="263">
        <f t="shared" si="81"/>
        <v>189.94298420117295</v>
      </c>
      <c r="Q352" s="265">
        <f t="shared" si="80"/>
        <v>0.82778055192442346</v>
      </c>
      <c r="R352" s="256">
        <v>9</v>
      </c>
      <c r="S352" s="266">
        <v>0.83442799999999995</v>
      </c>
    </row>
    <row r="353" spans="1:21" ht="12.65" customHeight="1">
      <c r="A353" s="10">
        <v>35612</v>
      </c>
      <c r="B353" s="255">
        <v>56607.68</v>
      </c>
      <c r="D353" s="257">
        <f>B353/C361</f>
        <v>8.0349379837332743E-2</v>
      </c>
      <c r="E353" s="2"/>
      <c r="F353" s="258">
        <f>D353*E361</f>
        <v>65879.420721187169</v>
      </c>
      <c r="H353" s="261">
        <f t="shared" si="83"/>
        <v>146.90945403410797</v>
      </c>
      <c r="I353" s="262">
        <f t="shared" si="87"/>
        <v>202.10513727654083</v>
      </c>
      <c r="J353" s="258">
        <f t="shared" si="90"/>
        <v>0</v>
      </c>
      <c r="K353" s="261">
        <f t="shared" si="95"/>
        <v>195.99935279499834</v>
      </c>
      <c r="L353" s="261">
        <v>1</v>
      </c>
      <c r="M353" s="261">
        <f t="shared" si="82"/>
        <v>7</v>
      </c>
      <c r="N353" s="263">
        <v>155.45123138437401</v>
      </c>
      <c r="O353" s="264">
        <v>75</v>
      </c>
      <c r="P353" s="263">
        <f t="shared" si="81"/>
        <v>189.2636994558662</v>
      </c>
      <c r="Q353" s="265">
        <f t="shared" si="80"/>
        <v>0.82134731504930336</v>
      </c>
      <c r="R353" s="256">
        <v>7</v>
      </c>
      <c r="S353" s="266">
        <v>0.83442799999999995</v>
      </c>
    </row>
    <row r="354" spans="1:21" ht="12.65" customHeight="1">
      <c r="A354" s="10">
        <v>35643</v>
      </c>
      <c r="B354" s="255">
        <v>59216.77</v>
      </c>
      <c r="D354" s="257">
        <f>B354/C361</f>
        <v>8.4052742410039946E-2</v>
      </c>
      <c r="E354" s="2"/>
      <c r="F354" s="258">
        <f>D354*E361</f>
        <v>68915.852134900677</v>
      </c>
      <c r="H354" s="261">
        <f t="shared" si="83"/>
        <v>153.68061984457486</v>
      </c>
      <c r="I354" s="262">
        <f t="shared" si="87"/>
        <v>202.10513727654083</v>
      </c>
      <c r="J354" s="258">
        <f t="shared" si="90"/>
        <v>0</v>
      </c>
      <c r="K354" s="261">
        <f t="shared" si="95"/>
        <v>195.1270978690637</v>
      </c>
      <c r="L354" s="261">
        <v>1</v>
      </c>
      <c r="M354" s="261">
        <f t="shared" si="82"/>
        <v>8</v>
      </c>
      <c r="N354" s="263">
        <v>154.39397080718101</v>
      </c>
      <c r="O354" s="264">
        <v>74</v>
      </c>
      <c r="P354" s="263">
        <f t="shared" si="81"/>
        <v>188.52961151001148</v>
      </c>
      <c r="Q354" s="265">
        <f t="shared" si="80"/>
        <v>0.81893751103911983</v>
      </c>
      <c r="R354" s="256">
        <v>7</v>
      </c>
      <c r="S354" s="266">
        <v>0.83442799999999995</v>
      </c>
    </row>
    <row r="355" spans="1:21" ht="12.65" customHeight="1">
      <c r="A355" s="10">
        <v>35674</v>
      </c>
      <c r="B355" s="255">
        <v>61907.24</v>
      </c>
      <c r="D355" s="257">
        <f>B355/C361</f>
        <v>8.7871616385637411E-2</v>
      </c>
      <c r="E355" s="2"/>
      <c r="F355" s="258">
        <f>D355*E361</f>
        <v>72046.992733980747</v>
      </c>
      <c r="H355" s="261">
        <f t="shared" si="83"/>
        <v>160.66298476034507</v>
      </c>
      <c r="I355" s="262">
        <f t="shared" si="87"/>
        <v>202.10513727654083</v>
      </c>
      <c r="J355" s="258">
        <f t="shared" si="90"/>
        <v>0</v>
      </c>
      <c r="K355" s="261">
        <f t="shared" si="95"/>
        <v>194.25484294312906</v>
      </c>
      <c r="L355" s="261">
        <v>1</v>
      </c>
      <c r="M355" s="261">
        <f t="shared" si="82"/>
        <v>9</v>
      </c>
      <c r="N355" s="263">
        <v>153.485591509703</v>
      </c>
      <c r="O355" s="264">
        <v>73.5</v>
      </c>
      <c r="P355" s="263">
        <f t="shared" si="81"/>
        <v>187.73457657649431</v>
      </c>
      <c r="Q355" s="265">
        <f t="shared" si="80"/>
        <v>0.81756698370991765</v>
      </c>
      <c r="R355" s="256">
        <v>7</v>
      </c>
      <c r="S355" s="266">
        <v>0.83442799999999995</v>
      </c>
    </row>
    <row r="356" spans="1:21" ht="12.65" customHeight="1">
      <c r="A356" s="10">
        <v>35704</v>
      </c>
      <c r="B356" s="255">
        <v>65750.95</v>
      </c>
      <c r="D356" s="257">
        <f>B356/C361</f>
        <v>9.3327408157611702E-2</v>
      </c>
      <c r="E356" s="2"/>
      <c r="F356" s="258">
        <f>D356*E361</f>
        <v>76520.261877323719</v>
      </c>
      <c r="H356" s="261">
        <f t="shared" si="83"/>
        <v>170.63826263015775</v>
      </c>
      <c r="I356" s="262">
        <f t="shared" si="87"/>
        <v>202.10513727654083</v>
      </c>
      <c r="J356" s="258">
        <f t="shared" si="90"/>
        <v>0</v>
      </c>
      <c r="K356" s="261">
        <f t="shared" si="95"/>
        <v>193.38258801719442</v>
      </c>
      <c r="L356" s="261">
        <v>1</v>
      </c>
      <c r="M356" s="261">
        <f t="shared" si="82"/>
        <v>10</v>
      </c>
      <c r="N356" s="263">
        <v>152.624165796585</v>
      </c>
      <c r="O356" s="264">
        <v>75</v>
      </c>
      <c r="P356" s="263">
        <f t="shared" si="81"/>
        <v>186.07749359812843</v>
      </c>
      <c r="Q356" s="265">
        <f t="shared" si="80"/>
        <v>0.8202183017695166</v>
      </c>
      <c r="R356" s="256">
        <v>10</v>
      </c>
      <c r="S356" s="266">
        <v>0.83442799999999995</v>
      </c>
    </row>
    <row r="357" spans="1:21" ht="12.65" customHeight="1">
      <c r="A357" s="10">
        <v>35735</v>
      </c>
      <c r="B357" s="255">
        <v>65778.66</v>
      </c>
      <c r="D357" s="257">
        <f>B357/C361</f>
        <v>9.3366739946430702E-2</v>
      </c>
      <c r="E357" s="2"/>
      <c r="F357" s="258">
        <f>D357*E361</f>
        <v>76552.510482957892</v>
      </c>
      <c r="H357" s="261">
        <f t="shared" si="83"/>
        <v>170.71017621098792</v>
      </c>
      <c r="I357" s="262">
        <f t="shared" si="87"/>
        <v>202.10513727654083</v>
      </c>
      <c r="J357" s="258">
        <f t="shared" si="90"/>
        <v>0</v>
      </c>
      <c r="K357" s="261">
        <f t="shared" si="95"/>
        <v>192.51033309125978</v>
      </c>
      <c r="L357" s="261">
        <v>1</v>
      </c>
      <c r="M357" s="261">
        <f t="shared" si="82"/>
        <v>11</v>
      </c>
      <c r="N357" s="263">
        <v>151.22467049805201</v>
      </c>
      <c r="O357" s="264">
        <v>72.099999999999994</v>
      </c>
      <c r="P357" s="263">
        <f t="shared" si="81"/>
        <v>185.82691278163935</v>
      </c>
      <c r="Q357" s="265">
        <f t="shared" si="80"/>
        <v>0.81379315963642151</v>
      </c>
      <c r="R357" s="256">
        <v>10</v>
      </c>
      <c r="S357" s="266">
        <v>0.83442799999999995</v>
      </c>
    </row>
    <row r="358" spans="1:21" ht="12.65" customHeight="1">
      <c r="A358" s="10">
        <v>35765</v>
      </c>
      <c r="B358" s="255">
        <v>69248.53</v>
      </c>
      <c r="D358" s="257">
        <f>B358/C361</f>
        <v>9.8291900324248074E-2</v>
      </c>
      <c r="E358" s="2"/>
      <c r="F358" s="258">
        <f>D358*E361</f>
        <v>80590.708578654885</v>
      </c>
      <c r="H358" s="261">
        <f t="shared" si="83"/>
        <v>179.7152565688003</v>
      </c>
      <c r="I358" s="262">
        <f t="shared" si="87"/>
        <v>202.10513727654083</v>
      </c>
      <c r="J358" s="258">
        <f t="shared" si="90"/>
        <v>0</v>
      </c>
      <c r="K358" s="261">
        <f t="shared" si="95"/>
        <v>191.63807816532514</v>
      </c>
      <c r="L358" s="261">
        <v>1</v>
      </c>
      <c r="M358" s="261">
        <f t="shared" si="82"/>
        <v>12</v>
      </c>
      <c r="N358" s="263">
        <v>149.380725045806</v>
      </c>
      <c r="O358" s="264">
        <v>71.900000000000006</v>
      </c>
      <c r="P358" s="263">
        <f t="shared" si="81"/>
        <v>183.84021575885345</v>
      </c>
      <c r="Q358" s="265">
        <f t="shared" si="80"/>
        <v>0.812557385385967</v>
      </c>
      <c r="R358" s="256">
        <v>10</v>
      </c>
      <c r="S358" s="266">
        <v>0.83442799999999995</v>
      </c>
      <c r="T358" s="257">
        <f t="shared" ref="T358" si="97">AVERAGE(Q347:Q358)</f>
        <v>0.82132847651992547</v>
      </c>
      <c r="U358" s="257">
        <f t="shared" ref="U358" si="98">AVERAGE(S347:S358)</f>
        <v>0.83442799999999995</v>
      </c>
    </row>
    <row r="359" spans="1:21" ht="12.65" customHeight="1">
      <c r="A359" s="10">
        <v>35796</v>
      </c>
      <c r="B359" s="255">
        <v>52328.37</v>
      </c>
      <c r="D359" s="257">
        <f>B359/C361</f>
        <v>7.4275294048413362E-2</v>
      </c>
      <c r="E359" s="2"/>
      <c r="F359" s="258">
        <f>D359*E361</f>
        <v>60899.204893822694</v>
      </c>
      <c r="H359" s="261">
        <f t="shared" si="83"/>
        <v>135.80369778791137</v>
      </c>
      <c r="I359" s="262">
        <f t="shared" si="87"/>
        <v>181.17101905410959</v>
      </c>
      <c r="J359" s="258">
        <f t="shared" si="90"/>
        <v>0</v>
      </c>
      <c r="K359" s="261">
        <f t="shared" si="95"/>
        <v>190.7658232393905</v>
      </c>
      <c r="L359" s="261">
        <v>1</v>
      </c>
      <c r="M359" s="261">
        <f t="shared" si="82"/>
        <v>13</v>
      </c>
      <c r="N359" s="263">
        <v>148.67134394727</v>
      </c>
      <c r="O359" s="264">
        <v>69.8</v>
      </c>
      <c r="P359" s="263">
        <f t="shared" si="81"/>
        <v>184.00143219684267</v>
      </c>
      <c r="Q359" s="265">
        <f t="shared" si="80"/>
        <v>0.80799014536051583</v>
      </c>
      <c r="R359" s="256">
        <v>11</v>
      </c>
      <c r="S359" s="266">
        <v>0.83442799999999995</v>
      </c>
    </row>
    <row r="360" spans="1:21" ht="12.65" customHeight="1">
      <c r="A360" s="10">
        <v>35827</v>
      </c>
      <c r="B360" s="255">
        <v>52639.79</v>
      </c>
      <c r="D360" s="257">
        <f>B360/C361</f>
        <v>7.4717326010665511E-2</v>
      </c>
      <c r="E360" s="2"/>
      <c r="F360" s="258">
        <f>D360*E361</f>
        <v>61261.632204056783</v>
      </c>
      <c r="H360" s="261">
        <f t="shared" si="83"/>
        <v>136.61190158950333</v>
      </c>
      <c r="I360" s="262">
        <f t="shared" si="87"/>
        <v>181.17101905410959</v>
      </c>
      <c r="J360" s="258">
        <f t="shared" si="90"/>
        <v>0</v>
      </c>
      <c r="K360" s="261">
        <f t="shared" si="95"/>
        <v>189.89356831345586</v>
      </c>
      <c r="L360" s="261">
        <v>1</v>
      </c>
      <c r="M360" s="261">
        <f t="shared" si="82"/>
        <v>14</v>
      </c>
      <c r="N360" s="263">
        <v>146.21379931553099</v>
      </c>
      <c r="O360" s="264">
        <v>71.599999999999994</v>
      </c>
      <c r="P360" s="263">
        <f t="shared" si="81"/>
        <v>180.4082201120211</v>
      </c>
      <c r="Q360" s="265">
        <f t="shared" si="80"/>
        <v>0.81046084942660745</v>
      </c>
      <c r="R360" s="256">
        <v>11</v>
      </c>
      <c r="S360" s="266">
        <v>0.83442799999999995</v>
      </c>
    </row>
    <row r="361" spans="1:21" ht="12.65" customHeight="1">
      <c r="A361" s="10">
        <v>35855</v>
      </c>
      <c r="B361" s="255">
        <v>57394.720000000001</v>
      </c>
      <c r="C361" s="259">
        <f t="shared" ref="C361" si="99">SUM(B350:B361)</f>
        <v>704519.19000000006</v>
      </c>
      <c r="D361" s="257">
        <f>B361/C361</f>
        <v>8.1466510514781001E-2</v>
      </c>
      <c r="E361" s="260">
        <v>819912</v>
      </c>
      <c r="F361" s="258">
        <f>D361*E361</f>
        <v>66795.369569195114</v>
      </c>
      <c r="H361" s="261">
        <f t="shared" si="83"/>
        <v>148.95199696649811</v>
      </c>
      <c r="I361" s="262">
        <f t="shared" si="87"/>
        <v>181.17101905410959</v>
      </c>
      <c r="J361" s="258">
        <f t="shared" si="90"/>
        <v>0</v>
      </c>
      <c r="K361" s="261">
        <f t="shared" si="95"/>
        <v>189.02131338752122</v>
      </c>
      <c r="L361" s="261">
        <v>1</v>
      </c>
      <c r="M361" s="261">
        <f t="shared" si="82"/>
        <v>15</v>
      </c>
      <c r="N361" s="263">
        <v>143.47613521134801</v>
      </c>
      <c r="O361" s="264">
        <v>71.400000000000006</v>
      </c>
      <c r="P361" s="263">
        <f t="shared" si="81"/>
        <v>177.41426962604331</v>
      </c>
      <c r="Q361" s="265">
        <f t="shared" si="80"/>
        <v>0.80870685043412427</v>
      </c>
      <c r="R361" s="256">
        <v>11</v>
      </c>
      <c r="S361" s="266">
        <v>0.83442799999999995</v>
      </c>
    </row>
    <row r="362" spans="1:21" ht="12.65" customHeight="1">
      <c r="A362" s="10">
        <v>35886</v>
      </c>
      <c r="B362" s="255">
        <v>50747.66</v>
      </c>
      <c r="D362" s="257">
        <f>B362/C373</f>
        <v>7.5519513386067785E-2</v>
      </c>
      <c r="E362" s="2"/>
      <c r="F362" s="258">
        <f>D362*E373</f>
        <v>60028.271124697087</v>
      </c>
      <c r="H362" s="261">
        <f t="shared" si="83"/>
        <v>133.86153735113993</v>
      </c>
      <c r="I362" s="262">
        <f t="shared" si="87"/>
        <v>181.17101905410959</v>
      </c>
      <c r="J362" s="258">
        <f t="shared" si="90"/>
        <v>0</v>
      </c>
      <c r="K362" s="261">
        <f t="shared" si="95"/>
        <v>188.14905846158658</v>
      </c>
      <c r="L362" s="261">
        <v>1</v>
      </c>
      <c r="M362" s="261">
        <f t="shared" si="82"/>
        <v>16</v>
      </c>
      <c r="N362" s="263">
        <v>146.843567754726</v>
      </c>
      <c r="O362" s="264">
        <v>68.8</v>
      </c>
      <c r="P362" s="263">
        <f t="shared" si="81"/>
        <v>182.39894509614919</v>
      </c>
      <c r="Q362" s="265">
        <f t="shared" si="80"/>
        <v>0.80506807579023743</v>
      </c>
      <c r="R362" s="256">
        <v>16</v>
      </c>
      <c r="S362" s="266">
        <v>0.83442799999999995</v>
      </c>
    </row>
    <row r="363" spans="1:21" ht="12.65" customHeight="1">
      <c r="A363" s="10">
        <v>35916</v>
      </c>
      <c r="B363" s="255">
        <v>48308.13</v>
      </c>
      <c r="D363" s="257">
        <f>B363/C373</f>
        <v>7.1889156469301288E-2</v>
      </c>
      <c r="E363" s="2"/>
      <c r="F363" s="258">
        <f>D363*E373</f>
        <v>57142.605691909986</v>
      </c>
      <c r="H363" s="261">
        <f t="shared" si="83"/>
        <v>127.42657589253814</v>
      </c>
      <c r="I363" s="262">
        <f t="shared" si="87"/>
        <v>181.17101905410959</v>
      </c>
      <c r="J363" s="258">
        <f t="shared" si="90"/>
        <v>0</v>
      </c>
      <c r="K363" s="261">
        <f t="shared" si="95"/>
        <v>187.27680353565194</v>
      </c>
      <c r="L363" s="261">
        <v>1</v>
      </c>
      <c r="M363" s="261">
        <f t="shared" si="82"/>
        <v>17</v>
      </c>
      <c r="N363" s="263">
        <v>145.434143615403</v>
      </c>
      <c r="O363" s="264">
        <v>68.2</v>
      </c>
      <c r="P363" s="263">
        <f t="shared" si="81"/>
        <v>181.08496270382327</v>
      </c>
      <c r="Q363" s="265">
        <f t="shared" si="80"/>
        <v>0.8031265624924937</v>
      </c>
      <c r="R363" s="256">
        <v>16</v>
      </c>
      <c r="S363" s="266">
        <v>0.83442799999999995</v>
      </c>
    </row>
    <row r="364" spans="1:21" ht="12.65" customHeight="1">
      <c r="A364" s="10">
        <v>35947</v>
      </c>
      <c r="B364" s="255">
        <v>49215.34</v>
      </c>
      <c r="D364" s="257">
        <f>B364/C373</f>
        <v>7.3239210003572114E-2</v>
      </c>
      <c r="E364" s="2"/>
      <c r="F364" s="258">
        <f>D364*E373</f>
        <v>58215.72409474937</v>
      </c>
      <c r="H364" s="261">
        <f t="shared" si="83"/>
        <v>129.81960298581353</v>
      </c>
      <c r="I364" s="262">
        <f t="shared" si="87"/>
        <v>181.17101905410959</v>
      </c>
      <c r="J364" s="258">
        <f t="shared" si="90"/>
        <v>0</v>
      </c>
      <c r="K364" s="261">
        <f t="shared" si="95"/>
        <v>186.4045486097173</v>
      </c>
      <c r="L364" s="261">
        <v>1</v>
      </c>
      <c r="M364" s="261">
        <f t="shared" si="82"/>
        <v>18</v>
      </c>
      <c r="N364" s="263">
        <v>145.01324768824199</v>
      </c>
      <c r="O364" s="264">
        <v>67.8</v>
      </c>
      <c r="P364" s="263">
        <f t="shared" si="81"/>
        <v>180.79359095689671</v>
      </c>
      <c r="Q364" s="265">
        <f t="shared" si="80"/>
        <v>0.8020928558403092</v>
      </c>
      <c r="R364" s="256">
        <v>16</v>
      </c>
      <c r="S364" s="266">
        <v>0.83442799999999995</v>
      </c>
    </row>
    <row r="365" spans="1:21" ht="12.65" customHeight="1">
      <c r="A365" s="10">
        <v>35977</v>
      </c>
      <c r="B365" s="255">
        <v>51811.27</v>
      </c>
      <c r="D365" s="257">
        <f>B365/C373</f>
        <v>7.7102311679280805E-2</v>
      </c>
      <c r="E365" s="2"/>
      <c r="F365" s="258">
        <f>D365*E373</f>
        <v>61286.391586821614</v>
      </c>
      <c r="H365" s="261">
        <f t="shared" si="83"/>
        <v>136.66711439138263</v>
      </c>
      <c r="I365" s="262">
        <f t="shared" si="87"/>
        <v>181.17101905410959</v>
      </c>
      <c r="J365" s="258">
        <f t="shared" si="90"/>
        <v>0</v>
      </c>
      <c r="K365" s="261">
        <f t="shared" si="95"/>
        <v>185.53229368378265</v>
      </c>
      <c r="L365" s="261">
        <v>1</v>
      </c>
      <c r="M365" s="261">
        <f t="shared" si="82"/>
        <v>19</v>
      </c>
      <c r="N365" s="263">
        <v>144.953071020811</v>
      </c>
      <c r="O365" s="264">
        <v>68.3</v>
      </c>
      <c r="P365" s="263">
        <f t="shared" si="81"/>
        <v>180.49702805049489</v>
      </c>
      <c r="Q365" s="265">
        <f t="shared" si="80"/>
        <v>0.80307732812232058</v>
      </c>
      <c r="R365" s="256">
        <v>15</v>
      </c>
      <c r="S365" s="266">
        <v>0.83442799999999995</v>
      </c>
    </row>
    <row r="366" spans="1:21" ht="12.65" customHeight="1">
      <c r="A366" s="10">
        <v>36008</v>
      </c>
      <c r="B366" s="255">
        <v>54776.12</v>
      </c>
      <c r="D366" s="257">
        <f>B366/C373</f>
        <v>8.1514417168729661E-2</v>
      </c>
      <c r="E366" s="2"/>
      <c r="F366" s="258">
        <f>D366*E373</f>
        <v>64793.446289325315</v>
      </c>
      <c r="H366" s="261">
        <f t="shared" si="83"/>
        <v>144.48775831891604</v>
      </c>
      <c r="I366" s="262">
        <f t="shared" si="87"/>
        <v>181.17101905410959</v>
      </c>
      <c r="J366" s="258">
        <f t="shared" si="90"/>
        <v>0</v>
      </c>
      <c r="K366" s="261">
        <f t="shared" si="95"/>
        <v>184.66003875784801</v>
      </c>
      <c r="L366" s="261">
        <v>1</v>
      </c>
      <c r="M366" s="261">
        <f t="shared" si="82"/>
        <v>20</v>
      </c>
      <c r="N366" s="263">
        <v>145.84868505059501</v>
      </c>
      <c r="O366" s="264">
        <v>68.599999999999994</v>
      </c>
      <c r="P366" s="263">
        <f t="shared" si="81"/>
        <v>181.36917270691828</v>
      </c>
      <c r="Q366" s="265">
        <f t="shared" si="80"/>
        <v>0.80415366555306367</v>
      </c>
      <c r="R366" s="256">
        <v>15</v>
      </c>
      <c r="S366" s="266">
        <v>0.83442799999999995</v>
      </c>
    </row>
    <row r="367" spans="1:21" ht="12.65" customHeight="1">
      <c r="A367" s="10">
        <v>36039</v>
      </c>
      <c r="B367" s="255">
        <v>58092.69</v>
      </c>
      <c r="D367" s="257">
        <f>B367/C373</f>
        <v>8.6449930500986372E-2</v>
      </c>
      <c r="E367" s="2"/>
      <c r="F367" s="258">
        <f>D367*E373</f>
        <v>68716.542707249537</v>
      </c>
      <c r="H367" s="261">
        <f t="shared" si="83"/>
        <v>153.23616482539671</v>
      </c>
      <c r="I367" s="262">
        <f t="shared" si="87"/>
        <v>181.17101905410959</v>
      </c>
      <c r="J367" s="258">
        <f t="shared" si="90"/>
        <v>0</v>
      </c>
      <c r="K367" s="261">
        <f t="shared" si="95"/>
        <v>183.78778383191337</v>
      </c>
      <c r="L367" s="261">
        <v>1</v>
      </c>
      <c r="M367" s="261">
        <f t="shared" si="82"/>
        <v>21</v>
      </c>
      <c r="N367" s="263">
        <v>146.928417296693</v>
      </c>
      <c r="O367" s="264">
        <v>66.2</v>
      </c>
      <c r="P367" s="263">
        <f t="shared" si="81"/>
        <v>183.68402999687396</v>
      </c>
      <c r="Q367" s="265">
        <f t="shared" si="80"/>
        <v>0.79989761384913816</v>
      </c>
      <c r="R367" s="256">
        <v>15</v>
      </c>
      <c r="S367" s="266">
        <v>0.83442799999999995</v>
      </c>
    </row>
    <row r="368" spans="1:21" ht="12.65" customHeight="1">
      <c r="A368" s="10">
        <v>36069</v>
      </c>
      <c r="B368" s="255">
        <v>63180.89</v>
      </c>
      <c r="D368" s="257">
        <f>B368/C373</f>
        <v>9.4021873483401519E-2</v>
      </c>
      <c r="E368" s="2"/>
      <c r="F368" s="258">
        <f>D368*E373</f>
        <v>74735.260597624845</v>
      </c>
      <c r="H368" s="261">
        <f t="shared" si="83"/>
        <v>166.65775459623677</v>
      </c>
      <c r="I368" s="262">
        <f t="shared" si="87"/>
        <v>181.17101905410959</v>
      </c>
      <c r="J368" s="258">
        <f t="shared" si="90"/>
        <v>0</v>
      </c>
      <c r="K368" s="261">
        <f t="shared" si="95"/>
        <v>182.91552890597873</v>
      </c>
      <c r="L368" s="261">
        <v>1</v>
      </c>
      <c r="M368" s="261">
        <f t="shared" si="82"/>
        <v>22</v>
      </c>
      <c r="N368" s="263">
        <v>149.634632942373</v>
      </c>
      <c r="O368" s="264">
        <v>66.5</v>
      </c>
      <c r="P368" s="263">
        <f t="shared" si="81"/>
        <v>186.5967886027986</v>
      </c>
      <c r="Q368" s="265">
        <f t="shared" si="80"/>
        <v>0.80191429907668177</v>
      </c>
      <c r="R368" s="256">
        <v>13</v>
      </c>
      <c r="S368" s="266">
        <v>0.83442799999999995</v>
      </c>
    </row>
    <row r="369" spans="1:21" ht="12.65" customHeight="1">
      <c r="A369" s="10">
        <v>36100</v>
      </c>
      <c r="B369" s="255">
        <v>65255.08</v>
      </c>
      <c r="D369" s="257">
        <f>B369/C373</f>
        <v>9.7108554119912607E-2</v>
      </c>
      <c r="E369" s="2"/>
      <c r="F369" s="258">
        <f>D369*E373</f>
        <v>77188.773521849056</v>
      </c>
      <c r="H369" s="261">
        <f t="shared" si="83"/>
        <v>172.12902681171158</v>
      </c>
      <c r="I369" s="262">
        <f t="shared" si="87"/>
        <v>181.17101905410959</v>
      </c>
      <c r="J369" s="258">
        <f t="shared" si="90"/>
        <v>0</v>
      </c>
      <c r="K369" s="261">
        <f t="shared" si="95"/>
        <v>182.04327398004409</v>
      </c>
      <c r="L369" s="261">
        <v>1</v>
      </c>
      <c r="M369" s="261">
        <f t="shared" si="82"/>
        <v>23</v>
      </c>
      <c r="N369" s="263">
        <v>152.77427947515</v>
      </c>
      <c r="O369" s="264">
        <v>66</v>
      </c>
      <c r="P369" s="263">
        <f t="shared" si="81"/>
        <v>190.36402617839551</v>
      </c>
      <c r="Q369" s="265">
        <f t="shared" si="80"/>
        <v>0.80253755156439543</v>
      </c>
      <c r="R369" s="256">
        <v>13</v>
      </c>
      <c r="S369" s="266">
        <v>0.83442799999999995</v>
      </c>
    </row>
    <row r="370" spans="1:21" ht="12.65" customHeight="1">
      <c r="A370" s="10">
        <v>36130</v>
      </c>
      <c r="B370" s="255">
        <v>68682.95</v>
      </c>
      <c r="D370" s="257">
        <f>B370/C373</f>
        <v>0.10220969719430657</v>
      </c>
      <c r="E370" s="2"/>
      <c r="F370" s="258">
        <f>D370*E373</f>
        <v>81243.524218535662</v>
      </c>
      <c r="H370" s="261">
        <f t="shared" si="83"/>
        <v>181.17101905410959</v>
      </c>
      <c r="I370" s="262">
        <f t="shared" si="87"/>
        <v>181.17101905410959</v>
      </c>
      <c r="J370" s="254">
        <f t="shared" si="90"/>
        <v>1</v>
      </c>
      <c r="K370" s="12">
        <f>I370</f>
        <v>181.17101905410959</v>
      </c>
      <c r="N370" s="263">
        <v>150.664249388461</v>
      </c>
      <c r="O370" s="264">
        <v>66.400000000000006</v>
      </c>
      <c r="P370" s="263">
        <f t="shared" si="81"/>
        <v>187.80295215057205</v>
      </c>
      <c r="Q370" s="265">
        <f t="shared" si="80"/>
        <v>0.80224643789233463</v>
      </c>
      <c r="R370" s="256">
        <v>13</v>
      </c>
      <c r="S370" s="266">
        <v>0.83442799999999995</v>
      </c>
      <c r="T370" s="257">
        <f t="shared" ref="T370" si="100">AVERAGE(Q359:Q370)</f>
        <v>0.80427268628351845</v>
      </c>
      <c r="U370" s="257">
        <f t="shared" ref="U370" si="101">AVERAGE(S359:S370)</f>
        <v>0.83442799999999995</v>
      </c>
    </row>
    <row r="371" spans="1:21" ht="12.65" customHeight="1">
      <c r="A371" s="10">
        <v>36161</v>
      </c>
      <c r="B371" s="255">
        <v>51147.49</v>
      </c>
      <c r="D371" s="257">
        <f>B371/C373</f>
        <v>7.6114515540593744E-2</v>
      </c>
      <c r="E371" s="2"/>
      <c r="F371" s="258">
        <f>D371*E373</f>
        <v>60501.221082267293</v>
      </c>
      <c r="H371" s="261">
        <f t="shared" si="83"/>
        <v>134.91620388116525</v>
      </c>
      <c r="I371" s="262">
        <f t="shared" si="87"/>
        <v>181.17101905410959</v>
      </c>
      <c r="J371" s="258">
        <f t="shared" si="90"/>
        <v>0</v>
      </c>
      <c r="K371" s="261">
        <f>(K$490-K$370)/(M$489+1)+K370</f>
        <v>180.56637121447736</v>
      </c>
      <c r="L371" s="261">
        <v>1</v>
      </c>
      <c r="M371" s="261">
        <f t="shared" si="82"/>
        <v>1</v>
      </c>
      <c r="N371" s="263">
        <v>147.482706531801</v>
      </c>
      <c r="O371" s="264">
        <v>64.400000000000006</v>
      </c>
      <c r="P371" s="263">
        <f t="shared" si="81"/>
        <v>185.13220394755751</v>
      </c>
      <c r="Q371" s="265">
        <f t="shared" si="80"/>
        <v>0.79663453136213136</v>
      </c>
      <c r="R371" s="256">
        <v>14</v>
      </c>
      <c r="S371" s="266">
        <v>0.83442799999999995</v>
      </c>
    </row>
    <row r="372" spans="1:21" ht="12.65" customHeight="1">
      <c r="A372" s="10">
        <v>36192</v>
      </c>
      <c r="B372" s="255">
        <v>52284.58</v>
      </c>
      <c r="D372" s="257">
        <f>B372/C373</f>
        <v>7.7806662202649965E-2</v>
      </c>
      <c r="E372" s="2"/>
      <c r="F372" s="258">
        <f>D372*E373</f>
        <v>61846.259391682579</v>
      </c>
      <c r="H372" s="261">
        <f t="shared" si="83"/>
        <v>137.9156055384359</v>
      </c>
      <c r="I372" s="262">
        <f t="shared" si="87"/>
        <v>181.17101905410959</v>
      </c>
      <c r="J372" s="258">
        <f t="shared" si="90"/>
        <v>0</v>
      </c>
      <c r="K372" s="261">
        <f t="shared" ref="K372:K435" si="102">(K$490-K$370)/(M$489+1)+K371</f>
        <v>179.96172337484512</v>
      </c>
      <c r="L372" s="261">
        <v>1</v>
      </c>
      <c r="M372" s="261">
        <f t="shared" si="82"/>
        <v>2</v>
      </c>
      <c r="N372" s="263">
        <v>146.08568726851999</v>
      </c>
      <c r="O372" s="264">
        <v>62.1</v>
      </c>
      <c r="P372" s="263">
        <f t="shared" si="81"/>
        <v>184.60992377972104</v>
      </c>
      <c r="Q372" s="265">
        <f t="shared" si="80"/>
        <v>0.79132087960142017</v>
      </c>
      <c r="R372" s="256">
        <v>14</v>
      </c>
      <c r="S372" s="266">
        <v>0.83442799999999995</v>
      </c>
    </row>
    <row r="373" spans="1:21" ht="12.65" customHeight="1">
      <c r="A373" s="10">
        <v>36220</v>
      </c>
      <c r="B373" s="255">
        <v>58478.559999999998</v>
      </c>
      <c r="C373" s="259">
        <f t="shared" ref="C373" si="103">SUM(B362:B373)</f>
        <v>671980.76</v>
      </c>
      <c r="D373" s="257">
        <f>B373/C373</f>
        <v>8.7024158251197539E-2</v>
      </c>
      <c r="E373" s="260">
        <v>794871</v>
      </c>
      <c r="F373" s="258">
        <f>D373*E373</f>
        <v>69172.979693287634</v>
      </c>
      <c r="H373" s="261">
        <f t="shared" si="83"/>
        <v>154.25400784353161</v>
      </c>
      <c r="I373" s="262">
        <f t="shared" si="87"/>
        <v>181.17101905410959</v>
      </c>
      <c r="J373" s="258">
        <f t="shared" si="90"/>
        <v>0</v>
      </c>
      <c r="K373" s="261">
        <f t="shared" si="102"/>
        <v>179.35707553521289</v>
      </c>
      <c r="L373" s="261">
        <v>1</v>
      </c>
      <c r="M373" s="261">
        <f t="shared" si="82"/>
        <v>3</v>
      </c>
      <c r="N373" s="263">
        <v>146.500729708146</v>
      </c>
      <c r="O373" s="264">
        <v>60.2</v>
      </c>
      <c r="P373" s="263">
        <f t="shared" si="81"/>
        <v>185.94690984378937</v>
      </c>
      <c r="Q373" s="265">
        <f t="shared" si="80"/>
        <v>0.78786321230731182</v>
      </c>
      <c r="R373" s="256">
        <v>14</v>
      </c>
      <c r="S373" s="266">
        <v>0.83442799999999995</v>
      </c>
    </row>
    <row r="374" spans="1:21" ht="12.65" customHeight="1">
      <c r="A374" s="10">
        <v>36251</v>
      </c>
      <c r="B374" s="255">
        <v>51719.08</v>
      </c>
      <c r="D374" s="257">
        <f>B374/C385</f>
        <v>7.7861940525396495E-2</v>
      </c>
      <c r="E374" s="2"/>
      <c r="F374" s="258">
        <f>D374*E385</f>
        <v>59873.340681933092</v>
      </c>
      <c r="H374" s="261">
        <f t="shared" si="83"/>
        <v>133.51604635394295</v>
      </c>
      <c r="I374" s="262">
        <f t="shared" si="87"/>
        <v>181.17101905410959</v>
      </c>
      <c r="J374" s="258">
        <f t="shared" si="90"/>
        <v>0</v>
      </c>
      <c r="K374" s="261">
        <f t="shared" si="102"/>
        <v>178.75242769558065</v>
      </c>
      <c r="L374" s="261">
        <v>1</v>
      </c>
      <c r="M374" s="261">
        <f t="shared" si="82"/>
        <v>4</v>
      </c>
      <c r="N374" s="263">
        <v>146.54408261821899</v>
      </c>
      <c r="O374" s="264">
        <v>61.6</v>
      </c>
      <c r="P374" s="263">
        <f t="shared" si="81"/>
        <v>185.35529364114481</v>
      </c>
      <c r="Q374" s="265">
        <f t="shared" si="80"/>
        <v>0.79061180147319743</v>
      </c>
      <c r="R374" s="256">
        <v>17</v>
      </c>
      <c r="S374" s="266">
        <v>0.83442799999999995</v>
      </c>
    </row>
    <row r="375" spans="1:21" ht="12.65" customHeight="1">
      <c r="A375" s="10">
        <v>36281</v>
      </c>
      <c r="B375" s="255">
        <v>50091.89</v>
      </c>
      <c r="D375" s="257">
        <f>B375/C385</f>
        <v>7.541224167144317E-2</v>
      </c>
      <c r="E375" s="2"/>
      <c r="F375" s="258">
        <f>D375*E385</f>
        <v>57989.600653606314</v>
      </c>
      <c r="H375" s="261">
        <f t="shared" si="83"/>
        <v>129.31535338982462</v>
      </c>
      <c r="I375" s="262">
        <f t="shared" si="87"/>
        <v>181.17101905410959</v>
      </c>
      <c r="J375" s="258">
        <f t="shared" si="90"/>
        <v>0</v>
      </c>
      <c r="K375" s="261">
        <f t="shared" si="102"/>
        <v>178.14777985594841</v>
      </c>
      <c r="L375" s="261">
        <v>1</v>
      </c>
      <c r="M375" s="261">
        <f t="shared" si="82"/>
        <v>5</v>
      </c>
      <c r="N375" s="263">
        <v>148.60012342164001</v>
      </c>
      <c r="O375" s="264">
        <v>63.3</v>
      </c>
      <c r="P375" s="263">
        <f t="shared" si="81"/>
        <v>186.89480501452297</v>
      </c>
      <c r="Q375" s="265">
        <f t="shared" si="80"/>
        <v>0.79510034219566872</v>
      </c>
      <c r="R375" s="256">
        <v>17</v>
      </c>
      <c r="S375" s="266">
        <v>0.83442799999999995</v>
      </c>
    </row>
    <row r="376" spans="1:21" ht="12.65" customHeight="1">
      <c r="A376" s="10">
        <v>36312</v>
      </c>
      <c r="B376" s="255">
        <v>51252.84</v>
      </c>
      <c r="D376" s="257">
        <f>B376/C385</f>
        <v>7.71600264319795E-2</v>
      </c>
      <c r="E376" s="2"/>
      <c r="F376" s="258">
        <f>D376*E385</f>
        <v>59333.591205346413</v>
      </c>
      <c r="H376" s="261">
        <f t="shared" si="83"/>
        <v>132.31241857378788</v>
      </c>
      <c r="I376" s="262">
        <f t="shared" si="87"/>
        <v>181.17101905410959</v>
      </c>
      <c r="J376" s="258">
        <f t="shared" si="90"/>
        <v>0</v>
      </c>
      <c r="K376" s="261">
        <f t="shared" si="102"/>
        <v>177.54313201631618</v>
      </c>
      <c r="L376" s="261">
        <v>1</v>
      </c>
      <c r="M376" s="261">
        <f t="shared" si="82"/>
        <v>6</v>
      </c>
      <c r="N376" s="263">
        <v>148.28415612465801</v>
      </c>
      <c r="O376" s="264">
        <v>62.6</v>
      </c>
      <c r="P376" s="263">
        <f t="shared" si="81"/>
        <v>186.85893662113094</v>
      </c>
      <c r="Q376" s="265">
        <f t="shared" si="80"/>
        <v>0.79356202494780392</v>
      </c>
      <c r="R376" s="256">
        <v>17</v>
      </c>
      <c r="S376" s="266">
        <v>0.83442799999999995</v>
      </c>
    </row>
    <row r="377" spans="1:21" ht="12.65" customHeight="1">
      <c r="A377" s="10">
        <v>36342</v>
      </c>
      <c r="B377" s="255">
        <v>53596</v>
      </c>
      <c r="D377" s="257">
        <f>B377/C385</f>
        <v>8.0687602416731896E-2</v>
      </c>
      <c r="E377" s="2"/>
      <c r="F377" s="258">
        <f>D377*E385</f>
        <v>62046.184255189495</v>
      </c>
      <c r="H377" s="261">
        <f t="shared" si="83"/>
        <v>138.36143296411936</v>
      </c>
      <c r="I377" s="262">
        <f t="shared" si="87"/>
        <v>181.17101905410959</v>
      </c>
      <c r="J377" s="258">
        <f t="shared" si="90"/>
        <v>0</v>
      </c>
      <c r="K377" s="261">
        <f t="shared" si="102"/>
        <v>176.93848417668394</v>
      </c>
      <c r="L377" s="261">
        <v>1</v>
      </c>
      <c r="M377" s="261">
        <f t="shared" si="82"/>
        <v>7</v>
      </c>
      <c r="N377" s="263">
        <v>147.143491675018</v>
      </c>
      <c r="O377" s="264">
        <v>63.4</v>
      </c>
      <c r="P377" s="263">
        <f t="shared" si="81"/>
        <v>185.2073796743872</v>
      </c>
      <c r="Q377" s="265">
        <f t="shared" si="80"/>
        <v>0.79447963646864794</v>
      </c>
      <c r="R377" s="256">
        <v>15</v>
      </c>
      <c r="S377" s="266">
        <v>0.83442799999999995</v>
      </c>
    </row>
    <row r="378" spans="1:21" ht="12.65" customHeight="1">
      <c r="A378" s="10">
        <v>36373</v>
      </c>
      <c r="B378" s="255">
        <v>55521.79</v>
      </c>
      <c r="D378" s="257">
        <f>B378/C385</f>
        <v>8.3586837021144889E-2</v>
      </c>
      <c r="E378" s="2"/>
      <c r="F378" s="258">
        <f>D378*E385</f>
        <v>64275.60289047574</v>
      </c>
      <c r="H378" s="261">
        <f t="shared" si="83"/>
        <v>143.33298054207242</v>
      </c>
      <c r="I378" s="262">
        <f t="shared" si="87"/>
        <v>181.17101905410959</v>
      </c>
      <c r="J378" s="258">
        <f t="shared" si="90"/>
        <v>0</v>
      </c>
      <c r="K378" s="261">
        <f t="shared" si="102"/>
        <v>176.33383633705171</v>
      </c>
      <c r="L378" s="261">
        <v>1</v>
      </c>
      <c r="M378" s="261">
        <f t="shared" si="82"/>
        <v>8</v>
      </c>
      <c r="N378" s="263">
        <v>145.28292279262601</v>
      </c>
      <c r="O378" s="264">
        <v>63.4</v>
      </c>
      <c r="P378" s="263">
        <f t="shared" si="81"/>
        <v>183.11045079611586</v>
      </c>
      <c r="Q378" s="265">
        <f t="shared" si="80"/>
        <v>0.79341688123738574</v>
      </c>
      <c r="R378" s="256">
        <v>15</v>
      </c>
      <c r="S378" s="266">
        <v>0.83442799999999995</v>
      </c>
    </row>
    <row r="379" spans="1:21" ht="12.65" customHeight="1">
      <c r="A379" s="10">
        <v>36404</v>
      </c>
      <c r="B379" s="255">
        <v>57811.64</v>
      </c>
      <c r="D379" s="257">
        <f>B379/C385</f>
        <v>8.7034155970207375E-2</v>
      </c>
      <c r="E379" s="2"/>
      <c r="F379" s="258">
        <f>D379*E385</f>
        <v>66926.480848098421</v>
      </c>
      <c r="H379" s="261">
        <f t="shared" si="83"/>
        <v>149.24437182636393</v>
      </c>
      <c r="I379" s="262">
        <f t="shared" si="87"/>
        <v>181.17101905410959</v>
      </c>
      <c r="J379" s="258">
        <f t="shared" si="90"/>
        <v>0</v>
      </c>
      <c r="K379" s="261">
        <f t="shared" si="102"/>
        <v>175.72918849741947</v>
      </c>
      <c r="L379" s="261">
        <v>1</v>
      </c>
      <c r="M379" s="261">
        <f t="shared" si="82"/>
        <v>9</v>
      </c>
      <c r="N379" s="263">
        <v>143.184893488249</v>
      </c>
      <c r="O379" s="264">
        <v>66.599999999999994</v>
      </c>
      <c r="P379" s="263">
        <f t="shared" si="81"/>
        <v>179.28194906517319</v>
      </c>
      <c r="Q379" s="265">
        <f t="shared" si="80"/>
        <v>0.79865761296580917</v>
      </c>
      <c r="R379" s="256">
        <v>15</v>
      </c>
      <c r="S379" s="266">
        <v>0.83442799999999995</v>
      </c>
    </row>
    <row r="380" spans="1:21" ht="12.65" customHeight="1">
      <c r="A380" s="10">
        <v>36434</v>
      </c>
      <c r="B380" s="255">
        <v>61024.12</v>
      </c>
      <c r="D380" s="257">
        <f>B380/C385</f>
        <v>9.1870474147155337E-2</v>
      </c>
      <c r="E380" s="2"/>
      <c r="F380" s="258">
        <f>D380*E385</f>
        <v>70645.45476398975</v>
      </c>
      <c r="H380" s="261">
        <f t="shared" si="83"/>
        <v>157.53759027864723</v>
      </c>
      <c r="I380" s="262">
        <f t="shared" si="87"/>
        <v>181.17101905410959</v>
      </c>
      <c r="J380" s="258">
        <f t="shared" si="90"/>
        <v>0</v>
      </c>
      <c r="K380" s="261">
        <f t="shared" si="102"/>
        <v>175.12454065778724</v>
      </c>
      <c r="L380" s="261">
        <v>1</v>
      </c>
      <c r="M380" s="261">
        <f t="shared" si="82"/>
        <v>10</v>
      </c>
      <c r="N380" s="263">
        <v>142.35268599687501</v>
      </c>
      <c r="O380" s="264">
        <v>66.599999999999994</v>
      </c>
      <c r="P380" s="263">
        <f t="shared" si="81"/>
        <v>178.344020919706</v>
      </c>
      <c r="Q380" s="265">
        <f t="shared" si="80"/>
        <v>0.79819152480006605</v>
      </c>
      <c r="R380" s="256">
        <v>13</v>
      </c>
      <c r="S380" s="266">
        <v>0.83442799999999995</v>
      </c>
    </row>
    <row r="381" spans="1:21" ht="12.65" customHeight="1">
      <c r="A381" s="10">
        <v>36465</v>
      </c>
      <c r="B381" s="255">
        <v>61512.74</v>
      </c>
      <c r="D381" s="257">
        <f>B381/C385</f>
        <v>9.2606080839685814E-2</v>
      </c>
      <c r="E381" s="2"/>
      <c r="F381" s="258">
        <f>D381*E385</f>
        <v>71211.11277113152</v>
      </c>
      <c r="H381" s="261">
        <f t="shared" si="83"/>
        <v>158.79899343139979</v>
      </c>
      <c r="I381" s="262">
        <f t="shared" si="87"/>
        <v>181.17101905410959</v>
      </c>
      <c r="J381" s="258">
        <f t="shared" si="90"/>
        <v>0</v>
      </c>
      <c r="K381" s="261">
        <f t="shared" si="102"/>
        <v>174.519892818155</v>
      </c>
      <c r="L381" s="261">
        <v>1</v>
      </c>
      <c r="M381" s="261">
        <f t="shared" si="82"/>
        <v>11</v>
      </c>
      <c r="N381" s="263">
        <v>141.33113509093801</v>
      </c>
      <c r="O381" s="264">
        <v>66.900000000000006</v>
      </c>
      <c r="P381" s="263">
        <f t="shared" si="81"/>
        <v>177.05545088495694</v>
      </c>
      <c r="Q381" s="265">
        <f t="shared" ref="Q381:Q444" si="104">N381/P381</f>
        <v>0.79823091796687429</v>
      </c>
      <c r="R381" s="256">
        <v>13</v>
      </c>
      <c r="S381" s="266">
        <v>0.83442799999999995</v>
      </c>
    </row>
    <row r="382" spans="1:21" ht="12.65" customHeight="1">
      <c r="A382" s="10">
        <v>36495</v>
      </c>
      <c r="B382" s="255">
        <v>64994.35</v>
      </c>
      <c r="D382" s="257">
        <f>B382/C385</f>
        <v>9.7847568328493145E-2</v>
      </c>
      <c r="E382" s="2"/>
      <c r="F382" s="258">
        <f>D382*E385</f>
        <v>75241.64892242472</v>
      </c>
      <c r="H382" s="261">
        <f t="shared" si="83"/>
        <v>167.78698784557636</v>
      </c>
      <c r="I382" s="262">
        <f t="shared" si="87"/>
        <v>181.17101905410959</v>
      </c>
      <c r="J382" s="258">
        <f t="shared" si="90"/>
        <v>0</v>
      </c>
      <c r="K382" s="261">
        <f t="shared" si="102"/>
        <v>173.91524497852276</v>
      </c>
      <c r="L382" s="261">
        <v>1</v>
      </c>
      <c r="M382" s="261">
        <f t="shared" si="82"/>
        <v>12</v>
      </c>
      <c r="N382" s="263">
        <v>140.186034307282</v>
      </c>
      <c r="O382" s="264">
        <v>64.900000000000006</v>
      </c>
      <c r="P382" s="263">
        <f t="shared" ref="P382:P445" si="105" xml:space="preserve"> 48.3757429845 + 1.12703641242*N382 - 0.457483222058*O382</f>
        <v>176.67984705000194</v>
      </c>
      <c r="Q382" s="265">
        <f t="shared" si="104"/>
        <v>0.79344665873300269</v>
      </c>
      <c r="R382" s="256">
        <v>13</v>
      </c>
      <c r="S382" s="266">
        <v>0.83442799999999995</v>
      </c>
      <c r="T382" s="257">
        <f t="shared" ref="T382" si="106">AVERAGE(Q371:Q382)</f>
        <v>0.79429300200494346</v>
      </c>
      <c r="U382" s="257">
        <f t="shared" ref="U382" si="107">AVERAGE(S371:S382)</f>
        <v>0.83442799999999995</v>
      </c>
    </row>
    <row r="383" spans="1:21" ht="12.65" customHeight="1">
      <c r="A383" s="10">
        <v>36526</v>
      </c>
      <c r="B383" s="255">
        <v>48890.64</v>
      </c>
      <c r="D383" s="257">
        <f>B383/C385</f>
        <v>7.3603786144853522E-2</v>
      </c>
      <c r="E383" s="2"/>
      <c r="F383" s="258">
        <f>D383*E385</f>
        <v>56598.956224235721</v>
      </c>
      <c r="H383" s="261">
        <f t="shared" si="83"/>
        <v>126.21425123018308</v>
      </c>
      <c r="I383" s="262">
        <f t="shared" si="87"/>
        <v>167.78698784557636</v>
      </c>
      <c r="J383" s="258">
        <f t="shared" si="90"/>
        <v>0</v>
      </c>
      <c r="K383" s="261">
        <f t="shared" si="102"/>
        <v>173.31059713889053</v>
      </c>
      <c r="L383" s="261">
        <v>1</v>
      </c>
      <c r="M383" s="261">
        <f t="shared" ref="M383:M446" si="108">M382+L383</f>
        <v>13</v>
      </c>
      <c r="N383" s="263">
        <v>137.23670624859599</v>
      </c>
      <c r="O383" s="264">
        <v>63.2</v>
      </c>
      <c r="P383" s="263">
        <f t="shared" si="105"/>
        <v>174.13356841318944</v>
      </c>
      <c r="Q383" s="265">
        <f t="shared" si="104"/>
        <v>0.78811172078525693</v>
      </c>
      <c r="R383" s="256">
        <v>14</v>
      </c>
      <c r="S383" s="266">
        <v>0.83442799999999995</v>
      </c>
    </row>
    <row r="384" spans="1:21" ht="12.65" customHeight="1">
      <c r="A384" s="10">
        <v>36557</v>
      </c>
      <c r="B384" s="255">
        <v>50688.89</v>
      </c>
      <c r="D384" s="257">
        <f>B384/C385</f>
        <v>7.6311012076749341E-2</v>
      </c>
      <c r="E384" s="2"/>
      <c r="F384" s="258">
        <f>D384*E385</f>
        <v>58680.726334633786</v>
      </c>
      <c r="H384" s="261">
        <f t="shared" si="83"/>
        <v>130.85654630495972</v>
      </c>
      <c r="I384" s="262">
        <f t="shared" si="87"/>
        <v>167.78698784557636</v>
      </c>
      <c r="J384" s="258">
        <f t="shared" si="90"/>
        <v>0</v>
      </c>
      <c r="K384" s="261">
        <f t="shared" si="102"/>
        <v>172.70594929925829</v>
      </c>
      <c r="L384" s="261">
        <v>1</v>
      </c>
      <c r="M384" s="261">
        <f t="shared" si="108"/>
        <v>14</v>
      </c>
      <c r="N384" s="263">
        <v>136.54728522600999</v>
      </c>
      <c r="O384" s="264">
        <v>61.7</v>
      </c>
      <c r="P384" s="263">
        <f t="shared" si="105"/>
        <v>174.04279065033415</v>
      </c>
      <c r="Q384" s="265">
        <f t="shared" si="104"/>
        <v>0.78456157084003775</v>
      </c>
      <c r="R384" s="256">
        <v>14</v>
      </c>
      <c r="S384" s="266">
        <v>0.83442799999999995</v>
      </c>
    </row>
    <row r="385" spans="1:21" ht="12.65" customHeight="1">
      <c r="A385" s="10">
        <v>36586</v>
      </c>
      <c r="B385" s="255">
        <v>57136.85</v>
      </c>
      <c r="C385" s="259">
        <f t="shared" ref="C385" si="109">SUM(B374:B385)</f>
        <v>664240.82999999996</v>
      </c>
      <c r="D385" s="257">
        <f>B385/C385</f>
        <v>8.6018274426159558E-2</v>
      </c>
      <c r="E385" s="260">
        <v>768968</v>
      </c>
      <c r="F385" s="258">
        <f>D385*E385</f>
        <v>66145.300448935057</v>
      </c>
      <c r="H385" s="261">
        <f t="shared" si="83"/>
        <v>147.50235915098034</v>
      </c>
      <c r="I385" s="262">
        <f t="shared" si="87"/>
        <v>167.78698784557636</v>
      </c>
      <c r="J385" s="258">
        <f t="shared" si="90"/>
        <v>0</v>
      </c>
      <c r="K385" s="261">
        <f t="shared" si="102"/>
        <v>172.10130145962606</v>
      </c>
      <c r="L385" s="261">
        <v>1</v>
      </c>
      <c r="M385" s="261">
        <f t="shared" si="108"/>
        <v>15</v>
      </c>
      <c r="N385" s="263">
        <v>137.87539902354399</v>
      </c>
      <c r="O385" s="264">
        <v>64.8</v>
      </c>
      <c r="P385" s="263">
        <f t="shared" si="105"/>
        <v>174.12142527161262</v>
      </c>
      <c r="Q385" s="265">
        <f t="shared" si="104"/>
        <v>0.79183477167425931</v>
      </c>
      <c r="R385" s="256">
        <v>14</v>
      </c>
      <c r="S385" s="266">
        <v>0.83442799999999995</v>
      </c>
    </row>
    <row r="386" spans="1:21" ht="12.65" customHeight="1">
      <c r="A386" s="10">
        <v>36617</v>
      </c>
      <c r="B386" s="255">
        <v>49457.89</v>
      </c>
      <c r="D386" s="257">
        <f>B386/C397</f>
        <v>7.4534232723313568E-2</v>
      </c>
      <c r="E386" s="2"/>
      <c r="F386" s="258">
        <f>D386*E397</f>
        <v>55244.62422605457</v>
      </c>
      <c r="H386" s="261">
        <f t="shared" ref="H386:H449" si="110">F386/G$574*100</f>
        <v>123.19412488032089</v>
      </c>
      <c r="I386" s="262">
        <f>MAX(H374:H398)</f>
        <v>167.78698784557636</v>
      </c>
      <c r="J386" s="258">
        <f t="shared" si="90"/>
        <v>0</v>
      </c>
      <c r="K386" s="261">
        <f t="shared" si="102"/>
        <v>171.49665361999382</v>
      </c>
      <c r="L386" s="261">
        <v>1</v>
      </c>
      <c r="M386" s="261">
        <f t="shared" si="108"/>
        <v>16</v>
      </c>
      <c r="N386" s="263">
        <v>135.01263826071599</v>
      </c>
      <c r="O386" s="264">
        <v>66.900000000000006</v>
      </c>
      <c r="P386" s="263">
        <f t="shared" si="105"/>
        <v>169.93427488553638</v>
      </c>
      <c r="Q386" s="265">
        <f t="shared" si="104"/>
        <v>0.79449915769880586</v>
      </c>
      <c r="R386" s="256">
        <v>16</v>
      </c>
      <c r="S386" s="266">
        <v>0.83442799999999995</v>
      </c>
    </row>
    <row r="387" spans="1:21" ht="12.65" customHeight="1">
      <c r="A387" s="10">
        <v>36647</v>
      </c>
      <c r="B387" s="255">
        <v>47900.639999999999</v>
      </c>
      <c r="D387" s="257">
        <f>B387/C397</f>
        <v>7.2187419426013991E-2</v>
      </c>
      <c r="E387" s="2"/>
      <c r="F387" s="258">
        <f>D387*E397</f>
        <v>53505.170903722719</v>
      </c>
      <c r="H387" s="261">
        <f t="shared" si="110"/>
        <v>119.31518764765934</v>
      </c>
      <c r="I387" s="262">
        <f t="shared" si="87"/>
        <v>167.78698784557636</v>
      </c>
      <c r="J387" s="258">
        <f t="shared" si="90"/>
        <v>0</v>
      </c>
      <c r="K387" s="261">
        <f t="shared" si="102"/>
        <v>170.89200578036159</v>
      </c>
      <c r="L387" s="261">
        <v>1</v>
      </c>
      <c r="M387" s="261">
        <f t="shared" si="108"/>
        <v>17</v>
      </c>
      <c r="N387" s="263">
        <v>138.57643097984001</v>
      </c>
      <c r="O387" s="264">
        <v>64.599999999999994</v>
      </c>
      <c r="P387" s="263">
        <f t="shared" si="105"/>
        <v>175.00301045703984</v>
      </c>
      <c r="Q387" s="265">
        <f t="shared" si="104"/>
        <v>0.79185169796755062</v>
      </c>
      <c r="R387" s="256">
        <v>16</v>
      </c>
      <c r="S387" s="266">
        <v>0.83442799999999995</v>
      </c>
    </row>
    <row r="388" spans="1:21" ht="12.65" customHeight="1">
      <c r="A388" s="10">
        <v>36678</v>
      </c>
      <c r="B388" s="255">
        <v>49099.27</v>
      </c>
      <c r="D388" s="257">
        <f>B388/C397</f>
        <v>7.3993783736524307E-2</v>
      </c>
      <c r="E388" s="2"/>
      <c r="F388" s="258">
        <f>D388*E397</f>
        <v>54844.044517944341</v>
      </c>
      <c r="H388" s="261">
        <f t="shared" si="110"/>
        <v>122.30084218943817</v>
      </c>
      <c r="I388" s="262">
        <f t="shared" si="87"/>
        <v>167.78698784557636</v>
      </c>
      <c r="J388" s="258">
        <f t="shared" si="90"/>
        <v>0</v>
      </c>
      <c r="K388" s="261">
        <f t="shared" si="102"/>
        <v>170.28735794072935</v>
      </c>
      <c r="L388" s="261">
        <v>1</v>
      </c>
      <c r="M388" s="261">
        <f t="shared" si="108"/>
        <v>18</v>
      </c>
      <c r="N388" s="263">
        <v>138.10589964739501</v>
      </c>
      <c r="O388" s="264">
        <v>65.8</v>
      </c>
      <c r="P388" s="263">
        <f t="shared" si="105"/>
        <v>173.9237246457202</v>
      </c>
      <c r="Q388" s="265">
        <f t="shared" si="104"/>
        <v>0.79406015440799971</v>
      </c>
      <c r="R388" s="256">
        <v>16</v>
      </c>
      <c r="S388" s="266">
        <v>0.83442799999999995</v>
      </c>
    </row>
    <row r="389" spans="1:21" ht="12.65" customHeight="1">
      <c r="A389" s="10">
        <v>36708</v>
      </c>
      <c r="B389" s="255">
        <v>51775.4</v>
      </c>
      <c r="D389" s="257">
        <f>B389/C397</f>
        <v>7.8026776171459186E-2</v>
      </c>
      <c r="E389" s="2"/>
      <c r="F389" s="258">
        <f>D389*E397</f>
        <v>57833.290444733204</v>
      </c>
      <c r="H389" s="261">
        <f t="shared" si="110"/>
        <v>128.96678554884906</v>
      </c>
      <c r="I389" s="262">
        <f t="shared" si="87"/>
        <v>167.78698784557636</v>
      </c>
      <c r="J389" s="258">
        <f t="shared" si="90"/>
        <v>0</v>
      </c>
      <c r="K389" s="261">
        <f t="shared" si="102"/>
        <v>169.68271010109711</v>
      </c>
      <c r="L389" s="261">
        <v>1</v>
      </c>
      <c r="M389" s="261">
        <f t="shared" si="108"/>
        <v>19</v>
      </c>
      <c r="N389" s="263">
        <v>137.852390212383</v>
      </c>
      <c r="O389" s="264">
        <v>66.900000000000006</v>
      </c>
      <c r="P389" s="263">
        <f t="shared" si="105"/>
        <v>173.13477873730585</v>
      </c>
      <c r="Q389" s="265">
        <f t="shared" si="104"/>
        <v>0.79621432052969465</v>
      </c>
      <c r="R389" s="256">
        <v>15</v>
      </c>
      <c r="S389" s="266">
        <v>0.83442799999999995</v>
      </c>
    </row>
    <row r="390" spans="1:21" ht="12.65" customHeight="1">
      <c r="A390" s="10">
        <v>36739</v>
      </c>
      <c r="B390" s="255">
        <v>54053.68</v>
      </c>
      <c r="D390" s="257">
        <f>B390/C397</f>
        <v>8.1460199063719055E-2</v>
      </c>
      <c r="E390" s="2"/>
      <c r="F390" s="258">
        <f>D390*E397</f>
        <v>60378.136625630439</v>
      </c>
      <c r="H390" s="261">
        <f t="shared" si="110"/>
        <v>134.64172863340721</v>
      </c>
      <c r="I390" s="262">
        <f t="shared" si="87"/>
        <v>167.78698784557636</v>
      </c>
      <c r="J390" s="258">
        <f t="shared" si="90"/>
        <v>0</v>
      </c>
      <c r="K390" s="261">
        <f t="shared" si="102"/>
        <v>169.07806226146488</v>
      </c>
      <c r="L390" s="261">
        <v>1</v>
      </c>
      <c r="M390" s="261">
        <f t="shared" si="108"/>
        <v>20</v>
      </c>
      <c r="N390" s="263">
        <v>136.99993692318699</v>
      </c>
      <c r="O390" s="264">
        <v>65.8</v>
      </c>
      <c r="P390" s="263">
        <f t="shared" si="105"/>
        <v>172.67726438475856</v>
      </c>
      <c r="Q390" s="265">
        <f t="shared" si="104"/>
        <v>0.79338723260014399</v>
      </c>
      <c r="R390" s="256">
        <v>15</v>
      </c>
      <c r="S390" s="266">
        <v>0.83442799999999995</v>
      </c>
    </row>
    <row r="391" spans="1:21" ht="12.65" customHeight="1">
      <c r="A391" s="10">
        <v>36770</v>
      </c>
      <c r="B391" s="255">
        <v>57419.33</v>
      </c>
      <c r="D391" s="257">
        <f>B391/C397</f>
        <v>8.6532314763867621E-2</v>
      </c>
      <c r="E391" s="2"/>
      <c r="F391" s="258">
        <f>D391*E397</f>
        <v>64137.57863834915</v>
      </c>
      <c r="H391" s="261">
        <f t="shared" si="110"/>
        <v>143.02518992549733</v>
      </c>
      <c r="I391" s="262">
        <f t="shared" si="87"/>
        <v>167.78698784557636</v>
      </c>
      <c r="J391" s="258">
        <f t="shared" si="90"/>
        <v>0</v>
      </c>
      <c r="K391" s="261">
        <f t="shared" si="102"/>
        <v>168.47341442183264</v>
      </c>
      <c r="L391" s="261">
        <v>1</v>
      </c>
      <c r="M391" s="261">
        <f t="shared" si="108"/>
        <v>21</v>
      </c>
      <c r="N391" s="263">
        <v>136.92472865138799</v>
      </c>
      <c r="O391" s="264">
        <v>64.5</v>
      </c>
      <c r="P391" s="263">
        <f t="shared" si="105"/>
        <v>173.1872301126013</v>
      </c>
      <c r="Q391" s="265">
        <f t="shared" si="104"/>
        <v>0.79061677100767491</v>
      </c>
      <c r="R391" s="256">
        <v>15</v>
      </c>
      <c r="S391" s="266">
        <v>0.83442799999999995</v>
      </c>
    </row>
    <row r="392" spans="1:21" ht="12.65" customHeight="1">
      <c r="A392" s="10">
        <v>36800</v>
      </c>
      <c r="B392" s="255">
        <v>60000.4</v>
      </c>
      <c r="D392" s="257">
        <f>B392/C397</f>
        <v>9.0422049486783673E-2</v>
      </c>
      <c r="E392" s="2"/>
      <c r="F392" s="258">
        <f>D392*E397</f>
        <v>67020.642235505089</v>
      </c>
      <c r="H392" s="261">
        <f t="shared" si="110"/>
        <v>149.45434935597143</v>
      </c>
      <c r="I392" s="262">
        <f t="shared" si="87"/>
        <v>167.78698784557636</v>
      </c>
      <c r="J392" s="258">
        <f t="shared" si="90"/>
        <v>0</v>
      </c>
      <c r="K392" s="261">
        <f t="shared" si="102"/>
        <v>167.86876658220041</v>
      </c>
      <c r="L392" s="261">
        <v>1</v>
      </c>
      <c r="M392" s="261">
        <f t="shared" si="108"/>
        <v>22</v>
      </c>
      <c r="N392" s="263">
        <v>135.80227747171699</v>
      </c>
      <c r="O392" s="264">
        <v>62.2</v>
      </c>
      <c r="P392" s="263">
        <f t="shared" si="105"/>
        <v>172.9743981726817</v>
      </c>
      <c r="Q392" s="265">
        <f t="shared" si="104"/>
        <v>0.78510044784861466</v>
      </c>
      <c r="R392" s="256">
        <v>14</v>
      </c>
      <c r="S392" s="266">
        <v>0.83442799999999995</v>
      </c>
    </row>
    <row r="393" spans="1:21" ht="12.65" customHeight="1">
      <c r="A393" s="10">
        <v>36831</v>
      </c>
      <c r="B393" s="255">
        <v>61283.63</v>
      </c>
      <c r="D393" s="257">
        <f>B393/C397</f>
        <v>9.2355908037108761E-2</v>
      </c>
      <c r="E393" s="2"/>
      <c r="F393" s="258">
        <f>D393*E397</f>
        <v>68454.014325288939</v>
      </c>
      <c r="H393" s="261">
        <f t="shared" si="110"/>
        <v>152.65073312548068</v>
      </c>
      <c r="I393" s="262">
        <f t="shared" si="87"/>
        <v>167.78698784557636</v>
      </c>
      <c r="J393" s="258">
        <f t="shared" si="90"/>
        <v>0</v>
      </c>
      <c r="K393" s="261">
        <f t="shared" si="102"/>
        <v>167.26411874256817</v>
      </c>
      <c r="L393" s="261">
        <v>1</v>
      </c>
      <c r="M393" s="261">
        <f t="shared" si="108"/>
        <v>23</v>
      </c>
      <c r="N393" s="263">
        <v>136.08384084582201</v>
      </c>
      <c r="O393" s="264">
        <v>64.099999999999994</v>
      </c>
      <c r="P393" s="263">
        <f t="shared" si="105"/>
        <v>172.42251222579171</v>
      </c>
      <c r="Q393" s="265">
        <f t="shared" si="104"/>
        <v>0.78924636399924808</v>
      </c>
      <c r="R393" s="256">
        <v>14</v>
      </c>
      <c r="S393" s="266">
        <v>0.83442799999999995</v>
      </c>
    </row>
    <row r="394" spans="1:21" ht="12.65" customHeight="1">
      <c r="A394" s="10">
        <v>36861</v>
      </c>
      <c r="B394" s="255">
        <v>64704.63</v>
      </c>
      <c r="D394" s="257">
        <f>B394/C397</f>
        <v>9.7511437521816971E-2</v>
      </c>
      <c r="E394" s="2"/>
      <c r="F394" s="258">
        <f>D394*E397</f>
        <v>72275.2824682957</v>
      </c>
      <c r="H394" s="261">
        <f t="shared" si="110"/>
        <v>161.17206513571355</v>
      </c>
      <c r="I394" s="262">
        <f t="shared" si="87"/>
        <v>167.78698784557636</v>
      </c>
      <c r="J394" s="258">
        <f t="shared" si="90"/>
        <v>0</v>
      </c>
      <c r="K394" s="261">
        <f t="shared" si="102"/>
        <v>166.65947090293594</v>
      </c>
      <c r="L394" s="261">
        <v>1</v>
      </c>
      <c r="M394" s="261">
        <f t="shared" si="108"/>
        <v>24</v>
      </c>
      <c r="N394" s="263">
        <v>135.538621298783</v>
      </c>
      <c r="O394" s="264">
        <v>64</v>
      </c>
      <c r="P394" s="263">
        <f t="shared" si="105"/>
        <v>171.85377826572142</v>
      </c>
      <c r="Q394" s="265">
        <f t="shared" si="104"/>
        <v>0.78868572263341408</v>
      </c>
      <c r="R394" s="256">
        <v>14</v>
      </c>
      <c r="S394" s="266">
        <v>0.83442799999999995</v>
      </c>
      <c r="T394" s="257">
        <f t="shared" ref="T394" si="111">AVERAGE(Q383:Q394)</f>
        <v>0.79068082766605841</v>
      </c>
      <c r="U394" s="257">
        <f t="shared" ref="U394" si="112">AVERAGE(S383:S394)</f>
        <v>0.83442799999999995</v>
      </c>
    </row>
    <row r="395" spans="1:21" ht="12.65" customHeight="1">
      <c r="A395" s="10">
        <v>36892</v>
      </c>
      <c r="B395" s="255">
        <v>51376.93</v>
      </c>
      <c r="D395" s="257">
        <f>B395/C397</f>
        <v>7.7426272273835181E-2</v>
      </c>
      <c r="E395" s="2"/>
      <c r="F395" s="258">
        <f>D395*E397</f>
        <v>57388.198156822087</v>
      </c>
      <c r="H395" s="261">
        <f t="shared" si="110"/>
        <v>127.97424092268197</v>
      </c>
      <c r="I395" s="262">
        <f t="shared" ref="I395:I458" si="113">MAX(H383:H407)</f>
        <v>161.17206513571355</v>
      </c>
      <c r="J395" s="258">
        <f t="shared" si="90"/>
        <v>0</v>
      </c>
      <c r="K395" s="261">
        <f t="shared" si="102"/>
        <v>166.0548230633037</v>
      </c>
      <c r="L395" s="261">
        <v>1</v>
      </c>
      <c r="M395" s="261">
        <f t="shared" si="108"/>
        <v>25</v>
      </c>
      <c r="N395" s="263">
        <v>137.95966408344901</v>
      </c>
      <c r="O395" s="264">
        <v>64.5</v>
      </c>
      <c r="P395" s="263">
        <f t="shared" si="105"/>
        <v>174.35364002903771</v>
      </c>
      <c r="Q395" s="265">
        <f t="shared" si="104"/>
        <v>0.79126345776590923</v>
      </c>
      <c r="R395" s="256">
        <v>11</v>
      </c>
      <c r="S395" s="266">
        <v>0.83442799999999995</v>
      </c>
    </row>
    <row r="396" spans="1:21" ht="12.65" customHeight="1">
      <c r="A396" s="10">
        <v>36923</v>
      </c>
      <c r="B396" s="255">
        <v>54309.93</v>
      </c>
      <c r="D396" s="257">
        <f>B396/C397</f>
        <v>8.1846373992236002E-2</v>
      </c>
      <c r="E396" s="2"/>
      <c r="F396" s="258">
        <f>D396*E397</f>
        <v>60664.368710297342</v>
      </c>
      <c r="H396" s="261">
        <f t="shared" si="110"/>
        <v>135.28001899517923</v>
      </c>
      <c r="I396" s="262">
        <f t="shared" si="113"/>
        <v>161.17206513571355</v>
      </c>
      <c r="J396" s="258">
        <f t="shared" si="90"/>
        <v>0</v>
      </c>
      <c r="K396" s="261">
        <f t="shared" si="102"/>
        <v>165.45017522367147</v>
      </c>
      <c r="L396" s="261">
        <v>1</v>
      </c>
      <c r="M396" s="261">
        <f t="shared" si="108"/>
        <v>26</v>
      </c>
      <c r="N396" s="263">
        <v>138.959081300343</v>
      </c>
      <c r="O396" s="264">
        <v>63.1</v>
      </c>
      <c r="P396" s="263">
        <f t="shared" si="105"/>
        <v>176.12049613455787</v>
      </c>
      <c r="Q396" s="265">
        <f t="shared" si="104"/>
        <v>0.7890000559286231</v>
      </c>
      <c r="R396" s="256">
        <v>11</v>
      </c>
      <c r="S396" s="266">
        <v>0.83442799999999995</v>
      </c>
    </row>
    <row r="397" spans="1:21" ht="12.65" customHeight="1">
      <c r="A397" s="10">
        <v>36951</v>
      </c>
      <c r="B397" s="255">
        <v>62177.66</v>
      </c>
      <c r="C397" s="259">
        <f t="shared" ref="C397" si="114">SUM(B386:B397)</f>
        <v>663559.39000000013</v>
      </c>
      <c r="D397" s="257">
        <f>B397/C397</f>
        <v>9.3703232803321476E-2</v>
      </c>
      <c r="E397" s="260">
        <v>741198</v>
      </c>
      <c r="F397" s="258">
        <f>D397*E397</f>
        <v>69452.648747356274</v>
      </c>
      <c r="H397" s="261">
        <f t="shared" si="110"/>
        <v>154.87766281186143</v>
      </c>
      <c r="I397" s="262">
        <f t="shared" si="113"/>
        <v>161.17206513571355</v>
      </c>
      <c r="J397" s="258">
        <f t="shared" si="90"/>
        <v>0</v>
      </c>
      <c r="K397" s="261">
        <f t="shared" si="102"/>
        <v>164.84552738403923</v>
      </c>
      <c r="L397" s="261">
        <v>1</v>
      </c>
      <c r="M397" s="261">
        <f t="shared" si="108"/>
        <v>27</v>
      </c>
      <c r="N397" s="263">
        <v>143.03656205196799</v>
      </c>
      <c r="O397" s="264">
        <v>63.9</v>
      </c>
      <c r="P397" s="263">
        <f t="shared" si="105"/>
        <v>180.34997883493452</v>
      </c>
      <c r="Q397" s="265">
        <f t="shared" si="104"/>
        <v>0.79310551060769641</v>
      </c>
      <c r="R397" s="256">
        <v>11</v>
      </c>
      <c r="S397" s="266">
        <v>0.83442799999999995</v>
      </c>
    </row>
    <row r="398" spans="1:21" ht="12.65" customHeight="1">
      <c r="A398" s="10">
        <v>36982</v>
      </c>
      <c r="B398" s="255">
        <v>49932.88</v>
      </c>
      <c r="D398" s="257">
        <f>B398/C409</f>
        <v>7.9911382699897032E-2</v>
      </c>
      <c r="E398" s="2"/>
      <c r="F398" s="258">
        <f>D398*E409</f>
        <v>55799.321640943599</v>
      </c>
      <c r="H398" s="261">
        <f t="shared" si="110"/>
        <v>124.43108618756065</v>
      </c>
      <c r="I398" s="262">
        <f t="shared" si="113"/>
        <v>161.17206513571355</v>
      </c>
      <c r="J398" s="258">
        <f t="shared" si="90"/>
        <v>0</v>
      </c>
      <c r="K398" s="261">
        <f t="shared" si="102"/>
        <v>164.24087954440699</v>
      </c>
      <c r="L398" s="261">
        <v>1</v>
      </c>
      <c r="M398" s="261">
        <f t="shared" si="108"/>
        <v>28</v>
      </c>
      <c r="N398" s="263">
        <v>135.908421293825</v>
      </c>
      <c r="O398" s="264">
        <v>64.099999999999994</v>
      </c>
      <c r="P398" s="263">
        <f t="shared" si="105"/>
        <v>172.22480800324067</v>
      </c>
      <c r="Q398" s="265">
        <f t="shared" si="104"/>
        <v>0.78913382380584618</v>
      </c>
      <c r="R398" s="256">
        <v>16</v>
      </c>
      <c r="S398" s="266">
        <v>0.83442799999999995</v>
      </c>
    </row>
    <row r="399" spans="1:21" ht="12.65" customHeight="1">
      <c r="A399" s="10">
        <v>37012</v>
      </c>
      <c r="B399" s="255">
        <v>43379.03</v>
      </c>
      <c r="D399" s="257">
        <f>B399/C409</f>
        <v>6.9422758460563755E-2</v>
      </c>
      <c r="E399" s="2"/>
      <c r="F399" s="258">
        <f>D399*E409</f>
        <v>48475.482436465551</v>
      </c>
      <c r="H399" s="261">
        <f t="shared" si="110"/>
        <v>108.09910865671637</v>
      </c>
      <c r="I399" s="262">
        <f t="shared" si="113"/>
        <v>161.17206513571355</v>
      </c>
      <c r="J399" s="258">
        <f t="shared" ref="J399:J462" si="115">IF(H399=I399,1,0)</f>
        <v>0</v>
      </c>
      <c r="K399" s="261">
        <f t="shared" si="102"/>
        <v>163.63623170477476</v>
      </c>
      <c r="L399" s="261">
        <v>1</v>
      </c>
      <c r="M399" s="261">
        <f t="shared" si="108"/>
        <v>29</v>
      </c>
      <c r="N399" s="263">
        <v>127.40448552170299</v>
      </c>
      <c r="O399" s="264">
        <v>65.599999999999994</v>
      </c>
      <c r="P399" s="263">
        <f t="shared" si="105"/>
        <v>161.95433790609115</v>
      </c>
      <c r="Q399" s="265">
        <f t="shared" si="104"/>
        <v>0.78666917582397944</v>
      </c>
      <c r="R399" s="256">
        <v>16</v>
      </c>
      <c r="S399" s="266">
        <v>0.83442799999999995</v>
      </c>
    </row>
    <row r="400" spans="1:21" ht="12.65" customHeight="1">
      <c r="A400" s="10">
        <v>37043</v>
      </c>
      <c r="B400" s="255">
        <v>45392.87</v>
      </c>
      <c r="D400" s="257">
        <f>B400/C409</f>
        <v>7.2645659661863593E-2</v>
      </c>
      <c r="E400" s="2"/>
      <c r="F400" s="258">
        <f>D400*E409</f>
        <v>50725.921543791184</v>
      </c>
      <c r="H400" s="261">
        <f t="shared" si="110"/>
        <v>113.11753135951174</v>
      </c>
      <c r="I400" s="262">
        <f t="shared" si="113"/>
        <v>161.17206513571355</v>
      </c>
      <c r="J400" s="258">
        <f t="shared" si="115"/>
        <v>0</v>
      </c>
      <c r="K400" s="261">
        <f t="shared" si="102"/>
        <v>163.03158386514252</v>
      </c>
      <c r="L400" s="261">
        <v>1</v>
      </c>
      <c r="M400" s="261">
        <f t="shared" si="108"/>
        <v>30</v>
      </c>
      <c r="N400" s="263">
        <v>128.90083777152901</v>
      </c>
      <c r="O400" s="264">
        <v>65.3</v>
      </c>
      <c r="P400" s="263">
        <f t="shared" si="105"/>
        <v>163.77802634406908</v>
      </c>
      <c r="Q400" s="265">
        <f t="shared" si="104"/>
        <v>0.78704598320614039</v>
      </c>
      <c r="R400" s="256">
        <v>16</v>
      </c>
      <c r="S400" s="266">
        <v>0.83442799999999995</v>
      </c>
    </row>
    <row r="401" spans="1:21" ht="12.65" customHeight="1">
      <c r="A401" s="10">
        <v>37073</v>
      </c>
      <c r="B401" s="255">
        <v>48099.74</v>
      </c>
      <c r="D401" s="257">
        <f>B401/C409</f>
        <v>7.697766944156928E-2</v>
      </c>
      <c r="E401" s="2"/>
      <c r="F401" s="258">
        <f>D401*E409</f>
        <v>53750.812352617373</v>
      </c>
      <c r="H401" s="261">
        <f t="shared" si="110"/>
        <v>119.86296191085432</v>
      </c>
      <c r="I401" s="262">
        <f t="shared" si="113"/>
        <v>161.17206513571355</v>
      </c>
      <c r="J401" s="258">
        <f t="shared" si="115"/>
        <v>0</v>
      </c>
      <c r="K401" s="261">
        <f t="shared" si="102"/>
        <v>162.42693602551029</v>
      </c>
      <c r="L401" s="261">
        <v>1</v>
      </c>
      <c r="M401" s="261">
        <f t="shared" si="108"/>
        <v>31</v>
      </c>
      <c r="N401" s="263">
        <v>128.85751629477099</v>
      </c>
      <c r="O401" s="264">
        <v>62.9</v>
      </c>
      <c r="P401" s="263">
        <f t="shared" si="105"/>
        <v>164.82716119526219</v>
      </c>
      <c r="Q401" s="265">
        <f t="shared" si="104"/>
        <v>0.7817735581948182</v>
      </c>
      <c r="R401" s="256">
        <v>16</v>
      </c>
      <c r="S401" s="266">
        <v>0.83442799999999995</v>
      </c>
    </row>
    <row r="402" spans="1:21" ht="12.65" customHeight="1">
      <c r="A402" s="10">
        <v>37104</v>
      </c>
      <c r="B402" s="255">
        <v>50917.87</v>
      </c>
      <c r="D402" s="257">
        <f>B402/C409</f>
        <v>8.1487737054894621E-2</v>
      </c>
      <c r="E402" s="2"/>
      <c r="F402" s="258">
        <f>D402*E409</f>
        <v>56900.034714635993</v>
      </c>
      <c r="H402" s="261">
        <f t="shared" si="110"/>
        <v>126.8856487039604</v>
      </c>
      <c r="I402" s="262">
        <f t="shared" si="113"/>
        <v>161.17206513571355</v>
      </c>
      <c r="J402" s="258">
        <f t="shared" si="115"/>
        <v>0</v>
      </c>
      <c r="K402" s="261">
        <f t="shared" si="102"/>
        <v>161.82228818587805</v>
      </c>
      <c r="L402" s="261">
        <v>1</v>
      </c>
      <c r="M402" s="261">
        <f t="shared" si="108"/>
        <v>32</v>
      </c>
      <c r="N402" s="263">
        <v>129.35470233132401</v>
      </c>
      <c r="O402" s="264">
        <v>62.9</v>
      </c>
      <c r="P402" s="263">
        <f t="shared" si="105"/>
        <v>165.38750796220424</v>
      </c>
      <c r="Q402" s="265">
        <f t="shared" si="104"/>
        <v>0.78213103229589287</v>
      </c>
      <c r="R402" s="256">
        <v>16</v>
      </c>
      <c r="S402" s="266">
        <v>0.83442799999999995</v>
      </c>
    </row>
    <row r="403" spans="1:21" ht="12.65" customHeight="1">
      <c r="A403" s="10">
        <v>37135</v>
      </c>
      <c r="B403" s="255">
        <v>54828.23</v>
      </c>
      <c r="D403" s="257">
        <f>B403/C409</f>
        <v>8.7745783345322279E-2</v>
      </c>
      <c r="E403" s="2"/>
      <c r="F403" s="258">
        <f>D403*E409</f>
        <v>61269.809407621462</v>
      </c>
      <c r="H403" s="261">
        <f t="shared" si="110"/>
        <v>136.63013654813022</v>
      </c>
      <c r="I403" s="262">
        <f t="shared" si="113"/>
        <v>161.17206513571355</v>
      </c>
      <c r="J403" s="258">
        <f t="shared" si="115"/>
        <v>0</v>
      </c>
      <c r="K403" s="261">
        <f t="shared" si="102"/>
        <v>161.21764034624582</v>
      </c>
      <c r="L403" s="261">
        <v>1</v>
      </c>
      <c r="M403" s="261">
        <f t="shared" si="108"/>
        <v>33</v>
      </c>
      <c r="N403" s="263">
        <v>130.44845129034101</v>
      </c>
      <c r="O403" s="264">
        <v>63.9</v>
      </c>
      <c r="P403" s="263">
        <f t="shared" si="105"/>
        <v>166.16271964300486</v>
      </c>
      <c r="Q403" s="265">
        <f t="shared" si="104"/>
        <v>0.78506449323052263</v>
      </c>
      <c r="R403" s="256">
        <v>16</v>
      </c>
      <c r="S403" s="266">
        <v>0.83442799999999995</v>
      </c>
    </row>
    <row r="404" spans="1:21" ht="12.65" customHeight="1">
      <c r="A404" s="10">
        <v>37165</v>
      </c>
      <c r="B404" s="255">
        <v>57168.57</v>
      </c>
      <c r="D404" s="257">
        <f>B404/C409</f>
        <v>9.1491207310210279E-2</v>
      </c>
      <c r="E404" s="2"/>
      <c r="F404" s="258">
        <f>D404*E409</f>
        <v>63885.107872463981</v>
      </c>
      <c r="H404" s="261">
        <f t="shared" si="110"/>
        <v>142.46218645689163</v>
      </c>
      <c r="I404" s="262">
        <f t="shared" si="113"/>
        <v>161.17206513571355</v>
      </c>
      <c r="J404" s="258">
        <f t="shared" si="115"/>
        <v>0</v>
      </c>
      <c r="K404" s="261">
        <f t="shared" si="102"/>
        <v>160.61299250661358</v>
      </c>
      <c r="L404" s="261">
        <v>1</v>
      </c>
      <c r="M404" s="261">
        <f t="shared" si="108"/>
        <v>34</v>
      </c>
      <c r="N404" s="263">
        <v>129.50691155989</v>
      </c>
      <c r="O404" s="264">
        <v>64.2</v>
      </c>
      <c r="P404" s="263">
        <f t="shared" si="105"/>
        <v>164.96432511642905</v>
      </c>
      <c r="Q404" s="265">
        <f t="shared" si="104"/>
        <v>0.78506011204838499</v>
      </c>
      <c r="R404" s="256">
        <v>16</v>
      </c>
      <c r="S404" s="266">
        <v>0.83442799999999995</v>
      </c>
    </row>
    <row r="405" spans="1:21" ht="12.65" customHeight="1">
      <c r="A405" s="10">
        <v>37196</v>
      </c>
      <c r="B405" s="255">
        <v>58147.12</v>
      </c>
      <c r="D405" s="257">
        <f>B405/C409</f>
        <v>9.3057255243775991E-2</v>
      </c>
      <c r="E405" s="2"/>
      <c r="F405" s="258">
        <f>D405*E409</f>
        <v>64978.62433279524</v>
      </c>
      <c r="H405" s="261">
        <f t="shared" si="110"/>
        <v>144.90070070619666</v>
      </c>
      <c r="I405" s="262">
        <f t="shared" si="113"/>
        <v>161.17206513571355</v>
      </c>
      <c r="J405" s="258">
        <f t="shared" si="115"/>
        <v>0</v>
      </c>
      <c r="K405" s="261">
        <f t="shared" si="102"/>
        <v>160.00834466698134</v>
      </c>
      <c r="L405" s="261">
        <v>1</v>
      </c>
      <c r="M405" s="261">
        <f t="shared" si="108"/>
        <v>35</v>
      </c>
      <c r="N405" s="263">
        <v>129.09507364040499</v>
      </c>
      <c r="O405" s="264">
        <v>61.7</v>
      </c>
      <c r="P405" s="263">
        <f t="shared" si="105"/>
        <v>165.64387684029913</v>
      </c>
      <c r="Q405" s="265">
        <f t="shared" si="104"/>
        <v>0.77935312854859318</v>
      </c>
      <c r="R405" s="256">
        <v>16</v>
      </c>
      <c r="S405" s="266">
        <v>0.83442799999999995</v>
      </c>
    </row>
    <row r="406" spans="1:21" ht="12.65" customHeight="1">
      <c r="A406" s="10">
        <v>37226</v>
      </c>
      <c r="B406" s="255">
        <v>61425.83</v>
      </c>
      <c r="D406" s="257">
        <f>B406/C409</f>
        <v>9.8304424034600379E-2</v>
      </c>
      <c r="E406" s="2"/>
      <c r="F406" s="258">
        <f>D406*E409</f>
        <v>68642.538648520233</v>
      </c>
      <c r="H406" s="261">
        <f t="shared" si="110"/>
        <v>153.07113763260699</v>
      </c>
      <c r="I406" s="262">
        <f t="shared" si="113"/>
        <v>161.17206513571355</v>
      </c>
      <c r="J406" s="258">
        <f t="shared" si="115"/>
        <v>0</v>
      </c>
      <c r="K406" s="261">
        <f t="shared" si="102"/>
        <v>159.40369682734911</v>
      </c>
      <c r="L406" s="261">
        <v>1</v>
      </c>
      <c r="M406" s="261">
        <f t="shared" si="108"/>
        <v>36</v>
      </c>
      <c r="N406" s="263">
        <v>129.46294569274301</v>
      </c>
      <c r="O406" s="264">
        <v>61.9</v>
      </c>
      <c r="P406" s="263">
        <f t="shared" si="105"/>
        <v>165.96698539398417</v>
      </c>
      <c r="Q406" s="265">
        <f t="shared" si="104"/>
        <v>0.78005240250291163</v>
      </c>
      <c r="R406" s="256">
        <v>16</v>
      </c>
      <c r="S406" s="266">
        <v>0.83442799999999995</v>
      </c>
      <c r="T406" s="257">
        <f t="shared" ref="T406" si="116">AVERAGE(Q395:Q406)</f>
        <v>0.78580439449660988</v>
      </c>
      <c r="U406" s="257">
        <f t="shared" ref="U406" si="117">AVERAGE(S395:S406)</f>
        <v>0.83442799999999995</v>
      </c>
    </row>
    <row r="407" spans="1:21" ht="12.65" customHeight="1">
      <c r="A407" s="10">
        <v>37257</v>
      </c>
      <c r="B407" s="255">
        <v>48423.61</v>
      </c>
      <c r="D407" s="257">
        <f>B407/C409</f>
        <v>7.7495983216280762E-2</v>
      </c>
      <c r="E407" s="2"/>
      <c r="F407" s="258">
        <f>D407*E409</f>
        <v>54112.732720516287</v>
      </c>
      <c r="H407" s="261">
        <f t="shared" si="110"/>
        <v>120.67003524376774</v>
      </c>
      <c r="I407" s="262">
        <f t="shared" si="113"/>
        <v>154.87766281186143</v>
      </c>
      <c r="J407" s="258">
        <f t="shared" si="115"/>
        <v>0</v>
      </c>
      <c r="K407" s="261">
        <f t="shared" si="102"/>
        <v>158.79904898771687</v>
      </c>
      <c r="L407" s="261">
        <v>1</v>
      </c>
      <c r="M407" s="261">
        <f t="shared" si="108"/>
        <v>37</v>
      </c>
      <c r="N407" s="263">
        <v>129.35398362202099</v>
      </c>
      <c r="O407" s="264">
        <v>64</v>
      </c>
      <c r="P407" s="263">
        <f t="shared" si="105"/>
        <v>164.88346640638599</v>
      </c>
      <c r="Q407" s="265">
        <f t="shared" si="104"/>
        <v>0.78451761381098106</v>
      </c>
      <c r="R407" s="256">
        <v>16</v>
      </c>
      <c r="S407" s="266">
        <v>0.83442799999999995</v>
      </c>
    </row>
    <row r="408" spans="1:21" ht="12.65" customHeight="1">
      <c r="A408" s="10">
        <v>37288</v>
      </c>
      <c r="B408" s="255">
        <v>50925.26</v>
      </c>
      <c r="D408" s="257">
        <f>B408/C409</f>
        <v>8.1499563833525301E-2</v>
      </c>
      <c r="E408" s="2"/>
      <c r="F408" s="258">
        <f>D408*E409</f>
        <v>56908.292940216546</v>
      </c>
      <c r="H408" s="261">
        <f t="shared" si="110"/>
        <v>126.90406433964827</v>
      </c>
      <c r="I408" s="262">
        <f t="shared" si="113"/>
        <v>154.87766281186143</v>
      </c>
      <c r="J408" s="258">
        <f t="shared" si="115"/>
        <v>0</v>
      </c>
      <c r="K408" s="261">
        <f t="shared" si="102"/>
        <v>158.19440114808464</v>
      </c>
      <c r="L408" s="261">
        <v>1</v>
      </c>
      <c r="M408" s="261">
        <f t="shared" si="108"/>
        <v>38</v>
      </c>
      <c r="N408" s="263">
        <v>129.10188786911701</v>
      </c>
      <c r="O408" s="264">
        <v>65.099999999999994</v>
      </c>
      <c r="P408" s="263">
        <f t="shared" si="105"/>
        <v>164.09611376918298</v>
      </c>
      <c r="Q408" s="265">
        <f t="shared" si="104"/>
        <v>0.78674555358886367</v>
      </c>
      <c r="R408" s="256">
        <v>16</v>
      </c>
      <c r="S408" s="266">
        <v>0.83442799999999995</v>
      </c>
    </row>
    <row r="409" spans="1:21" ht="12.65" customHeight="1">
      <c r="A409" s="10">
        <v>37316</v>
      </c>
      <c r="B409" s="255">
        <v>56212.15</v>
      </c>
      <c r="C409" s="259">
        <f t="shared" ref="C409" si="118">SUM(B398:B409)</f>
        <v>624853.16</v>
      </c>
      <c r="D409" s="257">
        <f>B409/C409</f>
        <v>8.9960575697496672E-2</v>
      </c>
      <c r="E409" s="260">
        <v>698265</v>
      </c>
      <c r="F409" s="258">
        <f>D409*E409</f>
        <v>62816.321389412515</v>
      </c>
      <c r="H409" s="261">
        <f t="shared" si="110"/>
        <v>140.07881943597263</v>
      </c>
      <c r="I409" s="262">
        <f t="shared" si="113"/>
        <v>154.87766281186143</v>
      </c>
      <c r="J409" s="258">
        <f t="shared" si="115"/>
        <v>0</v>
      </c>
      <c r="K409" s="261">
        <f t="shared" si="102"/>
        <v>157.5897533084524</v>
      </c>
      <c r="L409" s="261">
        <v>1</v>
      </c>
      <c r="M409" s="261">
        <f t="shared" si="108"/>
        <v>39</v>
      </c>
      <c r="N409" s="263">
        <v>128.25677329861799</v>
      </c>
      <c r="O409" s="264">
        <v>61.4</v>
      </c>
      <c r="P409" s="263">
        <f t="shared" si="105"/>
        <v>164.83632679717846</v>
      </c>
      <c r="Q409" s="265">
        <f t="shared" si="104"/>
        <v>0.77808560643571312</v>
      </c>
      <c r="R409" s="256">
        <v>16</v>
      </c>
      <c r="S409" s="266">
        <v>0.83442799999999995</v>
      </c>
    </row>
    <row r="410" spans="1:21" ht="12.65" customHeight="1">
      <c r="A410" s="10">
        <v>37347</v>
      </c>
      <c r="B410" s="255">
        <v>46658.13</v>
      </c>
      <c r="D410" s="257">
        <f>B410/C421</f>
        <v>7.8980676449039486E-2</v>
      </c>
      <c r="E410" s="2"/>
      <c r="F410" s="258">
        <f>D410*E421</f>
        <v>51644.358600556632</v>
      </c>
      <c r="H410" s="261">
        <f t="shared" si="110"/>
        <v>115.1656229349544</v>
      </c>
      <c r="I410" s="262">
        <f t="shared" si="113"/>
        <v>153.07113763260699</v>
      </c>
      <c r="J410" s="258">
        <f t="shared" si="115"/>
        <v>0</v>
      </c>
      <c r="K410" s="261">
        <f t="shared" si="102"/>
        <v>156.98510546882017</v>
      </c>
      <c r="L410" s="261">
        <v>1</v>
      </c>
      <c r="M410" s="261">
        <f t="shared" si="108"/>
        <v>40</v>
      </c>
      <c r="N410" s="263">
        <v>125.56238206480501</v>
      </c>
      <c r="O410" s="264">
        <v>61.6</v>
      </c>
      <c r="P410" s="263">
        <f t="shared" si="105"/>
        <v>161.7081531229544</v>
      </c>
      <c r="Q410" s="265">
        <f t="shared" si="104"/>
        <v>0.77647527128291394</v>
      </c>
      <c r="R410" s="256">
        <v>20</v>
      </c>
      <c r="S410" s="266">
        <v>0.83442799999999995</v>
      </c>
    </row>
    <row r="411" spans="1:21" ht="12.65" customHeight="1">
      <c r="A411" s="10">
        <v>37377</v>
      </c>
      <c r="B411" s="255">
        <v>41232.99</v>
      </c>
      <c r="D411" s="257">
        <f>B411/C421</f>
        <v>6.979725595981838E-2</v>
      </c>
      <c r="E411" s="2"/>
      <c r="F411" s="258">
        <f>D411*E421</f>
        <v>45639.448510541799</v>
      </c>
      <c r="H411" s="261">
        <f t="shared" si="110"/>
        <v>101.77482421221652</v>
      </c>
      <c r="I411" s="262">
        <f t="shared" si="113"/>
        <v>153.07113763260699</v>
      </c>
      <c r="J411" s="258">
        <f t="shared" si="115"/>
        <v>0</v>
      </c>
      <c r="K411" s="261">
        <f t="shared" si="102"/>
        <v>156.38045762918793</v>
      </c>
      <c r="L411" s="261">
        <v>1</v>
      </c>
      <c r="M411" s="261">
        <f t="shared" si="108"/>
        <v>41</v>
      </c>
      <c r="N411" s="263">
        <v>121.695953778994</v>
      </c>
      <c r="O411" s="264">
        <v>59.5</v>
      </c>
      <c r="P411" s="263">
        <f t="shared" si="105"/>
        <v>158.31126242515654</v>
      </c>
      <c r="Q411" s="265">
        <f t="shared" si="104"/>
        <v>0.76871317880196388</v>
      </c>
      <c r="R411" s="256">
        <v>20</v>
      </c>
      <c r="S411" s="266">
        <v>0.83442799999999995</v>
      </c>
    </row>
    <row r="412" spans="1:21" ht="12.65" customHeight="1">
      <c r="A412" s="10">
        <v>37408</v>
      </c>
      <c r="B412" s="255">
        <v>43313.88</v>
      </c>
      <c r="D412" s="257">
        <f>B412/C421</f>
        <v>7.3319688166510799E-2</v>
      </c>
      <c r="E412" s="2"/>
      <c r="F412" s="258">
        <f>D412*E421</f>
        <v>47942.71761644708</v>
      </c>
      <c r="H412" s="261">
        <f t="shared" si="110"/>
        <v>106.91105648532984</v>
      </c>
      <c r="I412" s="262">
        <f t="shared" si="113"/>
        <v>153.07113763260699</v>
      </c>
      <c r="J412" s="258">
        <f t="shared" si="115"/>
        <v>0</v>
      </c>
      <c r="K412" s="261">
        <f t="shared" si="102"/>
        <v>155.77580978955569</v>
      </c>
      <c r="L412" s="261">
        <v>1</v>
      </c>
      <c r="M412" s="261">
        <f t="shared" si="108"/>
        <v>42</v>
      </c>
      <c r="N412" s="263">
        <v>122.626691922074</v>
      </c>
      <c r="O412" s="264">
        <v>56.2</v>
      </c>
      <c r="P412" s="263">
        <f t="shared" si="105"/>
        <v>160.86993283562728</v>
      </c>
      <c r="Q412" s="265">
        <f t="shared" si="104"/>
        <v>0.76227228892655019</v>
      </c>
      <c r="R412" s="256">
        <v>20</v>
      </c>
      <c r="S412" s="266">
        <v>0.83442799999999995</v>
      </c>
    </row>
    <row r="413" spans="1:21" ht="12.65" customHeight="1">
      <c r="A413" s="10">
        <v>37438</v>
      </c>
      <c r="B413" s="255">
        <v>45998.69</v>
      </c>
      <c r="D413" s="257">
        <f>B413/C421</f>
        <v>7.7864407595625212E-2</v>
      </c>
      <c r="E413" s="2"/>
      <c r="F413" s="258">
        <f>D413*E421</f>
        <v>50914.44602507299</v>
      </c>
      <c r="H413" s="261">
        <f t="shared" si="110"/>
        <v>113.53793621908676</v>
      </c>
      <c r="I413" s="262">
        <f t="shared" si="113"/>
        <v>153.07113763260699</v>
      </c>
      <c r="J413" s="258">
        <f t="shared" si="115"/>
        <v>0</v>
      </c>
      <c r="K413" s="261">
        <f t="shared" si="102"/>
        <v>155.17116194992346</v>
      </c>
      <c r="L413" s="261">
        <v>1</v>
      </c>
      <c r="M413" s="261">
        <f t="shared" si="108"/>
        <v>43</v>
      </c>
      <c r="N413" s="263">
        <v>122.416961571992</v>
      </c>
      <c r="O413" s="264">
        <v>58.8</v>
      </c>
      <c r="P413" s="263">
        <f t="shared" si="105"/>
        <v>159.44410271694449</v>
      </c>
      <c r="Q413" s="265">
        <f t="shared" si="104"/>
        <v>0.7677735299455668</v>
      </c>
      <c r="R413" s="256">
        <v>17</v>
      </c>
      <c r="S413" s="266">
        <v>0.83442799999999995</v>
      </c>
    </row>
    <row r="414" spans="1:21" ht="12.65" customHeight="1">
      <c r="A414" s="10">
        <v>37469</v>
      </c>
      <c r="B414" s="255">
        <v>48597.52</v>
      </c>
      <c r="D414" s="257">
        <f>B414/C421</f>
        <v>8.2263584145908245E-2</v>
      </c>
      <c r="E414" s="2"/>
      <c r="F414" s="258">
        <f>D414*E421</f>
        <v>53791.005982831361</v>
      </c>
      <c r="H414" s="261">
        <f t="shared" si="110"/>
        <v>119.95259269700492</v>
      </c>
      <c r="I414" s="262">
        <f t="shared" si="113"/>
        <v>153.07113763260699</v>
      </c>
      <c r="J414" s="258">
        <f t="shared" si="115"/>
        <v>0</v>
      </c>
      <c r="K414" s="261">
        <f t="shared" si="102"/>
        <v>154.56651411029122</v>
      </c>
      <c r="L414" s="261">
        <v>1</v>
      </c>
      <c r="M414" s="261">
        <f t="shared" si="108"/>
        <v>44</v>
      </c>
      <c r="N414" s="263">
        <v>122.294063908075</v>
      </c>
      <c r="O414" s="264">
        <v>60.4</v>
      </c>
      <c r="P414" s="263">
        <f t="shared" si="105"/>
        <v>158.57361941941588</v>
      </c>
      <c r="Q414" s="265">
        <f t="shared" si="104"/>
        <v>0.77121317124392519</v>
      </c>
      <c r="R414" s="256">
        <v>17</v>
      </c>
      <c r="S414" s="266">
        <v>0.83442799999999995</v>
      </c>
    </row>
    <row r="415" spans="1:21" ht="12.65" customHeight="1">
      <c r="A415" s="10">
        <v>37500</v>
      </c>
      <c r="B415" s="255">
        <v>51866.85</v>
      </c>
      <c r="D415" s="257">
        <f>B415/C421</f>
        <v>8.7797751394684362E-2</v>
      </c>
      <c r="E415" s="2"/>
      <c r="F415" s="258">
        <f>D415*E421</f>
        <v>57409.720468464577</v>
      </c>
      <c r="H415" s="261">
        <f t="shared" si="110"/>
        <v>128.02223513723848</v>
      </c>
      <c r="I415" s="262">
        <f t="shared" si="113"/>
        <v>153.07113763260699</v>
      </c>
      <c r="J415" s="258">
        <f t="shared" si="115"/>
        <v>0</v>
      </c>
      <c r="K415" s="261">
        <f t="shared" si="102"/>
        <v>153.96186627065899</v>
      </c>
      <c r="L415" s="261">
        <v>1</v>
      </c>
      <c r="M415" s="261">
        <f t="shared" si="108"/>
        <v>45</v>
      </c>
      <c r="N415" s="263">
        <v>122.079516306716</v>
      </c>
      <c r="O415" s="264">
        <v>59.6</v>
      </c>
      <c r="P415" s="263">
        <f t="shared" si="105"/>
        <v>158.69780303813329</v>
      </c>
      <c r="Q415" s="265">
        <f t="shared" si="104"/>
        <v>0.76925775889526127</v>
      </c>
      <c r="R415" s="256">
        <v>17</v>
      </c>
      <c r="S415" s="266">
        <v>0.83442799999999995</v>
      </c>
    </row>
    <row r="416" spans="1:21" ht="12.65" customHeight="1">
      <c r="A416" s="10">
        <v>37530</v>
      </c>
      <c r="B416" s="255">
        <v>54201.86</v>
      </c>
      <c r="D416" s="257">
        <f>B416/C421</f>
        <v>9.1750345922482018E-2</v>
      </c>
      <c r="E416" s="2"/>
      <c r="F416" s="258">
        <f>D416*E421</f>
        <v>59994.266693868078</v>
      </c>
      <c r="H416" s="261">
        <f t="shared" si="110"/>
        <v>133.78570832421249</v>
      </c>
      <c r="I416" s="262">
        <f t="shared" si="113"/>
        <v>153.07113763260699</v>
      </c>
      <c r="J416" s="258">
        <f t="shared" si="115"/>
        <v>0</v>
      </c>
      <c r="K416" s="261">
        <f t="shared" si="102"/>
        <v>153.35721843102675</v>
      </c>
      <c r="L416" s="261">
        <v>1</v>
      </c>
      <c r="M416" s="261">
        <f t="shared" si="108"/>
        <v>46</v>
      </c>
      <c r="N416" s="263">
        <v>121.16469481366499</v>
      </c>
      <c r="O416" s="264">
        <v>57.2</v>
      </c>
      <c r="P416" s="263">
        <f t="shared" si="105"/>
        <v>158.76472563753956</v>
      </c>
      <c r="Q416" s="265">
        <f t="shared" si="104"/>
        <v>0.76317138033724463</v>
      </c>
      <c r="R416" s="256">
        <v>18</v>
      </c>
      <c r="S416" s="266">
        <v>0.83442799999999995</v>
      </c>
    </row>
    <row r="417" spans="1:21" ht="12.65" customHeight="1">
      <c r="A417" s="10">
        <v>37561</v>
      </c>
      <c r="B417" s="255">
        <v>55382.38</v>
      </c>
      <c r="D417" s="257">
        <f>B417/C421</f>
        <v>9.374867436302646E-2</v>
      </c>
      <c r="E417" s="2"/>
      <c r="F417" s="258">
        <f>D417*E421</f>
        <v>61300.945684541919</v>
      </c>
      <c r="H417" s="261">
        <f t="shared" si="110"/>
        <v>136.69956966385837</v>
      </c>
      <c r="I417" s="262">
        <f t="shared" si="113"/>
        <v>153.07113763260699</v>
      </c>
      <c r="J417" s="258">
        <f t="shared" si="115"/>
        <v>0</v>
      </c>
      <c r="K417" s="261">
        <f t="shared" si="102"/>
        <v>152.75257059139452</v>
      </c>
      <c r="L417" s="261">
        <v>1</v>
      </c>
      <c r="M417" s="261">
        <f t="shared" si="108"/>
        <v>47</v>
      </c>
      <c r="N417" s="263">
        <v>121.449474806295</v>
      </c>
      <c r="O417" s="264">
        <v>57.8</v>
      </c>
      <c r="P417" s="263">
        <f t="shared" si="105"/>
        <v>158.8111931255275</v>
      </c>
      <c r="Q417" s="265">
        <f t="shared" si="104"/>
        <v>0.7647412780930305</v>
      </c>
      <c r="R417" s="256">
        <v>18</v>
      </c>
      <c r="S417" s="266">
        <v>0.83442799999999995</v>
      </c>
    </row>
    <row r="418" spans="1:21" ht="12.65" customHeight="1">
      <c r="A418" s="10">
        <v>37591</v>
      </c>
      <c r="B418" s="255">
        <v>57619.54</v>
      </c>
      <c r="D418" s="257">
        <f>B418/C421</f>
        <v>9.7535633037211078E-2</v>
      </c>
      <c r="E418" s="2"/>
      <c r="F418" s="258">
        <f>D418*E421</f>
        <v>63777.1849441698</v>
      </c>
      <c r="H418" s="261">
        <f t="shared" si="110"/>
        <v>142.22152103664513</v>
      </c>
      <c r="I418" s="262">
        <f t="shared" si="113"/>
        <v>153.07113763260699</v>
      </c>
      <c r="J418" s="258">
        <f t="shared" si="115"/>
        <v>0</v>
      </c>
      <c r="K418" s="261">
        <f t="shared" si="102"/>
        <v>152.14792275176228</v>
      </c>
      <c r="L418" s="261">
        <v>1</v>
      </c>
      <c r="M418" s="261">
        <f t="shared" si="108"/>
        <v>48</v>
      </c>
      <c r="N418" s="263">
        <v>120.819292650704</v>
      </c>
      <c r="O418" s="264">
        <v>59.5</v>
      </c>
      <c r="P418" s="263">
        <f t="shared" si="105"/>
        <v>157.32323341222053</v>
      </c>
      <c r="Q418" s="265">
        <f t="shared" si="104"/>
        <v>0.76796853223917416</v>
      </c>
      <c r="R418" s="256">
        <v>18</v>
      </c>
      <c r="S418" s="266">
        <v>0.83442799999999995</v>
      </c>
      <c r="T418" s="257">
        <f t="shared" ref="T418" si="119">AVERAGE(Q407:Q418)</f>
        <v>0.77174459696676567</v>
      </c>
      <c r="U418" s="257">
        <f t="shared" ref="U418" si="120">AVERAGE(S407:S418)</f>
        <v>0.83442799999999995</v>
      </c>
    </row>
    <row r="419" spans="1:21" ht="12.65" customHeight="1">
      <c r="A419" s="10">
        <v>37622</v>
      </c>
      <c r="B419" s="255">
        <v>45575.83</v>
      </c>
      <c r="D419" s="257">
        <f>B419/C421</f>
        <v>7.7148610180614349E-2</v>
      </c>
      <c r="E419" s="2"/>
      <c r="F419" s="258">
        <f>D419*E421</f>
        <v>50446.396116561191</v>
      </c>
      <c r="H419" s="261">
        <f t="shared" si="110"/>
        <v>112.49419667542577</v>
      </c>
      <c r="I419" s="262">
        <f t="shared" si="113"/>
        <v>142.22152103664513</v>
      </c>
      <c r="J419" s="258">
        <f t="shared" si="115"/>
        <v>0</v>
      </c>
      <c r="K419" s="261">
        <f t="shared" si="102"/>
        <v>151.54327491213004</v>
      </c>
      <c r="L419" s="261">
        <v>1</v>
      </c>
      <c r="M419" s="261">
        <f t="shared" si="108"/>
        <v>49</v>
      </c>
      <c r="N419" s="263">
        <v>120.447573339001</v>
      </c>
      <c r="O419" s="264">
        <v>59.5</v>
      </c>
      <c r="P419" s="263">
        <f t="shared" si="105"/>
        <v>156.90429221273155</v>
      </c>
      <c r="Q419" s="265">
        <f t="shared" si="104"/>
        <v>0.76764995807570158</v>
      </c>
      <c r="R419" s="256">
        <v>18</v>
      </c>
      <c r="S419" s="266">
        <v>0.83442799999999995</v>
      </c>
    </row>
    <row r="420" spans="1:21" ht="12.65" customHeight="1">
      <c r="A420" s="10">
        <v>37653</v>
      </c>
      <c r="B420" s="255">
        <v>47716.26</v>
      </c>
      <c r="D420" s="257">
        <f>B420/C421</f>
        <v>8.0771828884231872E-2</v>
      </c>
      <c r="E420" s="2"/>
      <c r="F420" s="258">
        <f>D420*E421</f>
        <v>52815.568101794845</v>
      </c>
      <c r="H420" s="261">
        <f t="shared" si="110"/>
        <v>117.77739071467821</v>
      </c>
      <c r="I420" s="262">
        <f t="shared" si="113"/>
        <v>142.22152103664513</v>
      </c>
      <c r="J420" s="258">
        <f t="shared" si="115"/>
        <v>0</v>
      </c>
      <c r="K420" s="261">
        <f t="shared" si="102"/>
        <v>150.93862707249781</v>
      </c>
      <c r="L420" s="261">
        <v>1</v>
      </c>
      <c r="M420" s="261">
        <f t="shared" si="108"/>
        <v>50</v>
      </c>
      <c r="N420" s="263">
        <v>119.361684524297</v>
      </c>
      <c r="O420" s="264">
        <v>61.4</v>
      </c>
      <c r="P420" s="263">
        <f t="shared" si="105"/>
        <v>154.81123785681032</v>
      </c>
      <c r="Q420" s="265">
        <f t="shared" si="104"/>
        <v>0.77101434092722843</v>
      </c>
      <c r="R420" s="256">
        <v>18</v>
      </c>
      <c r="S420" s="266">
        <v>0.83442799999999995</v>
      </c>
    </row>
    <row r="421" spans="1:21" ht="12.65" customHeight="1">
      <c r="A421" s="10">
        <v>37681</v>
      </c>
      <c r="B421" s="255">
        <v>52589.81</v>
      </c>
      <c r="C421" s="259">
        <f t="shared" ref="C421" si="121">SUM(B410:B421)</f>
        <v>590753.74</v>
      </c>
      <c r="D421" s="257">
        <f>B421/C421</f>
        <v>8.9021543900847752E-2</v>
      </c>
      <c r="E421" s="260">
        <v>653886</v>
      </c>
      <c r="F421" s="258">
        <f>D421*E421</f>
        <v>58209.94125514973</v>
      </c>
      <c r="H421" s="261">
        <f t="shared" si="110"/>
        <v>129.80670739870831</v>
      </c>
      <c r="I421" s="262">
        <f t="shared" si="113"/>
        <v>142.22152103664513</v>
      </c>
      <c r="J421" s="258">
        <f t="shared" si="115"/>
        <v>0</v>
      </c>
      <c r="K421" s="261">
        <f t="shared" si="102"/>
        <v>150.33397923286557</v>
      </c>
      <c r="L421" s="261">
        <v>1</v>
      </c>
      <c r="M421" s="261">
        <f t="shared" si="108"/>
        <v>51</v>
      </c>
      <c r="N421" s="263">
        <v>118.352110429115</v>
      </c>
      <c r="O421" s="264">
        <v>62.8</v>
      </c>
      <c r="P421" s="263">
        <f t="shared" si="105"/>
        <v>153.03293457962303</v>
      </c>
      <c r="Q421" s="265">
        <f t="shared" si="104"/>
        <v>0.7733767293571463</v>
      </c>
      <c r="R421" s="256">
        <v>18</v>
      </c>
      <c r="S421" s="266">
        <v>0.83442799999999995</v>
      </c>
    </row>
    <row r="422" spans="1:21" ht="12.65" customHeight="1">
      <c r="A422" s="10">
        <v>37712</v>
      </c>
      <c r="B422" s="255">
        <v>43910.89</v>
      </c>
      <c r="D422" s="257">
        <f>B422/C433</f>
        <v>7.9342961083978883E-2</v>
      </c>
      <c r="E422" s="2"/>
      <c r="F422" s="258">
        <f>D422*E433</f>
        <v>48659.292487660401</v>
      </c>
      <c r="H422" s="261">
        <f t="shared" si="110"/>
        <v>108.50900045557266</v>
      </c>
      <c r="I422" s="262">
        <f t="shared" si="113"/>
        <v>142.22152103664513</v>
      </c>
      <c r="J422" s="258">
        <f t="shared" si="115"/>
        <v>0</v>
      </c>
      <c r="K422" s="261">
        <f t="shared" si="102"/>
        <v>149.72933139323334</v>
      </c>
      <c r="L422" s="261">
        <v>1</v>
      </c>
      <c r="M422" s="261">
        <f t="shared" si="108"/>
        <v>52</v>
      </c>
      <c r="N422" s="263">
        <v>118.309222748853</v>
      </c>
      <c r="O422" s="264">
        <v>60.6</v>
      </c>
      <c r="P422" s="263">
        <f t="shared" si="105"/>
        <v>153.99106169085115</v>
      </c>
      <c r="Q422" s="265">
        <f t="shared" si="104"/>
        <v>0.76828629824221761</v>
      </c>
      <c r="R422" s="256">
        <v>20</v>
      </c>
      <c r="S422" s="266">
        <v>0.83442799999999995</v>
      </c>
    </row>
    <row r="423" spans="1:21" ht="12.65" customHeight="1">
      <c r="A423" s="10">
        <v>37742</v>
      </c>
      <c r="B423" s="255">
        <v>38880.730000000003</v>
      </c>
      <c r="D423" s="257">
        <f>B423/C433</f>
        <v>7.0253922143383801E-2</v>
      </c>
      <c r="E423" s="2"/>
      <c r="F423" s="258">
        <f>D423*E433</f>
        <v>43085.184864250128</v>
      </c>
      <c r="H423" s="261">
        <f t="shared" si="110"/>
        <v>96.078880416293018</v>
      </c>
      <c r="I423" s="262">
        <f t="shared" si="113"/>
        <v>142.22152103664513</v>
      </c>
      <c r="J423" s="258">
        <f t="shared" si="115"/>
        <v>0</v>
      </c>
      <c r="K423" s="261">
        <f t="shared" si="102"/>
        <v>149.1246835536011</v>
      </c>
      <c r="L423" s="261">
        <v>1</v>
      </c>
      <c r="M423" s="261">
        <f t="shared" si="108"/>
        <v>53</v>
      </c>
      <c r="N423" s="263">
        <v>116.192433792138</v>
      </c>
      <c r="O423" s="264">
        <v>59.5</v>
      </c>
      <c r="P423" s="263">
        <f t="shared" si="105"/>
        <v>152.10859500348857</v>
      </c>
      <c r="Q423" s="265">
        <f t="shared" si="104"/>
        <v>0.76387816079343285</v>
      </c>
      <c r="R423" s="256">
        <v>20</v>
      </c>
      <c r="S423" s="266">
        <v>0.83442799999999995</v>
      </c>
    </row>
    <row r="424" spans="1:21" ht="12.65" customHeight="1">
      <c r="A424" s="10">
        <v>37773</v>
      </c>
      <c r="B424" s="255">
        <v>41495.24</v>
      </c>
      <c r="D424" s="257">
        <f>B424/C433</f>
        <v>7.4978102527422319E-2</v>
      </c>
      <c r="E424" s="2"/>
      <c r="F424" s="258">
        <f>D424*E433</f>
        <v>45982.420761812507</v>
      </c>
      <c r="H424" s="261">
        <f t="shared" si="110"/>
        <v>102.53964372081951</v>
      </c>
      <c r="I424" s="262">
        <f t="shared" si="113"/>
        <v>142.22152103664513</v>
      </c>
      <c r="J424" s="258">
        <f t="shared" si="115"/>
        <v>0</v>
      </c>
      <c r="K424" s="261">
        <f t="shared" si="102"/>
        <v>148.52003571396887</v>
      </c>
      <c r="L424" s="261">
        <v>1</v>
      </c>
      <c r="M424" s="261">
        <f t="shared" si="108"/>
        <v>54</v>
      </c>
      <c r="N424" s="263">
        <v>117.738536693019</v>
      </c>
      <c r="O424" s="264">
        <v>59.1</v>
      </c>
      <c r="P424" s="263">
        <f t="shared" si="105"/>
        <v>154.03410255895287</v>
      </c>
      <c r="Q424" s="265">
        <f t="shared" si="104"/>
        <v>0.76436668722731316</v>
      </c>
      <c r="R424" s="256">
        <v>20</v>
      </c>
      <c r="S424" s="266">
        <v>0.83442799999999995</v>
      </c>
    </row>
    <row r="425" spans="1:21" ht="12.65" customHeight="1">
      <c r="A425" s="10">
        <v>37803</v>
      </c>
      <c r="B425" s="255">
        <v>43891.57</v>
      </c>
      <c r="D425" s="257">
        <f>B425/C433</f>
        <v>7.9308051611450714E-2</v>
      </c>
      <c r="E425" s="2"/>
      <c r="F425" s="258">
        <f>D425*E433</f>
        <v>48637.883276167267</v>
      </c>
      <c r="H425" s="261">
        <f t="shared" si="110"/>
        <v>108.46125845150938</v>
      </c>
      <c r="I425" s="262">
        <f t="shared" si="113"/>
        <v>142.22152103664513</v>
      </c>
      <c r="J425" s="258">
        <f t="shared" si="115"/>
        <v>0</v>
      </c>
      <c r="K425" s="261">
        <f t="shared" si="102"/>
        <v>147.91538787433663</v>
      </c>
      <c r="L425" s="261">
        <v>1</v>
      </c>
      <c r="M425" s="261">
        <f t="shared" si="108"/>
        <v>55</v>
      </c>
      <c r="N425" s="263">
        <v>116.883583752734</v>
      </c>
      <c r="O425" s="264">
        <v>60.3</v>
      </c>
      <c r="P425" s="263">
        <f t="shared" si="105"/>
        <v>152.52155959787655</v>
      </c>
      <c r="Q425" s="265">
        <f t="shared" si="104"/>
        <v>0.7663413884627055</v>
      </c>
      <c r="R425" s="256">
        <v>16</v>
      </c>
      <c r="S425" s="266">
        <v>0.83442799999999995</v>
      </c>
    </row>
    <row r="426" spans="1:21" ht="12.65" customHeight="1">
      <c r="A426" s="10">
        <v>37834</v>
      </c>
      <c r="B426" s="255">
        <v>46033</v>
      </c>
      <c r="D426" s="257">
        <f>B426/C433</f>
        <v>8.3177419714763237E-2</v>
      </c>
      <c r="E426" s="2"/>
      <c r="F426" s="258">
        <f>D426*E433</f>
        <v>51010.881607830568</v>
      </c>
      <c r="H426" s="261">
        <f t="shared" si="110"/>
        <v>113.75298514722374</v>
      </c>
      <c r="I426" s="262">
        <f t="shared" si="113"/>
        <v>142.22152103664513</v>
      </c>
      <c r="J426" s="258">
        <f t="shared" si="115"/>
        <v>0</v>
      </c>
      <c r="K426" s="261">
        <f t="shared" si="102"/>
        <v>147.31074003470439</v>
      </c>
      <c r="L426" s="261">
        <v>1</v>
      </c>
      <c r="M426" s="261">
        <f t="shared" si="108"/>
        <v>56</v>
      </c>
      <c r="N426" s="263">
        <v>115.871809567973</v>
      </c>
      <c r="O426" s="264">
        <v>62.8</v>
      </c>
      <c r="P426" s="263">
        <f t="shared" si="105"/>
        <v>150.2375451953593</v>
      </c>
      <c r="Q426" s="265">
        <f t="shared" si="104"/>
        <v>0.77125734061549467</v>
      </c>
      <c r="R426" s="256">
        <v>16</v>
      </c>
      <c r="S426" s="266">
        <v>0.83442799999999995</v>
      </c>
    </row>
    <row r="427" spans="1:21" ht="12.65" customHeight="1">
      <c r="A427" s="10">
        <v>37865</v>
      </c>
      <c r="B427" s="255">
        <v>48544.54</v>
      </c>
      <c r="D427" s="257">
        <f>B427/C433</f>
        <v>8.7715542728914311E-2</v>
      </c>
      <c r="E427" s="2"/>
      <c r="F427" s="258">
        <f>D427*E433</f>
        <v>53794.012613703111</v>
      </c>
      <c r="H427" s="261">
        <f t="shared" si="110"/>
        <v>119.95929740835507</v>
      </c>
      <c r="I427" s="262">
        <f t="shared" si="113"/>
        <v>142.22152103664513</v>
      </c>
      <c r="J427" s="258">
        <f t="shared" si="115"/>
        <v>0</v>
      </c>
      <c r="K427" s="261">
        <f t="shared" si="102"/>
        <v>146.70609219507216</v>
      </c>
      <c r="L427" s="261">
        <v>1</v>
      </c>
      <c r="M427" s="261">
        <f t="shared" si="108"/>
        <v>57</v>
      </c>
      <c r="N427" s="263">
        <v>114.43916422975499</v>
      </c>
      <c r="O427" s="264">
        <v>63.8</v>
      </c>
      <c r="P427" s="263">
        <f t="shared" si="105"/>
        <v>148.16541851104586</v>
      </c>
      <c r="Q427" s="265">
        <f t="shared" si="104"/>
        <v>0.77237431905356146</v>
      </c>
      <c r="R427" s="256">
        <v>16</v>
      </c>
      <c r="S427" s="266">
        <v>0.83442799999999995</v>
      </c>
    </row>
    <row r="428" spans="1:21" ht="12.65" customHeight="1">
      <c r="A428" s="10">
        <v>37895</v>
      </c>
      <c r="B428" s="255">
        <v>51526.28</v>
      </c>
      <c r="D428" s="257">
        <f>B428/C433</f>
        <v>9.3103274127265448E-2</v>
      </c>
      <c r="E428" s="2"/>
      <c r="F428" s="258">
        <f>D428*E433</f>
        <v>57098.1897502211</v>
      </c>
      <c r="H428" s="261">
        <f t="shared" si="110"/>
        <v>127.32752945781705</v>
      </c>
      <c r="I428" s="262">
        <f t="shared" si="113"/>
        <v>142.22152103664513</v>
      </c>
      <c r="J428" s="258">
        <f t="shared" si="115"/>
        <v>0</v>
      </c>
      <c r="K428" s="261">
        <f t="shared" si="102"/>
        <v>146.10144435543992</v>
      </c>
      <c r="L428" s="261">
        <v>1</v>
      </c>
      <c r="M428" s="261">
        <f t="shared" si="108"/>
        <v>58</v>
      </c>
      <c r="N428" s="263">
        <v>114.824904693497</v>
      </c>
      <c r="O428" s="264">
        <v>64.599999999999994</v>
      </c>
      <c r="P428" s="263">
        <f t="shared" si="105"/>
        <v>148.23417548178048</v>
      </c>
      <c r="Q428" s="265">
        <f t="shared" si="104"/>
        <v>0.77461829784056901</v>
      </c>
      <c r="R428" s="256">
        <v>15</v>
      </c>
      <c r="S428" s="266">
        <v>0.83442799999999995</v>
      </c>
    </row>
    <row r="429" spans="1:21" ht="12.65" customHeight="1">
      <c r="A429" s="10">
        <v>37926</v>
      </c>
      <c r="B429" s="255">
        <v>51419.57</v>
      </c>
      <c r="D429" s="257">
        <f>B429/C433</f>
        <v>9.2910458919528344E-2</v>
      </c>
      <c r="E429" s="2"/>
      <c r="F429" s="258">
        <f>D429*E433</f>
        <v>56979.940425250505</v>
      </c>
      <c r="H429" s="261">
        <f t="shared" si="110"/>
        <v>127.06383643226884</v>
      </c>
      <c r="I429" s="262">
        <f t="shared" si="113"/>
        <v>142.22152103664513</v>
      </c>
      <c r="J429" s="258">
        <f t="shared" si="115"/>
        <v>0</v>
      </c>
      <c r="K429" s="261">
        <f t="shared" si="102"/>
        <v>145.49679651580769</v>
      </c>
      <c r="L429" s="261">
        <v>1</v>
      </c>
      <c r="M429" s="261">
        <f t="shared" si="108"/>
        <v>59</v>
      </c>
      <c r="N429" s="263">
        <v>112.624804853908</v>
      </c>
      <c r="O429" s="264">
        <v>65.8</v>
      </c>
      <c r="P429" s="263">
        <f t="shared" si="105"/>
        <v>145.20560298513468</v>
      </c>
      <c r="Q429" s="265">
        <f t="shared" si="104"/>
        <v>0.77562299621067576</v>
      </c>
      <c r="R429" s="256">
        <v>15</v>
      </c>
      <c r="S429" s="266">
        <v>0.83442799999999995</v>
      </c>
    </row>
    <row r="430" spans="1:21" ht="12.65" customHeight="1">
      <c r="A430" s="10">
        <v>37956</v>
      </c>
      <c r="B430" s="255">
        <v>52778.85</v>
      </c>
      <c r="D430" s="257">
        <f>B430/C433</f>
        <v>9.5366553527089948E-2</v>
      </c>
      <c r="E430" s="2"/>
      <c r="F430" s="258">
        <f>D430*E433</f>
        <v>58486.209213986665</v>
      </c>
      <c r="H430" s="261">
        <f t="shared" si="110"/>
        <v>130.42277801006995</v>
      </c>
      <c r="I430" s="262">
        <f t="shared" si="113"/>
        <v>142.22152103664513</v>
      </c>
      <c r="J430" s="258">
        <f t="shared" si="115"/>
        <v>0</v>
      </c>
      <c r="K430" s="261">
        <f t="shared" si="102"/>
        <v>144.89214867617545</v>
      </c>
      <c r="L430" s="261">
        <v>1</v>
      </c>
      <c r="M430" s="261">
        <f t="shared" si="108"/>
        <v>60</v>
      </c>
      <c r="N430" s="263">
        <v>111.166555623371</v>
      </c>
      <c r="O430" s="264">
        <v>64.3</v>
      </c>
      <c r="P430" s="263">
        <f t="shared" si="105"/>
        <v>144.24832783702306</v>
      </c>
      <c r="Q430" s="265">
        <f t="shared" si="104"/>
        <v>0.77066096564371245</v>
      </c>
      <c r="R430" s="256">
        <v>15</v>
      </c>
      <c r="S430" s="266">
        <v>0.83442799999999995</v>
      </c>
      <c r="T430" s="257">
        <f t="shared" ref="T430" si="122">AVERAGE(Q419:Q430)</f>
        <v>0.76995395687081325</v>
      </c>
      <c r="U430" s="257">
        <f t="shared" ref="U430" si="123">AVERAGE(S419:S430)</f>
        <v>0.83442799999999995</v>
      </c>
    </row>
    <row r="431" spans="1:21" ht="12.65" customHeight="1">
      <c r="A431" s="10">
        <v>37987</v>
      </c>
      <c r="B431" s="255">
        <v>41884.339999999997</v>
      </c>
      <c r="D431" s="257">
        <f>B431/C433</f>
        <v>7.5681170630978775E-2</v>
      </c>
      <c r="E431" s="2"/>
      <c r="F431" s="258">
        <f>D431*E433</f>
        <v>46413.596962225398</v>
      </c>
      <c r="H431" s="261">
        <f t="shared" si="110"/>
        <v>103.50115582128623</v>
      </c>
      <c r="I431" s="262">
        <f t="shared" si="113"/>
        <v>130.42277801006995</v>
      </c>
      <c r="J431" s="258">
        <f t="shared" si="115"/>
        <v>0</v>
      </c>
      <c r="K431" s="261">
        <f t="shared" si="102"/>
        <v>144.28750083654322</v>
      </c>
      <c r="L431" s="261">
        <v>1</v>
      </c>
      <c r="M431" s="261">
        <f t="shared" si="108"/>
        <v>61</v>
      </c>
      <c r="N431" s="263">
        <v>111.090354342327</v>
      </c>
      <c r="O431" s="264">
        <v>65.099999999999994</v>
      </c>
      <c r="P431" s="263">
        <f t="shared" si="105"/>
        <v>143.79645964096702</v>
      </c>
      <c r="Q431" s="265">
        <f t="shared" si="104"/>
        <v>0.77255277786183985</v>
      </c>
      <c r="R431" s="256">
        <v>11</v>
      </c>
      <c r="S431" s="266">
        <v>0.83442799999999995</v>
      </c>
    </row>
    <row r="432" spans="1:21" ht="12.65" customHeight="1">
      <c r="A432" s="10">
        <v>38018</v>
      </c>
      <c r="B432" s="255">
        <v>44414.54</v>
      </c>
      <c r="D432" s="257">
        <f>B432/C433</f>
        <v>8.0253010558037505E-2</v>
      </c>
      <c r="E432" s="2"/>
      <c r="F432" s="258">
        <f>D432*E433</f>
        <v>49217.405809012125</v>
      </c>
      <c r="H432" s="261">
        <f t="shared" si="110"/>
        <v>109.75357914845382</v>
      </c>
      <c r="I432" s="262">
        <f t="shared" si="113"/>
        <v>130.42277801006995</v>
      </c>
      <c r="J432" s="258">
        <f t="shared" si="115"/>
        <v>0</v>
      </c>
      <c r="K432" s="261">
        <f t="shared" si="102"/>
        <v>143.68285299691098</v>
      </c>
      <c r="L432" s="261">
        <v>1</v>
      </c>
      <c r="M432" s="261">
        <f t="shared" si="108"/>
        <v>62</v>
      </c>
      <c r="N432" s="263">
        <v>111.17088542786399</v>
      </c>
      <c r="O432" s="264">
        <v>66.400000000000006</v>
      </c>
      <c r="P432" s="263">
        <f t="shared" si="105"/>
        <v>143.2924929180235</v>
      </c>
      <c r="Q432" s="265">
        <f t="shared" si="104"/>
        <v>0.77583188877496867</v>
      </c>
      <c r="R432" s="256">
        <v>11</v>
      </c>
      <c r="S432" s="266">
        <v>0.83442799999999995</v>
      </c>
    </row>
    <row r="433" spans="1:21" ht="12.65" customHeight="1">
      <c r="A433" s="10">
        <v>38047</v>
      </c>
      <c r="B433" s="255">
        <v>48651.9</v>
      </c>
      <c r="C433" s="259">
        <f t="shared" ref="C433" si="124">SUM(B422:B433)</f>
        <v>553431.44999999995</v>
      </c>
      <c r="D433" s="257">
        <f>B433/C433</f>
        <v>8.7909532427186798E-2</v>
      </c>
      <c r="E433" s="260">
        <v>613278</v>
      </c>
      <c r="F433" s="258">
        <f>D433*E433</f>
        <v>53912.982227880268</v>
      </c>
      <c r="H433" s="261">
        <f t="shared" si="110"/>
        <v>120.22459666074808</v>
      </c>
      <c r="I433" s="262">
        <f t="shared" si="113"/>
        <v>130.42277801006995</v>
      </c>
      <c r="J433" s="258">
        <f t="shared" si="115"/>
        <v>0</v>
      </c>
      <c r="K433" s="261">
        <f t="shared" si="102"/>
        <v>143.07820515727875</v>
      </c>
      <c r="L433" s="261">
        <v>1</v>
      </c>
      <c r="M433" s="261">
        <f t="shared" si="108"/>
        <v>63</v>
      </c>
      <c r="N433" s="263">
        <v>109.245660976442</v>
      </c>
      <c r="O433" s="264">
        <v>66.099999999999994</v>
      </c>
      <c r="P433" s="263">
        <f t="shared" si="105"/>
        <v>141.25993982580698</v>
      </c>
      <c r="Q433" s="265">
        <f t="shared" si="104"/>
        <v>0.77336618655761136</v>
      </c>
      <c r="R433" s="256">
        <v>11</v>
      </c>
      <c r="S433" s="266">
        <v>0.83442799999999995</v>
      </c>
    </row>
    <row r="434" spans="1:21" ht="12.65" customHeight="1">
      <c r="A434" s="10">
        <v>38078</v>
      </c>
      <c r="B434" s="255">
        <v>41491.72</v>
      </c>
      <c r="D434" s="257">
        <f>B434/C445</f>
        <v>7.8385372841601159E-2</v>
      </c>
      <c r="E434" s="2"/>
      <c r="F434" s="258">
        <f>D434*E445</f>
        <v>46744.176469614751</v>
      </c>
      <c r="H434" s="261">
        <f t="shared" si="110"/>
        <v>104.23833982220468</v>
      </c>
      <c r="I434" s="262">
        <f t="shared" si="113"/>
        <v>130.42277801006995</v>
      </c>
      <c r="J434" s="258">
        <f t="shared" si="115"/>
        <v>0</v>
      </c>
      <c r="K434" s="261">
        <f t="shared" si="102"/>
        <v>142.47355731764651</v>
      </c>
      <c r="L434" s="261">
        <v>1</v>
      </c>
      <c r="M434" s="261">
        <f t="shared" si="108"/>
        <v>64</v>
      </c>
      <c r="N434" s="263">
        <v>113.780513800786</v>
      </c>
      <c r="O434" s="264">
        <v>65.7</v>
      </c>
      <c r="P434" s="263">
        <f t="shared" si="105"/>
        <v>146.55387737263155</v>
      </c>
      <c r="Q434" s="265">
        <f t="shared" si="104"/>
        <v>0.77637327541655432</v>
      </c>
      <c r="R434" s="256">
        <v>12</v>
      </c>
      <c r="S434" s="266">
        <v>0.83442799999999995</v>
      </c>
    </row>
    <row r="435" spans="1:21" ht="12.65" customHeight="1">
      <c r="A435" s="10">
        <v>38108</v>
      </c>
      <c r="B435" s="255">
        <v>36417.14</v>
      </c>
      <c r="D435" s="257">
        <f>B435/C445</f>
        <v>6.8798572262725843E-2</v>
      </c>
      <c r="E435" s="2"/>
      <c r="F435" s="258">
        <f>D435*E445</f>
        <v>41027.202986009404</v>
      </c>
      <c r="H435" s="261">
        <f t="shared" si="110"/>
        <v>91.48963250192574</v>
      </c>
      <c r="I435" s="262">
        <f t="shared" si="113"/>
        <v>130.42277801006995</v>
      </c>
      <c r="J435" s="258">
        <f t="shared" si="115"/>
        <v>0</v>
      </c>
      <c r="K435" s="261">
        <f t="shared" si="102"/>
        <v>141.86890947801427</v>
      </c>
      <c r="L435" s="261">
        <v>1</v>
      </c>
      <c r="M435" s="261">
        <f t="shared" si="108"/>
        <v>65</v>
      </c>
      <c r="N435" s="263">
        <v>111.078597064592</v>
      </c>
      <c r="O435" s="264">
        <v>69.099999999999994</v>
      </c>
      <c r="P435" s="263">
        <f t="shared" si="105"/>
        <v>141.95327587261673</v>
      </c>
      <c r="Q435" s="265">
        <f t="shared" si="104"/>
        <v>0.78250111793312582</v>
      </c>
      <c r="R435" s="256">
        <v>12</v>
      </c>
      <c r="S435" s="266">
        <v>0.83442799999999995</v>
      </c>
    </row>
    <row r="436" spans="1:21" ht="12.65" customHeight="1">
      <c r="A436" s="10">
        <v>38139</v>
      </c>
      <c r="B436" s="255">
        <v>38590.36</v>
      </c>
      <c r="D436" s="257">
        <f>B436/C445</f>
        <v>7.2904178392498839E-2</v>
      </c>
      <c r="E436" s="2"/>
      <c r="F436" s="258">
        <f>D436*E445</f>
        <v>43475.531934225975</v>
      </c>
      <c r="H436" s="261">
        <f t="shared" si="110"/>
        <v>96.949344581068573</v>
      </c>
      <c r="I436" s="262">
        <f t="shared" si="113"/>
        <v>130.42277801006995</v>
      </c>
      <c r="J436" s="258">
        <f t="shared" si="115"/>
        <v>0</v>
      </c>
      <c r="K436" s="261">
        <f t="shared" ref="K436:K489" si="125">(K$490-K$370)/(M$489+1)+K435</f>
        <v>141.26426163838204</v>
      </c>
      <c r="L436" s="261">
        <v>1</v>
      </c>
      <c r="M436" s="261">
        <f t="shared" si="108"/>
        <v>66</v>
      </c>
      <c r="N436" s="263">
        <v>111.13276009590101</v>
      </c>
      <c r="O436" s="264">
        <v>68.900000000000006</v>
      </c>
      <c r="P436" s="263">
        <f t="shared" si="105"/>
        <v>142.10581622552061</v>
      </c>
      <c r="Q436" s="265">
        <f t="shared" si="104"/>
        <v>0.78204230514769602</v>
      </c>
      <c r="R436" s="256">
        <v>12</v>
      </c>
      <c r="S436" s="266">
        <v>0.83442799999999995</v>
      </c>
    </row>
    <row r="437" spans="1:21" ht="12.65" customHeight="1">
      <c r="A437" s="10">
        <v>38169</v>
      </c>
      <c r="B437" s="255">
        <v>41173.14</v>
      </c>
      <c r="D437" s="257">
        <f>B437/C445</f>
        <v>7.7783517529749116E-2</v>
      </c>
      <c r="E437" s="2"/>
      <c r="F437" s="258">
        <f>D437*E445</f>
        <v>46385.267276655526</v>
      </c>
      <c r="H437" s="261">
        <f t="shared" si="110"/>
        <v>103.43798133379882</v>
      </c>
      <c r="I437" s="262">
        <f t="shared" si="113"/>
        <v>130.42277801006995</v>
      </c>
      <c r="J437" s="258">
        <f t="shared" si="115"/>
        <v>0</v>
      </c>
      <c r="K437" s="261">
        <f t="shared" si="125"/>
        <v>140.6596137987498</v>
      </c>
      <c r="L437" s="261">
        <v>1</v>
      </c>
      <c r="M437" s="261">
        <f t="shared" si="108"/>
        <v>67</v>
      </c>
      <c r="N437" s="263">
        <v>111.344407422176</v>
      </c>
      <c r="O437" s="264">
        <v>69.7</v>
      </c>
      <c r="P437" s="263">
        <f t="shared" si="105"/>
        <v>141.97836389117748</v>
      </c>
      <c r="Q437" s="265">
        <f t="shared" si="104"/>
        <v>0.78423503673784012</v>
      </c>
      <c r="R437" s="256">
        <v>11</v>
      </c>
      <c r="S437" s="266">
        <v>0.83442799999999995</v>
      </c>
    </row>
    <row r="438" spans="1:21" ht="12.65" customHeight="1">
      <c r="A438" s="10">
        <v>38200</v>
      </c>
      <c r="B438" s="255">
        <v>43584.66</v>
      </c>
      <c r="D438" s="257">
        <f>B438/C445</f>
        <v>8.2339315513418596E-2</v>
      </c>
      <c r="E438" s="2"/>
      <c r="F438" s="258">
        <f>D438*E445</f>
        <v>49102.062734641018</v>
      </c>
      <c r="H438" s="261">
        <f t="shared" si="110"/>
        <v>109.49636698876913</v>
      </c>
      <c r="I438" s="262">
        <f t="shared" si="113"/>
        <v>130.42277801006995</v>
      </c>
      <c r="J438" s="258">
        <f t="shared" si="115"/>
        <v>0</v>
      </c>
      <c r="K438" s="261">
        <f t="shared" si="125"/>
        <v>140.05496595911757</v>
      </c>
      <c r="L438" s="261">
        <v>1</v>
      </c>
      <c r="M438" s="261">
        <f t="shared" si="108"/>
        <v>68</v>
      </c>
      <c r="N438" s="263">
        <v>111.551338085704</v>
      </c>
      <c r="O438" s="264">
        <v>66.599999999999994</v>
      </c>
      <c r="P438" s="263">
        <f t="shared" si="105"/>
        <v>143.62978027219955</v>
      </c>
      <c r="Q438" s="265">
        <f t="shared" si="104"/>
        <v>0.77665883686724169</v>
      </c>
      <c r="R438" s="256">
        <v>11</v>
      </c>
      <c r="S438" s="266">
        <v>0.83442799999999995</v>
      </c>
    </row>
    <row r="439" spans="1:21" ht="12.65" customHeight="1">
      <c r="A439" s="10">
        <v>38231</v>
      </c>
      <c r="B439" s="255">
        <v>46521.34</v>
      </c>
      <c r="D439" s="257">
        <f>B439/C445</f>
        <v>8.7887235838641858E-2</v>
      </c>
      <c r="E439" s="2"/>
      <c r="F439" s="258">
        <f>D439*E445</f>
        <v>52410.498445544006</v>
      </c>
      <c r="H439" s="261">
        <f t="shared" si="110"/>
        <v>116.87409555218058</v>
      </c>
      <c r="I439" s="262">
        <f t="shared" si="113"/>
        <v>130.42277801006995</v>
      </c>
      <c r="J439" s="258">
        <f t="shared" si="115"/>
        <v>0</v>
      </c>
      <c r="K439" s="261">
        <f t="shared" si="125"/>
        <v>139.45031811948533</v>
      </c>
      <c r="L439" s="261">
        <v>1</v>
      </c>
      <c r="M439" s="261">
        <f t="shared" si="108"/>
        <v>69</v>
      </c>
      <c r="N439" s="263">
        <v>111.656805703872</v>
      </c>
      <c r="O439" s="264">
        <v>65.5</v>
      </c>
      <c r="P439" s="263">
        <f t="shared" si="105"/>
        <v>144.25187766246989</v>
      </c>
      <c r="Q439" s="265">
        <f t="shared" si="104"/>
        <v>0.77404057065471266</v>
      </c>
      <c r="R439" s="256">
        <v>11</v>
      </c>
      <c r="S439" s="266">
        <v>0.83442799999999995</v>
      </c>
    </row>
    <row r="440" spans="1:21" ht="12.65" customHeight="1">
      <c r="A440" s="10">
        <v>38261</v>
      </c>
      <c r="B440" s="255">
        <v>49257.45</v>
      </c>
      <c r="D440" s="257">
        <f>B440/C445</f>
        <v>9.3056243112518033E-2</v>
      </c>
      <c r="E440" s="2"/>
      <c r="F440" s="258">
        <f>D440*E445</f>
        <v>55492.973905232779</v>
      </c>
      <c r="H440" s="261">
        <f t="shared" si="110"/>
        <v>123.74793842904693</v>
      </c>
      <c r="I440" s="262">
        <f t="shared" si="113"/>
        <v>130.42277801006995</v>
      </c>
      <c r="J440" s="258">
        <f t="shared" si="115"/>
        <v>0</v>
      </c>
      <c r="K440" s="261">
        <f t="shared" si="125"/>
        <v>138.8456702798531</v>
      </c>
      <c r="L440" s="261">
        <v>1</v>
      </c>
      <c r="M440" s="261">
        <f t="shared" si="108"/>
        <v>70</v>
      </c>
      <c r="N440" s="263">
        <v>111.62453262056199</v>
      </c>
      <c r="O440" s="264">
        <v>64.3</v>
      </c>
      <c r="P440" s="263">
        <f t="shared" si="105"/>
        <v>144.76448458890806</v>
      </c>
      <c r="Q440" s="265">
        <f t="shared" si="104"/>
        <v>0.77107677989905776</v>
      </c>
      <c r="R440" s="256">
        <v>9</v>
      </c>
      <c r="S440" s="266">
        <v>0.83442799999999995</v>
      </c>
    </row>
    <row r="441" spans="1:21" ht="12.65" customHeight="1">
      <c r="A441" s="10">
        <v>38292</v>
      </c>
      <c r="B441" s="255">
        <v>49865.02</v>
      </c>
      <c r="D441" s="257">
        <f>B441/C445</f>
        <v>9.4204052867750437E-2</v>
      </c>
      <c r="E441" s="2"/>
      <c r="F441" s="258">
        <f>D441*E445</f>
        <v>56177.45647904856</v>
      </c>
      <c r="H441" s="261">
        <f t="shared" si="110"/>
        <v>125.27431738190249</v>
      </c>
      <c r="I441" s="262">
        <f t="shared" si="113"/>
        <v>130.42277801006995</v>
      </c>
      <c r="J441" s="258">
        <f t="shared" si="115"/>
        <v>0</v>
      </c>
      <c r="K441" s="261">
        <f t="shared" si="125"/>
        <v>138.24102244022086</v>
      </c>
      <c r="L441" s="261">
        <v>1</v>
      </c>
      <c r="M441" s="261">
        <f t="shared" si="108"/>
        <v>71</v>
      </c>
      <c r="N441" s="263">
        <v>111.00609642436</v>
      </c>
      <c r="O441" s="264">
        <v>76.5</v>
      </c>
      <c r="P441" s="263">
        <f t="shared" si="105"/>
        <v>138.48618916792228</v>
      </c>
      <c r="Q441" s="265">
        <f t="shared" si="104"/>
        <v>0.80156799094066244</v>
      </c>
      <c r="R441" s="256">
        <v>9</v>
      </c>
      <c r="S441" s="266">
        <v>0.83442799999999995</v>
      </c>
    </row>
    <row r="442" spans="1:21" ht="12.65" customHeight="1">
      <c r="A442" s="10">
        <v>38322</v>
      </c>
      <c r="B442" s="255">
        <v>51403.14</v>
      </c>
      <c r="D442" s="257">
        <f>B442/C445</f>
        <v>9.7109840086866059E-2</v>
      </c>
      <c r="E442" s="2"/>
      <c r="F442" s="258">
        <f>D442*E445</f>
        <v>57910.287817721532</v>
      </c>
      <c r="H442" s="261">
        <f t="shared" si="110"/>
        <v>129.13848775727692</v>
      </c>
      <c r="I442" s="262">
        <f t="shared" si="113"/>
        <v>130.42277801006995</v>
      </c>
      <c r="J442" s="258">
        <f t="shared" si="115"/>
        <v>0</v>
      </c>
      <c r="K442" s="261">
        <f t="shared" si="125"/>
        <v>137.63637460058862</v>
      </c>
      <c r="L442" s="261">
        <v>1</v>
      </c>
      <c r="M442" s="261">
        <f t="shared" si="108"/>
        <v>72</v>
      </c>
      <c r="N442" s="263">
        <v>110.31374716936899</v>
      </c>
      <c r="O442" s="264">
        <v>74</v>
      </c>
      <c r="P442" s="263">
        <f t="shared" si="105"/>
        <v>138.84959440258055</v>
      </c>
      <c r="Q442" s="265">
        <f t="shared" si="104"/>
        <v>0.79448375520295211</v>
      </c>
      <c r="R442" s="256">
        <v>9</v>
      </c>
      <c r="S442" s="266">
        <v>0.83442799999999995</v>
      </c>
      <c r="T442" s="257">
        <f t="shared" ref="T442" si="126">AVERAGE(Q431:Q442)</f>
        <v>0.78039421016618871</v>
      </c>
      <c r="U442" s="257">
        <f t="shared" ref="U442" si="127">AVERAGE(S431:S442)</f>
        <v>0.83442799999999995</v>
      </c>
    </row>
    <row r="443" spans="1:21" ht="12.65" customHeight="1">
      <c r="A443" s="10">
        <v>38353</v>
      </c>
      <c r="B443" s="255">
        <v>40081.699999999997</v>
      </c>
      <c r="D443" s="257">
        <f>B443/C445</f>
        <v>7.5721589720194896E-2</v>
      </c>
      <c r="E443" s="2"/>
      <c r="F443" s="258">
        <f>D443*E445</f>
        <v>45155.661370561582</v>
      </c>
      <c r="H443" s="261">
        <f t="shared" si="110"/>
        <v>100.69599103752893</v>
      </c>
      <c r="I443" s="262">
        <f t="shared" si="113"/>
        <v>129.13848775727692</v>
      </c>
      <c r="J443" s="258">
        <f t="shared" si="115"/>
        <v>0</v>
      </c>
      <c r="K443" s="261">
        <f t="shared" si="125"/>
        <v>137.03172676095639</v>
      </c>
      <c r="L443" s="261">
        <v>1</v>
      </c>
      <c r="M443" s="261">
        <f t="shared" si="108"/>
        <v>73</v>
      </c>
      <c r="N443" s="263">
        <v>107.991623527596</v>
      </c>
      <c r="O443" s="264">
        <v>66.599999999999994</v>
      </c>
      <c r="P443" s="263">
        <f t="shared" si="105"/>
        <v>139.61785234739028</v>
      </c>
      <c r="Q443" s="265">
        <f t="shared" si="104"/>
        <v>0.77348005080966686</v>
      </c>
      <c r="R443" s="256">
        <v>9</v>
      </c>
      <c r="S443" s="266">
        <v>0.83442799999999995</v>
      </c>
    </row>
    <row r="444" spans="1:21" ht="12.65" customHeight="1">
      <c r="A444" s="10">
        <v>38384</v>
      </c>
      <c r="B444" s="255">
        <v>42713.68</v>
      </c>
      <c r="D444" s="257">
        <f>B444/C445</f>
        <v>8.0693876567104056E-2</v>
      </c>
      <c r="E444" s="2"/>
      <c r="F444" s="258">
        <f>D444*E445</f>
        <v>48120.824964273699</v>
      </c>
      <c r="H444" s="261">
        <f t="shared" si="110"/>
        <v>107.30823139886481</v>
      </c>
      <c r="I444" s="262">
        <f t="shared" si="113"/>
        <v>129.13848775727692</v>
      </c>
      <c r="J444" s="258">
        <f t="shared" si="115"/>
        <v>0</v>
      </c>
      <c r="K444" s="261">
        <f t="shared" si="125"/>
        <v>136.42707892132415</v>
      </c>
      <c r="L444" s="261">
        <v>1</v>
      </c>
      <c r="M444" s="261">
        <f t="shared" si="108"/>
        <v>74</v>
      </c>
      <c r="N444" s="263">
        <v>108.559346512758</v>
      </c>
      <c r="O444" s="264">
        <v>65.2</v>
      </c>
      <c r="P444" s="263">
        <f t="shared" si="105"/>
        <v>140.89817333471683</v>
      </c>
      <c r="Q444" s="265">
        <f t="shared" si="104"/>
        <v>0.77048086531870841</v>
      </c>
      <c r="R444" s="256">
        <v>9</v>
      </c>
      <c r="S444" s="266">
        <v>0.83442799999999995</v>
      </c>
    </row>
    <row r="445" spans="1:21" ht="12.65" customHeight="1">
      <c r="A445" s="10">
        <v>38412</v>
      </c>
      <c r="B445" s="255">
        <v>48230.53</v>
      </c>
      <c r="C445" s="259">
        <f t="shared" ref="C445" si="128">SUM(B434:B445)</f>
        <v>529329.88</v>
      </c>
      <c r="D445" s="257">
        <f>B445/C445</f>
        <v>9.111620526693108E-2</v>
      </c>
      <c r="E445" s="260">
        <v>596338</v>
      </c>
      <c r="F445" s="258">
        <f>D445*E445</f>
        <v>54336.055616471145</v>
      </c>
      <c r="H445" s="261">
        <f t="shared" si="110"/>
        <v>121.16803969430615</v>
      </c>
      <c r="I445" s="262">
        <f t="shared" si="113"/>
        <v>129.13848775727692</v>
      </c>
      <c r="J445" s="258">
        <f t="shared" si="115"/>
        <v>0</v>
      </c>
      <c r="K445" s="261">
        <f t="shared" si="125"/>
        <v>135.82243108169192</v>
      </c>
      <c r="L445" s="261">
        <v>1</v>
      </c>
      <c r="M445" s="261">
        <f t="shared" si="108"/>
        <v>75</v>
      </c>
      <c r="N445" s="263">
        <v>109.785809616248</v>
      </c>
      <c r="O445" s="264">
        <v>62.2</v>
      </c>
      <c r="P445" s="263">
        <f t="shared" si="105"/>
        <v>143.65289157701369</v>
      </c>
      <c r="Q445" s="265">
        <f t="shared" ref="Q445:Q508" si="129">N445/P445</f>
        <v>0.7642436459929578</v>
      </c>
      <c r="R445" s="256">
        <v>9</v>
      </c>
      <c r="S445" s="266">
        <v>0.83442799999999995</v>
      </c>
    </row>
    <row r="446" spans="1:21" ht="12.65" customHeight="1">
      <c r="A446" s="10">
        <v>38443</v>
      </c>
      <c r="B446" s="255">
        <v>40320.44</v>
      </c>
      <c r="D446" s="257">
        <f>B446/C457</f>
        <v>7.5213418076590391E-2</v>
      </c>
      <c r="E446" s="2"/>
      <c r="F446" s="258">
        <f>D446*E457</f>
        <v>43254.258961412139</v>
      </c>
      <c r="H446" s="261">
        <f t="shared" si="110"/>
        <v>96.455911407662882</v>
      </c>
      <c r="I446" s="262">
        <f t="shared" si="113"/>
        <v>129.13848775727692</v>
      </c>
      <c r="J446" s="258">
        <f t="shared" si="115"/>
        <v>0</v>
      </c>
      <c r="K446" s="261">
        <f t="shared" si="125"/>
        <v>135.21778324205968</v>
      </c>
      <c r="L446" s="261">
        <v>1</v>
      </c>
      <c r="M446" s="261">
        <f t="shared" si="108"/>
        <v>76</v>
      </c>
      <c r="N446" s="263">
        <v>105.394248836768</v>
      </c>
      <c r="O446" s="264">
        <v>66.599999999999994</v>
      </c>
      <c r="P446" s="263">
        <f t="shared" ref="P446:P509" si="130" xml:space="preserve"> 48.3757429845 + 1.12703641242*N446 - 0.457483222058*O446</f>
        <v>136.69051649412899</v>
      </c>
      <c r="Q446" s="265">
        <f t="shared" si="129"/>
        <v>0.77104287510168856</v>
      </c>
      <c r="R446" s="256">
        <v>9</v>
      </c>
      <c r="S446" s="266">
        <v>0.83442799999999995</v>
      </c>
    </row>
    <row r="447" spans="1:21" ht="12.65" customHeight="1">
      <c r="A447" s="10">
        <v>38473</v>
      </c>
      <c r="B447" s="255">
        <v>36533.040000000001</v>
      </c>
      <c r="D447" s="257">
        <f>B447/C457</f>
        <v>6.81484331800149E-2</v>
      </c>
      <c r="E447" s="2"/>
      <c r="F447" s="258">
        <f>D447*E457</f>
        <v>39191.277992195231</v>
      </c>
      <c r="H447" s="261">
        <f t="shared" si="110"/>
        <v>87.395565864177186</v>
      </c>
      <c r="I447" s="262">
        <f t="shared" si="113"/>
        <v>129.13848775727692</v>
      </c>
      <c r="J447" s="258">
        <f t="shared" si="115"/>
        <v>0</v>
      </c>
      <c r="K447" s="261">
        <f t="shared" si="125"/>
        <v>134.61313540242745</v>
      </c>
      <c r="L447" s="261">
        <v>1</v>
      </c>
      <c r="M447" s="261">
        <f t="shared" ref="M447:M510" si="131">M446+L447</f>
        <v>77</v>
      </c>
      <c r="N447" s="263">
        <v>105.99839281570399</v>
      </c>
      <c r="O447" s="264">
        <v>72.599999999999994</v>
      </c>
      <c r="P447" s="263">
        <f t="shared" si="130"/>
        <v>134.62650942438614</v>
      </c>
      <c r="Q447" s="265">
        <f t="shared" si="129"/>
        <v>0.78735156447949561</v>
      </c>
      <c r="R447" s="256">
        <v>9</v>
      </c>
      <c r="S447" s="266">
        <v>0.83442799999999995</v>
      </c>
    </row>
    <row r="448" spans="1:21" ht="12.65" customHeight="1">
      <c r="A448" s="10">
        <v>38504</v>
      </c>
      <c r="B448" s="255">
        <v>39076.11</v>
      </c>
      <c r="D448" s="257">
        <f>B448/C457</f>
        <v>7.2892255100312262E-2</v>
      </c>
      <c r="E448" s="2"/>
      <c r="F448" s="258">
        <f>D448*E457</f>
        <v>41919.388308873276</v>
      </c>
      <c r="H448" s="261">
        <f t="shared" si="110"/>
        <v>93.47918336992575</v>
      </c>
      <c r="I448" s="262">
        <f t="shared" si="113"/>
        <v>129.13848775727692</v>
      </c>
      <c r="J448" s="258">
        <f t="shared" si="115"/>
        <v>0</v>
      </c>
      <c r="K448" s="261">
        <f t="shared" si="125"/>
        <v>134.00848756279521</v>
      </c>
      <c r="L448" s="261">
        <v>1</v>
      </c>
      <c r="M448" s="261">
        <f t="shared" si="131"/>
        <v>78</v>
      </c>
      <c r="N448" s="263">
        <v>106.757835928059</v>
      </c>
      <c r="O448" s="264">
        <v>66</v>
      </c>
      <c r="P448" s="263">
        <f t="shared" si="130"/>
        <v>138.50181873075459</v>
      </c>
      <c r="Q448" s="265">
        <f t="shared" si="129"/>
        <v>0.77080457792106394</v>
      </c>
      <c r="R448" s="256">
        <v>9</v>
      </c>
      <c r="S448" s="266">
        <v>0.83442799999999995</v>
      </c>
    </row>
    <row r="449" spans="1:21" ht="12.65" customHeight="1">
      <c r="A449" s="10">
        <v>38534</v>
      </c>
      <c r="B449" s="255">
        <v>41754.959999999999</v>
      </c>
      <c r="D449" s="257">
        <f>B449/C457</f>
        <v>7.7889359918971834E-2</v>
      </c>
      <c r="E449" s="2"/>
      <c r="F449" s="258">
        <f>D449*E457</f>
        <v>44793.158327721758</v>
      </c>
      <c r="H449" s="261">
        <f t="shared" si="110"/>
        <v>99.887618354127767</v>
      </c>
      <c r="I449" s="262">
        <f t="shared" si="113"/>
        <v>129.13848775727692</v>
      </c>
      <c r="J449" s="258">
        <f t="shared" si="115"/>
        <v>0</v>
      </c>
      <c r="K449" s="261">
        <f t="shared" si="125"/>
        <v>133.40383972316297</v>
      </c>
      <c r="L449" s="261">
        <v>1</v>
      </c>
      <c r="M449" s="261">
        <f t="shared" si="131"/>
        <v>79</v>
      </c>
      <c r="N449" s="263">
        <v>107.41645366995</v>
      </c>
      <c r="O449" s="264">
        <v>67.8</v>
      </c>
      <c r="P449" s="263">
        <f t="shared" si="130"/>
        <v>138.4206351080272</v>
      </c>
      <c r="Q449" s="265">
        <f t="shared" si="129"/>
        <v>0.77601474365523104</v>
      </c>
      <c r="R449" s="256">
        <v>7</v>
      </c>
      <c r="S449" s="266">
        <v>0.83442799999999995</v>
      </c>
    </row>
    <row r="450" spans="1:21" ht="12.65" customHeight="1">
      <c r="A450" s="10">
        <v>38565</v>
      </c>
      <c r="B450" s="255">
        <v>44083.28</v>
      </c>
      <c r="D450" s="257">
        <f>B450/C457</f>
        <v>8.2232588950601621E-2</v>
      </c>
      <c r="E450" s="2"/>
      <c r="F450" s="258">
        <f>D450*E457</f>
        <v>47290.892881834632</v>
      </c>
      <c r="H450" s="261">
        <f t="shared" ref="H450:H513" si="132">F450/G$574*100</f>
        <v>105.45750369388817</v>
      </c>
      <c r="I450" s="262">
        <f t="shared" si="113"/>
        <v>129.13848775727692</v>
      </c>
      <c r="J450" s="258">
        <f t="shared" si="115"/>
        <v>0</v>
      </c>
      <c r="K450" s="261">
        <f t="shared" si="125"/>
        <v>132.79919188353074</v>
      </c>
      <c r="L450" s="261">
        <v>1</v>
      </c>
      <c r="M450" s="261">
        <f t="shared" si="131"/>
        <v>80</v>
      </c>
      <c r="N450" s="263">
        <v>107.674554138742</v>
      </c>
      <c r="O450" s="264">
        <v>68.900000000000006</v>
      </c>
      <c r="P450" s="263">
        <f t="shared" si="130"/>
        <v>138.20829219015465</v>
      </c>
      <c r="Q450" s="265">
        <f t="shared" si="129"/>
        <v>0.77907448556413217</v>
      </c>
      <c r="R450" s="256">
        <v>7</v>
      </c>
      <c r="S450" s="266">
        <v>0.83442799999999995</v>
      </c>
    </row>
    <row r="451" spans="1:21" ht="12.65" customHeight="1">
      <c r="A451" s="10">
        <v>38596</v>
      </c>
      <c r="B451" s="255">
        <v>47120.23</v>
      </c>
      <c r="D451" s="257">
        <f>B451/C457</f>
        <v>8.7897690572203507E-2</v>
      </c>
      <c r="E451" s="2"/>
      <c r="F451" s="258">
        <f>D451*E457</f>
        <v>50548.819178096797</v>
      </c>
      <c r="H451" s="261">
        <f t="shared" si="132"/>
        <v>112.72259753089745</v>
      </c>
      <c r="I451" s="262">
        <f t="shared" si="113"/>
        <v>129.13848775727692</v>
      </c>
      <c r="J451" s="258">
        <f t="shared" si="115"/>
        <v>0</v>
      </c>
      <c r="K451" s="261">
        <f t="shared" si="125"/>
        <v>132.1945440438985</v>
      </c>
      <c r="L451" s="261">
        <v>1</v>
      </c>
      <c r="M451" s="261">
        <f t="shared" si="131"/>
        <v>81</v>
      </c>
      <c r="N451" s="263">
        <v>108.165398398184</v>
      </c>
      <c r="O451" s="264">
        <v>67.099999999999994</v>
      </c>
      <c r="P451" s="263">
        <f t="shared" si="130"/>
        <v>139.58496134307751</v>
      </c>
      <c r="Q451" s="265">
        <f t="shared" si="129"/>
        <v>0.77490724901467534</v>
      </c>
      <c r="R451" s="256">
        <v>7</v>
      </c>
      <c r="S451" s="266">
        <v>0.83442799999999995</v>
      </c>
    </row>
    <row r="452" spans="1:21" ht="12.65" customHeight="1">
      <c r="A452" s="10">
        <v>38626</v>
      </c>
      <c r="B452" s="255">
        <v>49604.25</v>
      </c>
      <c r="D452" s="257">
        <f>B452/C457</f>
        <v>9.2531361106816021E-2</v>
      </c>
      <c r="E452" s="2"/>
      <c r="F452" s="258">
        <f>D452*E457</f>
        <v>53213.582864835502</v>
      </c>
      <c r="H452" s="261">
        <f t="shared" si="132"/>
        <v>118.66495364245928</v>
      </c>
      <c r="I452" s="262">
        <f t="shared" si="113"/>
        <v>129.13848775727692</v>
      </c>
      <c r="J452" s="258">
        <f t="shared" si="115"/>
        <v>0</v>
      </c>
      <c r="K452" s="261">
        <f t="shared" si="125"/>
        <v>131.58989620426627</v>
      </c>
      <c r="L452" s="261">
        <v>1</v>
      </c>
      <c r="M452" s="261">
        <f t="shared" si="131"/>
        <v>82</v>
      </c>
      <c r="N452" s="263">
        <v>107.595489611546</v>
      </c>
      <c r="O452" s="264">
        <v>69.400000000000006</v>
      </c>
      <c r="P452" s="263">
        <f t="shared" si="130"/>
        <v>137.890441978045</v>
      </c>
      <c r="Q452" s="265">
        <f t="shared" si="129"/>
        <v>0.78029693768533581</v>
      </c>
      <c r="R452" s="256">
        <v>5</v>
      </c>
      <c r="S452" s="266">
        <v>0.83442799999999995</v>
      </c>
    </row>
    <row r="453" spans="1:21" ht="12.65" customHeight="1">
      <c r="A453" s="10">
        <v>38657</v>
      </c>
      <c r="B453" s="255">
        <v>50681.03</v>
      </c>
      <c r="D453" s="257">
        <f>B453/C457</f>
        <v>9.4539977687302518E-2</v>
      </c>
      <c r="E453" s="2"/>
      <c r="F453" s="258">
        <f>D453*E457</f>
        <v>54368.712148257742</v>
      </c>
      <c r="H453" s="261">
        <f t="shared" si="132"/>
        <v>121.24086294021355</v>
      </c>
      <c r="I453" s="262">
        <f t="shared" si="113"/>
        <v>129.13848775727692</v>
      </c>
      <c r="J453" s="258">
        <f t="shared" si="115"/>
        <v>0</v>
      </c>
      <c r="K453" s="261">
        <f t="shared" si="125"/>
        <v>130.98524836463403</v>
      </c>
      <c r="L453" s="261">
        <v>1</v>
      </c>
      <c r="M453" s="261">
        <f t="shared" si="131"/>
        <v>83</v>
      </c>
      <c r="N453" s="263">
        <v>107.67682551884999</v>
      </c>
      <c r="O453" s="264">
        <v>68.8</v>
      </c>
      <c r="P453" s="263">
        <f t="shared" si="130"/>
        <v>138.25660044044861</v>
      </c>
      <c r="Q453" s="265">
        <f t="shared" si="129"/>
        <v>0.77881869781131885</v>
      </c>
      <c r="R453" s="256">
        <v>5</v>
      </c>
      <c r="S453" s="266">
        <v>0.83442799999999995</v>
      </c>
    </row>
    <row r="454" spans="1:21" ht="12.65" customHeight="1">
      <c r="A454" s="10">
        <v>38687</v>
      </c>
      <c r="B454" s="255">
        <v>52307.28</v>
      </c>
      <c r="D454" s="257">
        <f>B454/C457</f>
        <v>9.7573571099156528E-2</v>
      </c>
      <c r="E454" s="2"/>
      <c r="F454" s="258">
        <f>D454*E457</f>
        <v>56113.292282700633</v>
      </c>
      <c r="H454" s="261">
        <f t="shared" si="132"/>
        <v>125.131232835153</v>
      </c>
      <c r="I454" s="262">
        <f t="shared" si="113"/>
        <v>129.13848775727692</v>
      </c>
      <c r="J454" s="258">
        <f t="shared" si="115"/>
        <v>0</v>
      </c>
      <c r="K454" s="261">
        <f t="shared" si="125"/>
        <v>130.3806005250018</v>
      </c>
      <c r="L454" s="261">
        <v>1</v>
      </c>
      <c r="M454" s="261">
        <f t="shared" si="131"/>
        <v>84</v>
      </c>
      <c r="N454" s="263">
        <v>107.076591449867</v>
      </c>
      <c r="O454" s="264">
        <v>71.900000000000006</v>
      </c>
      <c r="P454" s="263">
        <f t="shared" si="130"/>
        <v>136.16191680034996</v>
      </c>
      <c r="Q454" s="265">
        <f t="shared" si="129"/>
        <v>0.78639162818829966</v>
      </c>
      <c r="R454" s="256">
        <v>5</v>
      </c>
      <c r="S454" s="266">
        <v>0.83442799999999995</v>
      </c>
      <c r="T454" s="257">
        <f t="shared" ref="T454" si="133">AVERAGE(Q443:Q454)</f>
        <v>0.77607561012854775</v>
      </c>
      <c r="U454" s="257">
        <f t="shared" ref="U454" si="134">AVERAGE(S443:S454)</f>
        <v>0.83442799999999995</v>
      </c>
    </row>
    <row r="455" spans="1:21" ht="12.65" customHeight="1">
      <c r="A455" s="10">
        <v>38718</v>
      </c>
      <c r="B455" s="255">
        <v>41319.089999999997</v>
      </c>
      <c r="D455" s="257">
        <f>B455/C457</f>
        <v>7.7076291595882016E-2</v>
      </c>
      <c r="E455" s="2"/>
      <c r="F455" s="258">
        <f>D455*E457</f>
        <v>44325.573305001002</v>
      </c>
      <c r="H455" s="261">
        <f t="shared" si="132"/>
        <v>98.844915494107923</v>
      </c>
      <c r="I455" s="262">
        <f t="shared" si="113"/>
        <v>125.131232835153</v>
      </c>
      <c r="J455" s="258">
        <f t="shared" si="115"/>
        <v>0</v>
      </c>
      <c r="K455" s="261">
        <f t="shared" si="125"/>
        <v>129.77595268536956</v>
      </c>
      <c r="L455" s="261">
        <v>1</v>
      </c>
      <c r="M455" s="261">
        <f t="shared" si="131"/>
        <v>85</v>
      </c>
      <c r="N455" s="263">
        <v>105.141162895835</v>
      </c>
      <c r="O455" s="264">
        <v>71.8</v>
      </c>
      <c r="P455" s="263">
        <f t="shared" si="130"/>
        <v>134.0263666685243</v>
      </c>
      <c r="Q455" s="265">
        <f t="shared" si="129"/>
        <v>0.78448118463042005</v>
      </c>
      <c r="R455" s="256">
        <v>4</v>
      </c>
      <c r="S455" s="266">
        <v>0.83442799999999995</v>
      </c>
    </row>
    <row r="456" spans="1:21" ht="12.65" customHeight="1">
      <c r="A456" s="10">
        <v>38749</v>
      </c>
      <c r="B456" s="255">
        <v>44140.76</v>
      </c>
      <c r="D456" s="257">
        <f>B456/C457</f>
        <v>8.2339811671163263E-2</v>
      </c>
      <c r="E456" s="2"/>
      <c r="F456" s="258">
        <f>D456*E457</f>
        <v>47352.555274534265</v>
      </c>
      <c r="H456" s="261">
        <f t="shared" si="132"/>
        <v>105.59500928132006</v>
      </c>
      <c r="I456" s="262">
        <f t="shared" si="113"/>
        <v>125.131232835153</v>
      </c>
      <c r="J456" s="258">
        <f t="shared" si="115"/>
        <v>0</v>
      </c>
      <c r="K456" s="261">
        <f t="shared" si="125"/>
        <v>129.17130484573732</v>
      </c>
      <c r="L456" s="261">
        <v>1</v>
      </c>
      <c r="M456" s="261">
        <f t="shared" si="131"/>
        <v>86</v>
      </c>
      <c r="N456" s="263">
        <v>106.397793222066</v>
      </c>
      <c r="O456" s="264">
        <v>67.599999999999994</v>
      </c>
      <c r="P456" s="263">
        <f t="shared" si="130"/>
        <v>137.36406433578148</v>
      </c>
      <c r="Q456" s="265">
        <f t="shared" si="129"/>
        <v>0.77456788816309663</v>
      </c>
      <c r="R456" s="256">
        <v>4</v>
      </c>
      <c r="S456" s="266">
        <v>0.83442799999999995</v>
      </c>
    </row>
    <row r="457" spans="1:21" ht="12.65" customHeight="1">
      <c r="A457" s="10">
        <v>38777</v>
      </c>
      <c r="B457" s="255">
        <v>49139.94</v>
      </c>
      <c r="C457" s="259">
        <f t="shared" ref="C457" si="135">SUM(B446:B457)</f>
        <v>536080.41000000015</v>
      </c>
      <c r="D457" s="257">
        <f>B457/C457</f>
        <v>9.1665241040984863E-2</v>
      </c>
      <c r="E457" s="260">
        <v>575087</v>
      </c>
      <c r="F457" s="258">
        <f>D457*E457</f>
        <v>52715.488474536862</v>
      </c>
      <c r="H457" s="261">
        <f t="shared" si="132"/>
        <v>117.55421565880407</v>
      </c>
      <c r="I457" s="262">
        <f t="shared" si="113"/>
        <v>125.131232835153</v>
      </c>
      <c r="J457" s="258">
        <f t="shared" si="115"/>
        <v>0</v>
      </c>
      <c r="K457" s="261">
        <f t="shared" si="125"/>
        <v>128.56665700610509</v>
      </c>
      <c r="L457" s="261">
        <v>1</v>
      </c>
      <c r="M457" s="261">
        <f t="shared" si="131"/>
        <v>87</v>
      </c>
      <c r="N457" s="263">
        <v>106.19721184182799</v>
      </c>
      <c r="O457" s="264">
        <v>69.900000000000006</v>
      </c>
      <c r="P457" s="263">
        <f t="shared" si="130"/>
        <v>136.08579040586639</v>
      </c>
      <c r="Q457" s="265">
        <f t="shared" si="129"/>
        <v>0.78036958542917823</v>
      </c>
      <c r="R457" s="256">
        <v>4</v>
      </c>
      <c r="S457" s="266">
        <v>0.83442799999999995</v>
      </c>
    </row>
    <row r="458" spans="1:21" ht="12.65" customHeight="1">
      <c r="A458" s="10">
        <v>38808</v>
      </c>
      <c r="B458" s="255">
        <v>41321.519999999997</v>
      </c>
      <c r="D458" s="257">
        <f>B458/C469</f>
        <v>7.8137111858672656E-2</v>
      </c>
      <c r="E458" s="2"/>
      <c r="F458" s="258">
        <f>D458*E469</f>
        <v>43841.092584552192</v>
      </c>
      <c r="H458" s="261">
        <f t="shared" si="132"/>
        <v>97.764535652390578</v>
      </c>
      <c r="I458" s="262">
        <f t="shared" si="113"/>
        <v>125.131232835153</v>
      </c>
      <c r="J458" s="258">
        <f t="shared" si="115"/>
        <v>0</v>
      </c>
      <c r="K458" s="261">
        <f t="shared" si="125"/>
        <v>127.96200916647285</v>
      </c>
      <c r="L458" s="261">
        <v>1</v>
      </c>
      <c r="M458" s="261">
        <f t="shared" si="131"/>
        <v>88</v>
      </c>
      <c r="N458" s="263">
        <v>106.99003855407901</v>
      </c>
      <c r="O458" s="264">
        <v>73.8</v>
      </c>
      <c r="P458" s="263">
        <f t="shared" si="130"/>
        <v>135.19515041328631</v>
      </c>
      <c r="Q458" s="265">
        <f t="shared" si="129"/>
        <v>0.79137482540619708</v>
      </c>
      <c r="R458" s="256">
        <v>7</v>
      </c>
      <c r="S458" s="266">
        <v>0.83442799999999995</v>
      </c>
    </row>
    <row r="459" spans="1:21" ht="12.65" customHeight="1">
      <c r="A459" s="10">
        <v>38838</v>
      </c>
      <c r="B459" s="255">
        <v>37257.089999999997</v>
      </c>
      <c r="D459" s="257">
        <f>B459/C469</f>
        <v>7.0451459889632181E-2</v>
      </c>
      <c r="E459" s="2"/>
      <c r="F459" s="258">
        <f>D459*E469</f>
        <v>39528.834663414935</v>
      </c>
      <c r="H459" s="261">
        <f t="shared" si="132"/>
        <v>88.148308765246881</v>
      </c>
      <c r="I459" s="262">
        <f t="shared" ref="I459:I522" si="136">MAX(H447:H471)</f>
        <v>125.131232835153</v>
      </c>
      <c r="J459" s="258">
        <f t="shared" si="115"/>
        <v>0</v>
      </c>
      <c r="K459" s="261">
        <f t="shared" si="125"/>
        <v>127.35736132684062</v>
      </c>
      <c r="L459" s="261">
        <v>1</v>
      </c>
      <c r="M459" s="261">
        <f t="shared" si="131"/>
        <v>89</v>
      </c>
      <c r="N459" s="263">
        <v>106.269127229727</v>
      </c>
      <c r="O459" s="264">
        <v>74</v>
      </c>
      <c r="P459" s="263">
        <f t="shared" si="130"/>
        <v>134.29116045620407</v>
      </c>
      <c r="Q459" s="265">
        <f t="shared" si="129"/>
        <v>0.79133374727507999</v>
      </c>
      <c r="R459" s="256">
        <v>7</v>
      </c>
      <c r="S459" s="266">
        <v>0.83442799999999995</v>
      </c>
    </row>
    <row r="460" spans="1:21" ht="12.65" customHeight="1">
      <c r="A460" s="10">
        <v>38869</v>
      </c>
      <c r="B460" s="255">
        <v>38900.44</v>
      </c>
      <c r="D460" s="257">
        <f>B460/C469</f>
        <v>7.3558959874457291E-2</v>
      </c>
      <c r="E460" s="2"/>
      <c r="F460" s="258">
        <f>D460*E469</f>
        <v>41272.387647400625</v>
      </c>
      <c r="H460" s="261">
        <f t="shared" si="132"/>
        <v>92.036388140457603</v>
      </c>
      <c r="I460" s="262">
        <f t="shared" si="136"/>
        <v>125.131232835153</v>
      </c>
      <c r="J460" s="258">
        <f t="shared" si="115"/>
        <v>0</v>
      </c>
      <c r="K460" s="261">
        <f t="shared" si="125"/>
        <v>126.75271348720838</v>
      </c>
      <c r="L460" s="261">
        <v>1</v>
      </c>
      <c r="M460" s="261">
        <f t="shared" si="131"/>
        <v>90</v>
      </c>
      <c r="N460" s="263">
        <v>104.844522007959</v>
      </c>
      <c r="O460" s="264">
        <v>76.8</v>
      </c>
      <c r="P460" s="263">
        <f t="shared" si="130"/>
        <v>131.40462547618546</v>
      </c>
      <c r="Q460" s="265">
        <f t="shared" si="129"/>
        <v>0.79787542963592284</v>
      </c>
      <c r="R460" s="256">
        <v>7</v>
      </c>
      <c r="S460" s="266">
        <v>0.83442799999999995</v>
      </c>
    </row>
    <row r="461" spans="1:21" ht="12.65" customHeight="1">
      <c r="A461" s="10">
        <v>38899</v>
      </c>
      <c r="B461" s="255">
        <v>40861.5</v>
      </c>
      <c r="D461" s="257">
        <f>B461/C469</f>
        <v>7.7267234995545969E-2</v>
      </c>
      <c r="E461" s="2"/>
      <c r="F461" s="258">
        <f>D461*E469</f>
        <v>43353.022944065939</v>
      </c>
      <c r="H461" s="261">
        <f t="shared" si="132"/>
        <v>96.676152609104378</v>
      </c>
      <c r="I461" s="262">
        <f>MAX(H449:H473)</f>
        <v>125.131232835153</v>
      </c>
      <c r="J461" s="258">
        <f t="shared" si="115"/>
        <v>0</v>
      </c>
      <c r="K461" s="261">
        <f t="shared" si="125"/>
        <v>126.14806564757615</v>
      </c>
      <c r="L461" s="261">
        <v>1</v>
      </c>
      <c r="M461" s="261">
        <f t="shared" si="131"/>
        <v>91</v>
      </c>
      <c r="N461" s="263">
        <v>104.20299458175</v>
      </c>
      <c r="O461" s="264">
        <v>76.599999999999994</v>
      </c>
      <c r="P461" s="263">
        <f t="shared" si="130"/>
        <v>130.77309735169345</v>
      </c>
      <c r="Q461" s="265">
        <f t="shared" si="129"/>
        <v>0.79682286870909402</v>
      </c>
      <c r="R461" s="256">
        <v>5</v>
      </c>
      <c r="S461" s="266">
        <v>0.83442799999999995</v>
      </c>
    </row>
    <row r="462" spans="1:21" ht="12.65" customHeight="1">
      <c r="A462" s="10">
        <v>38930</v>
      </c>
      <c r="B462" s="255">
        <v>43111.55</v>
      </c>
      <c r="D462" s="257">
        <f>B462/C469</f>
        <v>8.1521977041279198E-2</v>
      </c>
      <c r="E462" s="2"/>
      <c r="F462" s="258">
        <f>D462*E469</f>
        <v>45740.269356343888</v>
      </c>
      <c r="H462" s="261">
        <f t="shared" si="132"/>
        <v>101.99965216683266</v>
      </c>
      <c r="I462" s="262">
        <f t="shared" si="136"/>
        <v>125.131232835153</v>
      </c>
      <c r="J462" s="258">
        <f t="shared" si="115"/>
        <v>0</v>
      </c>
      <c r="K462" s="261">
        <f t="shared" si="125"/>
        <v>125.54341780794391</v>
      </c>
      <c r="L462" s="261">
        <v>1</v>
      </c>
      <c r="M462" s="261">
        <f t="shared" si="131"/>
        <v>92</v>
      </c>
      <c r="N462" s="263">
        <v>104.57087404131801</v>
      </c>
      <c r="O462" s="264">
        <v>76.5</v>
      </c>
      <c r="P462" s="263">
        <f t="shared" si="130"/>
        <v>131.23345922021375</v>
      </c>
      <c r="Q462" s="265">
        <f t="shared" si="129"/>
        <v>0.79683088949019387</v>
      </c>
      <c r="R462" s="256">
        <v>5</v>
      </c>
      <c r="S462" s="266">
        <v>0.83442799999999995</v>
      </c>
    </row>
    <row r="463" spans="1:21" ht="12.65" customHeight="1">
      <c r="A463" s="10">
        <v>38961</v>
      </c>
      <c r="B463" s="255">
        <v>45905.84</v>
      </c>
      <c r="D463" s="257">
        <f>B463/C469</f>
        <v>8.6805852133375772E-2</v>
      </c>
      <c r="E463" s="2"/>
      <c r="F463" s="258">
        <f>D463*E469</f>
        <v>48704.940709142342</v>
      </c>
      <c r="H463" s="261">
        <f t="shared" si="132"/>
        <v>108.61079484329082</v>
      </c>
      <c r="I463" s="262">
        <f t="shared" si="136"/>
        <v>125.131232835153</v>
      </c>
      <c r="J463" s="258">
        <f t="shared" ref="J463:J526" si="137">IF(H463=I463,1,0)</f>
        <v>0</v>
      </c>
      <c r="K463" s="261">
        <f t="shared" si="125"/>
        <v>124.93876996831168</v>
      </c>
      <c r="L463" s="261">
        <v>1</v>
      </c>
      <c r="M463" s="261">
        <f t="shared" si="131"/>
        <v>93</v>
      </c>
      <c r="N463" s="263">
        <v>104.915505170415</v>
      </c>
      <c r="O463" s="264">
        <v>75.2</v>
      </c>
      <c r="P463" s="263">
        <f t="shared" si="130"/>
        <v>132.21659924023487</v>
      </c>
      <c r="Q463" s="265">
        <f t="shared" si="129"/>
        <v>0.79351235603772918</v>
      </c>
      <c r="R463" s="256">
        <v>5</v>
      </c>
      <c r="S463" s="266">
        <v>0.83442799999999995</v>
      </c>
    </row>
    <row r="464" spans="1:21" ht="12.65" customHeight="1">
      <c r="A464" s="10">
        <v>38991</v>
      </c>
      <c r="B464" s="255">
        <v>48566.879999999997</v>
      </c>
      <c r="D464" s="257">
        <f>B464/C469</f>
        <v>9.1837757545867912E-2</v>
      </c>
      <c r="E464" s="2"/>
      <c r="F464" s="258">
        <f>D464*E469</f>
        <v>51528.237166078019</v>
      </c>
      <c r="H464" s="261">
        <f t="shared" si="132"/>
        <v>114.90667505177387</v>
      </c>
      <c r="I464" s="262">
        <f t="shared" si="136"/>
        <v>125.131232835153</v>
      </c>
      <c r="J464" s="258">
        <f t="shared" si="137"/>
        <v>0</v>
      </c>
      <c r="K464" s="261">
        <f t="shared" si="125"/>
        <v>124.33412212867944</v>
      </c>
      <c r="L464" s="261">
        <v>1</v>
      </c>
      <c r="M464" s="261">
        <f t="shared" si="131"/>
        <v>94</v>
      </c>
      <c r="N464" s="263">
        <v>104.95370822544</v>
      </c>
      <c r="O464" s="264">
        <v>76.099999999999994</v>
      </c>
      <c r="P464" s="263">
        <f t="shared" si="130"/>
        <v>131.84792057446154</v>
      </c>
      <c r="Q464" s="265">
        <f t="shared" si="129"/>
        <v>0.79602095936103179</v>
      </c>
      <c r="R464" s="256">
        <v>3</v>
      </c>
      <c r="S464" s="266">
        <v>0.83442799999999995</v>
      </c>
    </row>
    <row r="465" spans="1:21" ht="12.65" customHeight="1">
      <c r="A465" s="10">
        <v>39022</v>
      </c>
      <c r="B465" s="255">
        <v>49439.79</v>
      </c>
      <c r="D465" s="257">
        <f>B465/C469</f>
        <v>9.348839058919628E-2</v>
      </c>
      <c r="E465" s="2"/>
      <c r="F465" s="258">
        <f>D465*E469</f>
        <v>52454.37270339566</v>
      </c>
      <c r="H465" s="261">
        <f t="shared" si="132"/>
        <v>116.97193404554585</v>
      </c>
      <c r="I465" s="262">
        <f t="shared" si="136"/>
        <v>125.131232835153</v>
      </c>
      <c r="J465" s="258">
        <f t="shared" si="137"/>
        <v>0</v>
      </c>
      <c r="K465" s="261">
        <f t="shared" si="125"/>
        <v>123.7294742890472</v>
      </c>
      <c r="L465" s="261">
        <v>1</v>
      </c>
      <c r="M465" s="261">
        <f t="shared" si="131"/>
        <v>95</v>
      </c>
      <c r="N465" s="263">
        <v>104.35106506426899</v>
      </c>
      <c r="O465" s="264">
        <v>77.2</v>
      </c>
      <c r="P465" s="263">
        <f t="shared" si="130"/>
        <v>130.66548824386214</v>
      </c>
      <c r="Q465" s="265">
        <f t="shared" si="129"/>
        <v>0.79861229209596407</v>
      </c>
      <c r="R465" s="256">
        <v>3</v>
      </c>
      <c r="S465" s="266">
        <v>0.83442799999999995</v>
      </c>
    </row>
    <row r="466" spans="1:21" ht="12.65" customHeight="1">
      <c r="A466" s="10">
        <v>39052</v>
      </c>
      <c r="B466" s="255">
        <v>51427.23</v>
      </c>
      <c r="D466" s="257">
        <f>B466/C469</f>
        <v>9.7246549088506093E-2</v>
      </c>
      <c r="E466" s="2"/>
      <c r="F466" s="258">
        <f>D466*E469</f>
        <v>54562.996516029911</v>
      </c>
      <c r="H466" s="261">
        <f t="shared" si="132"/>
        <v>121.67411220203641</v>
      </c>
      <c r="I466" s="262">
        <f t="shared" si="136"/>
        <v>125.131232835153</v>
      </c>
      <c r="J466" s="258">
        <f t="shared" si="137"/>
        <v>0</v>
      </c>
      <c r="K466" s="261">
        <f t="shared" si="125"/>
        <v>123.12482644941497</v>
      </c>
      <c r="L466" s="261">
        <v>1</v>
      </c>
      <c r="M466" s="261">
        <f t="shared" si="131"/>
        <v>96</v>
      </c>
      <c r="N466" s="263">
        <v>104.234647656272</v>
      </c>
      <c r="O466" s="264">
        <v>76</v>
      </c>
      <c r="P466" s="263">
        <f t="shared" si="130"/>
        <v>131.08326145247958</v>
      </c>
      <c r="Q466" s="265">
        <f t="shared" si="129"/>
        <v>0.79517893056131539</v>
      </c>
      <c r="R466" s="256">
        <v>3</v>
      </c>
      <c r="S466" s="266">
        <v>0.83442799999999995</v>
      </c>
      <c r="T466" s="257">
        <f t="shared" ref="T466" si="138">AVERAGE(Q455:Q466)</f>
        <v>0.79141507973293512</v>
      </c>
      <c r="U466" s="257">
        <f t="shared" ref="U466" si="139">AVERAGE(S455:S466)</f>
        <v>0.83442799999999995</v>
      </c>
    </row>
    <row r="467" spans="1:21" ht="12.65" customHeight="1">
      <c r="A467" s="10">
        <v>39083</v>
      </c>
      <c r="B467" s="255">
        <v>40739.160000000003</v>
      </c>
      <c r="D467" s="257">
        <f>B467/C469</f>
        <v>7.7035895628920797E-2</v>
      </c>
      <c r="E467" s="2"/>
      <c r="F467" s="258">
        <f>D467*E469</f>
        <v>43223.223283579253</v>
      </c>
      <c r="H467" s="261">
        <f t="shared" si="132"/>
        <v>96.386702625374028</v>
      </c>
      <c r="I467" s="262">
        <f t="shared" si="136"/>
        <v>121.67411220203641</v>
      </c>
      <c r="J467" s="258">
        <f t="shared" si="137"/>
        <v>0</v>
      </c>
      <c r="K467" s="261">
        <f t="shared" si="125"/>
        <v>122.52017860978273</v>
      </c>
      <c r="L467" s="261">
        <v>1</v>
      </c>
      <c r="M467" s="261">
        <f t="shared" si="131"/>
        <v>97</v>
      </c>
      <c r="N467" s="263">
        <v>100.81837202248499</v>
      </c>
      <c r="O467" s="264">
        <v>77.7</v>
      </c>
      <c r="P467" s="263">
        <f t="shared" si="130"/>
        <v>126.45527294083981</v>
      </c>
      <c r="Q467" s="265">
        <f t="shared" si="129"/>
        <v>0.79726506991647039</v>
      </c>
      <c r="R467" s="256">
        <v>4</v>
      </c>
      <c r="S467" s="266">
        <v>0.83442799999999995</v>
      </c>
    </row>
    <row r="468" spans="1:21" ht="12.65" customHeight="1">
      <c r="A468" s="10">
        <v>39114</v>
      </c>
      <c r="B468" s="255">
        <v>43489.1</v>
      </c>
      <c r="D468" s="257">
        <f>B468/C469</f>
        <v>8.2235906891445443E-2</v>
      </c>
      <c r="E468" s="2"/>
      <c r="F468" s="258">
        <f>D468*E469</f>
        <v>46140.840402745314</v>
      </c>
      <c r="H468" s="261">
        <f t="shared" si="132"/>
        <v>102.89291554232223</v>
      </c>
      <c r="I468" s="262">
        <f t="shared" si="136"/>
        <v>121.67411220203641</v>
      </c>
      <c r="J468" s="258">
        <f t="shared" si="137"/>
        <v>0</v>
      </c>
      <c r="K468" s="261">
        <f t="shared" si="125"/>
        <v>121.9155307701505</v>
      </c>
      <c r="L468" s="261">
        <v>1</v>
      </c>
      <c r="M468" s="261">
        <f t="shared" si="131"/>
        <v>98</v>
      </c>
      <c r="N468" s="263">
        <v>102.843683330552</v>
      </c>
      <c r="O468" s="264">
        <v>81.099999999999994</v>
      </c>
      <c r="P468" s="263">
        <f t="shared" si="130"/>
        <v>127.18242957652009</v>
      </c>
      <c r="Q468" s="265">
        <f t="shared" si="129"/>
        <v>0.80863122109705776</v>
      </c>
      <c r="R468" s="256">
        <v>4</v>
      </c>
      <c r="S468" s="266">
        <v>0.83442799999999995</v>
      </c>
    </row>
    <row r="469" spans="1:21" ht="12.65" customHeight="1">
      <c r="A469" s="10">
        <v>39142</v>
      </c>
      <c r="B469" s="255">
        <v>47813.37</v>
      </c>
      <c r="C469" s="259">
        <f t="shared" ref="C469" si="140">SUM(B458:B469)</f>
        <v>528833.46999999986</v>
      </c>
      <c r="D469" s="257">
        <f>B469/C469</f>
        <v>9.0412904463100671E-2</v>
      </c>
      <c r="E469" s="260">
        <v>561079</v>
      </c>
      <c r="F469" s="258">
        <f>D469*E469</f>
        <v>50728.782023252061</v>
      </c>
      <c r="H469" s="261">
        <f t="shared" si="132"/>
        <v>113.12391015688539</v>
      </c>
      <c r="I469" s="262">
        <f t="shared" si="136"/>
        <v>121.67411220203641</v>
      </c>
      <c r="J469" s="258">
        <f t="shared" si="137"/>
        <v>0</v>
      </c>
      <c r="K469" s="261">
        <f t="shared" si="125"/>
        <v>121.31088293051826</v>
      </c>
      <c r="L469" s="261">
        <v>1</v>
      </c>
      <c r="M469" s="261">
        <f t="shared" si="131"/>
        <v>99</v>
      </c>
      <c r="N469" s="263">
        <v>101.96183958718299</v>
      </c>
      <c r="O469" s="264">
        <v>80.900000000000006</v>
      </c>
      <c r="P469" s="263">
        <f t="shared" si="130"/>
        <v>126.28005621209007</v>
      </c>
      <c r="Q469" s="265">
        <f t="shared" si="129"/>
        <v>0.80742630820448713</v>
      </c>
      <c r="R469" s="256">
        <v>4</v>
      </c>
      <c r="S469" s="266">
        <v>0.83442799999999995</v>
      </c>
    </row>
    <row r="470" spans="1:21" ht="12.65" customHeight="1">
      <c r="A470" s="10">
        <v>39173</v>
      </c>
      <c r="B470" s="255">
        <v>40918.519999999997</v>
      </c>
      <c r="D470" s="257">
        <f>B470/C481</f>
        <v>8.1752986484475848E-2</v>
      </c>
      <c r="E470" s="2"/>
      <c r="F470" s="258">
        <f>D470*E481</f>
        <v>41583.574822342154</v>
      </c>
      <c r="H470" s="261">
        <f t="shared" si="132"/>
        <v>92.730327726941766</v>
      </c>
      <c r="I470" s="262">
        <f t="shared" si="136"/>
        <v>121.67411220203641</v>
      </c>
      <c r="J470" s="258">
        <f t="shared" si="137"/>
        <v>0</v>
      </c>
      <c r="K470" s="261">
        <f t="shared" si="125"/>
        <v>120.70623509088603</v>
      </c>
      <c r="L470" s="261">
        <v>1</v>
      </c>
      <c r="M470" s="261">
        <f t="shared" si="131"/>
        <v>100</v>
      </c>
      <c r="N470" s="263">
        <v>102.066740032233</v>
      </c>
      <c r="O470" s="264">
        <v>79.2</v>
      </c>
      <c r="P470" s="263">
        <f t="shared" si="130"/>
        <v>127.17600431083909</v>
      </c>
      <c r="Q470" s="265">
        <f t="shared" si="129"/>
        <v>0.80256287799988657</v>
      </c>
      <c r="R470" s="256">
        <v>5</v>
      </c>
      <c r="S470" s="266">
        <v>0.83442799999999995</v>
      </c>
    </row>
    <row r="471" spans="1:21" ht="12.65" customHeight="1">
      <c r="A471" s="10">
        <v>39203</v>
      </c>
      <c r="B471" s="255">
        <v>36834.25</v>
      </c>
      <c r="D471" s="257">
        <f>B471/C481</f>
        <v>7.3592836261326275E-2</v>
      </c>
      <c r="E471" s="2"/>
      <c r="F471" s="258">
        <f>D471*E481</f>
        <v>37432.922571487346</v>
      </c>
      <c r="H471" s="261">
        <f t="shared" si="132"/>
        <v>83.474477426752102</v>
      </c>
      <c r="I471" s="262">
        <f t="shared" si="136"/>
        <v>121.67411220203641</v>
      </c>
      <c r="J471" s="258">
        <f t="shared" si="137"/>
        <v>0</v>
      </c>
      <c r="K471" s="261">
        <f t="shared" si="125"/>
        <v>120.10158725125379</v>
      </c>
      <c r="L471" s="261">
        <v>1</v>
      </c>
      <c r="M471" s="261">
        <f t="shared" si="131"/>
        <v>101</v>
      </c>
      <c r="N471" s="263">
        <v>99.953573898666207</v>
      </c>
      <c r="O471" s="264">
        <v>82.1</v>
      </c>
      <c r="P471" s="263">
        <f t="shared" si="130"/>
        <v>123.46768778884831</v>
      </c>
      <c r="Q471" s="265">
        <f t="shared" si="129"/>
        <v>0.80955248849889039</v>
      </c>
      <c r="R471" s="256">
        <v>5</v>
      </c>
      <c r="S471" s="266">
        <v>0.83442799999999995</v>
      </c>
    </row>
    <row r="472" spans="1:21" ht="12.65" customHeight="1">
      <c r="A472" s="10">
        <v>39234</v>
      </c>
      <c r="B472" s="255">
        <v>38711.480000000003</v>
      </c>
      <c r="D472" s="257">
        <f>B472/C481</f>
        <v>7.7343440115479681E-2</v>
      </c>
      <c r="E472" s="2"/>
      <c r="F472" s="258">
        <f>D472*E481</f>
        <v>39340.663471298627</v>
      </c>
      <c r="H472" s="261">
        <f t="shared" si="132"/>
        <v>87.728691731640168</v>
      </c>
      <c r="I472" s="262">
        <f t="shared" si="136"/>
        <v>121.67411220203641</v>
      </c>
      <c r="J472" s="258">
        <f t="shared" si="137"/>
        <v>0</v>
      </c>
      <c r="K472" s="261">
        <f t="shared" si="125"/>
        <v>119.49693941162155</v>
      </c>
      <c r="L472" s="261">
        <v>1</v>
      </c>
      <c r="M472" s="261">
        <f t="shared" si="131"/>
        <v>102</v>
      </c>
      <c r="N472" s="263">
        <v>99.719812487531399</v>
      </c>
      <c r="O472" s="264">
        <v>83.4</v>
      </c>
      <c r="P472" s="263">
        <f t="shared" si="130"/>
        <v>122.60950197800531</v>
      </c>
      <c r="Q472" s="265">
        <f t="shared" si="129"/>
        <v>0.81331227089903646</v>
      </c>
      <c r="R472" s="256">
        <v>5</v>
      </c>
      <c r="S472" s="266">
        <v>0.83442799999999995</v>
      </c>
    </row>
    <row r="473" spans="1:21" ht="12.65" customHeight="1">
      <c r="A473" s="10">
        <v>39264</v>
      </c>
      <c r="B473" s="255">
        <v>40532.379999999997</v>
      </c>
      <c r="D473" s="257">
        <f>B473/C481</f>
        <v>8.0981499680918057E-2</v>
      </c>
      <c r="E473" s="2"/>
      <c r="F473" s="258">
        <f>D473*E481</f>
        <v>41191.158831199289</v>
      </c>
      <c r="H473" s="261">
        <f t="shared" si="132"/>
        <v>91.855249919912538</v>
      </c>
      <c r="I473" s="262">
        <f t="shared" si="136"/>
        <v>121.67411220203641</v>
      </c>
      <c r="J473" s="258">
        <f t="shared" si="137"/>
        <v>0</v>
      </c>
      <c r="K473" s="261">
        <f t="shared" si="125"/>
        <v>118.89229157198932</v>
      </c>
      <c r="L473" s="261">
        <v>1</v>
      </c>
      <c r="M473" s="261">
        <f t="shared" si="131"/>
        <v>103</v>
      </c>
      <c r="N473" s="263">
        <v>99.323699425031805</v>
      </c>
      <c r="O473" s="264">
        <v>82.1</v>
      </c>
      <c r="P473" s="263">
        <f t="shared" si="130"/>
        <v>122.75779632180846</v>
      </c>
      <c r="Q473" s="265">
        <f t="shared" si="129"/>
        <v>0.80910298491067423</v>
      </c>
      <c r="R473" s="256">
        <v>6</v>
      </c>
      <c r="S473" s="266">
        <v>0.83442799999999995</v>
      </c>
    </row>
    <row r="474" spans="1:21" ht="12.65" customHeight="1">
      <c r="A474" s="10">
        <v>39295</v>
      </c>
      <c r="B474" s="255">
        <v>41090.910000000003</v>
      </c>
      <c r="D474" s="257">
        <f>B474/C481</f>
        <v>8.209741236644956E-2</v>
      </c>
      <c r="E474" s="2"/>
      <c r="F474" s="258">
        <f>D474*E481</f>
        <v>41758.766702782203</v>
      </c>
      <c r="H474" s="261">
        <f t="shared" si="132"/>
        <v>93.1210012214095</v>
      </c>
      <c r="I474" s="262">
        <f t="shared" si="136"/>
        <v>121.67411220203641</v>
      </c>
      <c r="J474" s="258">
        <f t="shared" si="137"/>
        <v>0</v>
      </c>
      <c r="K474" s="261">
        <f t="shared" si="125"/>
        <v>118.28764373235708</v>
      </c>
      <c r="L474" s="261">
        <v>1</v>
      </c>
      <c r="M474" s="261">
        <f t="shared" si="131"/>
        <v>104</v>
      </c>
      <c r="N474" s="263">
        <v>95.982691349692701</v>
      </c>
      <c r="O474" s="264">
        <v>83.6</v>
      </c>
      <c r="P474" s="263">
        <f t="shared" si="130"/>
        <v>118.30613373362505</v>
      </c>
      <c r="Q474" s="265">
        <f t="shared" si="129"/>
        <v>0.81130781913476091</v>
      </c>
      <c r="R474" s="256">
        <v>6</v>
      </c>
      <c r="S474" s="266">
        <v>0.83442799999999995</v>
      </c>
    </row>
    <row r="475" spans="1:21" ht="12.65" customHeight="1">
      <c r="A475" s="10">
        <v>39326</v>
      </c>
      <c r="B475" s="255">
        <v>42381.01</v>
      </c>
      <c r="D475" s="257">
        <f>B475/C481</f>
        <v>8.4674962284277053E-2</v>
      </c>
      <c r="E475" s="2"/>
      <c r="F475" s="258">
        <f>D475*E481</f>
        <v>43069.834890935235</v>
      </c>
      <c r="H475" s="261">
        <f t="shared" si="132"/>
        <v>96.044650361225109</v>
      </c>
      <c r="I475" s="262">
        <f t="shared" si="136"/>
        <v>121.67411220203641</v>
      </c>
      <c r="J475" s="258">
        <f t="shared" si="137"/>
        <v>0</v>
      </c>
      <c r="K475" s="261">
        <f t="shared" si="125"/>
        <v>117.68299589272485</v>
      </c>
      <c r="L475" s="261">
        <v>1</v>
      </c>
      <c r="M475" s="261">
        <f t="shared" si="131"/>
        <v>105</v>
      </c>
      <c r="N475" s="263">
        <v>93.597110916343098</v>
      </c>
      <c r="O475" s="264">
        <v>86.6</v>
      </c>
      <c r="P475" s="263">
        <f t="shared" si="130"/>
        <v>114.24504805430935</v>
      </c>
      <c r="Q475" s="265">
        <f t="shared" si="129"/>
        <v>0.81926623963473044</v>
      </c>
      <c r="R475" s="256">
        <v>6</v>
      </c>
      <c r="S475" s="266">
        <v>0.83442799999999995</v>
      </c>
    </row>
    <row r="476" spans="1:21" ht="12.65" customHeight="1">
      <c r="A476" s="10">
        <v>39356</v>
      </c>
      <c r="B476" s="255">
        <v>44250.81</v>
      </c>
      <c r="D476" s="257">
        <f>B476/C481</f>
        <v>8.8410721400898867E-2</v>
      </c>
      <c r="E476" s="2"/>
      <c r="F476" s="258">
        <f>D476*E481</f>
        <v>44970.025029845805</v>
      </c>
      <c r="H476" s="261">
        <f t="shared" si="132"/>
        <v>100.28202665889752</v>
      </c>
      <c r="I476" s="262">
        <f t="shared" si="136"/>
        <v>121.67411220203641</v>
      </c>
      <c r="J476" s="258">
        <f t="shared" si="137"/>
        <v>0</v>
      </c>
      <c r="K476" s="261">
        <f t="shared" si="125"/>
        <v>117.07834805309261</v>
      </c>
      <c r="L476" s="261">
        <v>1</v>
      </c>
      <c r="M476" s="261">
        <f t="shared" si="131"/>
        <v>106</v>
      </c>
      <c r="N476" s="263">
        <v>92.371770837023206</v>
      </c>
      <c r="O476" s="264">
        <v>85.7</v>
      </c>
      <c r="P476" s="263">
        <f t="shared" si="130"/>
        <v>113.27578006717042</v>
      </c>
      <c r="Q476" s="265">
        <f t="shared" si="129"/>
        <v>0.81545914565539501</v>
      </c>
      <c r="R476" s="256">
        <v>4</v>
      </c>
      <c r="S476" s="266">
        <v>0.83442799999999995</v>
      </c>
    </row>
    <row r="477" spans="1:21" ht="12.65" customHeight="1">
      <c r="A477" s="10">
        <v>39387</v>
      </c>
      <c r="B477" s="255">
        <v>45434.36</v>
      </c>
      <c r="D477" s="257">
        <f>B477/C481</f>
        <v>9.0775390190329708E-2</v>
      </c>
      <c r="E477" s="2"/>
      <c r="F477" s="258">
        <f>D477*E481</f>
        <v>46172.811444921019</v>
      </c>
      <c r="H477" s="261">
        <f t="shared" si="132"/>
        <v>102.96421016360939</v>
      </c>
      <c r="I477" s="262">
        <f t="shared" si="136"/>
        <v>121.67411220203641</v>
      </c>
      <c r="J477" s="258">
        <f t="shared" si="137"/>
        <v>0</v>
      </c>
      <c r="K477" s="261">
        <f t="shared" si="125"/>
        <v>116.47370021346038</v>
      </c>
      <c r="L477" s="261">
        <v>1</v>
      </c>
      <c r="M477" s="261">
        <f t="shared" si="131"/>
        <v>107</v>
      </c>
      <c r="N477" s="263">
        <v>92.270072323152107</v>
      </c>
      <c r="O477" s="264">
        <v>85</v>
      </c>
      <c r="P477" s="263">
        <f t="shared" si="130"/>
        <v>113.48140039438931</v>
      </c>
      <c r="Q477" s="265">
        <f t="shared" si="129"/>
        <v>0.81308542195002798</v>
      </c>
      <c r="R477" s="256">
        <v>4</v>
      </c>
      <c r="S477" s="266">
        <v>0.83442799999999995</v>
      </c>
    </row>
    <row r="478" spans="1:21" ht="12.65" customHeight="1">
      <c r="A478" s="10">
        <v>39417</v>
      </c>
      <c r="B478" s="255">
        <v>47105.75</v>
      </c>
      <c r="D478" s="257">
        <f>B478/C481</f>
        <v>9.4114736874429922E-2</v>
      </c>
      <c r="E478" s="2"/>
      <c r="F478" s="258">
        <f>D478*E481</f>
        <v>47871.366796441907</v>
      </c>
      <c r="H478" s="261">
        <f t="shared" si="132"/>
        <v>106.75194594827447</v>
      </c>
      <c r="I478" s="262">
        <f t="shared" si="136"/>
        <v>121.67411220203641</v>
      </c>
      <c r="J478" s="258">
        <f t="shared" si="137"/>
        <v>0</v>
      </c>
      <c r="K478" s="261">
        <f t="shared" si="125"/>
        <v>115.86905237382814</v>
      </c>
      <c r="L478" s="261">
        <v>1</v>
      </c>
      <c r="M478" s="261">
        <f t="shared" si="131"/>
        <v>108</v>
      </c>
      <c r="N478" s="263">
        <v>91.735053771120803</v>
      </c>
      <c r="O478" s="264">
        <v>87.2</v>
      </c>
      <c r="P478" s="263">
        <f t="shared" si="130"/>
        <v>111.87195191640218</v>
      </c>
      <c r="Q478" s="265">
        <f t="shared" si="129"/>
        <v>0.82000047554074196</v>
      </c>
      <c r="R478" s="256">
        <v>4</v>
      </c>
      <c r="S478" s="266">
        <v>0.83442799999999995</v>
      </c>
      <c r="T478" s="257">
        <f t="shared" ref="T478" si="141">AVERAGE(Q467:Q478)</f>
        <v>0.8105810269535132</v>
      </c>
      <c r="U478" s="257">
        <f t="shared" ref="U478" si="142">AVERAGE(S467:S478)</f>
        <v>0.83442799999999995</v>
      </c>
    </row>
    <row r="479" spans="1:21" ht="12.65" customHeight="1">
      <c r="A479" s="10">
        <v>39448</v>
      </c>
      <c r="B479" s="255">
        <v>37573.39</v>
      </c>
      <c r="D479" s="257">
        <f>B479/C481</f>
        <v>7.5069597943570293E-2</v>
      </c>
      <c r="E479" s="2"/>
      <c r="F479" s="258">
        <f>D479*E481</f>
        <v>38184.075924399083</v>
      </c>
      <c r="H479" s="261">
        <f t="shared" si="132"/>
        <v>85.149530542947204</v>
      </c>
      <c r="I479" s="262">
        <f t="shared" si="136"/>
        <v>113.12391015688539</v>
      </c>
      <c r="J479" s="258">
        <f t="shared" si="137"/>
        <v>0</v>
      </c>
      <c r="K479" s="261">
        <f t="shared" si="125"/>
        <v>115.2644045341959</v>
      </c>
      <c r="L479" s="261">
        <v>1</v>
      </c>
      <c r="M479" s="261">
        <f t="shared" si="131"/>
        <v>109</v>
      </c>
      <c r="N479" s="263">
        <v>86.957619727893302</v>
      </c>
      <c r="O479" s="264">
        <v>81.8</v>
      </c>
      <c r="P479" s="263">
        <f t="shared" si="130"/>
        <v>108.9580191908631</v>
      </c>
      <c r="Q479" s="265">
        <f t="shared" si="129"/>
        <v>0.7980837057579816</v>
      </c>
      <c r="R479" s="256">
        <v>3</v>
      </c>
      <c r="S479" s="266">
        <v>0.83442799999999995</v>
      </c>
    </row>
    <row r="480" spans="1:21" ht="12.65" customHeight="1">
      <c r="A480" s="10">
        <v>39479</v>
      </c>
      <c r="B480" s="255">
        <v>40533.82</v>
      </c>
      <c r="D480" s="257">
        <f>B480/C481</f>
        <v>8.0984376722916099E-2</v>
      </c>
      <c r="E480" s="2"/>
      <c r="F480" s="258">
        <f>D480*E481</f>
        <v>41192.622235734554</v>
      </c>
      <c r="H480" s="261">
        <f t="shared" si="132"/>
        <v>91.858513275281382</v>
      </c>
      <c r="I480" s="262">
        <f t="shared" si="136"/>
        <v>113.12391015688539</v>
      </c>
      <c r="J480" s="258">
        <f t="shared" si="137"/>
        <v>0</v>
      </c>
      <c r="K480" s="261">
        <f t="shared" si="125"/>
        <v>114.65975669456367</v>
      </c>
      <c r="L480" s="261">
        <v>1</v>
      </c>
      <c r="M480" s="261">
        <f t="shared" si="131"/>
        <v>110</v>
      </c>
      <c r="N480" s="263">
        <v>90.379282820580897</v>
      </c>
      <c r="O480" s="264">
        <v>88.8</v>
      </c>
      <c r="P480" s="263">
        <f t="shared" si="130"/>
        <v>109.61197553294963</v>
      </c>
      <c r="Q480" s="265">
        <f t="shared" si="129"/>
        <v>0.82453839903115933</v>
      </c>
      <c r="R480" s="256">
        <v>3</v>
      </c>
      <c r="S480" s="266">
        <v>0.83442799999999995</v>
      </c>
    </row>
    <row r="481" spans="1:21" ht="12.65" customHeight="1">
      <c r="A481" s="10">
        <v>39508</v>
      </c>
      <c r="B481" s="255">
        <v>45147.39</v>
      </c>
      <c r="C481" s="259">
        <f t="shared" ref="C481" si="143">SUM(B470:B481)</f>
        <v>500514.07</v>
      </c>
      <c r="D481" s="257">
        <f>B481/C481</f>
        <v>9.0202039674928611E-2</v>
      </c>
      <c r="E481" s="260">
        <v>508649</v>
      </c>
      <c r="F481" s="258">
        <f>D481*E481</f>
        <v>45881.177278612762</v>
      </c>
      <c r="H481" s="261">
        <f t="shared" si="132"/>
        <v>102.31387329541863</v>
      </c>
      <c r="I481" s="262">
        <f t="shared" si="136"/>
        <v>113.12391015688539</v>
      </c>
      <c r="J481" s="258">
        <f t="shared" si="137"/>
        <v>0</v>
      </c>
      <c r="K481" s="261">
        <f t="shared" si="125"/>
        <v>114.05510885493143</v>
      </c>
      <c r="L481" s="261">
        <v>1</v>
      </c>
      <c r="M481" s="261">
        <f t="shared" si="131"/>
        <v>111</v>
      </c>
      <c r="N481" s="263">
        <v>92.1805809270559</v>
      </c>
      <c r="O481" s="264">
        <v>91.7</v>
      </c>
      <c r="P481" s="263">
        <f t="shared" si="130"/>
        <v>110.31540274460197</v>
      </c>
      <c r="Q481" s="265">
        <f t="shared" si="129"/>
        <v>0.83560934043334711</v>
      </c>
      <c r="R481" s="256">
        <v>3</v>
      </c>
      <c r="S481" s="266">
        <v>0.83442799999999995</v>
      </c>
    </row>
    <row r="482" spans="1:21" ht="12.65" customHeight="1">
      <c r="A482" s="10">
        <v>39539</v>
      </c>
      <c r="B482" s="255">
        <v>38215.870000000003</v>
      </c>
      <c r="D482" s="257">
        <f>B482/C493</f>
        <v>7.7714258406482176E-2</v>
      </c>
      <c r="E482" s="2"/>
      <c r="F482" s="258">
        <f>D482*E493</f>
        <v>38631.446996828665</v>
      </c>
      <c r="H482" s="261">
        <f t="shared" si="132"/>
        <v>86.147156801372191</v>
      </c>
      <c r="I482" s="262">
        <f t="shared" si="136"/>
        <v>108.61327829824089</v>
      </c>
      <c r="J482" s="258">
        <f t="shared" si="137"/>
        <v>0</v>
      </c>
      <c r="K482" s="261">
        <f t="shared" si="125"/>
        <v>113.4504610152992</v>
      </c>
      <c r="L482" s="261">
        <v>1</v>
      </c>
      <c r="M482" s="261">
        <f t="shared" si="131"/>
        <v>112</v>
      </c>
      <c r="N482" s="263">
        <v>95.959874660886101</v>
      </c>
      <c r="O482" s="264">
        <v>92.7</v>
      </c>
      <c r="P482" s="263">
        <f t="shared" si="130"/>
        <v>114.11732117380134</v>
      </c>
      <c r="Q482" s="265">
        <f t="shared" si="129"/>
        <v>0.84088790092381027</v>
      </c>
      <c r="R482" s="256">
        <v>7</v>
      </c>
      <c r="S482" s="266">
        <v>0.83442799999999995</v>
      </c>
    </row>
    <row r="483" spans="1:21" ht="12.65" customHeight="1">
      <c r="A483" s="10">
        <v>39569</v>
      </c>
      <c r="B483" s="255">
        <v>34047.440000000002</v>
      </c>
      <c r="D483" s="257">
        <f>B483/C493</f>
        <v>6.923750657094023E-2</v>
      </c>
      <c r="E483" s="2"/>
      <c r="F483" s="258">
        <f>D483*E493</f>
        <v>34417.687566388107</v>
      </c>
      <c r="H483" s="261">
        <f t="shared" si="132"/>
        <v>76.750579075271915</v>
      </c>
      <c r="I483" s="262">
        <f t="shared" si="136"/>
        <v>108.61327829824089</v>
      </c>
      <c r="J483" s="258">
        <f t="shared" si="137"/>
        <v>0</v>
      </c>
      <c r="K483" s="261">
        <f t="shared" si="125"/>
        <v>112.84581317566696</v>
      </c>
      <c r="L483" s="261">
        <v>1</v>
      </c>
      <c r="M483" s="261">
        <f t="shared" si="131"/>
        <v>113</v>
      </c>
      <c r="N483" s="263">
        <v>91.229494740525396</v>
      </c>
      <c r="O483" s="264">
        <v>92.8</v>
      </c>
      <c r="P483" s="263">
        <f t="shared" si="130"/>
        <v>108.74026243676862</v>
      </c>
      <c r="Q483" s="265">
        <f t="shared" si="129"/>
        <v>0.83896702744831464</v>
      </c>
      <c r="R483" s="256">
        <v>7</v>
      </c>
      <c r="S483" s="266">
        <v>0.83442799999999995</v>
      </c>
    </row>
    <row r="484" spans="1:21" ht="12.65" customHeight="1">
      <c r="A484" s="10">
        <v>39600</v>
      </c>
      <c r="B484" s="255">
        <v>35683.78</v>
      </c>
      <c r="D484" s="257">
        <f>B484/C493</f>
        <v>7.2565101876263985E-2</v>
      </c>
      <c r="E484" s="2"/>
      <c r="F484" s="258">
        <f>D484*E493</f>
        <v>36071.821882283322</v>
      </c>
      <c r="H484" s="261">
        <f t="shared" si="132"/>
        <v>80.439257065864751</v>
      </c>
      <c r="I484" s="262">
        <f t="shared" si="136"/>
        <v>108.61327829824089</v>
      </c>
      <c r="J484" s="258">
        <f t="shared" si="137"/>
        <v>0</v>
      </c>
      <c r="K484" s="261">
        <f t="shared" si="125"/>
        <v>112.24116533603473</v>
      </c>
      <c r="L484" s="261">
        <v>1</v>
      </c>
      <c r="M484" s="261">
        <f t="shared" si="131"/>
        <v>114</v>
      </c>
      <c r="N484" s="263">
        <v>91.635295503532603</v>
      </c>
      <c r="O484" s="264">
        <v>93.8</v>
      </c>
      <c r="P484" s="263">
        <f t="shared" si="130"/>
        <v>108.74013145080755</v>
      </c>
      <c r="Q484" s="265">
        <f t="shared" si="129"/>
        <v>0.84269987796535883</v>
      </c>
      <c r="R484" s="256">
        <v>7</v>
      </c>
      <c r="S484" s="266">
        <v>0.83442799999999995</v>
      </c>
    </row>
    <row r="485" spans="1:21" ht="12.65" customHeight="1">
      <c r="A485" s="10">
        <v>39630</v>
      </c>
      <c r="B485" s="255">
        <v>37588.980000000003</v>
      </c>
      <c r="D485" s="257">
        <f>B485/C493</f>
        <v>7.6439440079634213E-2</v>
      </c>
      <c r="E485" s="2"/>
      <c r="F485" s="258">
        <f>D485*E493</f>
        <v>37997.739905825852</v>
      </c>
      <c r="H485" s="261">
        <f t="shared" si="132"/>
        <v>84.734005900261948</v>
      </c>
      <c r="I485" s="262">
        <f t="shared" si="136"/>
        <v>108.61327829824089</v>
      </c>
      <c r="J485" s="258">
        <f t="shared" si="137"/>
        <v>0</v>
      </c>
      <c r="K485" s="261">
        <f t="shared" si="125"/>
        <v>111.63651749640249</v>
      </c>
      <c r="L485" s="261">
        <v>1</v>
      </c>
      <c r="M485" s="261">
        <f t="shared" si="131"/>
        <v>115</v>
      </c>
      <c r="N485" s="263">
        <v>92.297092233704106</v>
      </c>
      <c r="O485" s="264">
        <v>94.7</v>
      </c>
      <c r="P485" s="263">
        <f t="shared" si="130"/>
        <v>109.07426556347912</v>
      </c>
      <c r="Q485" s="265">
        <f t="shared" si="129"/>
        <v>0.84618577770747383</v>
      </c>
      <c r="R485" s="256">
        <v>6</v>
      </c>
      <c r="S485" s="266">
        <v>0.83442799999999995</v>
      </c>
    </row>
    <row r="486" spans="1:21" ht="12.65" customHeight="1">
      <c r="A486" s="10">
        <v>39661</v>
      </c>
      <c r="B486" s="255">
        <v>40333.480000000003</v>
      </c>
      <c r="D486" s="257">
        <f>B486/C493</f>
        <v>8.2020545055043387E-2</v>
      </c>
      <c r="E486" s="2"/>
      <c r="F486" s="258">
        <f>D486*E493</f>
        <v>40772.084864681849</v>
      </c>
      <c r="H486" s="261">
        <f t="shared" si="132"/>
        <v>90.920725497156269</v>
      </c>
      <c r="I486" s="262">
        <f t="shared" si="136"/>
        <v>108.61327829824089</v>
      </c>
      <c r="J486" s="258">
        <f t="shared" si="137"/>
        <v>0</v>
      </c>
      <c r="K486" s="261">
        <f t="shared" si="125"/>
        <v>111.03186965677025</v>
      </c>
      <c r="L486" s="261">
        <v>1</v>
      </c>
      <c r="M486" s="261">
        <f t="shared" si="131"/>
        <v>116</v>
      </c>
      <c r="N486" s="263">
        <v>94.061913050789002</v>
      </c>
      <c r="O486" s="264">
        <v>93.1</v>
      </c>
      <c r="P486" s="263">
        <f t="shared" si="130"/>
        <v>111.79525604102344</v>
      </c>
      <c r="Q486" s="265">
        <f t="shared" si="129"/>
        <v>0.8413766056072437</v>
      </c>
      <c r="R486" s="256">
        <v>6</v>
      </c>
      <c r="S486" s="266">
        <v>0.83442799999999995</v>
      </c>
    </row>
    <row r="487" spans="1:21" ht="12.65" customHeight="1">
      <c r="A487" s="10">
        <v>39692</v>
      </c>
      <c r="B487" s="255">
        <v>43228.07</v>
      </c>
      <c r="D487" s="257">
        <f>B487/C493</f>
        <v>8.7906867026538979E-2</v>
      </c>
      <c r="E487" s="2"/>
      <c r="F487" s="258">
        <f>D487*E493</f>
        <v>43698.15197142442</v>
      </c>
      <c r="H487" s="261">
        <f t="shared" si="132"/>
        <v>97.445781674228357</v>
      </c>
      <c r="I487" s="262">
        <f t="shared" si="136"/>
        <v>108.61327829824089</v>
      </c>
      <c r="J487" s="258">
        <f t="shared" si="137"/>
        <v>0</v>
      </c>
      <c r="K487" s="261">
        <f t="shared" si="125"/>
        <v>110.42722181713802</v>
      </c>
      <c r="L487" s="261">
        <v>1</v>
      </c>
      <c r="M487" s="261">
        <f t="shared" si="131"/>
        <v>117</v>
      </c>
      <c r="N487" s="263">
        <v>95.663173824205401</v>
      </c>
      <c r="O487" s="264">
        <v>95.9</v>
      </c>
      <c r="P487" s="263">
        <f t="shared" si="130"/>
        <v>112.31898221668111</v>
      </c>
      <c r="Q487" s="265">
        <f t="shared" si="129"/>
        <v>0.85170976389063058</v>
      </c>
      <c r="R487" s="256">
        <v>6</v>
      </c>
      <c r="S487" s="266">
        <v>0.83442799999999995</v>
      </c>
    </row>
    <row r="488" spans="1:21" ht="12.65" customHeight="1">
      <c r="A488" s="10">
        <v>39722</v>
      </c>
      <c r="B488" s="255">
        <v>45863.75</v>
      </c>
      <c r="D488" s="257">
        <f>B488/C493</f>
        <v>9.3266680020376275E-2</v>
      </c>
      <c r="E488" s="2"/>
      <c r="F488" s="258">
        <f>D488*E493</f>
        <v>46362.493571408966</v>
      </c>
      <c r="H488" s="261">
        <f t="shared" si="132"/>
        <v>103.38719654292663</v>
      </c>
      <c r="I488" s="262">
        <f t="shared" si="136"/>
        <v>108.61327829824089</v>
      </c>
      <c r="J488" s="258">
        <f t="shared" si="137"/>
        <v>0</v>
      </c>
      <c r="K488" s="261">
        <f t="shared" si="125"/>
        <v>109.82257397750578</v>
      </c>
      <c r="L488" s="261">
        <v>1</v>
      </c>
      <c r="M488" s="261">
        <f t="shared" si="131"/>
        <v>118</v>
      </c>
      <c r="N488" s="263">
        <v>95.827540555777802</v>
      </c>
      <c r="O488" s="264">
        <v>96.3</v>
      </c>
      <c r="P488" s="263">
        <f t="shared" si="130"/>
        <v>112.32123621933047</v>
      </c>
      <c r="Q488" s="265">
        <f t="shared" si="129"/>
        <v>0.85315603514774963</v>
      </c>
      <c r="R488" s="256">
        <v>4</v>
      </c>
      <c r="S488" s="266">
        <v>0.83442799999999995</v>
      </c>
    </row>
    <row r="489" spans="1:21" ht="12.65" customHeight="1">
      <c r="A489" s="10">
        <v>39753</v>
      </c>
      <c r="B489" s="255">
        <v>46429.51</v>
      </c>
      <c r="D489" s="257">
        <f>B489/C493</f>
        <v>9.4417186834326899E-2</v>
      </c>
      <c r="E489" s="2"/>
      <c r="F489" s="258">
        <f>D489*E493</f>
        <v>46934.405906596563</v>
      </c>
      <c r="H489" s="261">
        <f t="shared" si="132"/>
        <v>104.66254669018076</v>
      </c>
      <c r="I489" s="262">
        <f t="shared" si="136"/>
        <v>108.61327829824089</v>
      </c>
      <c r="J489" s="258">
        <f t="shared" si="137"/>
        <v>0</v>
      </c>
      <c r="K489" s="261">
        <f t="shared" si="125"/>
        <v>109.21792613787355</v>
      </c>
      <c r="L489" s="261">
        <v>1</v>
      </c>
      <c r="M489" s="261">
        <f t="shared" si="131"/>
        <v>119</v>
      </c>
      <c r="N489" s="263">
        <v>94.260167042686902</v>
      </c>
      <c r="O489" s="264">
        <v>97.3</v>
      </c>
      <c r="P489" s="263">
        <f t="shared" si="130"/>
        <v>110.09726597615639</v>
      </c>
      <c r="Q489" s="265">
        <f t="shared" si="129"/>
        <v>0.85615356754726946</v>
      </c>
      <c r="R489" s="256">
        <v>4</v>
      </c>
      <c r="S489" s="266">
        <v>0.83442799999999995</v>
      </c>
    </row>
    <row r="490" spans="1:21" ht="12.65" customHeight="1">
      <c r="A490" s="10">
        <v>39783</v>
      </c>
      <c r="B490" s="255">
        <v>48182.1</v>
      </c>
      <c r="D490" s="257">
        <f>B490/C493</f>
        <v>9.7981183470818925E-2</v>
      </c>
      <c r="E490" s="2"/>
      <c r="F490" s="258">
        <f>D490*E493</f>
        <v>48706.054378610206</v>
      </c>
      <c r="H490" s="261">
        <f t="shared" si="132"/>
        <v>108.61327829824089</v>
      </c>
      <c r="I490" s="262">
        <f t="shared" si="136"/>
        <v>108.61327829824089</v>
      </c>
      <c r="J490" s="254">
        <f t="shared" si="137"/>
        <v>1</v>
      </c>
      <c r="K490" s="12">
        <f>I490</f>
        <v>108.61327829824089</v>
      </c>
      <c r="N490" s="263">
        <v>93.661626727554093</v>
      </c>
      <c r="O490" s="264">
        <v>92.2</v>
      </c>
      <c r="P490" s="263">
        <f t="shared" si="130"/>
        <v>111.75585367919615</v>
      </c>
      <c r="Q490" s="265">
        <f t="shared" si="129"/>
        <v>0.83809146137809531</v>
      </c>
      <c r="R490" s="256">
        <v>4</v>
      </c>
      <c r="S490" s="266">
        <v>0.83442799999999995</v>
      </c>
      <c r="T490" s="257">
        <f t="shared" ref="T490" si="144">AVERAGE(Q479:Q490)</f>
        <v>0.83895495523653596</v>
      </c>
      <c r="U490" s="257">
        <f t="shared" ref="U490" si="145">AVERAGE(S479:S490)</f>
        <v>0.83442799999999995</v>
      </c>
    </row>
    <row r="491" spans="1:21" ht="12.65" customHeight="1">
      <c r="A491" s="10">
        <v>39814</v>
      </c>
      <c r="B491" s="255">
        <v>37750.589999999997</v>
      </c>
      <c r="D491" s="257">
        <f>B491/C493</f>
        <v>7.6768083685054445E-2</v>
      </c>
      <c r="E491" s="2"/>
      <c r="F491" s="258">
        <f>D491*E493</f>
        <v>38161.107327505822</v>
      </c>
      <c r="H491" s="261">
        <f t="shared" si="132"/>
        <v>85.098311148596437</v>
      </c>
      <c r="I491" s="262">
        <f t="shared" si="136"/>
        <v>108.61327829824089</v>
      </c>
      <c r="J491" s="258">
        <f t="shared" si="137"/>
        <v>0</v>
      </c>
      <c r="K491" s="261">
        <f>(K$514-K$490)/(M$513+1)+K490</f>
        <v>108.09840510165056</v>
      </c>
      <c r="L491" s="261">
        <v>1</v>
      </c>
      <c r="M491" s="261">
        <f t="shared" si="131"/>
        <v>1</v>
      </c>
      <c r="N491" s="263">
        <v>84.4661050115607</v>
      </c>
      <c r="O491" s="264">
        <v>93.6</v>
      </c>
      <c r="P491" s="263">
        <f t="shared" si="130"/>
        <v>100.75168936319157</v>
      </c>
      <c r="Q491" s="265">
        <f t="shared" si="129"/>
        <v>0.83835919323472285</v>
      </c>
      <c r="R491" s="256">
        <v>7</v>
      </c>
      <c r="S491" s="266">
        <v>0.83442799999999995</v>
      </c>
    </row>
    <row r="492" spans="1:21" ht="12.65" customHeight="1">
      <c r="A492" s="10">
        <v>39845</v>
      </c>
      <c r="B492" s="255">
        <v>40233.46</v>
      </c>
      <c r="D492" s="257">
        <f>B492/C493</f>
        <v>8.1817148400045961E-2</v>
      </c>
      <c r="E492" s="2"/>
      <c r="F492" s="258">
        <f>D492*E493</f>
        <v>40670.977201069247</v>
      </c>
      <c r="H492" s="261">
        <f t="shared" si="132"/>
        <v>90.695257946024412</v>
      </c>
      <c r="I492" s="262">
        <f t="shared" si="136"/>
        <v>108.61327829824089</v>
      </c>
      <c r="J492" s="258">
        <f t="shared" si="137"/>
        <v>0</v>
      </c>
      <c r="K492" s="261">
        <f t="shared" ref="K492:K513" si="146">(K$514-K$490)/(M$513+1)+K491</f>
        <v>107.58353190506023</v>
      </c>
      <c r="L492" s="261">
        <v>1</v>
      </c>
      <c r="M492" s="261">
        <f t="shared" si="131"/>
        <v>2</v>
      </c>
      <c r="N492" s="263">
        <v>87.382683920382206</v>
      </c>
      <c r="O492" s="264">
        <v>89.4</v>
      </c>
      <c r="P492" s="263">
        <f t="shared" si="130"/>
        <v>105.96020952577317</v>
      </c>
      <c r="Q492" s="265">
        <f t="shared" si="129"/>
        <v>0.82467451047393159</v>
      </c>
      <c r="R492" s="256">
        <v>7</v>
      </c>
      <c r="S492" s="266">
        <v>0.83442799999999995</v>
      </c>
    </row>
    <row r="493" spans="1:21" ht="12.65" customHeight="1">
      <c r="A493" s="10">
        <v>39873</v>
      </c>
      <c r="B493" s="255">
        <v>44191.47</v>
      </c>
      <c r="C493" s="259">
        <f t="shared" ref="C493" si="147">SUM(B482:B493)</f>
        <v>491748.5</v>
      </c>
      <c r="D493" s="257">
        <f>B493/C493</f>
        <v>8.9865998574474554E-2</v>
      </c>
      <c r="E493" s="260">
        <v>497096</v>
      </c>
      <c r="F493" s="258">
        <f>D493*E493</f>
        <v>44672.028427377001</v>
      </c>
      <c r="H493" s="261">
        <f t="shared" si="132"/>
        <v>99.617501717823899</v>
      </c>
      <c r="I493" s="262">
        <f t="shared" si="136"/>
        <v>108.61327829824089</v>
      </c>
      <c r="J493" s="258">
        <f t="shared" si="137"/>
        <v>0</v>
      </c>
      <c r="K493" s="261">
        <f t="shared" si="146"/>
        <v>107.0686587084699</v>
      </c>
      <c r="L493" s="261">
        <v>1</v>
      </c>
      <c r="M493" s="261">
        <f t="shared" si="131"/>
        <v>3</v>
      </c>
      <c r="N493" s="263">
        <v>90.1645396504817</v>
      </c>
      <c r="O493" s="264">
        <v>85.4</v>
      </c>
      <c r="P493" s="263">
        <f t="shared" si="130"/>
        <v>110.92539511592653</v>
      </c>
      <c r="Q493" s="265">
        <f t="shared" si="129"/>
        <v>0.81283947247834487</v>
      </c>
      <c r="R493" s="256">
        <v>7</v>
      </c>
      <c r="S493" s="266">
        <v>0.83442799999999995</v>
      </c>
    </row>
    <row r="494" spans="1:21" ht="12.65" customHeight="1">
      <c r="A494" s="10">
        <v>39904</v>
      </c>
      <c r="B494" s="255">
        <v>37603</v>
      </c>
      <c r="D494" s="257">
        <f>B494/C505</f>
        <v>8.3452056235540611E-2</v>
      </c>
      <c r="E494" s="2"/>
      <c r="F494" s="258">
        <f>D494*E505</f>
        <v>38447.113376219677</v>
      </c>
      <c r="H494" s="261">
        <f t="shared" si="132"/>
        <v>85.736097455868759</v>
      </c>
      <c r="I494" s="262">
        <f t="shared" si="136"/>
        <v>108.61327829824089</v>
      </c>
      <c r="J494" s="258">
        <f t="shared" si="137"/>
        <v>0</v>
      </c>
      <c r="K494" s="261">
        <f t="shared" si="146"/>
        <v>106.55378551187957</v>
      </c>
      <c r="L494" s="261">
        <v>1</v>
      </c>
      <c r="M494" s="261">
        <f t="shared" si="131"/>
        <v>4</v>
      </c>
      <c r="N494" s="263">
        <v>97.001316641795199</v>
      </c>
      <c r="O494" s="264">
        <v>88.7</v>
      </c>
      <c r="P494" s="263">
        <f t="shared" si="130"/>
        <v>117.12099709594071</v>
      </c>
      <c r="Q494" s="265">
        <f t="shared" si="129"/>
        <v>0.82821457336412285</v>
      </c>
      <c r="R494" s="256">
        <v>10</v>
      </c>
      <c r="S494" s="266">
        <v>0.83442799999999995</v>
      </c>
    </row>
    <row r="495" spans="1:21" ht="12.65" customHeight="1">
      <c r="A495" s="10">
        <v>39934</v>
      </c>
      <c r="B495" s="255">
        <v>33052.58</v>
      </c>
      <c r="D495" s="257">
        <f>B495/C505</f>
        <v>7.3353343214363362E-2</v>
      </c>
      <c r="E495" s="2"/>
      <c r="F495" s="258">
        <f>D495*E505</f>
        <v>33794.545398946131</v>
      </c>
      <c r="H495" s="261">
        <f t="shared" si="132"/>
        <v>75.360987688426434</v>
      </c>
      <c r="I495" s="262">
        <f t="shared" si="136"/>
        <v>108.61327829824089</v>
      </c>
      <c r="J495" s="258">
        <f t="shared" si="137"/>
        <v>0</v>
      </c>
      <c r="K495" s="261">
        <f t="shared" si="146"/>
        <v>106.03891231528924</v>
      </c>
      <c r="L495" s="261">
        <v>1</v>
      </c>
      <c r="M495" s="261">
        <f t="shared" si="131"/>
        <v>5</v>
      </c>
      <c r="N495" s="263">
        <v>89.358336814301694</v>
      </c>
      <c r="O495" s="264">
        <v>87</v>
      </c>
      <c r="P495" s="263">
        <f t="shared" si="130"/>
        <v>109.28480200846261</v>
      </c>
      <c r="Q495" s="265">
        <f t="shared" si="129"/>
        <v>0.8176648094890826</v>
      </c>
      <c r="R495" s="256">
        <v>10</v>
      </c>
      <c r="S495" s="266">
        <v>0.83442799999999995</v>
      </c>
    </row>
    <row r="496" spans="1:21" ht="12.65" customHeight="1">
      <c r="A496" s="10">
        <v>39965</v>
      </c>
      <c r="B496" s="255">
        <v>33566.49</v>
      </c>
      <c r="D496" s="257">
        <f>B496/C505</f>
        <v>7.4493859827931594E-2</v>
      </c>
      <c r="E496" s="2"/>
      <c r="F496" s="258">
        <f>D496*E505</f>
        <v>34319.991667466536</v>
      </c>
      <c r="H496" s="261">
        <f t="shared" si="132"/>
        <v>76.532719673734647</v>
      </c>
      <c r="I496" s="262">
        <f t="shared" si="136"/>
        <v>108.61327829824089</v>
      </c>
      <c r="J496" s="258">
        <f t="shared" si="137"/>
        <v>0</v>
      </c>
      <c r="K496" s="261">
        <f t="shared" si="146"/>
        <v>105.52403911869891</v>
      </c>
      <c r="L496" s="261">
        <v>1</v>
      </c>
      <c r="M496" s="261">
        <f t="shared" si="131"/>
        <v>6</v>
      </c>
      <c r="N496" s="263">
        <v>87.565091388518596</v>
      </c>
      <c r="O496" s="264">
        <v>83.6</v>
      </c>
      <c r="P496" s="263">
        <f t="shared" si="130"/>
        <v>108.81919207219664</v>
      </c>
      <c r="Q496" s="265">
        <f t="shared" si="129"/>
        <v>0.80468426314379449</v>
      </c>
      <c r="R496" s="256">
        <v>10</v>
      </c>
      <c r="S496" s="266">
        <v>0.83442799999999995</v>
      </c>
    </row>
    <row r="497" spans="1:21" ht="12.65" customHeight="1">
      <c r="A497" s="10">
        <v>39995</v>
      </c>
      <c r="B497" s="255">
        <v>34287.25</v>
      </c>
      <c r="D497" s="257">
        <f>B497/C505</f>
        <v>7.6093437097094388E-2</v>
      </c>
      <c r="E497" s="2"/>
      <c r="F497" s="258">
        <f>D497*E505</f>
        <v>35056.931311565255</v>
      </c>
      <c r="H497" s="261">
        <f t="shared" si="132"/>
        <v>78.176076576170416</v>
      </c>
      <c r="I497" s="262">
        <f t="shared" si="136"/>
        <v>108.61327829824089</v>
      </c>
      <c r="J497" s="258">
        <f t="shared" si="137"/>
        <v>0</v>
      </c>
      <c r="K497" s="261">
        <f t="shared" si="146"/>
        <v>105.00916592210858</v>
      </c>
      <c r="L497" s="261">
        <v>1</v>
      </c>
      <c r="M497" s="261">
        <f t="shared" si="131"/>
        <v>7</v>
      </c>
      <c r="N497" s="263">
        <v>85.780578008220502</v>
      </c>
      <c r="O497" s="264">
        <v>89.2</v>
      </c>
      <c r="P497" s="263">
        <f t="shared" si="130"/>
        <v>104.24607447062517</v>
      </c>
      <c r="Q497" s="265">
        <f t="shared" si="129"/>
        <v>0.82286626564909215</v>
      </c>
      <c r="R497" s="256">
        <v>10</v>
      </c>
      <c r="S497" s="266">
        <v>0.83442799999999995</v>
      </c>
    </row>
    <row r="498" spans="1:21" ht="12.65" customHeight="1">
      <c r="A498" s="10">
        <v>40026</v>
      </c>
      <c r="B498" s="255">
        <v>35529.15</v>
      </c>
      <c r="D498" s="257">
        <f>B498/C505</f>
        <v>7.8849576464669252E-2</v>
      </c>
      <c r="E498" s="2"/>
      <c r="F498" s="258">
        <f>D498*E505</f>
        <v>36326.709523461308</v>
      </c>
      <c r="H498" s="261">
        <f t="shared" si="132"/>
        <v>81.00765010568783</v>
      </c>
      <c r="I498" s="262">
        <f t="shared" si="136"/>
        <v>108.61327829824089</v>
      </c>
      <c r="J498" s="258">
        <f t="shared" si="137"/>
        <v>0</v>
      </c>
      <c r="K498" s="261">
        <f t="shared" si="146"/>
        <v>104.49429272551825</v>
      </c>
      <c r="L498" s="261">
        <v>1</v>
      </c>
      <c r="M498" s="261">
        <f t="shared" si="131"/>
        <v>8</v>
      </c>
      <c r="N498" s="263">
        <v>83.933120758834605</v>
      </c>
      <c r="O498" s="264">
        <v>93.2</v>
      </c>
      <c r="P498" s="263">
        <f t="shared" si="130"/>
        <v>100.333989991946</v>
      </c>
      <c r="Q498" s="265">
        <f t="shared" si="129"/>
        <v>0.83653725687149572</v>
      </c>
      <c r="R498" s="256">
        <v>10</v>
      </c>
      <c r="S498" s="266">
        <v>0.83442799999999995</v>
      </c>
    </row>
    <row r="499" spans="1:21" ht="12.65" customHeight="1">
      <c r="A499" s="10">
        <v>40057</v>
      </c>
      <c r="B499" s="255">
        <v>37065.61</v>
      </c>
      <c r="D499" s="257">
        <f>B499/C505</f>
        <v>8.2259430633848801E-2</v>
      </c>
      <c r="E499" s="2"/>
      <c r="F499" s="258">
        <f>D499*E505</f>
        <v>37897.660027889848</v>
      </c>
      <c r="H499" s="261">
        <f t="shared" si="132"/>
        <v>84.510830285382113</v>
      </c>
      <c r="I499" s="262">
        <f t="shared" si="136"/>
        <v>108.61327829824089</v>
      </c>
      <c r="J499" s="258">
        <f t="shared" si="137"/>
        <v>0</v>
      </c>
      <c r="K499" s="261">
        <f t="shared" si="146"/>
        <v>103.97941952892792</v>
      </c>
      <c r="L499" s="261">
        <v>1</v>
      </c>
      <c r="M499" s="261">
        <f t="shared" si="131"/>
        <v>9</v>
      </c>
      <c r="N499" s="263">
        <v>83.275165780415406</v>
      </c>
      <c r="O499" s="264">
        <v>92.2</v>
      </c>
      <c r="P499" s="263">
        <f t="shared" si="130"/>
        <v>100.04993399559251</v>
      </c>
      <c r="Q499" s="265">
        <f t="shared" si="129"/>
        <v>0.83233603916304355</v>
      </c>
      <c r="R499" s="256">
        <v>10</v>
      </c>
      <c r="S499" s="266">
        <v>0.83442799999999995</v>
      </c>
    </row>
    <row r="500" spans="1:21" ht="12.65" customHeight="1">
      <c r="A500" s="10">
        <v>40087</v>
      </c>
      <c r="B500" s="255">
        <v>38794.51</v>
      </c>
      <c r="D500" s="257">
        <f>B500/C505</f>
        <v>8.6096365453560697E-2</v>
      </c>
      <c r="E500" s="2"/>
      <c r="F500" s="258">
        <f>D500*E505</f>
        <v>39665.370431744494</v>
      </c>
      <c r="H500" s="261">
        <f t="shared" si="132"/>
        <v>88.452780100329093</v>
      </c>
      <c r="I500" s="262">
        <f t="shared" si="136"/>
        <v>108.61327829824089</v>
      </c>
      <c r="J500" s="258">
        <f t="shared" si="137"/>
        <v>0</v>
      </c>
      <c r="K500" s="261">
        <f t="shared" si="146"/>
        <v>103.46454633233759</v>
      </c>
      <c r="L500" s="261">
        <v>1</v>
      </c>
      <c r="M500" s="261">
        <f t="shared" si="131"/>
        <v>10</v>
      </c>
      <c r="N500" s="263">
        <v>82.401201629550698</v>
      </c>
      <c r="O500" s="264">
        <v>88.5</v>
      </c>
      <c r="P500" s="263">
        <f t="shared" si="130"/>
        <v>100.75763249603287</v>
      </c>
      <c r="Q500" s="265">
        <f t="shared" si="129"/>
        <v>0.81781597669829209</v>
      </c>
      <c r="R500" s="256">
        <v>8</v>
      </c>
      <c r="S500" s="266">
        <v>0.83442799999999995</v>
      </c>
    </row>
    <row r="501" spans="1:21" ht="12.65" customHeight="1">
      <c r="A501" s="10">
        <v>40118</v>
      </c>
      <c r="B501" s="255">
        <v>40240.019999999997</v>
      </c>
      <c r="D501" s="257">
        <f>B501/C505</f>
        <v>8.9304374968999248E-2</v>
      </c>
      <c r="E501" s="2"/>
      <c r="F501" s="258">
        <f>D501*E505</f>
        <v>41143.329287592671</v>
      </c>
      <c r="H501" s="261">
        <f t="shared" si="132"/>
        <v>91.748591238627426</v>
      </c>
      <c r="I501" s="262">
        <f t="shared" si="136"/>
        <v>108.61327829824089</v>
      </c>
      <c r="J501" s="258">
        <f t="shared" si="137"/>
        <v>0</v>
      </c>
      <c r="K501" s="261">
        <f t="shared" si="146"/>
        <v>102.94967313574726</v>
      </c>
      <c r="L501" s="261">
        <v>1</v>
      </c>
      <c r="M501" s="261">
        <f t="shared" si="131"/>
        <v>11</v>
      </c>
      <c r="N501" s="263">
        <v>82.891855443465303</v>
      </c>
      <c r="O501" s="264">
        <v>87.9</v>
      </c>
      <c r="P501" s="263">
        <f t="shared" si="130"/>
        <v>101.5851071434422</v>
      </c>
      <c r="Q501" s="265">
        <f t="shared" si="129"/>
        <v>0.81598432855338443</v>
      </c>
      <c r="R501" s="256">
        <v>8</v>
      </c>
      <c r="S501" s="266">
        <v>0.83442799999999995</v>
      </c>
    </row>
    <row r="502" spans="1:21" ht="12.65" customHeight="1">
      <c r="A502" s="10">
        <v>40148</v>
      </c>
      <c r="B502" s="255">
        <v>41743.160000000003</v>
      </c>
      <c r="D502" s="257">
        <f>B502/C505</f>
        <v>9.2640282311761565E-2</v>
      </c>
      <c r="E502" s="2"/>
      <c r="F502" s="258">
        <f>D502*E505</f>
        <v>42680.211823569356</v>
      </c>
      <c r="H502" s="261">
        <f t="shared" si="132"/>
        <v>95.175800704090705</v>
      </c>
      <c r="I502" s="262">
        <f t="shared" si="136"/>
        <v>108.61327829824089</v>
      </c>
      <c r="J502" s="258">
        <f t="shared" si="137"/>
        <v>0</v>
      </c>
      <c r="K502" s="261">
        <f t="shared" si="146"/>
        <v>102.43479993915693</v>
      </c>
      <c r="L502" s="261">
        <v>1</v>
      </c>
      <c r="M502" s="261">
        <f t="shared" si="131"/>
        <v>12</v>
      </c>
      <c r="N502" s="263">
        <v>82.660881692275794</v>
      </c>
      <c r="O502" s="264">
        <v>92</v>
      </c>
      <c r="P502" s="263">
        <f t="shared" si="130"/>
        <v>99.449110105100573</v>
      </c>
      <c r="Q502" s="265">
        <f t="shared" si="129"/>
        <v>0.83118774622435021</v>
      </c>
      <c r="R502" s="256">
        <v>8</v>
      </c>
      <c r="S502" s="266">
        <v>0.83442799999999995</v>
      </c>
      <c r="T502" s="257">
        <f t="shared" ref="T502" si="148">AVERAGE(Q491:Q502)</f>
        <v>0.82359703627863812</v>
      </c>
      <c r="U502" s="257">
        <f t="shared" ref="U502" si="149">AVERAGE(S491:S502)</f>
        <v>0.83442799999999995</v>
      </c>
    </row>
    <row r="503" spans="1:21" ht="12.65" customHeight="1">
      <c r="A503" s="10">
        <v>40179</v>
      </c>
      <c r="B503" s="255">
        <v>39083.43</v>
      </c>
      <c r="D503" s="257">
        <f>B503/C505</f>
        <v>8.6737563445411683E-2</v>
      </c>
      <c r="E503" s="2"/>
      <c r="F503" s="258">
        <f>D503*E505</f>
        <v>39960.776117372174</v>
      </c>
      <c r="H503" s="261">
        <f t="shared" si="132"/>
        <v>89.11152736190266</v>
      </c>
      <c r="I503" s="262">
        <f t="shared" si="136"/>
        <v>99.617501717823899</v>
      </c>
      <c r="J503" s="258">
        <f t="shared" si="137"/>
        <v>0</v>
      </c>
      <c r="K503" s="261">
        <f t="shared" si="146"/>
        <v>101.9199267425666</v>
      </c>
      <c r="L503" s="261">
        <v>1</v>
      </c>
      <c r="M503" s="261">
        <f t="shared" si="131"/>
        <v>13</v>
      </c>
      <c r="N503" s="263">
        <v>85.747432367080094</v>
      </c>
      <c r="O503" s="264">
        <v>91.1</v>
      </c>
      <c r="P503" s="263">
        <f t="shared" si="130"/>
        <v>103.33950000423674</v>
      </c>
      <c r="Q503" s="265">
        <f t="shared" si="129"/>
        <v>0.82976434338819716</v>
      </c>
      <c r="R503" s="256">
        <v>6</v>
      </c>
      <c r="S503" s="266">
        <v>0.83442799999999995</v>
      </c>
    </row>
    <row r="504" spans="1:21" ht="12.65" customHeight="1">
      <c r="A504" s="10">
        <v>40210</v>
      </c>
      <c r="B504" s="255">
        <v>39656.230000000003</v>
      </c>
      <c r="D504" s="257">
        <f>B504/C505</f>
        <v>8.8008774194865649E-2</v>
      </c>
      <c r="E504" s="2"/>
      <c r="F504" s="258">
        <f>D504*E505</f>
        <v>40546.43435054236</v>
      </c>
      <c r="H504" s="261">
        <f t="shared" si="132"/>
        <v>90.417530516510567</v>
      </c>
      <c r="I504" s="262">
        <f t="shared" si="136"/>
        <v>99.617501717823899</v>
      </c>
      <c r="J504" s="258">
        <f t="shared" si="137"/>
        <v>0</v>
      </c>
      <c r="K504" s="261">
        <f t="shared" si="146"/>
        <v>101.40505354597627</v>
      </c>
      <c r="L504" s="261">
        <v>1</v>
      </c>
      <c r="M504" s="261">
        <f t="shared" si="131"/>
        <v>14</v>
      </c>
      <c r="N504" s="263">
        <v>85.220928442156705</v>
      </c>
      <c r="O504" s="264">
        <v>95.1</v>
      </c>
      <c r="P504" s="263">
        <f t="shared" si="130"/>
        <v>100.91617802133405</v>
      </c>
      <c r="Q504" s="265">
        <f t="shared" si="129"/>
        <v>0.84447241377037374</v>
      </c>
      <c r="R504" s="256">
        <v>6</v>
      </c>
      <c r="S504" s="266">
        <v>0.83442799999999995</v>
      </c>
    </row>
    <row r="505" spans="1:21" ht="12.65" customHeight="1">
      <c r="A505" s="10">
        <v>40238</v>
      </c>
      <c r="B505" s="255">
        <v>39972.620000000003</v>
      </c>
      <c r="C505" s="259">
        <f t="shared" ref="C505" si="150">SUM(B494:B505)</f>
        <v>450594.05</v>
      </c>
      <c r="D505" s="257">
        <f>B505/C505</f>
        <v>8.871093615195319E-2</v>
      </c>
      <c r="E505" s="260">
        <v>460709</v>
      </c>
      <c r="F505" s="258">
        <f>D505*E505</f>
        <v>40869.926683630205</v>
      </c>
      <c r="H505" s="261">
        <f t="shared" si="132"/>
        <v>91.138910296689332</v>
      </c>
      <c r="I505" s="262">
        <f t="shared" si="136"/>
        <v>99.617501717823899</v>
      </c>
      <c r="J505" s="258">
        <f t="shared" si="137"/>
        <v>0</v>
      </c>
      <c r="K505" s="261">
        <f t="shared" si="146"/>
        <v>100.89018034938594</v>
      </c>
      <c r="L505" s="261">
        <v>1</v>
      </c>
      <c r="M505" s="261">
        <f t="shared" si="131"/>
        <v>15</v>
      </c>
      <c r="N505" s="263">
        <v>83.136209738450702</v>
      </c>
      <c r="O505" s="264">
        <v>94.3</v>
      </c>
      <c r="P505" s="263">
        <f t="shared" si="130"/>
        <v>98.932610710250742</v>
      </c>
      <c r="Q505" s="265">
        <f t="shared" si="129"/>
        <v>0.84033170803443358</v>
      </c>
      <c r="R505" s="256">
        <v>6</v>
      </c>
      <c r="S505" s="266">
        <v>0.83442799999999995</v>
      </c>
    </row>
    <row r="506" spans="1:21" ht="12.65" customHeight="1">
      <c r="A506" s="10">
        <v>40269</v>
      </c>
      <c r="B506" s="255">
        <v>30603.25</v>
      </c>
      <c r="D506" s="257">
        <f>B506/C517</f>
        <v>7.1284669553777394E-2</v>
      </c>
      <c r="E506" s="2"/>
      <c r="F506" s="258">
        <f>D506*E517</f>
        <v>32002.753403481485</v>
      </c>
      <c r="H506" s="261">
        <f t="shared" si="132"/>
        <v>71.365336528856673</v>
      </c>
      <c r="I506" s="262">
        <f t="shared" si="136"/>
        <v>96.256321580072864</v>
      </c>
      <c r="J506" s="258">
        <f t="shared" si="137"/>
        <v>0</v>
      </c>
      <c r="K506" s="261">
        <f t="shared" si="146"/>
        <v>100.37530715279561</v>
      </c>
      <c r="L506" s="261">
        <v>1</v>
      </c>
      <c r="M506" s="261">
        <f t="shared" si="131"/>
        <v>16</v>
      </c>
      <c r="N506" s="263">
        <v>82.128051830777494</v>
      </c>
      <c r="O506" s="264">
        <v>91.7</v>
      </c>
      <c r="P506" s="263">
        <f t="shared" si="130"/>
        <v>98.985836416184682</v>
      </c>
      <c r="Q506" s="265">
        <f t="shared" si="129"/>
        <v>0.82969498267884656</v>
      </c>
      <c r="R506" s="256">
        <v>8</v>
      </c>
      <c r="S506" s="266">
        <v>0.83442799999999995</v>
      </c>
    </row>
    <row r="507" spans="1:21" ht="12.65" customHeight="1">
      <c r="A507" s="10">
        <v>40299</v>
      </c>
      <c r="B507" s="255">
        <v>30042.77</v>
      </c>
      <c r="D507" s="257">
        <f>B507/C517</f>
        <v>6.9979133978585184E-2</v>
      </c>
      <c r="E507" s="2"/>
      <c r="F507" s="258">
        <f>D507*E517</f>
        <v>31416.642345747969</v>
      </c>
      <c r="H507" s="261">
        <f t="shared" si="132"/>
        <v>70.058323586842548</v>
      </c>
      <c r="I507" s="262">
        <f t="shared" si="136"/>
        <v>96.256321580072864</v>
      </c>
      <c r="J507" s="258">
        <f t="shared" si="137"/>
        <v>0</v>
      </c>
      <c r="K507" s="261">
        <f t="shared" si="146"/>
        <v>99.860433956205284</v>
      </c>
      <c r="L507" s="261">
        <v>1</v>
      </c>
      <c r="M507" s="261">
        <f t="shared" si="131"/>
        <v>17</v>
      </c>
      <c r="N507" s="263">
        <v>83.401759102224503</v>
      </c>
      <c r="O507" s="264">
        <v>89.5</v>
      </c>
      <c r="P507" s="263">
        <f t="shared" si="130"/>
        <v>101.42781397839721</v>
      </c>
      <c r="Q507" s="265">
        <f t="shared" si="129"/>
        <v>0.82227700500365686</v>
      </c>
      <c r="R507" s="256">
        <v>8</v>
      </c>
      <c r="S507" s="266">
        <v>0.83442799999999995</v>
      </c>
    </row>
    <row r="508" spans="1:21" ht="12.65" customHeight="1">
      <c r="A508" s="10">
        <v>40330</v>
      </c>
      <c r="B508" s="255">
        <v>30633.49</v>
      </c>
      <c r="D508" s="257">
        <f>B508/C517</f>
        <v>7.1355108098941925E-2</v>
      </c>
      <c r="E508" s="2"/>
      <c r="F508" s="258">
        <f>D508*E517</f>
        <v>32034.376295263286</v>
      </c>
      <c r="H508" s="261">
        <f t="shared" si="132"/>
        <v>71.435854783507168</v>
      </c>
      <c r="I508" s="262">
        <f t="shared" si="136"/>
        <v>96.256321580072864</v>
      </c>
      <c r="J508" s="258">
        <f t="shared" si="137"/>
        <v>0</v>
      </c>
      <c r="K508" s="261">
        <f t="shared" si="146"/>
        <v>99.345560759614955</v>
      </c>
      <c r="L508" s="261">
        <v>1</v>
      </c>
      <c r="M508" s="261">
        <f t="shared" si="131"/>
        <v>18</v>
      </c>
      <c r="N508" s="263">
        <v>82.235997626590105</v>
      </c>
      <c r="O508" s="264">
        <v>91.1</v>
      </c>
      <c r="P508" s="263">
        <f t="shared" si="130"/>
        <v>99.38198519186794</v>
      </c>
      <c r="Q508" s="265">
        <f t="shared" si="129"/>
        <v>0.82747388742360495</v>
      </c>
      <c r="R508" s="256">
        <v>8</v>
      </c>
      <c r="S508" s="266">
        <v>0.83442799999999995</v>
      </c>
    </row>
    <row r="509" spans="1:21" ht="12.65" customHeight="1">
      <c r="A509" s="10">
        <v>40360</v>
      </c>
      <c r="B509" s="255">
        <v>32114.17</v>
      </c>
      <c r="D509" s="257">
        <f>B509/C517</f>
        <v>7.4804081149676294E-2</v>
      </c>
      <c r="E509" s="2"/>
      <c r="F509" s="258">
        <f>D509*E517</f>
        <v>33582.768603579127</v>
      </c>
      <c r="H509" s="261">
        <f t="shared" si="132"/>
        <v>74.88873075228652</v>
      </c>
      <c r="I509" s="262">
        <f t="shared" si="136"/>
        <v>96.256321580072864</v>
      </c>
      <c r="J509" s="258">
        <f t="shared" si="137"/>
        <v>0</v>
      </c>
      <c r="K509" s="261">
        <f t="shared" si="146"/>
        <v>98.830687563024625</v>
      </c>
      <c r="L509" s="261">
        <v>1</v>
      </c>
      <c r="M509" s="261">
        <f t="shared" si="131"/>
        <v>19</v>
      </c>
      <c r="N509" s="263">
        <v>82.764327127190796</v>
      </c>
      <c r="O509" s="264">
        <v>89.8</v>
      </c>
      <c r="P509" s="263">
        <f t="shared" si="130"/>
        <v>100.572159965476</v>
      </c>
      <c r="Q509" s="265">
        <f t="shared" ref="Q509:Q572" si="151">N509/P509</f>
        <v>0.82293476798750065</v>
      </c>
      <c r="R509" s="256">
        <v>8</v>
      </c>
      <c r="S509" s="266">
        <v>0.83442799999999995</v>
      </c>
    </row>
    <row r="510" spans="1:21" ht="12.65" customHeight="1">
      <c r="A510" s="10">
        <v>40391</v>
      </c>
      <c r="B510" s="255">
        <v>34514.21</v>
      </c>
      <c r="D510" s="257">
        <f>B510/C517</f>
        <v>8.039453504969829E-2</v>
      </c>
      <c r="E510" s="2"/>
      <c r="F510" s="258">
        <f>D510*E517</f>
        <v>36092.563748816698</v>
      </c>
      <c r="H510" s="261">
        <f t="shared" si="132"/>
        <v>80.485510907424214</v>
      </c>
      <c r="I510" s="262">
        <f t="shared" si="136"/>
        <v>96.256321580072864</v>
      </c>
      <c r="J510" s="258">
        <f t="shared" si="137"/>
        <v>0</v>
      </c>
      <c r="K510" s="261">
        <f t="shared" si="146"/>
        <v>98.315814366434296</v>
      </c>
      <c r="L510" s="261">
        <v>1</v>
      </c>
      <c r="M510" s="261">
        <f t="shared" si="131"/>
        <v>20</v>
      </c>
      <c r="N510" s="263">
        <v>83.298566519944004</v>
      </c>
      <c r="O510" s="264">
        <v>91</v>
      </c>
      <c r="P510" s="263">
        <f t="shared" ref="P510:P573" si="152" xml:space="preserve"> 48.3757429845 + 1.12703641242*N510 - 0.457483222058*O510</f>
        <v>100.62528734758843</v>
      </c>
      <c r="Q510" s="265">
        <f t="shared" si="151"/>
        <v>0.82780947727589593</v>
      </c>
      <c r="R510" s="256">
        <v>8</v>
      </c>
      <c r="S510" s="266">
        <v>0.83442799999999995</v>
      </c>
    </row>
    <row r="511" spans="1:21" ht="12.65" customHeight="1">
      <c r="A511" s="10">
        <v>40422</v>
      </c>
      <c r="B511" s="255">
        <v>35548.39</v>
      </c>
      <c r="D511" s="257">
        <f>B511/C517</f>
        <v>8.2803468073449862E-2</v>
      </c>
      <c r="E511" s="2"/>
      <c r="F511" s="258">
        <f>D511*E517</f>
        <v>37174.037367298799</v>
      </c>
      <c r="H511" s="261">
        <f t="shared" si="132"/>
        <v>82.897169921790749</v>
      </c>
      <c r="I511" s="262">
        <f t="shared" si="136"/>
        <v>96.256321580072864</v>
      </c>
      <c r="J511" s="258">
        <f t="shared" si="137"/>
        <v>0</v>
      </c>
      <c r="K511" s="261">
        <f t="shared" si="146"/>
        <v>97.800941169843966</v>
      </c>
      <c r="L511" s="261">
        <v>1</v>
      </c>
      <c r="M511" s="261">
        <f t="shared" ref="M511:M574" si="153">M510+L511</f>
        <v>21</v>
      </c>
      <c r="N511" s="263">
        <v>81.513010035090105</v>
      </c>
      <c r="O511" s="264">
        <v>88.9</v>
      </c>
      <c r="P511" s="263">
        <f t="shared" si="152"/>
        <v>99.573614939047204</v>
      </c>
      <c r="Q511" s="265">
        <f t="shared" si="151"/>
        <v>0.81862057619367656</v>
      </c>
      <c r="R511" s="256">
        <v>8</v>
      </c>
      <c r="S511" s="266">
        <v>0.83442799999999995</v>
      </c>
    </row>
    <row r="512" spans="1:21" ht="12.65" customHeight="1">
      <c r="A512" s="10">
        <v>40452</v>
      </c>
      <c r="B512" s="255">
        <v>37947.870000000003</v>
      </c>
      <c r="D512" s="257">
        <f>B512/C517</f>
        <v>8.8392617555968819E-2</v>
      </c>
      <c r="E512" s="2"/>
      <c r="F512" s="258">
        <f>D512*E517</f>
        <v>39683.24690342931</v>
      </c>
      <c r="H512" s="261">
        <f t="shared" si="132"/>
        <v>88.492644183323804</v>
      </c>
      <c r="I512" s="262">
        <f t="shared" si="136"/>
        <v>96.256321580072864</v>
      </c>
      <c r="J512" s="258">
        <f t="shared" si="137"/>
        <v>0</v>
      </c>
      <c r="K512" s="261">
        <f t="shared" si="146"/>
        <v>97.286067973253637</v>
      </c>
      <c r="L512" s="261">
        <v>1</v>
      </c>
      <c r="M512" s="261">
        <f t="shared" si="153"/>
        <v>22</v>
      </c>
      <c r="N512" s="263">
        <v>82.463994883340703</v>
      </c>
      <c r="O512" s="264">
        <v>90.8</v>
      </c>
      <c r="P512" s="263">
        <f t="shared" si="152"/>
        <v>99.776191368775144</v>
      </c>
      <c r="Q512" s="265">
        <f t="shared" si="151"/>
        <v>0.82648970412742895</v>
      </c>
      <c r="R512" s="256">
        <v>7</v>
      </c>
      <c r="S512" s="266">
        <v>0.83442799999999995</v>
      </c>
    </row>
    <row r="513" spans="1:21" ht="12.65" customHeight="1">
      <c r="A513" s="10">
        <v>40483</v>
      </c>
      <c r="B513" s="255">
        <v>39257.160000000003</v>
      </c>
      <c r="D513" s="257">
        <f>B513/C517</f>
        <v>9.1442368971261803E-2</v>
      </c>
      <c r="E513" s="2"/>
      <c r="F513" s="258">
        <f>D513*E517</f>
        <v>41052.411453065186</v>
      </c>
      <c r="H513" s="261">
        <f t="shared" si="132"/>
        <v>91.545846750497759</v>
      </c>
      <c r="I513" s="262">
        <f t="shared" si="136"/>
        <v>96.256321580072864</v>
      </c>
      <c r="J513" s="258">
        <f t="shared" si="137"/>
        <v>0</v>
      </c>
      <c r="K513" s="261">
        <f t="shared" si="146"/>
        <v>96.771194776663307</v>
      </c>
      <c r="L513" s="261">
        <v>1</v>
      </c>
      <c r="M513" s="261">
        <f t="shared" si="153"/>
        <v>23</v>
      </c>
      <c r="N513" s="263">
        <v>82.880902981596705</v>
      </c>
      <c r="O513" s="264">
        <v>91.4</v>
      </c>
      <c r="P513" s="263">
        <f t="shared" si="152"/>
        <v>99.971572042907624</v>
      </c>
      <c r="Q513" s="265">
        <f t="shared" si="151"/>
        <v>0.82904471029048499</v>
      </c>
      <c r="R513" s="256">
        <v>7</v>
      </c>
      <c r="S513" s="266">
        <v>0.83442799999999995</v>
      </c>
    </row>
    <row r="514" spans="1:21" ht="12.65" customHeight="1">
      <c r="A514" s="10">
        <v>40513</v>
      </c>
      <c r="B514" s="255">
        <v>41277.129999999997</v>
      </c>
      <c r="D514" s="257">
        <f>B514/C517</f>
        <v>9.6147519370599899E-2</v>
      </c>
      <c r="E514" s="2"/>
      <c r="F514" s="258">
        <f>D514*E517</f>
        <v>43164.755788795228</v>
      </c>
      <c r="H514" s="261">
        <f t="shared" ref="H514:H577" si="154">F514/G$574*100</f>
        <v>96.256321580072864</v>
      </c>
      <c r="I514" s="262">
        <f t="shared" si="136"/>
        <v>96.256321580072864</v>
      </c>
      <c r="J514" s="254">
        <f t="shared" si="137"/>
        <v>1</v>
      </c>
      <c r="K514" s="12">
        <f>I514</f>
        <v>96.256321580072864</v>
      </c>
      <c r="N514" s="263">
        <v>84.230309865820104</v>
      </c>
      <c r="O514" s="264">
        <v>91.5</v>
      </c>
      <c r="P514" s="263">
        <f t="shared" si="152"/>
        <v>101.44665441439184</v>
      </c>
      <c r="Q514" s="265">
        <f t="shared" si="151"/>
        <v>0.83029164788179233</v>
      </c>
      <c r="R514" s="256">
        <v>7</v>
      </c>
      <c r="S514" s="266">
        <v>0.83442799999999995</v>
      </c>
      <c r="T514" s="257">
        <f t="shared" ref="T514" si="155">AVERAGE(Q503:Q514)</f>
        <v>0.82910043533799105</v>
      </c>
      <c r="U514" s="257">
        <f t="shared" ref="U514" si="156">AVERAGE(S503:S514)</f>
        <v>0.83442799999999995</v>
      </c>
    </row>
    <row r="515" spans="1:21" ht="12.65" customHeight="1">
      <c r="A515" s="10">
        <v>40544</v>
      </c>
      <c r="B515" s="255">
        <v>39155.51</v>
      </c>
      <c r="D515" s="257">
        <f>B515/C517</f>
        <v>9.1205593901289128E-2</v>
      </c>
      <c r="E515" s="2"/>
      <c r="F515" s="258">
        <f>D515*E517</f>
        <v>40946.112942826447</v>
      </c>
      <c r="H515" s="261">
        <f t="shared" si="154"/>
        <v>91.308803741727189</v>
      </c>
      <c r="I515" s="262">
        <f t="shared" si="136"/>
        <v>96.256321580072864</v>
      </c>
      <c r="J515" s="258">
        <f t="shared" si="137"/>
        <v>0</v>
      </c>
      <c r="K515" s="261">
        <f>(K$550-K$514)/(M$549+1)+K514</f>
        <v>96.576864737054365</v>
      </c>
      <c r="L515" s="261">
        <v>1</v>
      </c>
      <c r="M515" s="261">
        <f t="shared" si="153"/>
        <v>1</v>
      </c>
      <c r="N515" s="263">
        <v>85.457019844772304</v>
      </c>
      <c r="O515" s="264">
        <v>91.4</v>
      </c>
      <c r="P515" s="263">
        <f t="shared" si="152"/>
        <v>102.87494955035574</v>
      </c>
      <c r="Q515" s="265">
        <f t="shared" si="151"/>
        <v>0.83068832809431792</v>
      </c>
      <c r="R515" s="256">
        <v>7</v>
      </c>
      <c r="S515" s="266">
        <v>0.83442799999999995</v>
      </c>
    </row>
    <row r="516" spans="1:21" ht="12.65" customHeight="1">
      <c r="A516" s="10">
        <v>40575</v>
      </c>
      <c r="B516" s="255">
        <v>39711.06</v>
      </c>
      <c r="D516" s="257">
        <f>B516/C517</f>
        <v>9.2499645943820583E-2</v>
      </c>
      <c r="E516" s="2"/>
      <c r="F516" s="258">
        <f>D516*E517</f>
        <v>41527.068548956646</v>
      </c>
      <c r="H516" s="261">
        <f t="shared" si="154"/>
        <v>92.604320156114767</v>
      </c>
      <c r="I516" s="262">
        <f t="shared" si="136"/>
        <v>96.256321580072864</v>
      </c>
      <c r="J516" s="258">
        <f t="shared" si="137"/>
        <v>0</v>
      </c>
      <c r="K516" s="261">
        <f t="shared" ref="K516:K549" si="157">(K$550-K$514)/(M$549+1)+K515</f>
        <v>96.897407894035865</v>
      </c>
      <c r="L516" s="261">
        <v>1</v>
      </c>
      <c r="M516" s="261">
        <f t="shared" si="153"/>
        <v>2</v>
      </c>
      <c r="N516" s="263">
        <v>86.053091410132097</v>
      </c>
      <c r="O516" s="264">
        <v>88.7</v>
      </c>
      <c r="P516" s="263">
        <f t="shared" si="152"/>
        <v>104.781948608481</v>
      </c>
      <c r="Q516" s="265">
        <f t="shared" si="151"/>
        <v>0.82125874306528213</v>
      </c>
      <c r="R516" s="256">
        <v>7</v>
      </c>
      <c r="S516" s="266">
        <v>0.83442799999999995</v>
      </c>
    </row>
    <row r="517" spans="1:21" ht="12.65" customHeight="1">
      <c r="A517" s="10">
        <v>40603</v>
      </c>
      <c r="B517" s="255">
        <v>38505.39</v>
      </c>
      <c r="C517" s="259">
        <f t="shared" ref="C517" si="158">SUM(B506:B517)</f>
        <v>429310.40000000008</v>
      </c>
      <c r="D517" s="257">
        <f>B517/C517</f>
        <v>8.9691258352930639E-2</v>
      </c>
      <c r="E517" s="260">
        <v>448943</v>
      </c>
      <c r="F517" s="258">
        <f>D517*E517</f>
        <v>40266.26259873974</v>
      </c>
      <c r="H517" s="261">
        <f t="shared" si="154"/>
        <v>89.792754544856251</v>
      </c>
      <c r="I517" s="262">
        <f t="shared" si="136"/>
        <v>96.256321580072864</v>
      </c>
      <c r="J517" s="258">
        <f t="shared" si="137"/>
        <v>0</v>
      </c>
      <c r="K517" s="261">
        <f t="shared" si="157"/>
        <v>97.217951051017366</v>
      </c>
      <c r="L517" s="261">
        <v>1</v>
      </c>
      <c r="M517" s="261">
        <f t="shared" si="153"/>
        <v>3</v>
      </c>
      <c r="N517" s="263">
        <v>82.846632609644004</v>
      </c>
      <c r="O517" s="264">
        <v>92.3</v>
      </c>
      <c r="P517" s="263">
        <f t="shared" si="152"/>
        <v>99.521213185997567</v>
      </c>
      <c r="Q517" s="265">
        <f t="shared" si="151"/>
        <v>0.83245199648852708</v>
      </c>
      <c r="R517" s="256">
        <v>7</v>
      </c>
      <c r="S517" s="266">
        <v>0.83442799999999995</v>
      </c>
    </row>
    <row r="518" spans="1:21" ht="12.65" customHeight="1">
      <c r="A518" s="10">
        <v>40634</v>
      </c>
      <c r="B518" s="255">
        <v>29876.997393153702</v>
      </c>
      <c r="D518" s="257">
        <f>B518/C529</f>
        <v>7.1432663202771571E-2</v>
      </c>
      <c r="E518" s="2"/>
      <c r="F518" s="258">
        <f>D518*E529</f>
        <v>31773.891486561621</v>
      </c>
      <c r="H518" s="261">
        <f t="shared" si="154"/>
        <v>70.85498020064621</v>
      </c>
      <c r="I518" s="262">
        <f t="shared" si="136"/>
        <v>96.256321580072864</v>
      </c>
      <c r="J518" s="258">
        <f t="shared" si="137"/>
        <v>0</v>
      </c>
      <c r="K518" s="261">
        <f t="shared" si="157"/>
        <v>97.538494207998866</v>
      </c>
      <c r="L518" s="261">
        <v>1</v>
      </c>
      <c r="M518" s="261">
        <f t="shared" si="153"/>
        <v>4</v>
      </c>
      <c r="N518" s="263">
        <v>82.613079527479201</v>
      </c>
      <c r="O518" s="264">
        <v>89.2</v>
      </c>
      <c r="P518" s="263">
        <f t="shared" si="152"/>
        <v>100.67618834654472</v>
      </c>
      <c r="Q518" s="265">
        <f t="shared" si="151"/>
        <v>0.82058211464175423</v>
      </c>
      <c r="R518" s="256">
        <v>8</v>
      </c>
      <c r="S518" s="266">
        <v>0.83442799999999995</v>
      </c>
    </row>
    <row r="519" spans="1:21" ht="12.65" customHeight="1">
      <c r="A519" s="10">
        <v>40664</v>
      </c>
      <c r="B519" s="255">
        <v>28549.698944791555</v>
      </c>
      <c r="D519" s="257">
        <f>B519/C529</f>
        <v>6.8259236442921173E-2</v>
      </c>
      <c r="E519" s="2"/>
      <c r="F519" s="258">
        <f>D519*E529</f>
        <v>30362.322702939324</v>
      </c>
      <c r="H519" s="261">
        <f t="shared" si="154"/>
        <v>67.707217256415447</v>
      </c>
      <c r="I519" s="262">
        <f t="shared" si="136"/>
        <v>96.256321580072864</v>
      </c>
      <c r="J519" s="258">
        <f t="shared" si="137"/>
        <v>0</v>
      </c>
      <c r="K519" s="261">
        <f t="shared" si="157"/>
        <v>97.859037364980367</v>
      </c>
      <c r="L519" s="261">
        <v>1</v>
      </c>
      <c r="M519" s="261">
        <f t="shared" si="153"/>
        <v>5</v>
      </c>
      <c r="N519" s="263">
        <v>81.435096561251797</v>
      </c>
      <c r="O519" s="264">
        <v>90.8</v>
      </c>
      <c r="P519" s="263">
        <f t="shared" si="152"/>
        <v>98.616585495103109</v>
      </c>
      <c r="Q519" s="265">
        <f t="shared" si="151"/>
        <v>0.82577485473065304</v>
      </c>
      <c r="R519" s="256">
        <v>8</v>
      </c>
      <c r="S519" s="266">
        <v>0.83442799999999995</v>
      </c>
    </row>
    <row r="520" spans="1:21" ht="12.65" customHeight="1">
      <c r="A520" s="10">
        <v>40695</v>
      </c>
      <c r="B520" s="255">
        <v>29740.15477160547</v>
      </c>
      <c r="D520" s="257">
        <f>B520/C529</f>
        <v>7.1105487323341363E-2</v>
      </c>
      <c r="E520" s="2"/>
      <c r="F520" s="258">
        <f>D520*E529</f>
        <v>31628.360710808149</v>
      </c>
      <c r="H520" s="261">
        <f t="shared" si="154"/>
        <v>70.530450224865376</v>
      </c>
      <c r="I520" s="262">
        <f t="shared" si="136"/>
        <v>96.256321580072864</v>
      </c>
      <c r="J520" s="258">
        <f t="shared" si="137"/>
        <v>0</v>
      </c>
      <c r="K520" s="261">
        <f t="shared" si="157"/>
        <v>98.179580521961867</v>
      </c>
      <c r="L520" s="261">
        <v>1</v>
      </c>
      <c r="M520" s="261">
        <f t="shared" si="153"/>
        <v>6</v>
      </c>
      <c r="N520" s="263">
        <v>81.400673606016198</v>
      </c>
      <c r="O520" s="264">
        <v>86.8</v>
      </c>
      <c r="P520" s="263">
        <f t="shared" si="152"/>
        <v>100.40772245936148</v>
      </c>
      <c r="Q520" s="265">
        <f t="shared" si="151"/>
        <v>0.81070132468109612</v>
      </c>
      <c r="R520" s="256">
        <v>8</v>
      </c>
      <c r="S520" s="266">
        <v>0.83442799999999995</v>
      </c>
    </row>
    <row r="521" spans="1:21" ht="12.65" customHeight="1">
      <c r="A521" s="10">
        <v>40725</v>
      </c>
      <c r="B521" s="255">
        <v>30994.837505859861</v>
      </c>
      <c r="D521" s="257">
        <f>B521/C529</f>
        <v>7.410529777962449E-2</v>
      </c>
      <c r="E521" s="2"/>
      <c r="F521" s="258">
        <f>D521*E529</f>
        <v>32962.703400056991</v>
      </c>
      <c r="H521" s="261">
        <f t="shared" si="154"/>
        <v>73.506000917722446</v>
      </c>
      <c r="I521" s="262">
        <f t="shared" si="136"/>
        <v>96.256321580072864</v>
      </c>
      <c r="J521" s="258">
        <f t="shared" si="137"/>
        <v>0</v>
      </c>
      <c r="K521" s="261">
        <f t="shared" si="157"/>
        <v>98.500123678943368</v>
      </c>
      <c r="L521" s="261">
        <v>1</v>
      </c>
      <c r="M521" s="261">
        <f t="shared" si="153"/>
        <v>7</v>
      </c>
      <c r="N521" s="263">
        <v>81.392153996734905</v>
      </c>
      <c r="O521" s="264">
        <v>88.9</v>
      </c>
      <c r="P521" s="263">
        <f t="shared" si="152"/>
        <v>99.437405783160088</v>
      </c>
      <c r="Q521" s="265">
        <f t="shared" si="151"/>
        <v>0.81852652284819383</v>
      </c>
      <c r="R521" s="256">
        <v>7</v>
      </c>
      <c r="S521" s="266">
        <v>0.83442799999999995</v>
      </c>
    </row>
    <row r="522" spans="1:21" ht="12.65" customHeight="1">
      <c r="A522" s="10">
        <v>40756</v>
      </c>
      <c r="B522" s="255">
        <v>33793.197944143205</v>
      </c>
      <c r="D522" s="257">
        <f>B522/C529</f>
        <v>8.0795874348528973E-2</v>
      </c>
      <c r="E522" s="2"/>
      <c r="F522" s="258">
        <f>D522*E529</f>
        <v>35938.732073094827</v>
      </c>
      <c r="H522" s="261">
        <f t="shared" si="154"/>
        <v>80.142470133142112</v>
      </c>
      <c r="I522" s="262">
        <f t="shared" si="136"/>
        <v>96.256321580072864</v>
      </c>
      <c r="J522" s="258">
        <f t="shared" si="137"/>
        <v>0</v>
      </c>
      <c r="K522" s="261">
        <f t="shared" si="157"/>
        <v>98.820666835924868</v>
      </c>
      <c r="L522" s="261">
        <v>1</v>
      </c>
      <c r="M522" s="261">
        <f t="shared" si="153"/>
        <v>8</v>
      </c>
      <c r="N522" s="263">
        <v>82.924882130090495</v>
      </c>
      <c r="O522" s="264">
        <v>87.2</v>
      </c>
      <c r="P522" s="263">
        <f t="shared" si="152"/>
        <v>101.94256767729097</v>
      </c>
      <c r="Q522" s="265">
        <f t="shared" si="151"/>
        <v>0.8134470616101922</v>
      </c>
      <c r="R522" s="256">
        <v>7</v>
      </c>
      <c r="S522" s="266">
        <v>0.83442799999999995</v>
      </c>
    </row>
    <row r="523" spans="1:21" ht="12.65" customHeight="1">
      <c r="A523" s="10">
        <v>40787</v>
      </c>
      <c r="B523" s="255">
        <v>36135.51460542102</v>
      </c>
      <c r="D523" s="257">
        <f>B523/C529</f>
        <v>8.6396099664933737E-2</v>
      </c>
      <c r="E523" s="2"/>
      <c r="F523" s="258">
        <f>D523*E529</f>
        <v>38429.762695859514</v>
      </c>
      <c r="H523" s="261">
        <f t="shared" si="154"/>
        <v>85.697405874325867</v>
      </c>
      <c r="I523" s="262">
        <f t="shared" ref="I523:I586" si="159">MAX(H511:H535)</f>
        <v>96.256321580072864</v>
      </c>
      <c r="J523" s="258">
        <f t="shared" si="137"/>
        <v>0</v>
      </c>
      <c r="K523" s="261">
        <f t="shared" si="157"/>
        <v>99.141209992906369</v>
      </c>
      <c r="L523" s="261">
        <v>1</v>
      </c>
      <c r="M523" s="261">
        <f t="shared" si="153"/>
        <v>9</v>
      </c>
      <c r="N523" s="263">
        <v>83.688118618263303</v>
      </c>
      <c r="O523" s="264">
        <v>87.7</v>
      </c>
      <c r="P523" s="263">
        <f t="shared" si="152"/>
        <v>102.57402137972028</v>
      </c>
      <c r="Q523" s="265">
        <f t="shared" si="151"/>
        <v>0.81588025401146191</v>
      </c>
      <c r="R523" s="256">
        <v>7</v>
      </c>
      <c r="S523" s="266">
        <v>0.83442799999999995</v>
      </c>
    </row>
    <row r="524" spans="1:21" ht="12.65" customHeight="1">
      <c r="A524" s="10">
        <v>40817</v>
      </c>
      <c r="B524" s="255">
        <v>37516.39796052724</v>
      </c>
      <c r="D524" s="257">
        <f>B524/C529</f>
        <v>8.9697642130182248E-2</v>
      </c>
      <c r="E524" s="2"/>
      <c r="F524" s="258">
        <f>D524*E529</f>
        <v>39898.318498284236</v>
      </c>
      <c r="H524" s="261">
        <f t="shared" si="154"/>
        <v>88.972248439592278</v>
      </c>
      <c r="I524" s="262">
        <f t="shared" si="159"/>
        <v>96.256321580072864</v>
      </c>
      <c r="J524" s="258">
        <f t="shared" si="137"/>
        <v>0</v>
      </c>
      <c r="K524" s="261">
        <f t="shared" si="157"/>
        <v>99.461753149887869</v>
      </c>
      <c r="L524" s="261">
        <v>1</v>
      </c>
      <c r="M524" s="261">
        <f t="shared" si="153"/>
        <v>10</v>
      </c>
      <c r="N524" s="263">
        <v>82.718040073491593</v>
      </c>
      <c r="O524" s="264">
        <v>93.9</v>
      </c>
      <c r="P524" s="263">
        <f t="shared" si="152"/>
        <v>98.644311560095559</v>
      </c>
      <c r="Q524" s="265">
        <f t="shared" si="151"/>
        <v>0.83854850589228913</v>
      </c>
      <c r="R524" s="256">
        <v>4</v>
      </c>
      <c r="S524" s="266">
        <v>0.83442799999999995</v>
      </c>
    </row>
    <row r="525" spans="1:21" ht="12.65" customHeight="1">
      <c r="A525" s="10">
        <v>40848</v>
      </c>
      <c r="B525" s="255">
        <v>38100.204582062397</v>
      </c>
      <c r="D525" s="257">
        <f>B525/C529</f>
        <v>9.1093460499173537E-2</v>
      </c>
      <c r="E525" s="2"/>
      <c r="F525" s="258">
        <f>D525*E529</f>
        <v>40519.19107117688</v>
      </c>
      <c r="H525" s="261">
        <f t="shared" si="154"/>
        <v>90.35677868758026</v>
      </c>
      <c r="I525" s="262">
        <f t="shared" si="159"/>
        <v>96.256321580072864</v>
      </c>
      <c r="J525" s="258">
        <f t="shared" si="137"/>
        <v>0</v>
      </c>
      <c r="K525" s="261">
        <f t="shared" si="157"/>
        <v>99.78229630686937</v>
      </c>
      <c r="L525" s="261">
        <v>1</v>
      </c>
      <c r="M525" s="261">
        <f t="shared" si="153"/>
        <v>11</v>
      </c>
      <c r="N525" s="263">
        <v>81.765885307199994</v>
      </c>
      <c r="O525" s="264">
        <v>91.4</v>
      </c>
      <c r="P525" s="263">
        <f t="shared" si="152"/>
        <v>98.714906523370686</v>
      </c>
      <c r="Q525" s="265">
        <f t="shared" si="151"/>
        <v>0.82830332506916748</v>
      </c>
      <c r="R525" s="256">
        <v>4</v>
      </c>
      <c r="S525" s="266">
        <v>0.83442799999999995</v>
      </c>
    </row>
    <row r="526" spans="1:21" ht="12.65" customHeight="1">
      <c r="A526" s="10">
        <v>40878</v>
      </c>
      <c r="B526" s="255">
        <v>38672.951036186569</v>
      </c>
      <c r="D526" s="257">
        <f>B526/C529</f>
        <v>9.2462835206399252E-2</v>
      </c>
      <c r="E526" s="2"/>
      <c r="F526" s="258">
        <f>D526*E529</f>
        <v>41128.301265323244</v>
      </c>
      <c r="H526" s="261">
        <f t="shared" si="154"/>
        <v>91.715079126307003</v>
      </c>
      <c r="I526" s="262">
        <f t="shared" si="159"/>
        <v>96.256321580072864</v>
      </c>
      <c r="J526" s="258">
        <f t="shared" si="137"/>
        <v>0</v>
      </c>
      <c r="K526" s="261">
        <f t="shared" si="157"/>
        <v>100.10283946385087</v>
      </c>
      <c r="L526" s="261">
        <v>1</v>
      </c>
      <c r="M526" s="261">
        <f t="shared" si="153"/>
        <v>12</v>
      </c>
      <c r="N526" s="263">
        <v>80.988285609174795</v>
      </c>
      <c r="O526" s="264">
        <v>89.4</v>
      </c>
      <c r="P526" s="263">
        <f t="shared" si="152"/>
        <v>98.753489793525461</v>
      </c>
      <c r="Q526" s="265">
        <f t="shared" si="151"/>
        <v>0.82010555554548714</v>
      </c>
      <c r="R526" s="256">
        <v>4</v>
      </c>
      <c r="S526" s="266">
        <v>0.83442799999999995</v>
      </c>
      <c r="T526" s="257">
        <f t="shared" ref="T526" si="160">AVERAGE(Q515:Q526)</f>
        <v>0.82302238222320179</v>
      </c>
      <c r="U526" s="257">
        <f t="shared" ref="U526" si="161">AVERAGE(S515:S526)</f>
        <v>0.83442799999999995</v>
      </c>
    </row>
    <row r="527" spans="1:21" ht="12.65" customHeight="1">
      <c r="A527" s="10">
        <v>40909</v>
      </c>
      <c r="B527" s="255">
        <v>38355.113646333237</v>
      </c>
      <c r="D527" s="257">
        <f>B527/C529</f>
        <v>9.1702920449106953E-2</v>
      </c>
      <c r="E527" s="2"/>
      <c r="F527" s="258">
        <f>D527*E529</f>
        <v>40790.284342046813</v>
      </c>
      <c r="H527" s="261">
        <f t="shared" si="154"/>
        <v>90.961309874707325</v>
      </c>
      <c r="I527" s="262">
        <f>MAX(H515:H539)</f>
        <v>94.34303659401219</v>
      </c>
      <c r="J527" s="258">
        <f t="shared" ref="J527:J590" si="162">IF(H527=I527,1,0)</f>
        <v>0</v>
      </c>
      <c r="K527" s="261">
        <f t="shared" si="157"/>
        <v>100.42338262083237</v>
      </c>
      <c r="L527" s="261">
        <v>1</v>
      </c>
      <c r="M527" s="261">
        <f t="shared" si="153"/>
        <v>13</v>
      </c>
      <c r="N527" s="263">
        <v>83.446529678669506</v>
      </c>
      <c r="O527" s="264">
        <v>92.3</v>
      </c>
      <c r="P527" s="263">
        <f t="shared" si="152"/>
        <v>100.19731902649335</v>
      </c>
      <c r="Q527" s="265">
        <f t="shared" si="151"/>
        <v>0.83282198056222712</v>
      </c>
      <c r="R527" s="256">
        <v>3</v>
      </c>
      <c r="S527" s="266">
        <v>0.83442799999999995</v>
      </c>
    </row>
    <row r="528" spans="1:21" ht="12.65" customHeight="1">
      <c r="A528" s="10">
        <v>40940</v>
      </c>
      <c r="B528" s="255">
        <v>38920.086080733956</v>
      </c>
      <c r="D528" s="257">
        <f>B528/C529</f>
        <v>9.3053708317590841E-2</v>
      </c>
      <c r="E528" s="2"/>
      <c r="F528" s="258">
        <f>D528*E529</f>
        <v>41391.126943039264</v>
      </c>
      <c r="H528" s="261">
        <f t="shared" si="154"/>
        <v>92.3011737882928</v>
      </c>
      <c r="I528" s="262">
        <f t="shared" si="159"/>
        <v>94.34303659401219</v>
      </c>
      <c r="J528" s="258">
        <f t="shared" si="162"/>
        <v>0</v>
      </c>
      <c r="K528" s="261">
        <f t="shared" si="157"/>
        <v>100.74392577781387</v>
      </c>
      <c r="L528" s="261">
        <v>1</v>
      </c>
      <c r="M528" s="261">
        <f t="shared" si="153"/>
        <v>14</v>
      </c>
      <c r="N528" s="263">
        <v>85.184484580558404</v>
      </c>
      <c r="O528" s="264">
        <v>89.5</v>
      </c>
      <c r="P528" s="263">
        <f t="shared" si="152"/>
        <v>103.43701050582837</v>
      </c>
      <c r="Q528" s="265">
        <f t="shared" si="151"/>
        <v>0.8235396998036647</v>
      </c>
      <c r="R528" s="256">
        <v>3</v>
      </c>
      <c r="S528" s="266">
        <v>0.83442799999999995</v>
      </c>
    </row>
    <row r="529" spans="1:21" ht="12.65" customHeight="1">
      <c r="A529" s="10">
        <v>40969</v>
      </c>
      <c r="B529" s="255">
        <v>37598.849420142491</v>
      </c>
      <c r="C529" s="259">
        <f t="shared" ref="C529" si="163">SUM(B518:B529)</f>
        <v>418254.00389096065</v>
      </c>
      <c r="D529" s="257">
        <f>B529/C529</f>
        <v>8.9894774635425986E-2</v>
      </c>
      <c r="E529" s="260">
        <v>444809</v>
      </c>
      <c r="F529" s="258">
        <f>D529*E529</f>
        <v>39986.004810809194</v>
      </c>
      <c r="H529" s="261">
        <f t="shared" si="154"/>
        <v>89.167786714796975</v>
      </c>
      <c r="I529" s="262">
        <f t="shared" si="159"/>
        <v>94.34303659401219</v>
      </c>
      <c r="J529" s="258">
        <f t="shared" si="162"/>
        <v>0</v>
      </c>
      <c r="K529" s="261">
        <f t="shared" si="157"/>
        <v>101.06446893479537</v>
      </c>
      <c r="L529" s="261">
        <v>1</v>
      </c>
      <c r="M529" s="261">
        <f t="shared" si="153"/>
        <v>15</v>
      </c>
      <c r="N529" s="263">
        <v>83.190350815008799</v>
      </c>
      <c r="O529" s="264">
        <v>88.2</v>
      </c>
      <c r="P529" s="263">
        <f t="shared" si="152"/>
        <v>101.78427732949314</v>
      </c>
      <c r="Q529" s="265">
        <f t="shared" si="151"/>
        <v>0.8173202482511851</v>
      </c>
      <c r="R529" s="256">
        <v>3</v>
      </c>
      <c r="S529" s="266">
        <v>0.83442799999999995</v>
      </c>
    </row>
    <row r="530" spans="1:21" ht="12.65" customHeight="1">
      <c r="A530" s="10">
        <v>41000</v>
      </c>
      <c r="B530" s="255">
        <v>29799.399712745639</v>
      </c>
      <c r="D530" s="257">
        <f>B530/C541</f>
        <v>6.9598487211820312E-2</v>
      </c>
      <c r="E530" s="2"/>
      <c r="F530" s="258">
        <f>D530*E541</f>
        <v>31415.643551620298</v>
      </c>
      <c r="H530" s="261">
        <f t="shared" si="154"/>
        <v>70.056096301016694</v>
      </c>
      <c r="I530" s="262">
        <f t="shared" si="159"/>
        <v>94.34303659401219</v>
      </c>
      <c r="J530" s="258">
        <f t="shared" si="162"/>
        <v>0</v>
      </c>
      <c r="K530" s="261">
        <f t="shared" si="157"/>
        <v>101.38501209177687</v>
      </c>
      <c r="L530" s="261">
        <v>1</v>
      </c>
      <c r="M530" s="261">
        <f t="shared" si="153"/>
        <v>16</v>
      </c>
      <c r="N530" s="263">
        <v>82.501933713427505</v>
      </c>
      <c r="O530" s="264">
        <v>97.3</v>
      </c>
      <c r="P530" s="263">
        <f t="shared" si="152"/>
        <v>96.8453088683506</v>
      </c>
      <c r="Q530" s="265">
        <f t="shared" si="151"/>
        <v>0.85189396035257459</v>
      </c>
      <c r="R530" s="256">
        <v>5</v>
      </c>
      <c r="S530" s="266">
        <v>0.83442799999999995</v>
      </c>
    </row>
    <row r="531" spans="1:21" ht="12.65" customHeight="1">
      <c r="A531" s="10">
        <v>41030</v>
      </c>
      <c r="B531" s="255">
        <v>28983.376434263591</v>
      </c>
      <c r="D531" s="257">
        <f>B531/C541</f>
        <v>6.769261037337887E-2</v>
      </c>
      <c r="E531" s="2"/>
      <c r="F531" s="258">
        <f>D531*E541</f>
        <v>30555.361240777249</v>
      </c>
      <c r="H531" s="261">
        <f t="shared" si="154"/>
        <v>68.137688348766616</v>
      </c>
      <c r="I531" s="262">
        <f t="shared" si="159"/>
        <v>94.34303659401219</v>
      </c>
      <c r="J531" s="258">
        <f t="shared" si="162"/>
        <v>0</v>
      </c>
      <c r="K531" s="261">
        <f t="shared" si="157"/>
        <v>101.70555524875837</v>
      </c>
      <c r="L531" s="261">
        <v>1</v>
      </c>
      <c r="M531" s="261">
        <f t="shared" si="153"/>
        <v>17</v>
      </c>
      <c r="N531" s="263">
        <v>82.8480745803204</v>
      </c>
      <c r="O531" s="264">
        <v>97.4</v>
      </c>
      <c r="P531" s="263">
        <f t="shared" si="152"/>
        <v>97.189673906959712</v>
      </c>
      <c r="Q531" s="265">
        <f t="shared" si="151"/>
        <v>0.85243700539248013</v>
      </c>
      <c r="R531" s="256">
        <v>5</v>
      </c>
      <c r="S531" s="266">
        <v>0.83442799999999995</v>
      </c>
    </row>
    <row r="532" spans="1:21" ht="12.65" customHeight="1">
      <c r="A532" s="10">
        <v>41061</v>
      </c>
      <c r="B532" s="255">
        <v>30626.030734326356</v>
      </c>
      <c r="D532" s="257">
        <f>B532/C541</f>
        <v>7.1529139142361461E-2</v>
      </c>
      <c r="E532" s="2"/>
      <c r="F532" s="258">
        <f>D532*E541</f>
        <v>32287.108942635685</v>
      </c>
      <c r="H532" s="261">
        <f t="shared" si="154"/>
        <v>71.999442241253789</v>
      </c>
      <c r="I532" s="262">
        <f t="shared" si="159"/>
        <v>94.34303659401219</v>
      </c>
      <c r="J532" s="258">
        <f t="shared" si="162"/>
        <v>0</v>
      </c>
      <c r="K532" s="261">
        <f t="shared" si="157"/>
        <v>102.02609840573987</v>
      </c>
      <c r="L532" s="261">
        <v>1</v>
      </c>
      <c r="M532" s="261">
        <f t="shared" si="153"/>
        <v>18</v>
      </c>
      <c r="N532" s="263">
        <v>83.061138660325597</v>
      </c>
      <c r="O532" s="264">
        <v>91.5</v>
      </c>
      <c r="P532" s="263">
        <f t="shared" si="152"/>
        <v>100.12895589344654</v>
      </c>
      <c r="Q532" s="265">
        <f t="shared" si="151"/>
        <v>0.82954164376502759</v>
      </c>
      <c r="R532" s="256">
        <v>5</v>
      </c>
      <c r="S532" s="266">
        <v>0.83442799999999995</v>
      </c>
    </row>
    <row r="533" spans="1:21" ht="12.65" customHeight="1">
      <c r="A533" s="10">
        <v>41091</v>
      </c>
      <c r="B533" s="255">
        <v>31958.82532522265</v>
      </c>
      <c r="D533" s="257">
        <f>B533/C541</f>
        <v>7.4641969876693456E-2</v>
      </c>
      <c r="E533" s="2"/>
      <c r="F533" s="258">
        <f>D533*E541</f>
        <v>33692.190930821402</v>
      </c>
      <c r="H533" s="261">
        <f t="shared" si="154"/>
        <v>75.132739794538693</v>
      </c>
      <c r="I533" s="262">
        <f t="shared" si="159"/>
        <v>94.34303659401219</v>
      </c>
      <c r="J533" s="258">
        <f t="shared" si="162"/>
        <v>0</v>
      </c>
      <c r="K533" s="261">
        <f t="shared" si="157"/>
        <v>102.34664156272137</v>
      </c>
      <c r="L533" s="261">
        <v>1</v>
      </c>
      <c r="M533" s="261">
        <f t="shared" si="153"/>
        <v>19</v>
      </c>
      <c r="N533" s="263">
        <v>82.920579290416697</v>
      </c>
      <c r="O533" s="264">
        <v>91.5</v>
      </c>
      <c r="P533" s="263">
        <f t="shared" si="152"/>
        <v>99.970540365452393</v>
      </c>
      <c r="Q533" s="265">
        <f t="shared" si="151"/>
        <v>0.82945014588589949</v>
      </c>
      <c r="R533" s="256">
        <v>3</v>
      </c>
      <c r="S533" s="266">
        <v>0.83442799999999995</v>
      </c>
    </row>
    <row r="534" spans="1:21" ht="12.65" customHeight="1">
      <c r="A534" s="10">
        <v>41122</v>
      </c>
      <c r="B534" s="255">
        <v>34176.243816012415</v>
      </c>
      <c r="D534" s="257">
        <f>B534/C541</f>
        <v>7.9820898780032304E-2</v>
      </c>
      <c r="E534" s="2"/>
      <c r="F534" s="258">
        <f>D534*E541</f>
        <v>36029.8765749261</v>
      </c>
      <c r="H534" s="261">
        <f t="shared" si="154"/>
        <v>80.345720083667814</v>
      </c>
      <c r="I534" s="262">
        <f t="shared" si="159"/>
        <v>94.34303659401219</v>
      </c>
      <c r="J534" s="258">
        <f t="shared" si="162"/>
        <v>0</v>
      </c>
      <c r="K534" s="261">
        <f t="shared" si="157"/>
        <v>102.66718471970287</v>
      </c>
      <c r="L534" s="261">
        <v>1</v>
      </c>
      <c r="M534" s="261">
        <f t="shared" si="153"/>
        <v>20</v>
      </c>
      <c r="N534" s="263">
        <v>83.064953019889003</v>
      </c>
      <c r="O534" s="264">
        <v>93</v>
      </c>
      <c r="P534" s="263">
        <f t="shared" si="152"/>
        <v>99.447029982477545</v>
      </c>
      <c r="Q534" s="265">
        <f t="shared" si="151"/>
        <v>0.83526831353862407</v>
      </c>
      <c r="R534" s="256">
        <v>3</v>
      </c>
      <c r="S534" s="266">
        <v>0.83442799999999995</v>
      </c>
    </row>
    <row r="535" spans="1:21" ht="12.65" customHeight="1">
      <c r="A535" s="10">
        <v>41153</v>
      </c>
      <c r="B535" s="255">
        <v>36756.478879850954</v>
      </c>
      <c r="D535" s="257">
        <f>B535/C541</f>
        <v>8.5847210008618821E-2</v>
      </c>
      <c r="E535" s="2"/>
      <c r="F535" s="258">
        <f>D535*E541</f>
        <v>38750.057042530396</v>
      </c>
      <c r="H535" s="261">
        <f t="shared" si="154"/>
        <v>86.411654225093429</v>
      </c>
      <c r="I535" s="262">
        <f t="shared" si="159"/>
        <v>96.456019745268335</v>
      </c>
      <c r="J535" s="258">
        <f t="shared" si="162"/>
        <v>0</v>
      </c>
      <c r="K535" s="261">
        <f t="shared" si="157"/>
        <v>102.98772787668437</v>
      </c>
      <c r="L535" s="261">
        <v>1</v>
      </c>
      <c r="M535" s="261">
        <f t="shared" si="153"/>
        <v>21</v>
      </c>
      <c r="N535" s="263">
        <v>83.840827197940996</v>
      </c>
      <c r="O535" s="264">
        <v>90.8</v>
      </c>
      <c r="P535" s="263">
        <f t="shared" si="152"/>
        <v>101.32793152112619</v>
      </c>
      <c r="Q535" s="265">
        <f t="shared" si="151"/>
        <v>0.82742069180066846</v>
      </c>
      <c r="R535" s="256">
        <v>3</v>
      </c>
      <c r="S535" s="266">
        <v>0.83442799999999995</v>
      </c>
    </row>
    <row r="536" spans="1:21" ht="12.65" customHeight="1">
      <c r="A536" s="10">
        <v>41183</v>
      </c>
      <c r="B536" s="255">
        <v>38347.071665244184</v>
      </c>
      <c r="D536" s="257">
        <f>B536/C541</f>
        <v>8.9562145634857468E-2</v>
      </c>
      <c r="E536" s="2"/>
      <c r="F536" s="258">
        <f>D536*E541</f>
        <v>40426.919545244506</v>
      </c>
      <c r="H536" s="261">
        <f t="shared" si="154"/>
        <v>90.151015501607674</v>
      </c>
      <c r="I536" s="262">
        <f t="shared" si="159"/>
        <v>102.41201716083333</v>
      </c>
      <c r="J536" s="258">
        <f t="shared" si="162"/>
        <v>0</v>
      </c>
      <c r="K536" s="261">
        <f t="shared" si="157"/>
        <v>103.30827103366587</v>
      </c>
      <c r="L536" s="261">
        <v>1</v>
      </c>
      <c r="M536" s="261">
        <f t="shared" si="153"/>
        <v>22</v>
      </c>
      <c r="N536" s="263">
        <v>83.465967815726799</v>
      </c>
      <c r="O536" s="264">
        <v>90.5</v>
      </c>
      <c r="P536" s="263">
        <f t="shared" si="152"/>
        <v>101.04269631445092</v>
      </c>
      <c r="Q536" s="265">
        <f t="shared" si="151"/>
        <v>0.8260465215217111</v>
      </c>
      <c r="R536" s="256">
        <v>1</v>
      </c>
      <c r="S536" s="266">
        <v>0.83442799999999995</v>
      </c>
    </row>
    <row r="537" spans="1:21" ht="12.65" customHeight="1">
      <c r="A537" s="10">
        <v>41214</v>
      </c>
      <c r="B537" s="255">
        <v>39451.829189398093</v>
      </c>
      <c r="D537" s="257">
        <f>B537/C541</f>
        <v>9.2142380577781541E-2</v>
      </c>
      <c r="E537" s="2"/>
      <c r="F537" s="258">
        <f>D537*E541</f>
        <v>41591.596314721341</v>
      </c>
      <c r="H537" s="261">
        <f t="shared" si="154"/>
        <v>92.748215453534755</v>
      </c>
      <c r="I537" s="262">
        <f t="shared" si="159"/>
        <v>105.80421140412494</v>
      </c>
      <c r="J537" s="258">
        <f t="shared" si="162"/>
        <v>0</v>
      </c>
      <c r="K537" s="261">
        <f t="shared" si="157"/>
        <v>103.62881419064738</v>
      </c>
      <c r="L537" s="261">
        <v>1</v>
      </c>
      <c r="M537" s="261">
        <f t="shared" si="153"/>
        <v>23</v>
      </c>
      <c r="N537" s="263">
        <v>83.778500421863995</v>
      </c>
      <c r="O537" s="264">
        <v>88.4</v>
      </c>
      <c r="P537" s="263">
        <f t="shared" si="152"/>
        <v>102.35564670795787</v>
      </c>
      <c r="Q537" s="265">
        <f t="shared" si="151"/>
        <v>0.81850394303014495</v>
      </c>
      <c r="R537" s="256">
        <v>1</v>
      </c>
      <c r="S537" s="266">
        <v>0.83442799999999995</v>
      </c>
    </row>
    <row r="538" spans="1:21" ht="12.65" customHeight="1">
      <c r="A538" s="10">
        <v>41244</v>
      </c>
      <c r="B538" s="255">
        <v>40130.21001768775</v>
      </c>
      <c r="D538" s="257">
        <f>B538/C541</f>
        <v>9.3726784285828979E-2</v>
      </c>
      <c r="E538" s="2"/>
      <c r="F538" s="258">
        <f>D538*E541</f>
        <v>42306.770798074627</v>
      </c>
      <c r="H538" s="261">
        <f t="shared" si="154"/>
        <v>94.34303659401219</v>
      </c>
      <c r="I538" s="262">
        <f t="shared" si="159"/>
        <v>107.79587523140685</v>
      </c>
      <c r="J538" s="258">
        <f t="shared" si="162"/>
        <v>0</v>
      </c>
      <c r="K538" s="261">
        <f t="shared" si="157"/>
        <v>103.94935734762888</v>
      </c>
      <c r="L538" s="261">
        <v>1</v>
      </c>
      <c r="M538" s="261">
        <f t="shared" si="153"/>
        <v>24</v>
      </c>
      <c r="N538" s="263">
        <v>83.821355589607705</v>
      </c>
      <c r="O538" s="264">
        <v>90.5</v>
      </c>
      <c r="P538" s="263">
        <f t="shared" si="152"/>
        <v>101.44323127614359</v>
      </c>
      <c r="Q538" s="265">
        <f t="shared" si="151"/>
        <v>0.82628830465221959</v>
      </c>
      <c r="R538" s="256">
        <v>1</v>
      </c>
      <c r="S538" s="266">
        <v>0.83442799999999995</v>
      </c>
      <c r="T538" s="257">
        <f t="shared" ref="T538" si="164">AVERAGE(Q527:Q538)</f>
        <v>0.83087770487970225</v>
      </c>
      <c r="U538" s="257">
        <f t="shared" ref="U538" si="165">AVERAGE(S527:S538)</f>
        <v>0.83442799999999995</v>
      </c>
    </row>
    <row r="539" spans="1:21" ht="12.65" customHeight="1">
      <c r="A539" s="10">
        <v>41275</v>
      </c>
      <c r="B539" s="255">
        <v>39891.67212621239</v>
      </c>
      <c r="D539" s="257">
        <f>B539/C541</f>
        <v>9.3169663117301488E-2</v>
      </c>
      <c r="E539" s="2"/>
      <c r="F539" s="258">
        <f>D539*E541</f>
        <v>42055.295216540013</v>
      </c>
      <c r="H539" s="261">
        <f t="shared" si="154"/>
        <v>93.782252361520008</v>
      </c>
      <c r="I539" s="262">
        <f t="shared" si="159"/>
        <v>107.79587523140685</v>
      </c>
      <c r="J539" s="258">
        <f t="shared" si="162"/>
        <v>0</v>
      </c>
      <c r="K539" s="261">
        <f t="shared" si="157"/>
        <v>104.26990050461038</v>
      </c>
      <c r="L539" s="261">
        <v>1</v>
      </c>
      <c r="M539" s="261">
        <f t="shared" si="153"/>
        <v>25</v>
      </c>
      <c r="N539" s="263">
        <v>85.349919722607794</v>
      </c>
      <c r="O539" s="264">
        <v>88.7</v>
      </c>
      <c r="P539" s="263">
        <f t="shared" si="152"/>
        <v>103.9894485124583</v>
      </c>
      <c r="Q539" s="265">
        <f t="shared" si="151"/>
        <v>0.82075557610426775</v>
      </c>
      <c r="R539" s="256">
        <v>0</v>
      </c>
      <c r="S539" s="266">
        <v>0.83442799999999995</v>
      </c>
    </row>
    <row r="540" spans="1:21" ht="12.65" customHeight="1">
      <c r="A540" s="10">
        <v>41306</v>
      </c>
      <c r="B540" s="255">
        <v>39486.180103214203</v>
      </c>
      <c r="D540" s="257">
        <f>B540/C541</f>
        <v>9.2222609430006458E-2</v>
      </c>
      <c r="E540" s="2"/>
      <c r="F540" s="258">
        <f>D540*E541</f>
        <v>41627.810334954032</v>
      </c>
      <c r="H540" s="261">
        <f t="shared" si="154"/>
        <v>92.828971809351543</v>
      </c>
      <c r="I540" s="262">
        <f t="shared" si="159"/>
        <v>107.79587523140685</v>
      </c>
      <c r="J540" s="258">
        <f t="shared" si="162"/>
        <v>0</v>
      </c>
      <c r="K540" s="261">
        <f t="shared" si="157"/>
        <v>104.59044366159188</v>
      </c>
      <c r="L540" s="261">
        <v>1</v>
      </c>
      <c r="M540" s="261">
        <f t="shared" si="153"/>
        <v>26</v>
      </c>
      <c r="N540" s="263">
        <v>85.698190334722696</v>
      </c>
      <c r="O540" s="264">
        <v>91</v>
      </c>
      <c r="P540" s="263">
        <f t="shared" si="152"/>
        <v>103.32975076295418</v>
      </c>
      <c r="Q540" s="265">
        <f t="shared" si="151"/>
        <v>0.82936607997168654</v>
      </c>
      <c r="R540" s="256">
        <v>0</v>
      </c>
      <c r="S540" s="266">
        <v>0.83442799999999995</v>
      </c>
    </row>
    <row r="541" spans="1:21" ht="12.65" customHeight="1">
      <c r="A541" s="10">
        <v>41334</v>
      </c>
      <c r="B541" s="255">
        <v>38554.283009537969</v>
      </c>
      <c r="C541" s="259">
        <f t="shared" ref="C541" si="166">SUM(B530:B541)</f>
        <v>428161.60101371619</v>
      </c>
      <c r="D541" s="257">
        <f>B541/C541</f>
        <v>9.0046101561318856E-2</v>
      </c>
      <c r="E541" s="260">
        <v>451384</v>
      </c>
      <c r="F541" s="258">
        <f>D541*E541</f>
        <v>40645.369507154348</v>
      </c>
      <c r="H541" s="261">
        <f t="shared" si="154"/>
        <v>90.63815343158079</v>
      </c>
      <c r="I541" s="262">
        <f t="shared" si="159"/>
        <v>107.79587523140685</v>
      </c>
      <c r="J541" s="258">
        <f t="shared" si="162"/>
        <v>0</v>
      </c>
      <c r="K541" s="261">
        <f t="shared" si="157"/>
        <v>104.91098681857338</v>
      </c>
      <c r="L541" s="261">
        <v>1</v>
      </c>
      <c r="M541" s="261">
        <f t="shared" si="153"/>
        <v>27</v>
      </c>
      <c r="N541" s="263">
        <v>85.489728482906699</v>
      </c>
      <c r="O541" s="264">
        <v>88.2</v>
      </c>
      <c r="P541" s="263">
        <f t="shared" si="152"/>
        <v>104.37575968711946</v>
      </c>
      <c r="Q541" s="265">
        <f t="shared" si="151"/>
        <v>0.81905730544308175</v>
      </c>
      <c r="R541" s="256">
        <v>0</v>
      </c>
      <c r="S541" s="266">
        <v>0.83442799999999995</v>
      </c>
    </row>
    <row r="542" spans="1:21" ht="12.65" customHeight="1">
      <c r="A542" s="10">
        <v>41365</v>
      </c>
      <c r="B542" s="255">
        <v>31585.005644682973</v>
      </c>
      <c r="D542" s="257">
        <f>B542/C553</f>
        <v>6.5815900809866282E-2</v>
      </c>
      <c r="E542" s="2"/>
      <c r="F542" s="258">
        <f>D542*E553</f>
        <v>32952.902665186281</v>
      </c>
      <c r="H542" s="261">
        <f t="shared" si="154"/>
        <v>73.484145525048561</v>
      </c>
      <c r="I542" s="262">
        <f t="shared" si="159"/>
        <v>107.79587523140685</v>
      </c>
      <c r="J542" s="258">
        <f t="shared" si="162"/>
        <v>0</v>
      </c>
      <c r="K542" s="261">
        <f t="shared" si="157"/>
        <v>105.23152997555488</v>
      </c>
      <c r="L542" s="261">
        <v>1</v>
      </c>
      <c r="M542" s="261">
        <f t="shared" si="153"/>
        <v>28</v>
      </c>
      <c r="N542" s="263">
        <v>86.845122242793707</v>
      </c>
      <c r="O542" s="264">
        <v>88</v>
      </c>
      <c r="P542" s="263">
        <f t="shared" si="152"/>
        <v>105.99483445209057</v>
      </c>
      <c r="Q542" s="265">
        <f t="shared" si="151"/>
        <v>0.81933353348504456</v>
      </c>
      <c r="R542" s="256">
        <v>0</v>
      </c>
      <c r="S542" s="266">
        <v>0.83442799999999995</v>
      </c>
    </row>
    <row r="543" spans="1:21" ht="12.65" customHeight="1">
      <c r="A543" s="10">
        <v>41395</v>
      </c>
      <c r="B543" s="255">
        <v>31231.716734648231</v>
      </c>
      <c r="D543" s="257">
        <f>B543/C553</f>
        <v>6.507972782570895E-2</v>
      </c>
      <c r="E543" s="2"/>
      <c r="F543" s="258">
        <f>D543*E553</f>
        <v>32584.313366959435</v>
      </c>
      <c r="H543" s="261">
        <f t="shared" si="154"/>
        <v>72.662200644954837</v>
      </c>
      <c r="I543" s="262">
        <f t="shared" si="159"/>
        <v>107.79587523140685</v>
      </c>
      <c r="J543" s="258">
        <f t="shared" si="162"/>
        <v>0</v>
      </c>
      <c r="K543" s="261">
        <f t="shared" si="157"/>
        <v>105.55207313253638</v>
      </c>
      <c r="L543" s="261">
        <v>1</v>
      </c>
      <c r="M543" s="261">
        <f t="shared" si="153"/>
        <v>29</v>
      </c>
      <c r="N543" s="263">
        <v>88.876986388514595</v>
      </c>
      <c r="O543" s="264">
        <v>86.9</v>
      </c>
      <c r="P543" s="263">
        <f t="shared" si="152"/>
        <v>108.78805087367246</v>
      </c>
      <c r="Q543" s="265">
        <f t="shared" si="151"/>
        <v>0.81697379146649929</v>
      </c>
      <c r="R543" s="256">
        <v>0</v>
      </c>
      <c r="S543" s="266">
        <v>0.83442799999999995</v>
      </c>
    </row>
    <row r="544" spans="1:21" ht="12.65" customHeight="1">
      <c r="A544" s="10">
        <v>41426</v>
      </c>
      <c r="B544" s="255">
        <v>33959.751085433789</v>
      </c>
      <c r="D544" s="257">
        <f>B544/C553</f>
        <v>7.0764325139290096E-2</v>
      </c>
      <c r="E544" s="2"/>
      <c r="F544" s="258">
        <f>D544*E553</f>
        <v>35430.494603715182</v>
      </c>
      <c r="H544" s="261">
        <f t="shared" si="154"/>
        <v>79.009113337820025</v>
      </c>
      <c r="I544" s="262">
        <f t="shared" si="159"/>
        <v>107.79587523140685</v>
      </c>
      <c r="J544" s="258">
        <f t="shared" si="162"/>
        <v>0</v>
      </c>
      <c r="K544" s="261">
        <f t="shared" si="157"/>
        <v>105.87261628951788</v>
      </c>
      <c r="L544" s="261">
        <v>1</v>
      </c>
      <c r="M544" s="261">
        <f t="shared" si="153"/>
        <v>30</v>
      </c>
      <c r="N544" s="263">
        <v>90.7058562262512</v>
      </c>
      <c r="O544" s="264">
        <v>94.4</v>
      </c>
      <c r="P544" s="263">
        <f t="shared" si="152"/>
        <v>107.41812960894327</v>
      </c>
      <c r="Q544" s="265">
        <f t="shared" si="151"/>
        <v>0.84441850324956069</v>
      </c>
      <c r="R544" s="256">
        <v>0</v>
      </c>
      <c r="S544" s="266">
        <v>0.83442799999999995</v>
      </c>
    </row>
    <row r="545" spans="1:21" ht="12.65" customHeight="1">
      <c r="A545" s="10">
        <v>41456</v>
      </c>
      <c r="B545" s="255">
        <v>36223.815686161506</v>
      </c>
      <c r="D545" s="257">
        <f>B545/C553</f>
        <v>7.5482116007049835E-2</v>
      </c>
      <c r="E545" s="2"/>
      <c r="F545" s="258">
        <f>D545*E553</f>
        <v>37792.612288757729</v>
      </c>
      <c r="H545" s="261">
        <f t="shared" si="154"/>
        <v>84.276576464773555</v>
      </c>
      <c r="I545" s="262">
        <f t="shared" si="159"/>
        <v>107.79587523140685</v>
      </c>
      <c r="J545" s="258">
        <f t="shared" si="162"/>
        <v>0</v>
      </c>
      <c r="K545" s="261">
        <f t="shared" si="157"/>
        <v>106.19315944649938</v>
      </c>
      <c r="L545" s="261">
        <v>1</v>
      </c>
      <c r="M545" s="261">
        <f t="shared" si="153"/>
        <v>31</v>
      </c>
      <c r="N545" s="263">
        <v>92.365417106783397</v>
      </c>
      <c r="O545" s="264">
        <v>87.1</v>
      </c>
      <c r="P545" s="263">
        <f t="shared" si="152"/>
        <v>112.62814267095425</v>
      </c>
      <c r="Q545" s="265">
        <f t="shared" si="151"/>
        <v>0.8200918075745165</v>
      </c>
      <c r="R545" s="256">
        <v>-2</v>
      </c>
      <c r="S545" s="266">
        <v>0.83442799999999995</v>
      </c>
    </row>
    <row r="546" spans="1:21" ht="12.65" customHeight="1">
      <c r="A546" s="10">
        <v>41487</v>
      </c>
      <c r="B546" s="255">
        <v>38503.013660661272</v>
      </c>
      <c r="D546" s="257">
        <f>B546/C553</f>
        <v>8.0231441351589605E-2</v>
      </c>
      <c r="E546" s="2"/>
      <c r="F546" s="258">
        <f>D546*E553</f>
        <v>40170.518750237941</v>
      </c>
      <c r="H546" s="261">
        <f t="shared" si="154"/>
        <v>89.579248166740825</v>
      </c>
      <c r="I546" s="262">
        <f t="shared" si="159"/>
        <v>107.79587523140685</v>
      </c>
      <c r="J546" s="258">
        <f t="shared" si="162"/>
        <v>0</v>
      </c>
      <c r="K546" s="261">
        <f t="shared" si="157"/>
        <v>106.51370260348088</v>
      </c>
      <c r="L546" s="261">
        <v>1</v>
      </c>
      <c r="M546" s="261">
        <f t="shared" si="153"/>
        <v>32</v>
      </c>
      <c r="N546" s="263">
        <v>92.441863428381396</v>
      </c>
      <c r="O546" s="264">
        <v>89.3</v>
      </c>
      <c r="P546" s="263">
        <f t="shared" si="152"/>
        <v>111.70783737046318</v>
      </c>
      <c r="Q546" s="265">
        <f t="shared" si="151"/>
        <v>0.82753247761668758</v>
      </c>
      <c r="R546" s="256">
        <v>-2</v>
      </c>
      <c r="S546" s="266">
        <v>0.83442799999999995</v>
      </c>
    </row>
    <row r="547" spans="1:21" ht="12.65" customHeight="1">
      <c r="A547" s="10">
        <v>41518</v>
      </c>
      <c r="B547" s="255">
        <v>41458.792319759224</v>
      </c>
      <c r="D547" s="257">
        <f>B547/C553</f>
        <v>8.639060552054896E-2</v>
      </c>
      <c r="E547" s="2"/>
      <c r="F547" s="258">
        <f>D547*E553</f>
        <v>43254.307543845018</v>
      </c>
      <c r="H547" s="261">
        <f t="shared" si="154"/>
        <v>96.456019745268335</v>
      </c>
      <c r="I547" s="262">
        <f t="shared" si="159"/>
        <v>107.79587523140685</v>
      </c>
      <c r="J547" s="258">
        <f t="shared" si="162"/>
        <v>0</v>
      </c>
      <c r="K547" s="261">
        <f t="shared" si="157"/>
        <v>106.83424576046238</v>
      </c>
      <c r="L547" s="261">
        <v>1</v>
      </c>
      <c r="M547" s="261">
        <f t="shared" si="153"/>
        <v>33</v>
      </c>
      <c r="N547" s="263">
        <v>93.372598478304099</v>
      </c>
      <c r="O547" s="264">
        <v>89.9</v>
      </c>
      <c r="P547" s="263">
        <f t="shared" si="152"/>
        <v>112.4823197288068</v>
      </c>
      <c r="Q547" s="265">
        <f t="shared" si="151"/>
        <v>0.83010911140012089</v>
      </c>
      <c r="R547" s="256">
        <v>-2</v>
      </c>
      <c r="S547" s="266">
        <v>0.83442799999999995</v>
      </c>
    </row>
    <row r="548" spans="1:21" ht="12.65" customHeight="1">
      <c r="A548" s="10">
        <v>41548</v>
      </c>
      <c r="B548" s="255">
        <v>44018.803198925161</v>
      </c>
      <c r="D548" s="257">
        <f>B548/C553</f>
        <v>9.1725080492337588E-2</v>
      </c>
      <c r="E548" s="2"/>
      <c r="F548" s="258">
        <f>D548*E553</f>
        <v>45925.188476145064</v>
      </c>
      <c r="H548" s="261">
        <f t="shared" si="154"/>
        <v>102.41201716083333</v>
      </c>
      <c r="I548" s="262">
        <f t="shared" si="159"/>
        <v>107.79587523140685</v>
      </c>
      <c r="J548" s="258">
        <f t="shared" si="162"/>
        <v>0</v>
      </c>
      <c r="K548" s="261">
        <f t="shared" si="157"/>
        <v>107.15478891744388</v>
      </c>
      <c r="L548" s="261">
        <v>1</v>
      </c>
      <c r="M548" s="261">
        <f t="shared" si="153"/>
        <v>34</v>
      </c>
      <c r="N548" s="263">
        <v>94.575079537110796</v>
      </c>
      <c r="O548" s="264">
        <v>88.8</v>
      </c>
      <c r="P548" s="263">
        <f t="shared" si="152"/>
        <v>114.3407912115911</v>
      </c>
      <c r="Q548" s="265">
        <f t="shared" si="151"/>
        <v>0.82713333128941491</v>
      </c>
      <c r="R548" s="256">
        <v>-5</v>
      </c>
      <c r="S548" s="266">
        <v>0.83442799999999995</v>
      </c>
    </row>
    <row r="549" spans="1:21" ht="12.65" customHeight="1">
      <c r="A549" s="10">
        <v>41579</v>
      </c>
      <c r="B549" s="255">
        <v>45476.838446619586</v>
      </c>
      <c r="D549" s="257">
        <f>B549/C553</f>
        <v>9.4763291228123839E-2</v>
      </c>
      <c r="E549" s="2"/>
      <c r="F549" s="258">
        <f>D549*E553</f>
        <v>47446.36894197073</v>
      </c>
      <c r="H549" s="261">
        <f t="shared" si="154"/>
        <v>105.80421140412494</v>
      </c>
      <c r="I549" s="262">
        <f t="shared" si="159"/>
        <v>107.79587523140685</v>
      </c>
      <c r="J549" s="258">
        <f t="shared" si="162"/>
        <v>0</v>
      </c>
      <c r="K549" s="261">
        <f t="shared" si="157"/>
        <v>107.47533207442538</v>
      </c>
      <c r="L549" s="261">
        <v>1</v>
      </c>
      <c r="M549" s="261">
        <f t="shared" si="153"/>
        <v>35</v>
      </c>
      <c r="N549" s="263">
        <v>95.518940998549894</v>
      </c>
      <c r="O549" s="264">
        <v>90</v>
      </c>
      <c r="P549" s="263">
        <f t="shared" si="152"/>
        <v>114.85557758044332</v>
      </c>
      <c r="Q549" s="265">
        <f t="shared" si="151"/>
        <v>0.83164390455178105</v>
      </c>
      <c r="R549" s="256">
        <v>-5</v>
      </c>
      <c r="S549" s="266">
        <v>0.83442799999999995</v>
      </c>
    </row>
    <row r="550" spans="1:21" ht="12.65" customHeight="1">
      <c r="A550" s="10">
        <v>41609</v>
      </c>
      <c r="B550" s="255">
        <v>46332.896753857669</v>
      </c>
      <c r="D550" s="257">
        <f>B550/C553</f>
        <v>9.6547120215538573E-2</v>
      </c>
      <c r="E550" s="2"/>
      <c r="F550" s="258">
        <f>D550*E553</f>
        <v>48339.5017908765</v>
      </c>
      <c r="H550" s="261">
        <f t="shared" si="154"/>
        <v>107.79587523140685</v>
      </c>
      <c r="I550" s="262">
        <f t="shared" si="159"/>
        <v>107.79587523140685</v>
      </c>
      <c r="J550" s="254">
        <f t="shared" si="162"/>
        <v>1</v>
      </c>
      <c r="K550" s="12">
        <f>I550</f>
        <v>107.79587523140685</v>
      </c>
      <c r="N550" s="263">
        <v>96.281376287097203</v>
      </c>
      <c r="O550" s="264">
        <v>91.8</v>
      </c>
      <c r="P550" s="263">
        <f t="shared" si="152"/>
        <v>114.89140011304571</v>
      </c>
      <c r="Q550" s="265">
        <f t="shared" si="151"/>
        <v>0.8380207412596814</v>
      </c>
      <c r="R550" s="256">
        <v>-5</v>
      </c>
      <c r="S550" s="266">
        <v>0.83442799999999995</v>
      </c>
      <c r="T550" s="257">
        <f t="shared" ref="T550" si="167">AVERAGE(Q539:Q550)</f>
        <v>0.82703634695102846</v>
      </c>
      <c r="U550" s="257">
        <f t="shared" ref="U550" si="168">AVERAGE(S539:S550)</f>
        <v>0.83442799999999995</v>
      </c>
    </row>
    <row r="551" spans="1:21" ht="12.65" customHeight="1">
      <c r="A551" s="10">
        <v>41640</v>
      </c>
      <c r="B551" s="255">
        <v>45439.365379168245</v>
      </c>
      <c r="D551" s="257">
        <f>B551/C553</f>
        <v>9.4685205958228241E-2</v>
      </c>
      <c r="E551" s="2"/>
      <c r="F551" s="258">
        <f>D551*E553</f>
        <v>47407.272974783591</v>
      </c>
      <c r="H551" s="261">
        <f t="shared" si="154"/>
        <v>105.71702837896288</v>
      </c>
      <c r="I551" s="262">
        <f t="shared" si="159"/>
        <v>107.79587523140685</v>
      </c>
      <c r="J551" s="258">
        <f t="shared" si="162"/>
        <v>0</v>
      </c>
      <c r="K551" s="261">
        <f>(K$598-K$550)/(M$597+1)+K550</f>
        <v>108.13005898505638</v>
      </c>
      <c r="L551" s="261">
        <v>1</v>
      </c>
      <c r="M551" s="261">
        <f t="shared" si="153"/>
        <v>1</v>
      </c>
      <c r="N551" s="263">
        <v>96.233496760713194</v>
      </c>
      <c r="O551" s="264">
        <v>90.7</v>
      </c>
      <c r="P551" s="263">
        <f t="shared" si="152"/>
        <v>115.3406696876653</v>
      </c>
      <c r="Q551" s="265">
        <f t="shared" si="151"/>
        <v>0.83434140812002366</v>
      </c>
      <c r="R551" s="256">
        <v>-8</v>
      </c>
      <c r="S551" s="266">
        <v>0.83442799999999995</v>
      </c>
    </row>
    <row r="552" spans="1:21" ht="12.65" customHeight="1">
      <c r="A552" s="10">
        <v>41671</v>
      </c>
      <c r="B552" s="255">
        <v>43902.532507553689</v>
      </c>
      <c r="D552" s="257">
        <f>B552/C553</f>
        <v>9.1482799063722822E-2</v>
      </c>
      <c r="E552" s="2"/>
      <c r="F552" s="258">
        <f>D552*E553</f>
        <v>45803.882283621933</v>
      </c>
      <c r="H552" s="261">
        <f t="shared" si="154"/>
        <v>102.14150739739823</v>
      </c>
      <c r="I552" s="262">
        <f t="shared" si="159"/>
        <v>107.79587523140685</v>
      </c>
      <c r="J552" s="258">
        <f t="shared" si="162"/>
        <v>0</v>
      </c>
      <c r="K552" s="261">
        <f t="shared" ref="K552:K596" si="169">(K$598-K$550)/(M$597+1)+K551</f>
        <v>108.46424273870591</v>
      </c>
      <c r="L552" s="261">
        <v>1</v>
      </c>
      <c r="M552" s="261">
        <f t="shared" si="153"/>
        <v>2</v>
      </c>
      <c r="N552" s="263">
        <v>94.538781716600298</v>
      </c>
      <c r="O552" s="264">
        <v>88.5</v>
      </c>
      <c r="P552" s="263">
        <f t="shared" si="152"/>
        <v>114.4371272128017</v>
      </c>
      <c r="Q552" s="265">
        <f t="shared" si="151"/>
        <v>0.82611984431241958</v>
      </c>
      <c r="R552" s="256">
        <v>-8</v>
      </c>
      <c r="S552" s="266">
        <v>0.83442799999999995</v>
      </c>
    </row>
    <row r="553" spans="1:21" ht="12.65" customHeight="1">
      <c r="A553" s="10">
        <v>41699</v>
      </c>
      <c r="B553" s="255">
        <v>41766.782517743421</v>
      </c>
      <c r="C553" s="259">
        <f t="shared" ref="C553" si="170">SUM(B542:B553)</f>
        <v>479899.31393521477</v>
      </c>
      <c r="D553" s="257">
        <f>B553/C553</f>
        <v>8.7032386387995195E-2</v>
      </c>
      <c r="E553" s="260">
        <v>500683</v>
      </c>
      <c r="F553" s="258">
        <f>D553*E553</f>
        <v>43575.636313900599</v>
      </c>
      <c r="H553" s="261">
        <f t="shared" si="154"/>
        <v>97.172574834210323</v>
      </c>
      <c r="I553" s="262">
        <f t="shared" si="159"/>
        <v>107.79587523140685</v>
      </c>
      <c r="J553" s="258">
        <f t="shared" si="162"/>
        <v>0</v>
      </c>
      <c r="K553" s="261">
        <f t="shared" si="169"/>
        <v>108.79842649235543</v>
      </c>
      <c r="L553" s="261">
        <v>1</v>
      </c>
      <c r="M553" s="261">
        <f t="shared" si="153"/>
        <v>3</v>
      </c>
      <c r="N553" s="263">
        <v>92.177346682640106</v>
      </c>
      <c r="O553" s="264">
        <v>89.1</v>
      </c>
      <c r="P553" s="263">
        <f t="shared" si="152"/>
        <v>111.5012140107295</v>
      </c>
      <c r="Q553" s="265">
        <f t="shared" si="151"/>
        <v>0.82669365979970499</v>
      </c>
      <c r="R553" s="256">
        <v>-8</v>
      </c>
      <c r="S553" s="266">
        <v>0.83442799999999995</v>
      </c>
    </row>
    <row r="554" spans="1:21" ht="12.65" customHeight="1">
      <c r="A554" s="10">
        <v>41730</v>
      </c>
      <c r="B554" s="255">
        <v>33061.202674534979</v>
      </c>
      <c r="D554" s="257">
        <f>B554/C565</f>
        <v>6.9999545261076185E-2</v>
      </c>
      <c r="E554" s="2"/>
      <c r="F554" s="258">
        <f>D554*E565</f>
        <v>33326.013503800503</v>
      </c>
      <c r="H554" s="261">
        <f t="shared" si="154"/>
        <v>74.31617332667426</v>
      </c>
      <c r="I554" s="262">
        <f t="shared" si="159"/>
        <v>107.79587523140685</v>
      </c>
      <c r="J554" s="258">
        <f t="shared" si="162"/>
        <v>0</v>
      </c>
      <c r="K554" s="261">
        <f t="shared" si="169"/>
        <v>109.13261024600496</v>
      </c>
      <c r="L554" s="261">
        <v>1</v>
      </c>
      <c r="M554" s="261">
        <f t="shared" si="153"/>
        <v>4</v>
      </c>
      <c r="N554" s="263">
        <v>87.669840584403403</v>
      </c>
      <c r="O554" s="264">
        <v>95.1</v>
      </c>
      <c r="P554" s="263">
        <f t="shared" si="152"/>
        <v>103.67619117646353</v>
      </c>
      <c r="Q554" s="265">
        <f t="shared" si="151"/>
        <v>0.84561208884674111</v>
      </c>
      <c r="R554" s="256">
        <v>-5</v>
      </c>
      <c r="S554" s="266">
        <v>0.83442799999999995</v>
      </c>
    </row>
    <row r="555" spans="1:21" ht="12.65" customHeight="1">
      <c r="A555" s="10">
        <v>41760</v>
      </c>
      <c r="B555" s="255">
        <v>32121.537136153762</v>
      </c>
      <c r="D555" s="257">
        <f>B555/C565</f>
        <v>6.801001810951697E-2</v>
      </c>
      <c r="E555" s="2"/>
      <c r="F555" s="258">
        <f>D555*E565</f>
        <v>32378.821511741826</v>
      </c>
      <c r="H555" s="261">
        <f t="shared" si="154"/>
        <v>72.203958967538767</v>
      </c>
      <c r="I555" s="262">
        <f t="shared" si="159"/>
        <v>107.79587523140685</v>
      </c>
      <c r="J555" s="258">
        <f t="shared" si="162"/>
        <v>0</v>
      </c>
      <c r="K555" s="261">
        <f t="shared" si="169"/>
        <v>109.46679399965448</v>
      </c>
      <c r="L555" s="261">
        <v>1</v>
      </c>
      <c r="M555" s="261">
        <f t="shared" si="153"/>
        <v>5</v>
      </c>
      <c r="N555" s="263">
        <v>88.313795757462501</v>
      </c>
      <c r="O555" s="264">
        <v>91.4</v>
      </c>
      <c r="P555" s="263">
        <f t="shared" si="152"/>
        <v>106.09464002608196</v>
      </c>
      <c r="Q555" s="265">
        <f t="shared" si="151"/>
        <v>0.8324058193302859</v>
      </c>
      <c r="R555" s="256">
        <v>-5</v>
      </c>
      <c r="S555" s="266">
        <v>0.83442799999999995</v>
      </c>
    </row>
    <row r="556" spans="1:21" ht="12.65" customHeight="1">
      <c r="A556" s="10">
        <v>41791</v>
      </c>
      <c r="B556" s="255">
        <v>34291.098893418894</v>
      </c>
      <c r="D556" s="257">
        <f>B556/C565</f>
        <v>7.260356958794989E-2</v>
      </c>
      <c r="E556" s="2"/>
      <c r="F556" s="258">
        <f>D556*E565</f>
        <v>34565.760841557472</v>
      </c>
      <c r="H556" s="261">
        <f t="shared" si="154"/>
        <v>77.080778760910277</v>
      </c>
      <c r="I556" s="262">
        <f t="shared" si="159"/>
        <v>107.79587523140685</v>
      </c>
      <c r="J556" s="258">
        <f t="shared" si="162"/>
        <v>0</v>
      </c>
      <c r="K556" s="261">
        <f t="shared" si="169"/>
        <v>109.80097775330401</v>
      </c>
      <c r="L556" s="261">
        <v>1</v>
      </c>
      <c r="M556" s="261">
        <f t="shared" si="153"/>
        <v>6</v>
      </c>
      <c r="N556" s="263">
        <v>88.050960313990601</v>
      </c>
      <c r="O556" s="264">
        <v>92.3</v>
      </c>
      <c r="P556" s="263">
        <f t="shared" si="152"/>
        <v>105.38668001096238</v>
      </c>
      <c r="Q556" s="265">
        <f t="shared" si="151"/>
        <v>0.83550369273262515</v>
      </c>
      <c r="R556" s="256">
        <v>-5</v>
      </c>
      <c r="S556" s="266">
        <v>0.83442799999999995</v>
      </c>
    </row>
    <row r="557" spans="1:21" ht="12.65" customHeight="1">
      <c r="A557" s="10">
        <v>41821</v>
      </c>
      <c r="B557" s="255">
        <v>36066.315449650159</v>
      </c>
      <c r="D557" s="257">
        <f>B557/C565</f>
        <v>7.6362185174304084E-2</v>
      </c>
      <c r="E557" s="2"/>
      <c r="F557" s="258">
        <f>D557*E565</f>
        <v>36355.196377449254</v>
      </c>
      <c r="H557" s="261">
        <f t="shared" si="154"/>
        <v>81.071175074801189</v>
      </c>
      <c r="I557" s="262">
        <f t="shared" si="159"/>
        <v>107.79587523140685</v>
      </c>
      <c r="J557" s="258">
        <f t="shared" si="162"/>
        <v>0</v>
      </c>
      <c r="K557" s="261">
        <f t="shared" si="169"/>
        <v>110.13516150695354</v>
      </c>
      <c r="L557" s="261">
        <v>1</v>
      </c>
      <c r="M557" s="261">
        <f t="shared" si="153"/>
        <v>7</v>
      </c>
      <c r="N557" s="263">
        <v>88.311304259069104</v>
      </c>
      <c r="O557" s="264">
        <v>92.2</v>
      </c>
      <c r="P557" s="263">
        <f t="shared" si="152"/>
        <v>105.72584543902471</v>
      </c>
      <c r="Q557" s="265">
        <f t="shared" si="151"/>
        <v>0.83528586498748691</v>
      </c>
      <c r="R557" s="256">
        <v>-5</v>
      </c>
      <c r="S557" s="266">
        <v>0.83442799999999995</v>
      </c>
    </row>
    <row r="558" spans="1:21" ht="12.65" customHeight="1">
      <c r="A558" s="10">
        <v>41852</v>
      </c>
      <c r="B558" s="255">
        <v>38363.356600894767</v>
      </c>
      <c r="D558" s="257">
        <f>B558/C565</f>
        <v>8.1225645152332951E-2</v>
      </c>
      <c r="E558" s="2"/>
      <c r="F558" s="258">
        <f>D558*E565</f>
        <v>38670.636174929045</v>
      </c>
      <c r="H558" s="261">
        <f t="shared" si="154"/>
        <v>86.234547684530341</v>
      </c>
      <c r="I558" s="262">
        <f t="shared" si="159"/>
        <v>107.79587523140685</v>
      </c>
      <c r="J558" s="258">
        <f t="shared" si="162"/>
        <v>0</v>
      </c>
      <c r="K558" s="261">
        <f t="shared" si="169"/>
        <v>110.46934526060306</v>
      </c>
      <c r="L558" s="261">
        <v>1</v>
      </c>
      <c r="M558" s="261">
        <f t="shared" si="153"/>
        <v>8</v>
      </c>
      <c r="N558" s="263">
        <v>88.696600719542502</v>
      </c>
      <c r="O558" s="264">
        <v>89.7</v>
      </c>
      <c r="P558" s="263">
        <f t="shared" si="152"/>
        <v>107.30379663469979</v>
      </c>
      <c r="Q558" s="265">
        <f t="shared" si="151"/>
        <v>0.82659331264388725</v>
      </c>
      <c r="R558" s="256">
        <v>-5</v>
      </c>
      <c r="S558" s="266">
        <v>0.83442799999999995</v>
      </c>
    </row>
    <row r="559" spans="1:21" ht="12.65" customHeight="1">
      <c r="A559" s="10">
        <v>41883</v>
      </c>
      <c r="B559" s="255">
        <v>40921.115378721122</v>
      </c>
      <c r="D559" s="257">
        <f>B559/C565</f>
        <v>8.664111515497977E-2</v>
      </c>
      <c r="E559" s="2"/>
      <c r="F559" s="258">
        <f>D559*E565</f>
        <v>41248.881873019163</v>
      </c>
      <c r="H559" s="261">
        <f t="shared" si="154"/>
        <v>91.983970853796208</v>
      </c>
      <c r="I559" s="262">
        <f t="shared" si="159"/>
        <v>107.79587523140685</v>
      </c>
      <c r="J559" s="258">
        <f t="shared" si="162"/>
        <v>0</v>
      </c>
      <c r="K559" s="261">
        <f t="shared" si="169"/>
        <v>110.80352901425259</v>
      </c>
      <c r="L559" s="261">
        <v>1</v>
      </c>
      <c r="M559" s="261">
        <f t="shared" si="153"/>
        <v>9</v>
      </c>
      <c r="N559" s="263">
        <v>89.053883235375494</v>
      </c>
      <c r="O559" s="264">
        <v>92.2</v>
      </c>
      <c r="P559" s="263">
        <f t="shared" si="152"/>
        <v>106.56275898441959</v>
      </c>
      <c r="Q559" s="265">
        <f t="shared" si="151"/>
        <v>0.83569423393397646</v>
      </c>
      <c r="R559" s="256">
        <v>-5</v>
      </c>
      <c r="S559" s="266">
        <v>0.83442799999999995</v>
      </c>
    </row>
    <row r="560" spans="1:21" ht="12.65" customHeight="1">
      <c r="A560" s="10">
        <v>41913</v>
      </c>
      <c r="B560" s="255">
        <v>42975.931743188907</v>
      </c>
      <c r="D560" s="257">
        <f>B560/C565</f>
        <v>9.0991719472787932E-2</v>
      </c>
      <c r="E560" s="2"/>
      <c r="F560" s="258">
        <f>D560*E565</f>
        <v>43320.156732080133</v>
      </c>
      <c r="H560" s="261">
        <f t="shared" si="154"/>
        <v>96.602861781617605</v>
      </c>
      <c r="I560" s="262">
        <f t="shared" si="159"/>
        <v>113.58430914602408</v>
      </c>
      <c r="J560" s="258">
        <f t="shared" si="162"/>
        <v>0</v>
      </c>
      <c r="K560" s="261">
        <f t="shared" si="169"/>
        <v>111.13771276790212</v>
      </c>
      <c r="L560" s="261">
        <v>1</v>
      </c>
      <c r="M560" s="261">
        <f t="shared" si="153"/>
        <v>10</v>
      </c>
      <c r="N560" s="263">
        <v>89.186768438999707</v>
      </c>
      <c r="O560" s="264">
        <v>88.3</v>
      </c>
      <c r="P560" s="263">
        <f t="shared" si="152"/>
        <v>108.49671001360211</v>
      </c>
      <c r="Q560" s="265">
        <f t="shared" si="151"/>
        <v>0.82202279154656821</v>
      </c>
      <c r="R560" s="256">
        <v>-6</v>
      </c>
      <c r="S560" s="266">
        <v>0.83442799999999995</v>
      </c>
    </row>
    <row r="561" spans="1:21" ht="12.65" customHeight="1">
      <c r="A561" s="10">
        <v>41944</v>
      </c>
      <c r="B561" s="255">
        <v>44049.000874616882</v>
      </c>
      <c r="D561" s="257">
        <f>B561/C565</f>
        <v>9.3263698262340919E-2</v>
      </c>
      <c r="E561" s="2"/>
      <c r="F561" s="258">
        <f>D561*E565</f>
        <v>44401.820842019624</v>
      </c>
      <c r="H561" s="261">
        <f t="shared" si="154"/>
        <v>99.014945587151047</v>
      </c>
      <c r="I561" s="262">
        <f t="shared" si="159"/>
        <v>116.30497294987362</v>
      </c>
      <c r="J561" s="258">
        <f t="shared" si="162"/>
        <v>0</v>
      </c>
      <c r="K561" s="261">
        <f t="shared" si="169"/>
        <v>111.47189652155164</v>
      </c>
      <c r="L561" s="261">
        <v>1</v>
      </c>
      <c r="M561" s="261">
        <f t="shared" si="153"/>
        <v>11</v>
      </c>
      <c r="N561" s="263">
        <v>89.590634456128697</v>
      </c>
      <c r="O561" s="264">
        <v>90</v>
      </c>
      <c r="P561" s="263">
        <f t="shared" si="152"/>
        <v>108.17416024314694</v>
      </c>
      <c r="Q561" s="265">
        <f t="shared" si="151"/>
        <v>0.82820734873053425</v>
      </c>
      <c r="R561" s="256">
        <v>-6</v>
      </c>
      <c r="S561" s="266">
        <v>0.83442799999999995</v>
      </c>
    </row>
    <row r="562" spans="1:21" ht="12.65" customHeight="1">
      <c r="A562" s="10">
        <v>41974</v>
      </c>
      <c r="B562" s="255">
        <v>44327.018256507748</v>
      </c>
      <c r="D562" s="257">
        <f>B562/C565</f>
        <v>9.385233656744485E-2</v>
      </c>
      <c r="E562" s="2"/>
      <c r="F562" s="258">
        <f>D562*E565</f>
        <v>44682.065064058253</v>
      </c>
      <c r="H562" s="261">
        <f t="shared" si="154"/>
        <v>99.639883165611991</v>
      </c>
      <c r="I562" s="262">
        <f t="shared" si="159"/>
        <v>118.20176246112869</v>
      </c>
      <c r="J562" s="258">
        <f t="shared" si="162"/>
        <v>0</v>
      </c>
      <c r="K562" s="261">
        <f t="shared" si="169"/>
        <v>111.80608027520117</v>
      </c>
      <c r="L562" s="261">
        <v>1</v>
      </c>
      <c r="M562" s="261">
        <f t="shared" si="153"/>
        <v>12</v>
      </c>
      <c r="N562" s="263">
        <v>89.423805082678101</v>
      </c>
      <c r="O562" s="264">
        <v>91.6</v>
      </c>
      <c r="P562" s="263">
        <f t="shared" si="152"/>
        <v>107.25416430931409</v>
      </c>
      <c r="Q562" s="265">
        <f t="shared" si="151"/>
        <v>0.83375601925148202</v>
      </c>
      <c r="R562" s="256">
        <v>-6</v>
      </c>
      <c r="S562" s="266">
        <v>0.83442799999999995</v>
      </c>
      <c r="T562" s="257">
        <f t="shared" ref="T562" si="171">AVERAGE(Q551:Q562)</f>
        <v>0.8318530070196446</v>
      </c>
      <c r="U562" s="257">
        <f t="shared" ref="U562" si="172">AVERAGE(S551:S562)</f>
        <v>0.83442799999999995</v>
      </c>
    </row>
    <row r="563" spans="1:21" ht="12.65" customHeight="1">
      <c r="A563" s="10">
        <v>42005</v>
      </c>
      <c r="B563" s="255">
        <v>43515.619952403584</v>
      </c>
      <c r="D563" s="257">
        <f>B563/C565</f>
        <v>9.2134385987363634E-2</v>
      </c>
      <c r="E563" s="2"/>
      <c r="F563" s="258">
        <f>D563*E565</f>
        <v>43864.167690337963</v>
      </c>
      <c r="H563" s="261">
        <f t="shared" si="154"/>
        <v>97.815992558897307</v>
      </c>
      <c r="I563" s="262">
        <f t="shared" si="159"/>
        <v>118.20176246112869</v>
      </c>
      <c r="J563" s="258">
        <f t="shared" si="162"/>
        <v>0</v>
      </c>
      <c r="K563" s="261">
        <f t="shared" si="169"/>
        <v>112.14026402885069</v>
      </c>
      <c r="L563" s="261">
        <v>1</v>
      </c>
      <c r="M563" s="261">
        <f t="shared" si="153"/>
        <v>13</v>
      </c>
      <c r="N563" s="263">
        <v>89.4802888888334</v>
      </c>
      <c r="O563" s="264">
        <v>92.6</v>
      </c>
      <c r="P563" s="263">
        <f t="shared" si="152"/>
        <v>106.8603403935052</v>
      </c>
      <c r="Q563" s="265">
        <f t="shared" si="151"/>
        <v>0.83735732601383206</v>
      </c>
      <c r="R563" s="256">
        <v>-5</v>
      </c>
      <c r="S563" s="266">
        <v>0.83442799999999995</v>
      </c>
    </row>
    <row r="564" spans="1:21" ht="12.65" customHeight="1">
      <c r="A564" s="10">
        <v>42036</v>
      </c>
      <c r="B564" s="255">
        <v>41981.797573679454</v>
      </c>
      <c r="D564" s="257">
        <f>B564/C565</f>
        <v>8.8886867435818334E-2</v>
      </c>
      <c r="E564" s="2"/>
      <c r="F564" s="258">
        <f>D564*E565</f>
        <v>42318.059830651313</v>
      </c>
      <c r="H564" s="261">
        <f t="shared" si="154"/>
        <v>94.368210853200537</v>
      </c>
      <c r="I564" s="262">
        <f t="shared" si="159"/>
        <v>118.20176246112869</v>
      </c>
      <c r="J564" s="258">
        <f t="shared" si="162"/>
        <v>0</v>
      </c>
      <c r="K564" s="261">
        <f t="shared" si="169"/>
        <v>112.47444778250022</v>
      </c>
      <c r="L564" s="261">
        <v>1</v>
      </c>
      <c r="M564" s="261">
        <f t="shared" si="153"/>
        <v>14</v>
      </c>
      <c r="N564" s="263">
        <v>87.697118454970294</v>
      </c>
      <c r="O564" s="264">
        <v>97</v>
      </c>
      <c r="P564" s="263">
        <f t="shared" si="152"/>
        <v>102.83771620793549</v>
      </c>
      <c r="Q564" s="265">
        <f t="shared" si="151"/>
        <v>0.8527719370746113</v>
      </c>
      <c r="R564" s="256">
        <v>-5</v>
      </c>
      <c r="S564" s="266">
        <v>0.83442799999999995</v>
      </c>
    </row>
    <row r="565" spans="1:21" ht="12.65" customHeight="1">
      <c r="A565" s="10">
        <v>42064</v>
      </c>
      <c r="B565" s="255">
        <v>40631.969043952078</v>
      </c>
      <c r="C565" s="259">
        <f t="shared" ref="C565" si="173">SUM(B554:B565)</f>
        <v>472305.96357772237</v>
      </c>
      <c r="D565" s="257">
        <f>B565/C565</f>
        <v>8.6028913834084383E-2</v>
      </c>
      <c r="E565" s="260">
        <v>476089</v>
      </c>
      <c r="F565" s="258">
        <f>D565*E565</f>
        <v>40957.419558355403</v>
      </c>
      <c r="H565" s="261">
        <f t="shared" si="154"/>
        <v>91.334017210457631</v>
      </c>
      <c r="I565" s="262">
        <f t="shared" si="159"/>
        <v>118.20176246112869</v>
      </c>
      <c r="J565" s="258">
        <f t="shared" si="162"/>
        <v>0</v>
      </c>
      <c r="K565" s="261">
        <f t="shared" si="169"/>
        <v>112.80863153614975</v>
      </c>
      <c r="L565" s="261">
        <v>1</v>
      </c>
      <c r="M565" s="261">
        <f t="shared" si="153"/>
        <v>15</v>
      </c>
      <c r="N565" s="263">
        <v>86.705452844362497</v>
      </c>
      <c r="O565" s="264">
        <v>99.5</v>
      </c>
      <c r="P565" s="263">
        <f t="shared" si="152"/>
        <v>100.57636490069079</v>
      </c>
      <c r="Q565" s="265">
        <f t="shared" si="151"/>
        <v>0.86208576865922282</v>
      </c>
      <c r="R565" s="256">
        <v>-5</v>
      </c>
      <c r="S565" s="266">
        <v>0.83442799999999995</v>
      </c>
    </row>
    <row r="566" spans="1:21" ht="12.65" customHeight="1">
      <c r="A566" s="10">
        <v>42095</v>
      </c>
      <c r="B566" s="255">
        <v>33667.75375029612</v>
      </c>
      <c r="D566" s="257">
        <f>B566/C577</f>
        <v>6.9875416791131628E-2</v>
      </c>
      <c r="E566" s="2"/>
      <c r="F566" s="258">
        <f>D566*E577</f>
        <v>39582.187598838755</v>
      </c>
      <c r="H566" s="261">
        <f t="shared" si="154"/>
        <v>88.267284471596867</v>
      </c>
      <c r="I566" s="262">
        <f t="shared" si="159"/>
        <v>118.20176246112869</v>
      </c>
      <c r="J566" s="258">
        <f t="shared" si="162"/>
        <v>0</v>
      </c>
      <c r="K566" s="261">
        <f t="shared" si="169"/>
        <v>113.14281528979927</v>
      </c>
      <c r="L566" s="261">
        <v>1</v>
      </c>
      <c r="M566" s="261">
        <f t="shared" si="153"/>
        <v>16</v>
      </c>
      <c r="N566" s="263">
        <v>103.507179031549</v>
      </c>
      <c r="O566" s="264">
        <v>99.4</v>
      </c>
      <c r="P566" s="263">
        <f t="shared" si="152"/>
        <v>119.55827042736644</v>
      </c>
      <c r="Q566" s="265">
        <f t="shared" si="151"/>
        <v>0.86574670795719877</v>
      </c>
      <c r="R566" s="256">
        <v>-2</v>
      </c>
      <c r="S566" s="266">
        <v>0.83442799999999995</v>
      </c>
    </row>
    <row r="567" spans="1:21" ht="12.65" customHeight="1">
      <c r="A567" s="10">
        <v>42125</v>
      </c>
      <c r="B567" s="255">
        <v>32720.407635658503</v>
      </c>
      <c r="D567" s="257">
        <f>B567/C577</f>
        <v>6.7909256378508892E-2</v>
      </c>
      <c r="E567" s="2"/>
      <c r="F567" s="258">
        <f>D567*E577</f>
        <v>38468.420642221172</v>
      </c>
      <c r="H567" s="261">
        <f t="shared" si="154"/>
        <v>85.783612124045433</v>
      </c>
      <c r="I567" s="262">
        <f t="shared" si="159"/>
        <v>118.20176246112869</v>
      </c>
      <c r="J567" s="258">
        <f t="shared" si="162"/>
        <v>0</v>
      </c>
      <c r="K567" s="261">
        <f t="shared" si="169"/>
        <v>113.4769990434488</v>
      </c>
      <c r="L567" s="261">
        <v>1</v>
      </c>
      <c r="M567" s="261">
        <f t="shared" si="153"/>
        <v>17</v>
      </c>
      <c r="N567" s="263">
        <v>104.193907803868</v>
      </c>
      <c r="O567" s="264">
        <v>102.9</v>
      </c>
      <c r="P567" s="263">
        <f t="shared" si="152"/>
        <v>118.73104748202344</v>
      </c>
      <c r="Q567" s="265">
        <f t="shared" si="151"/>
        <v>0.87756244060462407</v>
      </c>
      <c r="R567" s="256">
        <v>-2</v>
      </c>
      <c r="S567" s="266">
        <v>0.83442799999999995</v>
      </c>
    </row>
    <row r="568" spans="1:21" ht="12.65" customHeight="1">
      <c r="A568" s="10">
        <v>42156</v>
      </c>
      <c r="B568" s="255">
        <v>34585.357881714648</v>
      </c>
      <c r="D568" s="257">
        <f>B568/C577</f>
        <v>7.1779849489780848E-2</v>
      </c>
      <c r="E568" s="2"/>
      <c r="F568" s="258">
        <f>D568*E577</f>
        <v>40660.987780777177</v>
      </c>
      <c r="H568" s="261">
        <f t="shared" si="154"/>
        <v>90.672981789598623</v>
      </c>
      <c r="I568" s="262">
        <f t="shared" si="159"/>
        <v>118.20176246112869</v>
      </c>
      <c r="J568" s="258">
        <f t="shared" si="162"/>
        <v>0</v>
      </c>
      <c r="K568" s="261">
        <f t="shared" si="169"/>
        <v>113.81118279709833</v>
      </c>
      <c r="L568" s="261">
        <v>1</v>
      </c>
      <c r="M568" s="261">
        <f t="shared" si="153"/>
        <v>18</v>
      </c>
      <c r="N568" s="263">
        <v>103.003425867969</v>
      </c>
      <c r="O568" s="264">
        <v>98.7</v>
      </c>
      <c r="P568" s="263">
        <f t="shared" si="152"/>
        <v>119.3107605245806</v>
      </c>
      <c r="Q568" s="265">
        <f t="shared" si="151"/>
        <v>0.86332050365857871</v>
      </c>
      <c r="R568" s="256">
        <v>-2</v>
      </c>
      <c r="S568" s="266">
        <v>0.83442799999999995</v>
      </c>
    </row>
    <row r="569" spans="1:21" ht="12.65" customHeight="1">
      <c r="A569" s="10">
        <v>42186</v>
      </c>
      <c r="B569" s="255">
        <v>36335.725520229753</v>
      </c>
      <c r="D569" s="257">
        <f>B569/C577</f>
        <v>7.5412633226589421E-2</v>
      </c>
      <c r="E569" s="2"/>
      <c r="F569" s="258">
        <f>D569*E577</f>
        <v>42718.843518599657</v>
      </c>
      <c r="H569" s="261">
        <f t="shared" si="154"/>
        <v>95.2619484140005</v>
      </c>
      <c r="I569" s="262">
        <f t="shared" si="159"/>
        <v>118.20176246112869</v>
      </c>
      <c r="J569" s="258">
        <f t="shared" si="162"/>
        <v>0</v>
      </c>
      <c r="K569" s="261">
        <f t="shared" si="169"/>
        <v>114.14536655074785</v>
      </c>
      <c r="L569" s="261">
        <v>1</v>
      </c>
      <c r="M569" s="261">
        <f t="shared" si="153"/>
        <v>19</v>
      </c>
      <c r="N569" s="263">
        <v>103.396492139668</v>
      </c>
      <c r="O569" s="264">
        <v>102.4</v>
      </c>
      <c r="P569" s="263">
        <f t="shared" si="152"/>
        <v>118.06107260366497</v>
      </c>
      <c r="Q569" s="265">
        <f t="shared" si="151"/>
        <v>0.87578818199266695</v>
      </c>
      <c r="R569" s="256">
        <v>-2</v>
      </c>
      <c r="S569" s="266">
        <v>0.83442799999999995</v>
      </c>
    </row>
    <row r="570" spans="1:21" ht="12.65" customHeight="1">
      <c r="A570" s="10">
        <v>42217</v>
      </c>
      <c r="B570" s="255">
        <v>38724.194172587988</v>
      </c>
      <c r="D570" s="257">
        <f>B570/C577</f>
        <v>8.036975759591615E-2</v>
      </c>
      <c r="E570" s="2"/>
      <c r="F570" s="258">
        <f>D570*E577</f>
        <v>45526.895845843428</v>
      </c>
      <c r="H570" s="261">
        <f t="shared" si="154"/>
        <v>101.52383459603726</v>
      </c>
      <c r="I570" s="262">
        <f t="shared" si="159"/>
        <v>118.20176246112869</v>
      </c>
      <c r="J570" s="258">
        <f t="shared" si="162"/>
        <v>0</v>
      </c>
      <c r="K570" s="261">
        <f t="shared" si="169"/>
        <v>114.47955030439738</v>
      </c>
      <c r="L570" s="261">
        <v>1</v>
      </c>
      <c r="M570" s="261">
        <f t="shared" si="153"/>
        <v>20</v>
      </c>
      <c r="N570" s="263">
        <v>104.205116063868</v>
      </c>
      <c r="O570" s="264">
        <v>103.1</v>
      </c>
      <c r="P570" s="263">
        <f t="shared" si="152"/>
        <v>118.65218295475172</v>
      </c>
      <c r="Q570" s="265">
        <f t="shared" si="151"/>
        <v>0.87824019304901335</v>
      </c>
      <c r="R570" s="256">
        <v>-2</v>
      </c>
      <c r="S570" s="266">
        <v>0.83442799999999995</v>
      </c>
    </row>
    <row r="571" spans="1:21" ht="12.65" customHeight="1">
      <c r="A571" s="10">
        <v>42248</v>
      </c>
      <c r="B571" s="255">
        <v>40767.603559876567</v>
      </c>
      <c r="D571" s="257">
        <f>B571/C577</f>
        <v>8.4610732021198218E-2</v>
      </c>
      <c r="E571" s="2"/>
      <c r="F571" s="258">
        <f>D571*E577</f>
        <v>47929.27214658411</v>
      </c>
      <c r="H571" s="261">
        <f t="shared" si="154"/>
        <v>106.88107342513931</v>
      </c>
      <c r="I571" s="262">
        <f t="shared" si="159"/>
        <v>118.20176246112869</v>
      </c>
      <c r="J571" s="258">
        <f t="shared" si="162"/>
        <v>0</v>
      </c>
      <c r="K571" s="261">
        <f t="shared" si="169"/>
        <v>114.8137340580469</v>
      </c>
      <c r="L571" s="261">
        <v>1</v>
      </c>
      <c r="M571" s="261">
        <f t="shared" si="153"/>
        <v>21</v>
      </c>
      <c r="N571" s="263">
        <v>103.71092846233999</v>
      </c>
      <c r="O571" s="264">
        <v>100.2</v>
      </c>
      <c r="P571" s="263">
        <f t="shared" si="152"/>
        <v>119.42191687723135</v>
      </c>
      <c r="Q571" s="265">
        <f t="shared" si="151"/>
        <v>0.86844133115831124</v>
      </c>
      <c r="R571" s="256">
        <v>-2</v>
      </c>
      <c r="S571" s="266">
        <v>0.83442799999999995</v>
      </c>
    </row>
    <row r="572" spans="1:21" ht="12.65" customHeight="1">
      <c r="A572" s="10">
        <v>42278</v>
      </c>
      <c r="B572" s="255">
        <v>43324.415984003637</v>
      </c>
      <c r="D572" s="257">
        <f>B572/C577</f>
        <v>8.9917243857945015E-2</v>
      </c>
      <c r="E572" s="2"/>
      <c r="F572" s="258">
        <f>D572*E577</f>
        <v>50935.2412937224</v>
      </c>
      <c r="H572" s="261">
        <f t="shared" si="154"/>
        <v>113.58430914602408</v>
      </c>
      <c r="I572" s="262">
        <f t="shared" si="159"/>
        <v>118.20176246112869</v>
      </c>
      <c r="J572" s="258">
        <f t="shared" si="162"/>
        <v>0</v>
      </c>
      <c r="K572" s="261">
        <f t="shared" si="169"/>
        <v>115.14791781169643</v>
      </c>
      <c r="L572" s="261">
        <v>1</v>
      </c>
      <c r="M572" s="261">
        <f t="shared" si="153"/>
        <v>22</v>
      </c>
      <c r="N572" s="263">
        <v>105.136254955433</v>
      </c>
      <c r="O572" s="264">
        <v>102.4</v>
      </c>
      <c r="P572" s="263">
        <f t="shared" si="152"/>
        <v>120.02184864600648</v>
      </c>
      <c r="Q572" s="265">
        <f t="shared" si="151"/>
        <v>0.87597596722179161</v>
      </c>
      <c r="R572" s="256">
        <v>-2</v>
      </c>
      <c r="S572" s="266">
        <v>0.83442799999999995</v>
      </c>
    </row>
    <row r="573" spans="1:21" ht="12.65" customHeight="1">
      <c r="A573" s="10">
        <v>42309</v>
      </c>
      <c r="B573" s="255">
        <v>44362.1576516407</v>
      </c>
      <c r="D573" s="257">
        <f>B573/C577</f>
        <v>9.2071014854533284E-2</v>
      </c>
      <c r="E573" s="2"/>
      <c r="F573" s="258">
        <f>D573*E577</f>
        <v>52155.28364261776</v>
      </c>
      <c r="H573" s="261">
        <f t="shared" si="154"/>
        <v>116.30497294987362</v>
      </c>
      <c r="I573" s="262">
        <f t="shared" si="159"/>
        <v>119.5029760636873</v>
      </c>
      <c r="J573" s="258">
        <f t="shared" si="162"/>
        <v>0</v>
      </c>
      <c r="K573" s="261">
        <f t="shared" si="169"/>
        <v>115.48210156534596</v>
      </c>
      <c r="L573" s="261">
        <v>1</v>
      </c>
      <c r="M573" s="261">
        <f t="shared" si="153"/>
        <v>23</v>
      </c>
      <c r="N573" s="263">
        <v>105.853295225824</v>
      </c>
      <c r="O573" s="264">
        <v>101.2</v>
      </c>
      <c r="P573" s="263">
        <f t="shared" si="152"/>
        <v>121.3789590063782</v>
      </c>
      <c r="Q573" s="265">
        <f t="shared" ref="Q573:Q636" si="174">N573/P573</f>
        <v>0.87208933156414403</v>
      </c>
      <c r="R573" s="256">
        <v>-2</v>
      </c>
      <c r="S573" s="266">
        <v>0.83442799999999995</v>
      </c>
    </row>
    <row r="574" spans="1:21" ht="12.65" customHeight="1">
      <c r="A574" s="10">
        <v>42339</v>
      </c>
      <c r="B574" s="255">
        <v>45085.649289152556</v>
      </c>
      <c r="D574" s="257">
        <f>B574/C577</f>
        <v>9.3572578638413423E-2</v>
      </c>
      <c r="E574" s="2"/>
      <c r="F574" s="258">
        <f>D574*E577</f>
        <v>53005.871476144777</v>
      </c>
      <c r="G574" s="8">
        <f>AVERAGE(F563:F574)</f>
        <v>44843.554252057831</v>
      </c>
      <c r="H574" s="261">
        <f>F574/G$574*100</f>
        <v>118.20176246112869</v>
      </c>
      <c r="I574" s="262">
        <f t="shared" si="159"/>
        <v>121.11376417611828</v>
      </c>
      <c r="J574" s="258">
        <f t="shared" si="162"/>
        <v>0</v>
      </c>
      <c r="K574" s="261">
        <f t="shared" si="169"/>
        <v>115.81628531899548</v>
      </c>
      <c r="L574" s="261">
        <v>1</v>
      </c>
      <c r="M574" s="261">
        <f t="shared" si="153"/>
        <v>24</v>
      </c>
      <c r="N574" s="263">
        <v>106.531650440685</v>
      </c>
      <c r="O574" s="264">
        <v>100.9</v>
      </c>
      <c r="P574" s="263">
        <f t="shared" ref="P574:P637" si="175" xml:space="preserve"> 48.3757429845 + 1.12703641242*N574 - 0.457483222058*O574</f>
        <v>122.28073500069894</v>
      </c>
      <c r="Q574" s="265">
        <f t="shared" si="174"/>
        <v>0.87120551279051506</v>
      </c>
      <c r="R574" s="256">
        <v>-2</v>
      </c>
      <c r="S574" s="266">
        <v>0.83442799999999995</v>
      </c>
      <c r="T574" s="257">
        <f t="shared" ref="T574" si="176">AVERAGE(Q563:Q574)</f>
        <v>0.86671543347870916</v>
      </c>
      <c r="U574" s="257">
        <f t="shared" ref="U574" si="177">AVERAGE(S563:S574)</f>
        <v>0.83442799999999995</v>
      </c>
    </row>
    <row r="575" spans="1:21" ht="12.65" customHeight="1">
      <c r="A575" s="10">
        <v>42370</v>
      </c>
      <c r="B575" s="255">
        <v>44739.818771529157</v>
      </c>
      <c r="D575" s="257">
        <f>B575/C577</f>
        <v>9.285482800564912E-2</v>
      </c>
      <c r="E575" s="2"/>
      <c r="F575" s="258">
        <f>D575*E577</f>
        <v>52599.288710704044</v>
      </c>
      <c r="H575" s="261">
        <f t="shared" si="154"/>
        <v>117.29509310313044</v>
      </c>
      <c r="I575" s="262">
        <f t="shared" si="159"/>
        <v>121.11376417611828</v>
      </c>
      <c r="J575" s="258">
        <f t="shared" si="162"/>
        <v>0</v>
      </c>
      <c r="K575" s="261">
        <f t="shared" si="169"/>
        <v>116.15046907264501</v>
      </c>
      <c r="L575" s="261">
        <v>1</v>
      </c>
      <c r="M575" s="261">
        <f t="shared" ref="M575:M599" si="178">M574+L575</f>
        <v>25</v>
      </c>
      <c r="N575" s="263">
        <v>107.56852111414</v>
      </c>
      <c r="O575" s="264">
        <v>101.5</v>
      </c>
      <c r="P575" s="263">
        <f t="shared" si="175"/>
        <v>123.17483607141837</v>
      </c>
      <c r="Q575" s="265">
        <f t="shared" si="174"/>
        <v>0.87329948668874524</v>
      </c>
      <c r="R575" s="256">
        <v>-1</v>
      </c>
      <c r="S575" s="266">
        <v>0.83442799999999995</v>
      </c>
    </row>
    <row r="576" spans="1:21" ht="12.65" customHeight="1">
      <c r="A576" s="10">
        <v>42401</v>
      </c>
      <c r="B576" s="255">
        <v>44120.614990979244</v>
      </c>
      <c r="D576" s="257">
        <f>B576/C577</f>
        <v>9.156970745482565E-2</v>
      </c>
      <c r="E576" s="2"/>
      <c r="F576" s="258">
        <f>D576*E577</f>
        <v>51871.309042520174</v>
      </c>
      <c r="H576" s="261">
        <f t="shared" si="154"/>
        <v>115.67171672200772</v>
      </c>
      <c r="I576" s="262">
        <f t="shared" si="159"/>
        <v>121.11376417611828</v>
      </c>
      <c r="J576" s="258">
        <f t="shared" si="162"/>
        <v>0</v>
      </c>
      <c r="K576" s="261">
        <f t="shared" si="169"/>
        <v>116.48465282629454</v>
      </c>
      <c r="L576" s="261">
        <v>1</v>
      </c>
      <c r="M576" s="261">
        <f t="shared" si="178"/>
        <v>26</v>
      </c>
      <c r="N576" s="263">
        <v>107.737610022806</v>
      </c>
      <c r="O576" s="264">
        <v>103.6</v>
      </c>
      <c r="P576" s="263">
        <f t="shared" si="175"/>
        <v>122.40469066209951</v>
      </c>
      <c r="Q576" s="265">
        <f t="shared" si="174"/>
        <v>0.88017550177237669</v>
      </c>
      <c r="R576" s="256">
        <v>-1</v>
      </c>
      <c r="S576" s="266">
        <v>0.83442799999999995</v>
      </c>
    </row>
    <row r="577" spans="1:21" ht="12.65" customHeight="1">
      <c r="A577" s="10">
        <v>42430</v>
      </c>
      <c r="B577" s="255">
        <v>43391.745224873397</v>
      </c>
      <c r="C577" s="259">
        <f t="shared" ref="C577" si="179">SUM(B566:B577)</f>
        <v>481825.44443254225</v>
      </c>
      <c r="D577" s="257">
        <f>B577/C577</f>
        <v>9.0056981685508394E-2</v>
      </c>
      <c r="E577" s="260">
        <v>566468</v>
      </c>
      <c r="F577" s="258">
        <f>D577*E577</f>
        <v>51014.398301426569</v>
      </c>
      <c r="H577" s="261">
        <f t="shared" si="154"/>
        <v>113.76082728564177</v>
      </c>
      <c r="I577" s="262">
        <f t="shared" si="159"/>
        <v>121.11376417611828</v>
      </c>
      <c r="J577" s="258">
        <f t="shared" si="162"/>
        <v>0</v>
      </c>
      <c r="K577" s="261">
        <f t="shared" si="169"/>
        <v>116.81883657994406</v>
      </c>
      <c r="L577" s="261">
        <v>1</v>
      </c>
      <c r="M577" s="261">
        <f t="shared" si="178"/>
        <v>27</v>
      </c>
      <c r="N577" s="263">
        <v>107.601981129447</v>
      </c>
      <c r="O577" s="264">
        <v>101.4</v>
      </c>
      <c r="P577" s="263">
        <f t="shared" si="175"/>
        <v>123.25829504923527</v>
      </c>
      <c r="Q577" s="265">
        <f t="shared" si="174"/>
        <v>0.87297963261998401</v>
      </c>
      <c r="R577" s="256">
        <v>-1</v>
      </c>
      <c r="S577" s="266">
        <v>0.83442799999999995</v>
      </c>
    </row>
    <row r="578" spans="1:21" ht="12.65" customHeight="1">
      <c r="A578" s="10">
        <v>42461</v>
      </c>
      <c r="B578" s="256">
        <v>35162.81442223052</v>
      </c>
      <c r="D578" s="257">
        <f>B578/C589</f>
        <v>7.0603295281279052E-2</v>
      </c>
      <c r="E578" s="2"/>
      <c r="F578" s="258">
        <f>D578*E589</f>
        <v>41357.574690095957</v>
      </c>
      <c r="H578" s="261">
        <f t="shared" ref="H578:H637" si="180">F578/G$574*100</f>
        <v>92.226353106696706</v>
      </c>
      <c r="I578" s="262">
        <f t="shared" si="159"/>
        <v>121.11376417611828</v>
      </c>
      <c r="J578" s="258">
        <f t="shared" si="162"/>
        <v>0</v>
      </c>
      <c r="K578" s="261">
        <f t="shared" si="169"/>
        <v>117.15302033359359</v>
      </c>
      <c r="L578" s="261">
        <v>1</v>
      </c>
      <c r="M578" s="261">
        <f t="shared" si="178"/>
        <v>28</v>
      </c>
      <c r="N578" s="263">
        <v>107.430907436171</v>
      </c>
      <c r="O578" s="264">
        <v>100.3</v>
      </c>
      <c r="P578" s="263">
        <f t="shared" si="175"/>
        <v>123.56872031196986</v>
      </c>
      <c r="Q578" s="265">
        <f t="shared" si="174"/>
        <v>0.86940212025295516</v>
      </c>
      <c r="R578" s="256">
        <v>0</v>
      </c>
      <c r="S578" s="266">
        <v>0.83442799999999995</v>
      </c>
    </row>
    <row r="579" spans="1:21" ht="12.65" customHeight="1">
      <c r="A579" s="10">
        <v>42491</v>
      </c>
      <c r="B579" s="256">
        <v>33740.669202787038</v>
      </c>
      <c r="D579" s="257">
        <f>B579/C589</f>
        <v>6.7747774740302441E-2</v>
      </c>
      <c r="E579" s="2"/>
      <c r="F579" s="258">
        <f>D579*E589</f>
        <v>39684.885000725924</v>
      </c>
      <c r="H579" s="261">
        <f t="shared" si="180"/>
        <v>88.496297099164082</v>
      </c>
      <c r="I579" s="262">
        <f t="shared" si="159"/>
        <v>121.11376417611828</v>
      </c>
      <c r="J579" s="258">
        <f t="shared" si="162"/>
        <v>0</v>
      </c>
      <c r="K579" s="261">
        <f t="shared" si="169"/>
        <v>117.48720408724311</v>
      </c>
      <c r="L579" s="261">
        <v>1</v>
      </c>
      <c r="M579" s="261">
        <f t="shared" si="178"/>
        <v>29</v>
      </c>
      <c r="N579" s="263">
        <v>106.697981309298</v>
      </c>
      <c r="O579" s="264">
        <v>97.9</v>
      </c>
      <c r="P579" s="263">
        <f t="shared" si="175"/>
        <v>123.84064561230926</v>
      </c>
      <c r="Q579" s="265">
        <f t="shared" si="174"/>
        <v>0.86157481480936859</v>
      </c>
      <c r="R579" s="256">
        <v>0</v>
      </c>
      <c r="S579" s="266">
        <v>0.83442799999999995</v>
      </c>
    </row>
    <row r="580" spans="1:21" ht="12.65" customHeight="1">
      <c r="A580" s="10">
        <v>42522</v>
      </c>
      <c r="B580" s="256">
        <v>35815.215745190748</v>
      </c>
      <c r="D580" s="257">
        <f>B580/C589</f>
        <v>7.191324967496765E-2</v>
      </c>
      <c r="E580" s="2"/>
      <c r="F580" s="258">
        <f>D580*E589</f>
        <v>42124.911915104502</v>
      </c>
      <c r="H580" s="261">
        <f t="shared" si="180"/>
        <v>93.937495851304931</v>
      </c>
      <c r="I580" s="262">
        <f t="shared" si="159"/>
        <v>121.11376417611828</v>
      </c>
      <c r="J580" s="258">
        <f t="shared" si="162"/>
        <v>0</v>
      </c>
      <c r="K580" s="261">
        <f t="shared" si="169"/>
        <v>117.82138784089264</v>
      </c>
      <c r="L580" s="261">
        <v>1</v>
      </c>
      <c r="M580" s="261">
        <f t="shared" si="178"/>
        <v>30</v>
      </c>
      <c r="N580" s="263">
        <v>106.447794663406</v>
      </c>
      <c r="O580" s="264">
        <v>99.3</v>
      </c>
      <c r="P580" s="263">
        <f t="shared" si="175"/>
        <v>122.91819964160655</v>
      </c>
      <c r="Q580" s="265">
        <f t="shared" si="174"/>
        <v>0.86600515606132022</v>
      </c>
      <c r="R580" s="256">
        <v>0</v>
      </c>
      <c r="S580" s="266">
        <v>0.83442799999999995</v>
      </c>
    </row>
    <row r="581" spans="1:21" ht="12.65" customHeight="1">
      <c r="A581" s="10">
        <v>42552</v>
      </c>
      <c r="B581" s="256">
        <v>37733.576559727786</v>
      </c>
      <c r="D581" s="257">
        <f>B581/C589</f>
        <v>7.5765119818762647E-2</v>
      </c>
      <c r="E581" s="2"/>
      <c r="F581" s="258">
        <f>D581*E589</f>
        <v>44381.237296715874</v>
      </c>
      <c r="H581" s="261">
        <f t="shared" si="180"/>
        <v>98.969044797958347</v>
      </c>
      <c r="I581" s="262">
        <f t="shared" si="159"/>
        <v>121.11376417611828</v>
      </c>
      <c r="J581" s="258">
        <f t="shared" si="162"/>
        <v>0</v>
      </c>
      <c r="K581" s="261">
        <f t="shared" si="169"/>
        <v>118.15557159454217</v>
      </c>
      <c r="L581" s="261">
        <v>1</v>
      </c>
      <c r="M581" s="261">
        <f t="shared" si="178"/>
        <v>31</v>
      </c>
      <c r="N581" s="263">
        <v>107.261925331322</v>
      </c>
      <c r="O581" s="264">
        <v>98.8</v>
      </c>
      <c r="P581" s="263">
        <f t="shared" si="175"/>
        <v>124.06449615984468</v>
      </c>
      <c r="Q581" s="265">
        <f t="shared" si="174"/>
        <v>0.8645658399573537</v>
      </c>
      <c r="R581" s="256">
        <v>0</v>
      </c>
      <c r="S581" s="266">
        <v>0.83442799999999995</v>
      </c>
    </row>
    <row r="582" spans="1:21" ht="12.65" customHeight="1">
      <c r="A582" s="10">
        <v>42583</v>
      </c>
      <c r="B582" s="256">
        <v>40055.914748707066</v>
      </c>
      <c r="D582" s="257">
        <f>B582/C589</f>
        <v>8.0428134756379055E-2</v>
      </c>
      <c r="E582" s="2"/>
      <c r="F582" s="258">
        <f>D582*E589</f>
        <v>47112.710208783188</v>
      </c>
      <c r="H582" s="261">
        <f t="shared" si="180"/>
        <v>105.06016080699318</v>
      </c>
      <c r="I582" s="262">
        <f t="shared" si="159"/>
        <v>121.11376417611828</v>
      </c>
      <c r="J582" s="258">
        <f t="shared" si="162"/>
        <v>0</v>
      </c>
      <c r="K582" s="261">
        <f t="shared" si="169"/>
        <v>118.48975534819169</v>
      </c>
      <c r="L582" s="261">
        <v>1</v>
      </c>
      <c r="M582" s="261">
        <f t="shared" si="178"/>
        <v>32</v>
      </c>
      <c r="N582" s="263">
        <v>107.89399158695301</v>
      </c>
      <c r="O582" s="264">
        <v>98.4</v>
      </c>
      <c r="P582" s="263">
        <f t="shared" si="175"/>
        <v>124.95985113382598</v>
      </c>
      <c r="Q582" s="265">
        <f t="shared" si="174"/>
        <v>0.86342925834157513</v>
      </c>
      <c r="R582" s="256">
        <v>0</v>
      </c>
      <c r="S582" s="266">
        <v>0.83442799999999995</v>
      </c>
    </row>
    <row r="583" spans="1:21" ht="12.65" customHeight="1">
      <c r="A583" s="10">
        <v>42614</v>
      </c>
      <c r="B583" s="256">
        <v>43057.168072923349</v>
      </c>
      <c r="D583" s="257">
        <f>B583/C589</f>
        <v>8.6454341081024011E-2</v>
      </c>
      <c r="E583" s="2"/>
      <c r="F583" s="258">
        <f>D583*E589</f>
        <v>50642.705192395762</v>
      </c>
      <c r="H583" s="261">
        <f t="shared" si="180"/>
        <v>112.93196098538914</v>
      </c>
      <c r="I583" s="262">
        <f t="shared" si="159"/>
        <v>121.11376417611828</v>
      </c>
      <c r="J583" s="258">
        <f t="shared" si="162"/>
        <v>0</v>
      </c>
      <c r="K583" s="261">
        <f t="shared" si="169"/>
        <v>118.82393910184122</v>
      </c>
      <c r="L583" s="261">
        <v>1</v>
      </c>
      <c r="M583" s="261">
        <f t="shared" si="178"/>
        <v>33</v>
      </c>
      <c r="N583" s="263">
        <v>109.60812484088299</v>
      </c>
      <c r="O583" s="264">
        <v>100.5</v>
      </c>
      <c r="P583" s="263">
        <f t="shared" si="175"/>
        <v>125.93102696042325</v>
      </c>
      <c r="Q583" s="265">
        <f t="shared" si="174"/>
        <v>0.87038220434214275</v>
      </c>
      <c r="R583" s="256">
        <v>0</v>
      </c>
      <c r="S583" s="266">
        <v>0.83442799999999995</v>
      </c>
    </row>
    <row r="584" spans="1:21" ht="12.65" customHeight="1">
      <c r="A584" s="10">
        <v>42644</v>
      </c>
      <c r="B584" s="256">
        <v>44927.019839594694</v>
      </c>
      <c r="D584" s="257">
        <f>B584/C589</f>
        <v>9.0208810072876233E-2</v>
      </c>
      <c r="E584" s="2"/>
      <c r="F584" s="258">
        <f>D584*E589</f>
        <v>52841.975511629003</v>
      </c>
      <c r="H584" s="261">
        <f t="shared" si="180"/>
        <v>117.83627857554163</v>
      </c>
      <c r="I584" s="262">
        <f t="shared" si="159"/>
        <v>121.11376417611828</v>
      </c>
      <c r="J584" s="258">
        <f t="shared" si="162"/>
        <v>0</v>
      </c>
      <c r="K584" s="261">
        <f t="shared" si="169"/>
        <v>119.15812285549075</v>
      </c>
      <c r="L584" s="261">
        <v>1</v>
      </c>
      <c r="M584" s="261">
        <f t="shared" si="178"/>
        <v>34</v>
      </c>
      <c r="N584" s="263">
        <v>109.512325011085</v>
      </c>
      <c r="O584" s="264">
        <v>103.3</v>
      </c>
      <c r="P584" s="263">
        <f t="shared" si="175"/>
        <v>124.54210404217488</v>
      </c>
      <c r="Q584" s="265">
        <f t="shared" si="174"/>
        <v>0.87931969556255285</v>
      </c>
      <c r="R584" s="256">
        <v>-3</v>
      </c>
      <c r="S584" s="266">
        <v>0.83442799999999995</v>
      </c>
    </row>
    <row r="585" spans="1:21" ht="12.65" customHeight="1">
      <c r="A585" s="10">
        <v>42675</v>
      </c>
      <c r="B585" s="256">
        <v>45562.4756773189</v>
      </c>
      <c r="D585" s="257">
        <f>B585/C589</f>
        <v>9.1484739684491445E-2</v>
      </c>
      <c r="E585" s="2"/>
      <c r="F585" s="258">
        <f>D585*E589</f>
        <v>53589.381903943293</v>
      </c>
      <c r="H585" s="261">
        <f t="shared" si="180"/>
        <v>119.5029760636873</v>
      </c>
      <c r="I585" s="262">
        <f t="shared" si="159"/>
        <v>121.11376417611828</v>
      </c>
      <c r="J585" s="258">
        <f t="shared" si="162"/>
        <v>0</v>
      </c>
      <c r="K585" s="261">
        <f t="shared" si="169"/>
        <v>119.49230660914027</v>
      </c>
      <c r="L585" s="261">
        <v>1</v>
      </c>
      <c r="M585" s="261">
        <f t="shared" si="178"/>
        <v>35</v>
      </c>
      <c r="N585" s="263">
        <v>109.435297334461</v>
      </c>
      <c r="O585" s="264">
        <v>104.7</v>
      </c>
      <c r="P585" s="263">
        <f t="shared" si="175"/>
        <v>123.81481453497432</v>
      </c>
      <c r="Q585" s="265">
        <f t="shared" si="174"/>
        <v>0.88386270855777527</v>
      </c>
      <c r="R585" s="256">
        <v>-3</v>
      </c>
      <c r="S585" s="266">
        <v>0.83442799999999995</v>
      </c>
    </row>
    <row r="586" spans="1:21" ht="12.65" customHeight="1">
      <c r="A586" s="10">
        <v>42705</v>
      </c>
      <c r="B586" s="256">
        <v>46176.615145735472</v>
      </c>
      <c r="D586" s="257">
        <f>B586/C589</f>
        <v>9.2717868230797168E-2</v>
      </c>
      <c r="E586" s="2"/>
      <c r="F586" s="258">
        <f>D586*E589</f>
        <v>54311.716545026982</v>
      </c>
      <c r="H586" s="261">
        <f t="shared" si="180"/>
        <v>121.11376417611828</v>
      </c>
      <c r="I586" s="262">
        <f t="shared" si="159"/>
        <v>123.83669540658408</v>
      </c>
      <c r="J586" s="258">
        <f t="shared" si="162"/>
        <v>0</v>
      </c>
      <c r="K586" s="261">
        <f t="shared" si="169"/>
        <v>119.8264903627898</v>
      </c>
      <c r="L586" s="261">
        <v>1</v>
      </c>
      <c r="M586" s="261">
        <f t="shared" si="178"/>
        <v>36</v>
      </c>
      <c r="N586" s="263">
        <v>109.523860259363</v>
      </c>
      <c r="O586" s="264">
        <v>102.1</v>
      </c>
      <c r="P586" s="263">
        <f t="shared" si="175"/>
        <v>125.10408455348011</v>
      </c>
      <c r="Q586" s="265">
        <f t="shared" si="174"/>
        <v>0.87546190558265269</v>
      </c>
      <c r="R586" s="256">
        <v>-3</v>
      </c>
      <c r="S586" s="266">
        <v>0.83442799999999995</v>
      </c>
      <c r="T586" s="257">
        <f t="shared" ref="T586" si="181">AVERAGE(Q575:Q586)</f>
        <v>0.8717048603790668</v>
      </c>
      <c r="U586" s="257">
        <f t="shared" ref="U586" si="182">AVERAGE(S575:S586)</f>
        <v>0.83442799999999995</v>
      </c>
    </row>
    <row r="587" spans="1:21" ht="12.65" customHeight="1">
      <c r="A587" s="10">
        <v>42736</v>
      </c>
      <c r="B587" s="256">
        <v>45712.244194594416</v>
      </c>
      <c r="D587" s="257">
        <f>B587/C589</f>
        <v>9.1785459380078663E-2</v>
      </c>
      <c r="E587" s="2"/>
      <c r="F587" s="258">
        <f>D587*E589</f>
        <v>53765.5356829062</v>
      </c>
      <c r="H587" s="261">
        <f t="shared" si="180"/>
        <v>119.89579456770858</v>
      </c>
      <c r="I587" s="262">
        <f t="shared" ref="I587:I632" si="183">MAX(H575:H599)</f>
        <v>123.83669540658408</v>
      </c>
      <c r="J587" s="258">
        <f t="shared" si="162"/>
        <v>0</v>
      </c>
      <c r="K587" s="261">
        <f t="shared" si="169"/>
        <v>120.16067411643932</v>
      </c>
      <c r="L587" s="261">
        <v>1</v>
      </c>
      <c r="M587" s="261">
        <f t="shared" si="178"/>
        <v>37</v>
      </c>
      <c r="N587" s="263">
        <v>110.077864857816</v>
      </c>
      <c r="O587" s="264">
        <v>101.3</v>
      </c>
      <c r="P587" s="263">
        <f t="shared" si="175"/>
        <v>126.09445448623114</v>
      </c>
      <c r="Q587" s="265">
        <f t="shared" si="174"/>
        <v>0.87297942884423929</v>
      </c>
      <c r="R587" s="256">
        <v>-3</v>
      </c>
      <c r="S587" s="266">
        <v>0.83442799999999995</v>
      </c>
    </row>
    <row r="588" spans="1:21" ht="12.65" customHeight="1">
      <c r="A588" s="10">
        <v>42767</v>
      </c>
      <c r="B588" s="256">
        <v>45123.529363005415</v>
      </c>
      <c r="D588" s="257">
        <f>B588/C589</f>
        <v>9.0603380875439149E-2</v>
      </c>
      <c r="E588" s="2"/>
      <c r="F588" s="258">
        <f>D588*E589</f>
        <v>53073.104828929492</v>
      </c>
      <c r="H588" s="261">
        <f t="shared" si="180"/>
        <v>118.35169114966844</v>
      </c>
      <c r="I588" s="262">
        <f t="shared" si="183"/>
        <v>123.83669540658408</v>
      </c>
      <c r="J588" s="258">
        <f t="shared" si="162"/>
        <v>0</v>
      </c>
      <c r="K588" s="261">
        <f t="shared" si="169"/>
        <v>120.49485787008885</v>
      </c>
      <c r="L588" s="261">
        <v>1</v>
      </c>
      <c r="M588" s="261">
        <f t="shared" si="178"/>
        <v>38</v>
      </c>
      <c r="N588" s="263">
        <v>110.34278767724</v>
      </c>
      <c r="O588" s="264">
        <v>97.4</v>
      </c>
      <c r="P588" s="263">
        <f t="shared" si="175"/>
        <v>128.17721671622917</v>
      </c>
      <c r="Q588" s="265">
        <f t="shared" si="174"/>
        <v>0.86086116163317294</v>
      </c>
      <c r="R588" s="256">
        <v>-3</v>
      </c>
      <c r="S588" s="266">
        <v>0.83442799999999995</v>
      </c>
    </row>
    <row r="589" spans="1:21" ht="12.65" customHeight="1">
      <c r="A589" s="10">
        <v>42795</v>
      </c>
      <c r="B589" s="256">
        <v>44966.372628477759</v>
      </c>
      <c r="C589" s="259">
        <f t="shared" ref="C589" si="184">SUM(B578:B589)</f>
        <v>498033.61560029315</v>
      </c>
      <c r="D589" s="257">
        <f>B589/C589</f>
        <v>9.0287826403602486E-2</v>
      </c>
      <c r="E589" s="260">
        <v>585774</v>
      </c>
      <c r="F589" s="258">
        <f>D589*E589</f>
        <v>52888.261223743844</v>
      </c>
      <c r="H589" s="261">
        <f t="shared" si="180"/>
        <v>117.93949455136432</v>
      </c>
      <c r="I589" s="262">
        <f t="shared" si="183"/>
        <v>123.83669540658408</v>
      </c>
      <c r="J589" s="258">
        <f t="shared" si="162"/>
        <v>0</v>
      </c>
      <c r="K589" s="261">
        <f t="shared" si="169"/>
        <v>120.82904162373838</v>
      </c>
      <c r="L589" s="261">
        <v>1</v>
      </c>
      <c r="M589" s="261">
        <f t="shared" si="178"/>
        <v>39</v>
      </c>
      <c r="N589" s="263">
        <v>110.99065716423399</v>
      </c>
      <c r="O589" s="264">
        <v>99.2</v>
      </c>
      <c r="P589" s="263">
        <f t="shared" si="175"/>
        <v>128.08391941886285</v>
      </c>
      <c r="Q589" s="265">
        <f t="shared" si="174"/>
        <v>0.86654638355709512</v>
      </c>
      <c r="R589" s="256">
        <v>-3</v>
      </c>
      <c r="S589" s="266">
        <v>0.83442799999999995</v>
      </c>
    </row>
    <row r="590" spans="1:21" ht="12.65" customHeight="1">
      <c r="A590" s="10">
        <v>42826</v>
      </c>
      <c r="B590" s="256">
        <v>37798.303372098657</v>
      </c>
      <c r="D590" s="257">
        <f>B590/C601</f>
        <v>7.2287425039660069E-2</v>
      </c>
      <c r="E590" s="2"/>
      <c r="F590" s="258">
        <f>D590*E601</f>
        <v>43355.2506166366</v>
      </c>
      <c r="H590" s="261">
        <f t="shared" si="180"/>
        <v>96.681120263002057</v>
      </c>
      <c r="I590" s="262">
        <f t="shared" si="183"/>
        <v>123.83669540658408</v>
      </c>
      <c r="J590" s="258">
        <f t="shared" si="162"/>
        <v>0</v>
      </c>
      <c r="K590" s="261">
        <f t="shared" si="169"/>
        <v>121.1632253773879</v>
      </c>
      <c r="L590" s="261">
        <v>1</v>
      </c>
      <c r="M590" s="261">
        <f t="shared" si="178"/>
        <v>40</v>
      </c>
      <c r="N590" s="263">
        <v>112.141385632755</v>
      </c>
      <c r="O590" s="264">
        <v>98.4</v>
      </c>
      <c r="P590" s="263">
        <f t="shared" si="175"/>
        <v>129.74681888134074</v>
      </c>
      <c r="Q590" s="265">
        <f t="shared" si="174"/>
        <v>0.8643093264222016</v>
      </c>
      <c r="R590" s="256">
        <v>-3</v>
      </c>
      <c r="S590" s="266">
        <v>0.83442799999999995</v>
      </c>
    </row>
    <row r="591" spans="1:21" ht="12.65" customHeight="1">
      <c r="A591" s="10">
        <v>42856</v>
      </c>
      <c r="B591" s="256">
        <v>36868.491885730582</v>
      </c>
      <c r="D591" s="257">
        <f>B591/C601</f>
        <v>7.0509205592607802E-2</v>
      </c>
      <c r="E591" s="2"/>
      <c r="F591" s="258">
        <f>D591*E601</f>
        <v>42288.742164633637</v>
      </c>
      <c r="H591" s="261">
        <f t="shared" si="180"/>
        <v>94.30283319412186</v>
      </c>
      <c r="I591" s="262">
        <f t="shared" si="183"/>
        <v>123.83669540658408</v>
      </c>
      <c r="J591" s="258">
        <f t="shared" ref="J591:J632" si="185">IF(H591=I591,1,0)</f>
        <v>0</v>
      </c>
      <c r="K591" s="261">
        <f t="shared" si="169"/>
        <v>121.49740913103743</v>
      </c>
      <c r="L591" s="261">
        <v>1</v>
      </c>
      <c r="M591" s="261">
        <f t="shared" si="178"/>
        <v>41</v>
      </c>
      <c r="N591" s="263">
        <v>112.90094881162101</v>
      </c>
      <c r="O591" s="264">
        <v>98.5</v>
      </c>
      <c r="P591" s="263">
        <f t="shared" si="175"/>
        <v>130.55712591925041</v>
      </c>
      <c r="Q591" s="265">
        <f t="shared" si="174"/>
        <v>0.86476282329813425</v>
      </c>
      <c r="R591" s="256">
        <v>-3</v>
      </c>
      <c r="S591" s="266">
        <v>0.83442799999999995</v>
      </c>
    </row>
    <row r="592" spans="1:21" ht="12.65" customHeight="1">
      <c r="A592" s="10">
        <v>42887</v>
      </c>
      <c r="B592" s="256">
        <v>38647.115810785428</v>
      </c>
      <c r="D592" s="257">
        <f>B592/C601</f>
        <v>7.3910737729922071E-2</v>
      </c>
      <c r="E592" s="2"/>
      <c r="F592" s="258">
        <f>D592*E601</f>
        <v>44328.851882373521</v>
      </c>
      <c r="H592" s="261">
        <f t="shared" si="180"/>
        <v>98.85222663932646</v>
      </c>
      <c r="I592" s="262">
        <f t="shared" si="183"/>
        <v>123.83669540658408</v>
      </c>
      <c r="J592" s="258">
        <f t="shared" si="185"/>
        <v>0</v>
      </c>
      <c r="K592" s="261">
        <f t="shared" si="169"/>
        <v>121.83159288468696</v>
      </c>
      <c r="L592" s="261">
        <v>1</v>
      </c>
      <c r="M592" s="261">
        <f t="shared" si="178"/>
        <v>42</v>
      </c>
      <c r="N592" s="263">
        <v>111.72117302976901</v>
      </c>
      <c r="O592" s="264">
        <v>97.3</v>
      </c>
      <c r="P592" s="263">
        <f t="shared" si="175"/>
        <v>129.77645552108154</v>
      </c>
      <c r="Q592" s="265">
        <f t="shared" si="174"/>
        <v>0.86087397425968726</v>
      </c>
      <c r="R592" s="256">
        <v>-3</v>
      </c>
      <c r="S592" s="266">
        <v>0.83442799999999995</v>
      </c>
    </row>
    <row r="593" spans="1:21" ht="12.65" customHeight="1">
      <c r="A593" s="10">
        <v>42917</v>
      </c>
      <c r="B593" s="256">
        <v>40220.947165273123</v>
      </c>
      <c r="D593" s="257">
        <f>B593/C601</f>
        <v>7.6920613991896716E-2</v>
      </c>
      <c r="E593" s="2"/>
      <c r="F593" s="258">
        <f>D593*E601</f>
        <v>46134.061289007957</v>
      </c>
      <c r="H593" s="261">
        <f t="shared" si="180"/>
        <v>102.87779828890548</v>
      </c>
      <c r="I593" s="262">
        <f t="shared" si="183"/>
        <v>123.83669540658408</v>
      </c>
      <c r="J593" s="258">
        <f t="shared" si="185"/>
        <v>0</v>
      </c>
      <c r="K593" s="261">
        <f t="shared" si="169"/>
        <v>122.16577663833648</v>
      </c>
      <c r="L593" s="261">
        <v>1</v>
      </c>
      <c r="M593" s="261">
        <f t="shared" si="178"/>
        <v>43</v>
      </c>
      <c r="N593" s="263">
        <v>111.45844598942</v>
      </c>
      <c r="O593" s="264">
        <v>95.8</v>
      </c>
      <c r="P593" s="263">
        <f t="shared" si="175"/>
        <v>130.16657741316786</v>
      </c>
      <c r="Q593" s="265">
        <f t="shared" si="174"/>
        <v>0.85627546029450019</v>
      </c>
      <c r="R593" s="256">
        <v>-2</v>
      </c>
      <c r="S593" s="266">
        <v>0.83442799999999995</v>
      </c>
    </row>
    <row r="594" spans="1:21" ht="12.65" customHeight="1">
      <c r="A594" s="10">
        <v>42948</v>
      </c>
      <c r="B594" s="256">
        <v>42346.461990555807</v>
      </c>
      <c r="D594" s="257">
        <f>B594/C601</f>
        <v>8.098555817975478E-2</v>
      </c>
      <c r="E594" s="2"/>
      <c r="F594" s="258">
        <f>D594*E601</f>
        <v>48572.060345006088</v>
      </c>
      <c r="H594" s="261">
        <f t="shared" si="180"/>
        <v>108.31447496777568</v>
      </c>
      <c r="I594" s="262">
        <f t="shared" si="183"/>
        <v>123.83669540658408</v>
      </c>
      <c r="J594" s="258">
        <f t="shared" si="185"/>
        <v>0</v>
      </c>
      <c r="K594" s="261">
        <f t="shared" si="169"/>
        <v>122.49996039198601</v>
      </c>
      <c r="L594" s="261">
        <v>1</v>
      </c>
      <c r="M594" s="261">
        <f t="shared" si="178"/>
        <v>44</v>
      </c>
      <c r="N594" s="263">
        <v>111.39389402382599</v>
      </c>
      <c r="O594" s="264">
        <v>98.6</v>
      </c>
      <c r="P594" s="263">
        <f t="shared" si="175"/>
        <v>128.81287197568773</v>
      </c>
      <c r="Q594" s="265">
        <f t="shared" si="174"/>
        <v>0.8647730022264436</v>
      </c>
      <c r="R594" s="256">
        <v>-2</v>
      </c>
      <c r="S594" s="266">
        <v>0.83442799999999995</v>
      </c>
    </row>
    <row r="595" spans="1:21" ht="12.65" customHeight="1">
      <c r="A595" s="10">
        <v>42979</v>
      </c>
      <c r="B595" s="256">
        <v>44456.199588245203</v>
      </c>
      <c r="D595" s="257">
        <f>B595/C601</f>
        <v>8.5020329183759694E-2</v>
      </c>
      <c r="E595" s="2"/>
      <c r="F595" s="258">
        <f>D595*E601</f>
        <v>50991.962671910078</v>
      </c>
      <c r="H595" s="261">
        <f t="shared" si="180"/>
        <v>113.71079639515884</v>
      </c>
      <c r="I595" s="262">
        <f t="shared" si="183"/>
        <v>123.83669540658408</v>
      </c>
      <c r="J595" s="258">
        <f t="shared" si="185"/>
        <v>0</v>
      </c>
      <c r="K595" s="261">
        <f t="shared" si="169"/>
        <v>122.83414414563553</v>
      </c>
      <c r="L595" s="261">
        <v>1</v>
      </c>
      <c r="M595" s="261">
        <f t="shared" si="178"/>
        <v>45</v>
      </c>
      <c r="N595" s="263">
        <v>110.616669224532</v>
      </c>
      <c r="O595" s="264">
        <v>98</v>
      </c>
      <c r="P595" s="263">
        <f t="shared" si="175"/>
        <v>128.21140125948239</v>
      </c>
      <c r="Q595" s="265">
        <f t="shared" si="174"/>
        <v>0.86276780487453653</v>
      </c>
      <c r="R595" s="256">
        <v>-2</v>
      </c>
      <c r="S595" s="266">
        <v>0.83442799999999995</v>
      </c>
    </row>
    <row r="596" spans="1:21" ht="12.65" customHeight="1">
      <c r="A596" s="10">
        <v>43009</v>
      </c>
      <c r="B596" s="256">
        <v>46545.420188360542</v>
      </c>
      <c r="D596" s="257">
        <f>B596/C601</f>
        <v>8.9015862423318576E-2</v>
      </c>
      <c r="E596" s="2"/>
      <c r="F596" s="258">
        <f>D596*E601</f>
        <v>53388.331678734394</v>
      </c>
      <c r="H596" s="261">
        <f t="shared" si="180"/>
        <v>119.05463910966525</v>
      </c>
      <c r="I596" s="262">
        <f t="shared" si="183"/>
        <v>123.83669540658408</v>
      </c>
      <c r="J596" s="258">
        <f t="shared" si="185"/>
        <v>0</v>
      </c>
      <c r="K596" s="261">
        <f t="shared" si="169"/>
        <v>123.16832789928506</v>
      </c>
      <c r="L596" s="261">
        <v>1</v>
      </c>
      <c r="M596" s="261">
        <f t="shared" si="178"/>
        <v>46</v>
      </c>
      <c r="N596" s="263">
        <v>111.124099266602</v>
      </c>
      <c r="O596" s="264">
        <v>96.3</v>
      </c>
      <c r="P596" s="263">
        <f t="shared" si="175"/>
        <v>129.56101487114969</v>
      </c>
      <c r="Q596" s="265">
        <f t="shared" si="174"/>
        <v>0.85769704240983702</v>
      </c>
      <c r="R596" s="256">
        <v>-5</v>
      </c>
      <c r="S596" s="266">
        <v>0.83442799999999995</v>
      </c>
    </row>
    <row r="597" spans="1:21" ht="12.65" customHeight="1">
      <c r="A597" s="10">
        <v>43040</v>
      </c>
      <c r="B597" s="256">
        <v>47332.244597747995</v>
      </c>
      <c r="D597" s="257">
        <f>B597/C601</f>
        <v>9.0520626008949653E-2</v>
      </c>
      <c r="E597" s="2"/>
      <c r="F597" s="258">
        <f>D597*E601</f>
        <v>54290.831696379661</v>
      </c>
      <c r="H597" s="261">
        <f t="shared" si="180"/>
        <v>121.06719148803489</v>
      </c>
      <c r="I597" s="262">
        <f t="shared" si="183"/>
        <v>123.83669540658408</v>
      </c>
      <c r="J597" s="258">
        <f t="shared" si="185"/>
        <v>0</v>
      </c>
      <c r="K597" s="261">
        <f>(K$598-K$550)/(M$597+1)+K596</f>
        <v>123.50251165293459</v>
      </c>
      <c r="L597" s="261">
        <v>1</v>
      </c>
      <c r="M597" s="261">
        <f t="shared" si="178"/>
        <v>47</v>
      </c>
      <c r="N597" s="263">
        <v>111.373031766816</v>
      </c>
      <c r="O597" s="264">
        <v>96.3</v>
      </c>
      <c r="P597" s="263">
        <f t="shared" si="175"/>
        <v>129.84157086312561</v>
      </c>
      <c r="Q597" s="265">
        <f t="shared" si="174"/>
        <v>0.8577609699764146</v>
      </c>
      <c r="R597" s="256">
        <v>-5</v>
      </c>
      <c r="S597" s="266">
        <v>0.83442799999999995</v>
      </c>
    </row>
    <row r="598" spans="1:21" ht="12.65" customHeight="1">
      <c r="A598" s="10">
        <v>43070</v>
      </c>
      <c r="B598" s="256">
        <v>48415.005627189632</v>
      </c>
      <c r="D598" s="257">
        <f>B598/C601</f>
        <v>9.2591354051452315E-2</v>
      </c>
      <c r="E598" s="2"/>
      <c r="F598" s="258">
        <f>D598*E601</f>
        <v>55532.775688607144</v>
      </c>
      <c r="H598" s="261">
        <f>F598/G$574*100</f>
        <v>123.83669540658408</v>
      </c>
      <c r="I598" s="262">
        <f t="shared" si="183"/>
        <v>123.83669540658408</v>
      </c>
      <c r="J598" s="254">
        <f t="shared" si="185"/>
        <v>1</v>
      </c>
      <c r="K598" s="12">
        <f>I598</f>
        <v>123.83669540658408</v>
      </c>
      <c r="N598" s="263">
        <v>112.122610936512</v>
      </c>
      <c r="O598" s="264">
        <v>95.2</v>
      </c>
      <c r="P598" s="263">
        <f t="shared" si="175"/>
        <v>131.18960542562834</v>
      </c>
      <c r="Q598" s="265">
        <f t="shared" si="174"/>
        <v>0.85466078332002104</v>
      </c>
      <c r="R598" s="256">
        <v>-5</v>
      </c>
      <c r="S598" s="266">
        <v>0.83442799999999995</v>
      </c>
      <c r="T598" s="257">
        <f t="shared" ref="T598" si="186">AVERAGE(Q587:Q598)</f>
        <v>0.86202234675969025</v>
      </c>
      <c r="U598" s="257">
        <f t="shared" ref="U598" si="187">AVERAGE(S587:S598)</f>
        <v>0.83442799999999995</v>
      </c>
    </row>
    <row r="599" spans="1:21" ht="12.65" customHeight="1">
      <c r="A599" s="10">
        <v>43101</v>
      </c>
      <c r="B599" s="256">
        <v>47508.13387972596</v>
      </c>
      <c r="D599" s="257">
        <f>B599/C601</f>
        <v>9.0857005744333419E-2</v>
      </c>
      <c r="E599" s="2"/>
      <c r="F599" s="258">
        <f>D599*E601</f>
        <v>54492.579479232903</v>
      </c>
      <c r="H599" s="261">
        <f t="shared" si="180"/>
        <v>121.51708397808876</v>
      </c>
      <c r="I599" s="262">
        <f t="shared" si="183"/>
        <v>123.83669540658408</v>
      </c>
      <c r="J599" s="258">
        <f t="shared" si="185"/>
        <v>0</v>
      </c>
      <c r="K599" s="261">
        <f>(K$658-K$598)/(M$657+1)+K598</f>
        <v>123.74668947131754</v>
      </c>
      <c r="L599" s="261">
        <v>1</v>
      </c>
      <c r="M599" s="261">
        <f t="shared" si="178"/>
        <v>1</v>
      </c>
      <c r="N599" s="263">
        <v>111.45994171679099</v>
      </c>
      <c r="O599" s="264">
        <v>95.1</v>
      </c>
      <c r="P599" s="263">
        <f t="shared" si="175"/>
        <v>130.48850140781863</v>
      </c>
      <c r="Q599" s="265">
        <f t="shared" si="174"/>
        <v>0.85417443310535646</v>
      </c>
      <c r="R599" s="256">
        <v>-4</v>
      </c>
      <c r="S599" s="266">
        <v>0.83442799999999995</v>
      </c>
    </row>
    <row r="600" spans="1:21" ht="12.65" customHeight="1">
      <c r="A600" s="10">
        <v>43132</v>
      </c>
      <c r="B600" s="256">
        <v>46622.694361091992</v>
      </c>
      <c r="D600" s="257">
        <f>B600/C601</f>
        <v>8.9163645537122305E-2</v>
      </c>
      <c r="E600" s="2"/>
      <c r="F600" s="258">
        <f>D600*E601</f>
        <v>53476.966374635551</v>
      </c>
      <c r="H600" s="261">
        <f t="shared" si="180"/>
        <v>119.25229225598579</v>
      </c>
      <c r="I600" s="262">
        <f t="shared" si="183"/>
        <v>123.83669540658408</v>
      </c>
      <c r="J600" s="258">
        <f t="shared" si="185"/>
        <v>0</v>
      </c>
      <c r="K600" s="261">
        <f t="shared" ref="K600:K657" si="188">(K$658-K$598)/(M$657+1)+K599</f>
        <v>123.65668353605099</v>
      </c>
      <c r="L600" s="261">
        <v>1</v>
      </c>
      <c r="M600" s="261">
        <f t="shared" ref="M600:M657" si="189">M599+L600</f>
        <v>2</v>
      </c>
      <c r="N600" s="263">
        <v>111.201478570746</v>
      </c>
      <c r="O600" s="264">
        <v>88.1</v>
      </c>
      <c r="P600" s="263">
        <f t="shared" si="175"/>
        <v>133.39958658536329</v>
      </c>
      <c r="Q600" s="265">
        <f t="shared" si="174"/>
        <v>0.83359687550146511</v>
      </c>
      <c r="R600" s="256">
        <v>-4</v>
      </c>
      <c r="S600" s="266">
        <v>0.83442799999999995</v>
      </c>
    </row>
    <row r="601" spans="1:21" ht="12.65" customHeight="1">
      <c r="A601" s="10">
        <v>43160</v>
      </c>
      <c r="B601" s="256">
        <v>46128.036598593317</v>
      </c>
      <c r="C601" s="259">
        <f t="shared" ref="C601" si="190">SUM(B590:B601)</f>
        <v>522889.05506539822</v>
      </c>
      <c r="D601" s="257">
        <f>B601/C601</f>
        <v>8.8217636517222642E-2</v>
      </c>
      <c r="E601" s="260">
        <v>599762</v>
      </c>
      <c r="F601" s="258">
        <f>D601*E601</f>
        <v>52909.586112842488</v>
      </c>
      <c r="H601" s="261">
        <f t="shared" si="180"/>
        <v>117.98704851860514</v>
      </c>
      <c r="I601" s="262">
        <f t="shared" si="183"/>
        <v>123.83669540658408</v>
      </c>
      <c r="J601" s="258">
        <f t="shared" si="185"/>
        <v>0</v>
      </c>
      <c r="K601" s="261">
        <f t="shared" si="188"/>
        <v>123.56667760078444</v>
      </c>
      <c r="L601" s="261">
        <v>1</v>
      </c>
      <c r="M601" s="261">
        <f t="shared" si="189"/>
        <v>3</v>
      </c>
      <c r="N601" s="263">
        <v>110.405880254547</v>
      </c>
      <c r="O601" s="264">
        <v>90.2</v>
      </c>
      <c r="P601" s="263">
        <f t="shared" si="175"/>
        <v>131.54220354702517</v>
      </c>
      <c r="Q601" s="265">
        <f t="shared" si="174"/>
        <v>0.83931907233922742</v>
      </c>
      <c r="R601" s="256">
        <v>-4</v>
      </c>
      <c r="S601" s="266">
        <v>0.83442799999999995</v>
      </c>
    </row>
    <row r="602" spans="1:21" ht="12.65" customHeight="1">
      <c r="A602" s="10">
        <v>43191</v>
      </c>
      <c r="B602" s="256">
        <v>38136.270655978413</v>
      </c>
      <c r="D602" s="257">
        <f>B602/C613</f>
        <v>7.2745289150523154E-2</v>
      </c>
      <c r="E602" s="2"/>
      <c r="F602" s="258">
        <f>D602*E613</f>
        <v>42589.093259619534</v>
      </c>
      <c r="H602" s="261">
        <f t="shared" si="180"/>
        <v>94.972608594389357</v>
      </c>
      <c r="I602" s="262">
        <f t="shared" si="183"/>
        <v>123.83669540658408</v>
      </c>
      <c r="J602" s="258">
        <f t="shared" si="185"/>
        <v>0</v>
      </c>
      <c r="K602" s="261">
        <f t="shared" si="188"/>
        <v>123.4766716655179</v>
      </c>
      <c r="L602" s="261">
        <v>1</v>
      </c>
      <c r="M602" s="261">
        <f t="shared" si="189"/>
        <v>4</v>
      </c>
      <c r="N602" s="263">
        <v>109.97839701777301</v>
      </c>
      <c r="O602" s="264">
        <v>96</v>
      </c>
      <c r="P602" s="263">
        <f t="shared" si="175"/>
        <v>128.40701168554531</v>
      </c>
      <c r="Q602" s="265">
        <f t="shared" si="174"/>
        <v>0.85648280085434925</v>
      </c>
      <c r="R602" s="256">
        <v>-4</v>
      </c>
      <c r="S602" s="266">
        <v>0.83442799999999995</v>
      </c>
    </row>
    <row r="603" spans="1:21" ht="12.65" customHeight="1">
      <c r="A603" s="10">
        <v>43221</v>
      </c>
      <c r="B603" s="256">
        <v>36699.942801004581</v>
      </c>
      <c r="D603" s="257">
        <f>B603/C613</f>
        <v>7.0005480476844087E-2</v>
      </c>
      <c r="E603" s="2"/>
      <c r="F603" s="258">
        <f>D603*E613</f>
        <v>40985.058572570757</v>
      </c>
      <c r="H603" s="261">
        <f t="shared" si="180"/>
        <v>91.395651518166602</v>
      </c>
      <c r="I603" s="262">
        <f t="shared" si="183"/>
        <v>123.83669540658408</v>
      </c>
      <c r="J603" s="258">
        <f t="shared" si="185"/>
        <v>0</v>
      </c>
      <c r="K603" s="261">
        <f t="shared" si="188"/>
        <v>123.38666573025135</v>
      </c>
      <c r="L603" s="261">
        <v>1</v>
      </c>
      <c r="M603" s="261">
        <f t="shared" si="189"/>
        <v>5</v>
      </c>
      <c r="N603" s="263">
        <v>109.122978754786</v>
      </c>
      <c r="O603" s="264">
        <v>106</v>
      </c>
      <c r="P603" s="263">
        <f t="shared" si="175"/>
        <v>122.8680919347299</v>
      </c>
      <c r="Q603" s="265">
        <f t="shared" si="174"/>
        <v>0.88813114158844764</v>
      </c>
      <c r="R603" s="256">
        <v>-4</v>
      </c>
      <c r="S603" s="266">
        <v>0.83442799999999995</v>
      </c>
    </row>
    <row r="604" spans="1:21" ht="12.65" customHeight="1">
      <c r="A604" s="10">
        <v>43252</v>
      </c>
      <c r="B604" s="256">
        <v>38852.751154442311</v>
      </c>
      <c r="D604" s="257">
        <f>B604/C613</f>
        <v>7.4111982330924531E-2</v>
      </c>
      <c r="E604" s="2"/>
      <c r="F604" s="258">
        <f>D604*E613</f>
        <v>43389.230615551423</v>
      </c>
      <c r="H604" s="261">
        <f t="shared" si="180"/>
        <v>96.756894807374309</v>
      </c>
      <c r="I604" s="262">
        <f t="shared" si="183"/>
        <v>123.83669540658408</v>
      </c>
      <c r="J604" s="258">
        <f t="shared" si="185"/>
        <v>0</v>
      </c>
      <c r="K604" s="261">
        <f t="shared" si="188"/>
        <v>123.29665979498481</v>
      </c>
      <c r="L604" s="261">
        <v>1</v>
      </c>
      <c r="M604" s="261">
        <f t="shared" si="189"/>
        <v>6</v>
      </c>
      <c r="N604" s="263">
        <v>109.17753921565399</v>
      </c>
      <c r="O604" s="264">
        <v>104.9</v>
      </c>
      <c r="P604" s="263">
        <f t="shared" si="175"/>
        <v>123.43281510507035</v>
      </c>
      <c r="Q604" s="265">
        <f t="shared" si="174"/>
        <v>0.88450983737767175</v>
      </c>
      <c r="R604" s="256">
        <v>-4</v>
      </c>
      <c r="S604" s="266">
        <v>0.83442799999999995</v>
      </c>
    </row>
    <row r="605" spans="1:21" ht="12.65" customHeight="1">
      <c r="A605" s="10">
        <v>43282</v>
      </c>
      <c r="B605" s="256">
        <v>40497.121349505396</v>
      </c>
      <c r="D605" s="257">
        <f>B605/C613</f>
        <v>7.7248633693335983E-2</v>
      </c>
      <c r="E605" s="2"/>
      <c r="F605" s="258">
        <f>D605*E613</f>
        <v>45225.598838932019</v>
      </c>
      <c r="H605" s="261">
        <f t="shared" si="180"/>
        <v>100.85194983592689</v>
      </c>
      <c r="I605" s="262">
        <f t="shared" si="183"/>
        <v>123.83669540658408</v>
      </c>
      <c r="J605" s="258">
        <f t="shared" si="185"/>
        <v>0</v>
      </c>
      <c r="K605" s="261">
        <f t="shared" si="188"/>
        <v>123.20665385971826</v>
      </c>
      <c r="L605" s="261">
        <v>1</v>
      </c>
      <c r="M605" s="261">
        <f t="shared" si="189"/>
        <v>7</v>
      </c>
      <c r="N605" s="263">
        <v>109.332855833797</v>
      </c>
      <c r="O605" s="264">
        <v>100.3</v>
      </c>
      <c r="P605" s="263">
        <f t="shared" si="175"/>
        <v>125.71228541063823</v>
      </c>
      <c r="Q605" s="265">
        <f t="shared" si="174"/>
        <v>0.86970700975375681</v>
      </c>
      <c r="R605" s="256">
        <v>-5</v>
      </c>
      <c r="S605" s="266">
        <v>0.83442799999999995</v>
      </c>
    </row>
    <row r="606" spans="1:21" ht="12.65" customHeight="1">
      <c r="A606" s="10">
        <v>43313</v>
      </c>
      <c r="B606" s="256">
        <v>42286.676833648096</v>
      </c>
      <c r="D606" s="257">
        <f>B606/C613</f>
        <v>8.0662227338063733E-2</v>
      </c>
      <c r="E606" s="2"/>
      <c r="F606" s="258">
        <f>D606*E613</f>
        <v>47224.1043062061</v>
      </c>
      <c r="H606" s="261">
        <f t="shared" si="180"/>
        <v>105.30856684723875</v>
      </c>
      <c r="I606" s="262">
        <f t="shared" si="183"/>
        <v>123.83669540658408</v>
      </c>
      <c r="J606" s="258">
        <f t="shared" si="185"/>
        <v>0</v>
      </c>
      <c r="K606" s="261">
        <f t="shared" si="188"/>
        <v>123.11664792445171</v>
      </c>
      <c r="L606" s="261">
        <v>1</v>
      </c>
      <c r="M606" s="261">
        <f t="shared" si="189"/>
        <v>8</v>
      </c>
      <c r="N606" s="263">
        <v>108.477075223458</v>
      </c>
      <c r="O606" s="264">
        <v>100.2</v>
      </c>
      <c r="P606" s="263">
        <f t="shared" si="175"/>
        <v>124.79353782394898</v>
      </c>
      <c r="Q606" s="265">
        <f t="shared" si="174"/>
        <v>0.86925234363089188</v>
      </c>
      <c r="R606" s="256">
        <v>-5</v>
      </c>
      <c r="S606" s="266">
        <v>0.83442799999999995</v>
      </c>
    </row>
    <row r="607" spans="1:21" ht="12.65" customHeight="1">
      <c r="A607" s="10">
        <v>43344</v>
      </c>
      <c r="B607" s="256">
        <v>44897.377412029578</v>
      </c>
      <c r="D607" s="257">
        <f>B607/C613</f>
        <v>8.5642162848093117E-2</v>
      </c>
      <c r="E607" s="2"/>
      <c r="F607" s="258">
        <f>D607*E613</f>
        <v>50139.632450230354</v>
      </c>
      <c r="H607" s="261">
        <f t="shared" si="180"/>
        <v>111.81012140207305</v>
      </c>
      <c r="I607" s="262">
        <f t="shared" si="183"/>
        <v>123.83669540658408</v>
      </c>
      <c r="J607" s="258">
        <f t="shared" si="185"/>
        <v>0</v>
      </c>
      <c r="K607" s="261">
        <f t="shared" si="188"/>
        <v>123.02664198918517</v>
      </c>
      <c r="L607" s="261">
        <v>1</v>
      </c>
      <c r="M607" s="261">
        <f t="shared" si="189"/>
        <v>9</v>
      </c>
      <c r="N607" s="263">
        <v>108.831978597182</v>
      </c>
      <c r="O607" s="264">
        <v>100.1</v>
      </c>
      <c r="P607" s="263">
        <f t="shared" si="175"/>
        <v>125.23927517123244</v>
      </c>
      <c r="Q607" s="265">
        <f t="shared" si="174"/>
        <v>0.86899240233051744</v>
      </c>
      <c r="R607" s="256">
        <v>-5</v>
      </c>
      <c r="S607" s="266">
        <v>0.83442799999999995</v>
      </c>
    </row>
    <row r="608" spans="1:21" ht="12.65" customHeight="1">
      <c r="A608" s="10">
        <v>43374</v>
      </c>
      <c r="B608" s="256">
        <v>46341.595301256239</v>
      </c>
      <c r="D608" s="257">
        <f>B608/C613</f>
        <v>8.8397021835115802E-2</v>
      </c>
      <c r="E608" s="2"/>
      <c r="F608" s="258">
        <f>D608*E613</f>
        <v>51752.478418477724</v>
      </c>
      <c r="H608" s="261">
        <f t="shared" si="180"/>
        <v>115.40672741412519</v>
      </c>
      <c r="I608" s="262">
        <f t="shared" si="183"/>
        <v>123.83669540658408</v>
      </c>
      <c r="J608" s="258">
        <f t="shared" si="185"/>
        <v>0</v>
      </c>
      <c r="K608" s="261">
        <f t="shared" si="188"/>
        <v>122.93663605391862</v>
      </c>
      <c r="L608" s="261">
        <v>1</v>
      </c>
      <c r="M608" s="261">
        <f t="shared" si="189"/>
        <v>10</v>
      </c>
      <c r="N608" s="263">
        <v>108.01978079292699</v>
      </c>
      <c r="O608" s="264">
        <v>103.6</v>
      </c>
      <c r="P608" s="263">
        <f t="shared" si="175"/>
        <v>122.72270739454646</v>
      </c>
      <c r="Q608" s="265">
        <f t="shared" si="174"/>
        <v>0.88019391917136902</v>
      </c>
      <c r="R608" s="256">
        <v>-6</v>
      </c>
      <c r="S608" s="266">
        <v>0.83442799999999995</v>
      </c>
    </row>
    <row r="609" spans="1:21" ht="12.65" customHeight="1">
      <c r="A609" s="10">
        <v>43405</v>
      </c>
      <c r="B609" s="256">
        <v>46981.375895639751</v>
      </c>
      <c r="D609" s="257">
        <f>B609/C613</f>
        <v>8.961740923878099E-2</v>
      </c>
      <c r="E609" s="2"/>
      <c r="F609" s="258">
        <f>D609*E613</f>
        <v>52466.960325890526</v>
      </c>
      <c r="H609" s="261">
        <f t="shared" si="180"/>
        <v>117.00000412764531</v>
      </c>
      <c r="I609" s="262">
        <f t="shared" si="183"/>
        <v>123.83669540658408</v>
      </c>
      <c r="J609" s="258">
        <f t="shared" si="185"/>
        <v>0</v>
      </c>
      <c r="K609" s="261">
        <f t="shared" si="188"/>
        <v>122.84663011865207</v>
      </c>
      <c r="L609" s="261">
        <v>1</v>
      </c>
      <c r="M609" s="261">
        <f t="shared" si="189"/>
        <v>11</v>
      </c>
      <c r="N609" s="263">
        <v>107.840426370853</v>
      </c>
      <c r="O609" s="264">
        <v>102.7</v>
      </c>
      <c r="P609" s="263">
        <f t="shared" si="175"/>
        <v>122.93230332999272</v>
      </c>
      <c r="Q609" s="265">
        <f t="shared" si="174"/>
        <v>0.8772342455942771</v>
      </c>
      <c r="R609" s="256">
        <v>-6</v>
      </c>
      <c r="S609" s="266">
        <v>0.83442799999999995</v>
      </c>
    </row>
    <row r="610" spans="1:21" ht="12.65" customHeight="1">
      <c r="A610" s="10">
        <v>43435</v>
      </c>
      <c r="B610" s="256">
        <v>47799.943721021802</v>
      </c>
      <c r="D610" s="257">
        <f>B610/C613</f>
        <v>9.1178834939890999E-2</v>
      </c>
      <c r="E610" s="2"/>
      <c r="F610" s="258">
        <f>D610*E613</f>
        <v>53381.104809733886</v>
      </c>
      <c r="H610" s="261">
        <f t="shared" si="180"/>
        <v>119.03852337325442</v>
      </c>
      <c r="I610" s="262">
        <f t="shared" si="183"/>
        <v>123.83669540658408</v>
      </c>
      <c r="J610" s="258">
        <f t="shared" si="185"/>
        <v>0</v>
      </c>
      <c r="K610" s="261">
        <f t="shared" si="188"/>
        <v>122.75662418338553</v>
      </c>
      <c r="L610" s="261">
        <v>1</v>
      </c>
      <c r="M610" s="261">
        <f t="shared" si="189"/>
        <v>12</v>
      </c>
      <c r="N610" s="263">
        <v>107.88538423982099</v>
      </c>
      <c r="O610" s="264">
        <v>102.6</v>
      </c>
      <c r="P610" s="263">
        <f t="shared" si="175"/>
        <v>123.02872080755027</v>
      </c>
      <c r="Q610" s="265">
        <f t="shared" si="174"/>
        <v>0.87691218385162684</v>
      </c>
      <c r="R610" s="256">
        <v>-6</v>
      </c>
      <c r="S610" s="266">
        <v>0.83442799999999995</v>
      </c>
      <c r="T610" s="257">
        <f t="shared" ref="T610" si="191">AVERAGE(Q599:Q610)</f>
        <v>0.8665421887582464</v>
      </c>
      <c r="U610" s="257">
        <f t="shared" ref="U610" si="192">AVERAGE(S599:S610)</f>
        <v>0.83442799999999995</v>
      </c>
    </row>
    <row r="611" spans="1:21" ht="12.65" customHeight="1">
      <c r="A611" s="10">
        <v>43466</v>
      </c>
      <c r="B611" s="256">
        <v>47526.731645237363</v>
      </c>
      <c r="D611" s="257">
        <f>B611/C613</f>
        <v>9.0657680377305636E-2</v>
      </c>
      <c r="E611" s="2"/>
      <c r="F611" s="258">
        <f>D611*E613</f>
        <v>53075.99226529547</v>
      </c>
      <c r="H611" s="261">
        <f t="shared" si="180"/>
        <v>118.35813006026359</v>
      </c>
      <c r="I611" s="262">
        <f t="shared" si="183"/>
        <v>121.51708397808876</v>
      </c>
      <c r="J611" s="258">
        <f t="shared" si="185"/>
        <v>0</v>
      </c>
      <c r="K611" s="261">
        <f t="shared" si="188"/>
        <v>122.66661824811898</v>
      </c>
      <c r="L611" s="261">
        <v>1</v>
      </c>
      <c r="M611" s="261">
        <f t="shared" si="189"/>
        <v>13</v>
      </c>
      <c r="N611" s="263">
        <v>108.557274031379</v>
      </c>
      <c r="O611" s="264">
        <v>105.7</v>
      </c>
      <c r="P611" s="263">
        <f t="shared" si="175"/>
        <v>122.36776707938962</v>
      </c>
      <c r="Q611" s="265">
        <f t="shared" si="174"/>
        <v>0.88713945365162483</v>
      </c>
      <c r="R611" s="256">
        <v>-7</v>
      </c>
      <c r="S611" s="266">
        <v>0.83442799999999995</v>
      </c>
    </row>
    <row r="612" spans="1:21" ht="12.65" customHeight="1">
      <c r="A612" s="10">
        <v>43497</v>
      </c>
      <c r="B612" s="256">
        <v>47083.143931532242</v>
      </c>
      <c r="D612" s="257">
        <f>B612/C613</f>
        <v>8.9811532708903768E-2</v>
      </c>
      <c r="E612" s="2"/>
      <c r="F612" s="258">
        <f>D612*E613</f>
        <v>52580.610882091256</v>
      </c>
      <c r="H612" s="261">
        <f t="shared" si="180"/>
        <v>117.25344201430772</v>
      </c>
      <c r="I612" s="262">
        <f t="shared" si="183"/>
        <v>119.25229225598579</v>
      </c>
      <c r="J612" s="258">
        <f t="shared" si="185"/>
        <v>0</v>
      </c>
      <c r="K612" s="261">
        <f t="shared" si="188"/>
        <v>122.57661231285243</v>
      </c>
      <c r="L612" s="261">
        <v>1</v>
      </c>
      <c r="M612" s="261">
        <f t="shared" si="189"/>
        <v>14</v>
      </c>
      <c r="N612" s="263">
        <v>109.44278688108299</v>
      </c>
      <c r="O612" s="264">
        <v>108.2</v>
      </c>
      <c r="P612" s="263">
        <f t="shared" si="175"/>
        <v>122.22206424952684</v>
      </c>
      <c r="Q612" s="265">
        <f>N612/P612</f>
        <v>0.89544214093493091</v>
      </c>
      <c r="R612" s="256">
        <v>-7</v>
      </c>
      <c r="S612" s="266">
        <v>0.83442799999999995</v>
      </c>
    </row>
    <row r="613" spans="1:21" ht="12.65" customHeight="1">
      <c r="A613" s="10">
        <v>43525</v>
      </c>
      <c r="B613" s="256">
        <v>47140.922080257951</v>
      </c>
      <c r="C613" s="259">
        <f t="shared" ref="C613" si="193">SUM(B602:B613)</f>
        <v>524243.85278155369</v>
      </c>
      <c r="D613" s="257">
        <f>B613/C613</f>
        <v>8.9921745062218256E-2</v>
      </c>
      <c r="E613" s="260">
        <v>585455</v>
      </c>
      <c r="F613" s="258">
        <f>D613*E613</f>
        <v>52645.135255400986</v>
      </c>
      <c r="H613" s="261">
        <f t="shared" si="180"/>
        <v>117.39732974663832</v>
      </c>
      <c r="I613" s="262">
        <f t="shared" si="183"/>
        <v>119.03852337325442</v>
      </c>
      <c r="J613" s="258">
        <f t="shared" si="185"/>
        <v>0</v>
      </c>
      <c r="K613" s="261">
        <f t="shared" si="188"/>
        <v>122.48660637758589</v>
      </c>
      <c r="L613" s="261">
        <v>1</v>
      </c>
      <c r="M613" s="261">
        <f t="shared" si="189"/>
        <v>15</v>
      </c>
      <c r="N613" s="263">
        <v>109.298583172688</v>
      </c>
      <c r="O613" s="264">
        <v>106.1</v>
      </c>
      <c r="P613" s="263">
        <f t="shared" si="175"/>
        <v>123.02025618568146</v>
      </c>
      <c r="Q613" s="265">
        <f t="shared" si="174"/>
        <v>0.88846005171471465</v>
      </c>
      <c r="R613" s="256">
        <v>-7</v>
      </c>
      <c r="S613" s="266">
        <v>0.83442799999999995</v>
      </c>
    </row>
    <row r="614" spans="1:21" ht="12.65" customHeight="1">
      <c r="A614" s="10">
        <v>43556</v>
      </c>
      <c r="B614" s="256">
        <v>39238.794480603945</v>
      </c>
      <c r="D614" s="257">
        <f>B614/C625</f>
        <v>7.2767520875759981E-2</v>
      </c>
      <c r="E614" s="2"/>
      <c r="F614" s="258">
        <f>D614*E625</f>
        <v>42065.812305463711</v>
      </c>
      <c r="H614" s="261">
        <f t="shared" si="180"/>
        <v>93.805705205745042</v>
      </c>
      <c r="I614" s="262">
        <f t="shared" si="183"/>
        <v>119.03852337325442</v>
      </c>
      <c r="J614" s="258">
        <f t="shared" si="185"/>
        <v>0</v>
      </c>
      <c r="K614" s="261">
        <f t="shared" si="188"/>
        <v>122.39660044231934</v>
      </c>
      <c r="L614" s="261">
        <v>1</v>
      </c>
      <c r="M614" s="261">
        <f t="shared" si="189"/>
        <v>16</v>
      </c>
      <c r="N614" s="263">
        <v>108.647914589846</v>
      </c>
      <c r="O614" s="264">
        <v>110.1</v>
      </c>
      <c r="P614" s="263">
        <f t="shared" si="175"/>
        <v>120.45699611216882</v>
      </c>
      <c r="Q614" s="265">
        <f t="shared" si="174"/>
        <v>0.90196433662245501</v>
      </c>
      <c r="R614" s="256">
        <v>-4</v>
      </c>
      <c r="S614" s="266">
        <v>0.83442799999999995</v>
      </c>
    </row>
    <row r="615" spans="1:21" ht="12.65" customHeight="1">
      <c r="A615" s="10">
        <v>43586</v>
      </c>
      <c r="B615" s="256">
        <v>38202.675772933406</v>
      </c>
      <c r="D615" s="257">
        <f>B615/C625</f>
        <v>7.0846060476984218E-2</v>
      </c>
      <c r="E615" s="2"/>
      <c r="F615" s="258">
        <f>D615*E625</f>
        <v>40955.044870837424</v>
      </c>
      <c r="H615" s="261">
        <f t="shared" si="180"/>
        <v>91.328721716918849</v>
      </c>
      <c r="I615" s="262">
        <f t="shared" si="183"/>
        <v>119.03852337325442</v>
      </c>
      <c r="J615" s="258">
        <f t="shared" si="185"/>
        <v>0</v>
      </c>
      <c r="K615" s="261">
        <f t="shared" si="188"/>
        <v>122.30659450705279</v>
      </c>
      <c r="L615" s="261">
        <v>1</v>
      </c>
      <c r="M615" s="261">
        <f t="shared" si="189"/>
        <v>17</v>
      </c>
      <c r="N615" s="263">
        <v>108.825997584569</v>
      </c>
      <c r="O615" s="264">
        <v>108.4</v>
      </c>
      <c r="P615" s="263">
        <f t="shared" si="175"/>
        <v>121.43542360915302</v>
      </c>
      <c r="Q615" s="265">
        <f t="shared" si="174"/>
        <v>0.89616352749615968</v>
      </c>
      <c r="R615" s="256">
        <v>-4</v>
      </c>
      <c r="S615" s="266">
        <v>0.83442799999999995</v>
      </c>
    </row>
    <row r="616" spans="1:21" ht="12.65" customHeight="1">
      <c r="A616" s="10">
        <v>43617</v>
      </c>
      <c r="B616" s="256">
        <v>40503.759808609757</v>
      </c>
      <c r="D616" s="257">
        <f>B616/C625</f>
        <v>7.5113372529237152E-2</v>
      </c>
      <c r="E616" s="2"/>
      <c r="F616" s="258">
        <f>D616*E625</f>
        <v>43421.913958564059</v>
      </c>
      <c r="H616" s="261">
        <f t="shared" si="180"/>
        <v>96.829777841642567</v>
      </c>
      <c r="I616" s="262">
        <f t="shared" si="183"/>
        <v>119.03852337325442</v>
      </c>
      <c r="J616" s="258">
        <f t="shared" si="185"/>
        <v>0</v>
      </c>
      <c r="K616" s="261">
        <f t="shared" si="188"/>
        <v>122.21658857178625</v>
      </c>
      <c r="L616" s="261">
        <v>1</v>
      </c>
      <c r="M616" s="261">
        <f t="shared" si="189"/>
        <v>18</v>
      </c>
      <c r="N616" s="263">
        <v>109.03054785752499</v>
      </c>
      <c r="O616" s="264">
        <v>109.7</v>
      </c>
      <c r="P616" s="263">
        <f t="shared" si="175"/>
        <v>121.07123102626949</v>
      </c>
      <c r="Q616" s="265">
        <f t="shared" si="174"/>
        <v>0.9005487673109398</v>
      </c>
      <c r="R616" s="256">
        <v>-4</v>
      </c>
      <c r="S616" s="266">
        <v>0.83442799999999995</v>
      </c>
    </row>
    <row r="617" spans="1:21" ht="12.65" customHeight="1">
      <c r="A617" s="10">
        <v>43647</v>
      </c>
      <c r="B617" s="256">
        <v>41809.976888456935</v>
      </c>
      <c r="D617" s="257">
        <f>B617/C625</f>
        <v>7.7535724690770497E-2</v>
      </c>
      <c r="E617" s="2"/>
      <c r="F617" s="258">
        <f>D617*E625</f>
        <v>44822.239407864065</v>
      </c>
      <c r="H617" s="261">
        <f t="shared" si="180"/>
        <v>99.952468432644835</v>
      </c>
      <c r="I617" s="262">
        <f t="shared" si="183"/>
        <v>119.03852337325442</v>
      </c>
      <c r="J617" s="258">
        <f t="shared" si="185"/>
        <v>0</v>
      </c>
      <c r="K617" s="261">
        <f t="shared" si="188"/>
        <v>122.1265826365197</v>
      </c>
      <c r="L617" s="261">
        <v>1</v>
      </c>
      <c r="M617" s="261">
        <f t="shared" si="189"/>
        <v>19</v>
      </c>
      <c r="N617" s="263">
        <v>108.517614742699</v>
      </c>
      <c r="O617" s="264">
        <v>110.6</v>
      </c>
      <c r="P617" s="263">
        <f t="shared" si="175"/>
        <v>120.08140182887237</v>
      </c>
      <c r="Q617" s="265">
        <f t="shared" si="174"/>
        <v>0.90370043228964891</v>
      </c>
      <c r="R617" s="256">
        <v>-5</v>
      </c>
      <c r="S617" s="266">
        <v>0.83442799999999995</v>
      </c>
    </row>
    <row r="618" spans="1:21" ht="12.65" customHeight="1">
      <c r="A618" s="10">
        <v>43678</v>
      </c>
      <c r="B618" s="256">
        <v>44028.003266806583</v>
      </c>
      <c r="D618" s="257">
        <f>B618/C625</f>
        <v>8.1649008060608125E-2</v>
      </c>
      <c r="E618" s="2"/>
      <c r="F618" s="258">
        <f>D618*E625</f>
        <v>47200.066824716647</v>
      </c>
      <c r="H618" s="261">
        <f t="shared" si="180"/>
        <v>105.25496386707725</v>
      </c>
      <c r="I618" s="262">
        <f t="shared" si="183"/>
        <v>119.03852337325442</v>
      </c>
      <c r="J618" s="258">
        <f t="shared" si="185"/>
        <v>0</v>
      </c>
      <c r="K618" s="261">
        <f t="shared" si="188"/>
        <v>122.03657670125315</v>
      </c>
      <c r="L618" s="261">
        <v>1</v>
      </c>
      <c r="M618" s="261">
        <f t="shared" si="189"/>
        <v>20</v>
      </c>
      <c r="N618" s="263">
        <v>108.461953907812</v>
      </c>
      <c r="O618" s="264">
        <v>105</v>
      </c>
      <c r="P618" s="263">
        <f t="shared" si="175"/>
        <v>122.58057608473385</v>
      </c>
      <c r="Q618" s="265">
        <f t="shared" si="174"/>
        <v>0.88482170154623563</v>
      </c>
      <c r="R618" s="256">
        <v>-5</v>
      </c>
      <c r="S618" s="266">
        <v>0.83442799999999995</v>
      </c>
    </row>
    <row r="619" spans="1:21" ht="12.65" customHeight="1">
      <c r="A619" s="10">
        <v>43709</v>
      </c>
      <c r="B619" s="256">
        <v>46265.361786378147</v>
      </c>
      <c r="D619" s="257">
        <f>B619/C625</f>
        <v>8.5798142480626047E-2</v>
      </c>
      <c r="E619" s="2"/>
      <c r="F619" s="258">
        <f>D619*E625</f>
        <v>49598.61919591271</v>
      </c>
      <c r="H619" s="261">
        <f t="shared" si="180"/>
        <v>110.60367542931027</v>
      </c>
      <c r="I619" s="262">
        <f t="shared" si="183"/>
        <v>119.03852337325442</v>
      </c>
      <c r="J619" s="258">
        <f t="shared" si="185"/>
        <v>0</v>
      </c>
      <c r="K619" s="261">
        <f t="shared" si="188"/>
        <v>121.94657076598661</v>
      </c>
      <c r="L619" s="261">
        <v>1</v>
      </c>
      <c r="M619" s="261">
        <f t="shared" si="189"/>
        <v>21</v>
      </c>
      <c r="N619" s="263">
        <v>107.845889460357</v>
      </c>
      <c r="O619" s="264">
        <v>106.9</v>
      </c>
      <c r="P619" s="263">
        <f t="shared" si="175"/>
        <v>121.01703089814444</v>
      </c>
      <c r="Q619" s="265">
        <f t="shared" si="174"/>
        <v>0.89116291037686168</v>
      </c>
      <c r="R619" s="256">
        <v>-5</v>
      </c>
      <c r="S619" s="266">
        <v>0.83442799999999995</v>
      </c>
    </row>
    <row r="620" spans="1:21" ht="12.65" customHeight="1">
      <c r="A620" s="10">
        <v>43739</v>
      </c>
      <c r="B620" s="256">
        <v>48066.395036358925</v>
      </c>
      <c r="D620" s="257">
        <f>B620/C625</f>
        <v>8.9138120845167715E-2</v>
      </c>
      <c r="E620" s="2"/>
      <c r="F620" s="258">
        <f>D620*E625</f>
        <v>51529.410588778781</v>
      </c>
      <c r="H620" s="261">
        <f t="shared" si="180"/>
        <v>114.90929175493297</v>
      </c>
      <c r="I620" s="262">
        <f t="shared" si="183"/>
        <v>119.03852337325442</v>
      </c>
      <c r="J620" s="258">
        <f t="shared" si="185"/>
        <v>0</v>
      </c>
      <c r="K620" s="261">
        <f t="shared" si="188"/>
        <v>121.85656483072006</v>
      </c>
      <c r="L620" s="261">
        <v>1</v>
      </c>
      <c r="M620" s="261">
        <f t="shared" si="189"/>
        <v>22</v>
      </c>
      <c r="N620" s="263">
        <v>107.694526429272</v>
      </c>
      <c r="O620" s="264">
        <v>104.6</v>
      </c>
      <c r="P620" s="263">
        <f t="shared" si="175"/>
        <v>121.89865066135081</v>
      </c>
      <c r="Q620" s="265">
        <f t="shared" si="174"/>
        <v>0.88347595190746131</v>
      </c>
      <c r="R620" s="256">
        <v>-4</v>
      </c>
      <c r="S620" s="266">
        <v>0.83442799999999995</v>
      </c>
    </row>
    <row r="621" spans="1:21" ht="12.65" customHeight="1">
      <c r="A621" s="10">
        <v>43770</v>
      </c>
      <c r="B621" s="256">
        <v>48729.981818163469</v>
      </c>
      <c r="D621" s="257">
        <f>B621/C625</f>
        <v>9.0368728605600038E-2</v>
      </c>
      <c r="E621" s="2"/>
      <c r="F621" s="258">
        <f>D621*E625</f>
        <v>52240.806475968297</v>
      </c>
      <c r="H621" s="261">
        <f t="shared" si="180"/>
        <v>116.4956867208424</v>
      </c>
      <c r="I621" s="262">
        <f t="shared" si="183"/>
        <v>119.03852337325442</v>
      </c>
      <c r="J621" s="258">
        <f t="shared" si="185"/>
        <v>0</v>
      </c>
      <c r="K621" s="261">
        <f t="shared" si="188"/>
        <v>121.76655889545351</v>
      </c>
      <c r="L621" s="261">
        <v>1</v>
      </c>
      <c r="M621" s="261">
        <f t="shared" si="189"/>
        <v>23</v>
      </c>
      <c r="N621" s="263">
        <v>107.410693678771</v>
      </c>
      <c r="O621" s="264">
        <v>104.4</v>
      </c>
      <c r="P621" s="263">
        <f t="shared" si="175"/>
        <v>121.67025746091045</v>
      </c>
      <c r="Q621" s="265">
        <f t="shared" si="174"/>
        <v>0.88280156482186545</v>
      </c>
      <c r="R621" s="256">
        <v>-4</v>
      </c>
      <c r="S621" s="266">
        <v>0.83442799999999995</v>
      </c>
    </row>
    <row r="622" spans="1:21" ht="12.65" customHeight="1">
      <c r="A622" s="10">
        <v>43800</v>
      </c>
      <c r="B622" s="256">
        <v>49197.639632185899</v>
      </c>
      <c r="D622" s="257">
        <f>B622/C625</f>
        <v>9.1235990207161499E-2</v>
      </c>
      <c r="E622" s="2"/>
      <c r="F622" s="258">
        <f>D622*E625</f>
        <v>52742.157398906958</v>
      </c>
      <c r="H622" s="261">
        <f t="shared" si="180"/>
        <v>117.61368669051622</v>
      </c>
      <c r="I622" s="262">
        <f t="shared" si="183"/>
        <v>119.03852337325442</v>
      </c>
      <c r="J622" s="258">
        <f t="shared" si="185"/>
        <v>0</v>
      </c>
      <c r="K622" s="261">
        <f t="shared" si="188"/>
        <v>121.67655296018697</v>
      </c>
      <c r="L622" s="261">
        <v>1</v>
      </c>
      <c r="M622" s="261">
        <f t="shared" si="189"/>
        <v>24</v>
      </c>
      <c r="N622" s="263">
        <v>106.597316324681</v>
      </c>
      <c r="O622" s="264">
        <v>106.3</v>
      </c>
      <c r="P622" s="263">
        <f t="shared" si="175"/>
        <v>119.88433344390299</v>
      </c>
      <c r="Q622" s="265">
        <f t="shared" si="174"/>
        <v>0.88916802773533932</v>
      </c>
      <c r="R622" s="256">
        <v>-4</v>
      </c>
      <c r="S622" s="266">
        <v>0.83442799999999995</v>
      </c>
      <c r="T622" s="257">
        <f t="shared" ref="T622" si="194">AVERAGE(Q611:Q622)</f>
        <v>0.89207073886735333</v>
      </c>
      <c r="U622" s="257">
        <f t="shared" ref="U622" si="195">AVERAGE(S611:S622)</f>
        <v>0.83442799999999995</v>
      </c>
    </row>
    <row r="623" spans="1:21" ht="12.65" customHeight="1">
      <c r="A623" s="10">
        <v>43831</v>
      </c>
      <c r="B623" s="256">
        <v>48510.717849517772</v>
      </c>
      <c r="D623" s="257">
        <f>B623/C625</f>
        <v>8.9962108177349773E-2</v>
      </c>
      <c r="E623" s="2"/>
      <c r="F623" s="258">
        <f>D623*E625</f>
        <v>52005.74530570324</v>
      </c>
      <c r="H623" s="261">
        <f t="shared" si="180"/>
        <v>115.97150621332997</v>
      </c>
      <c r="I623" s="262">
        <f t="shared" si="183"/>
        <v>118.35813006026359</v>
      </c>
      <c r="J623" s="258">
        <f t="shared" si="185"/>
        <v>0</v>
      </c>
      <c r="K623" s="261">
        <f t="shared" si="188"/>
        <v>121.58654702492042</v>
      </c>
      <c r="L623" s="261">
        <v>1</v>
      </c>
      <c r="M623" s="261">
        <f t="shared" si="189"/>
        <v>25</v>
      </c>
      <c r="N623" s="263">
        <v>106.342862960388</v>
      </c>
      <c r="O623" s="264">
        <v>103.6</v>
      </c>
      <c r="P623" s="263">
        <f t="shared" si="175"/>
        <v>120.83275993663861</v>
      </c>
      <c r="Q623" s="265">
        <f t="shared" si="174"/>
        <v>0.88008304218285904</v>
      </c>
      <c r="R623" s="256">
        <v>-5</v>
      </c>
      <c r="S623" s="266">
        <v>0.83442799999999995</v>
      </c>
    </row>
    <row r="624" spans="1:21" ht="12.65" customHeight="1">
      <c r="A624" s="10">
        <v>43862</v>
      </c>
      <c r="B624" s="256">
        <v>47080.674211881953</v>
      </c>
      <c r="D624" s="257">
        <f>B624/C625</f>
        <v>8.7310122263094675E-2</v>
      </c>
      <c r="E624" s="2"/>
      <c r="F624" s="258">
        <f>D624*E625</f>
        <v>50472.672028461086</v>
      </c>
      <c r="H624" s="261">
        <f t="shared" si="180"/>
        <v>112.55279129919758</v>
      </c>
      <c r="I624" s="262">
        <f t="shared" si="183"/>
        <v>117.61368669051622</v>
      </c>
      <c r="J624" s="258">
        <f t="shared" si="185"/>
        <v>0</v>
      </c>
      <c r="K624" s="261">
        <f t="shared" si="188"/>
        <v>121.49654108965387</v>
      </c>
      <c r="L624" s="261">
        <v>1</v>
      </c>
      <c r="M624" s="261">
        <f t="shared" si="189"/>
        <v>26</v>
      </c>
      <c r="N624" s="263">
        <v>105.20236983762</v>
      </c>
      <c r="O624" s="264">
        <v>104.3</v>
      </c>
      <c r="P624" s="263">
        <f t="shared" si="175"/>
        <v>119.22714440372388</v>
      </c>
      <c r="Q624" s="265">
        <f t="shared" si="174"/>
        <v>0.88236928229519984</v>
      </c>
      <c r="R624" s="256">
        <v>-5</v>
      </c>
      <c r="S624" s="266">
        <v>0.83442799999999995</v>
      </c>
    </row>
    <row r="625" spans="1:21" ht="12.65" customHeight="1">
      <c r="A625" s="10">
        <v>43891</v>
      </c>
      <c r="B625" s="256">
        <v>47601.024411354709</v>
      </c>
      <c r="C625" s="259">
        <f t="shared" ref="C625" si="196">SUM(B614:B625)</f>
        <v>539235.00496325153</v>
      </c>
      <c r="D625" s="257">
        <f>B625/C625</f>
        <v>8.8275100787640226E-2</v>
      </c>
      <c r="E625" s="260">
        <v>578085</v>
      </c>
      <c r="F625" s="258">
        <f>D625*E625</f>
        <v>51030.511638823002</v>
      </c>
      <c r="H625" s="261">
        <f t="shared" si="180"/>
        <v>113.7967596234441</v>
      </c>
      <c r="I625" s="262">
        <f t="shared" si="183"/>
        <v>117.61368669051622</v>
      </c>
      <c r="J625" s="258">
        <f t="shared" si="185"/>
        <v>0</v>
      </c>
      <c r="K625" s="261">
        <f t="shared" si="188"/>
        <v>121.40653515438733</v>
      </c>
      <c r="L625" s="261">
        <v>1</v>
      </c>
      <c r="M625" s="261">
        <f t="shared" si="189"/>
        <v>27</v>
      </c>
      <c r="N625" s="263">
        <v>105.61183183217901</v>
      </c>
      <c r="O625" s="264">
        <v>104.4</v>
      </c>
      <c r="P625" s="263">
        <f t="shared" si="175"/>
        <v>119.64287465888819</v>
      </c>
      <c r="Q625" s="265">
        <f t="shared" si="174"/>
        <v>0.88272562936394783</v>
      </c>
      <c r="R625" s="256">
        <v>-5</v>
      </c>
      <c r="S625" s="266">
        <v>0.83442799999999995</v>
      </c>
    </row>
    <row r="626" spans="1:21" ht="12.65" customHeight="1">
      <c r="A626" s="10">
        <v>43922</v>
      </c>
      <c r="B626" s="256">
        <v>39305.632874919662</v>
      </c>
      <c r="D626" s="257">
        <f>B626/C637</f>
        <v>7.3782992214442039E-2</v>
      </c>
      <c r="E626" s="2"/>
      <c r="F626" s="258">
        <f>D626*E637</f>
        <v>41612.795996030953</v>
      </c>
      <c r="H626" s="261">
        <f t="shared" si="180"/>
        <v>92.795490210549886</v>
      </c>
      <c r="I626" s="262">
        <f t="shared" si="183"/>
        <v>117.61368669051622</v>
      </c>
      <c r="J626" s="258">
        <f t="shared" si="185"/>
        <v>0</v>
      </c>
      <c r="K626" s="261">
        <f t="shared" si="188"/>
        <v>121.31652921912078</v>
      </c>
      <c r="L626" s="261">
        <v>1</v>
      </c>
      <c r="M626" s="261">
        <f t="shared" si="189"/>
        <v>28</v>
      </c>
      <c r="N626" s="263">
        <v>107.515293801396</v>
      </c>
      <c r="O626" s="264">
        <v>100.7</v>
      </c>
      <c r="P626" s="263">
        <f t="shared" si="175"/>
        <v>123.48083352946702</v>
      </c>
      <c r="Q626" s="265">
        <f t="shared" si="174"/>
        <v>0.8707043087439067</v>
      </c>
      <c r="R626" s="256">
        <v>-3</v>
      </c>
      <c r="S626" s="266">
        <v>0.83442799999999995</v>
      </c>
    </row>
    <row r="627" spans="1:21" ht="12.65" customHeight="1">
      <c r="A627" s="10">
        <v>43952</v>
      </c>
      <c r="B627" s="256">
        <v>37513.76869172306</v>
      </c>
      <c r="D627" s="257">
        <f>B627/C637</f>
        <v>7.0419375058121084E-2</v>
      </c>
      <c r="E627" s="2"/>
      <c r="F627" s="258">
        <f>D627*E637</f>
        <v>39715.752919654653</v>
      </c>
      <c r="H627" s="261">
        <f t="shared" si="180"/>
        <v>88.565131783308928</v>
      </c>
      <c r="I627" s="262">
        <f t="shared" si="183"/>
        <v>117.61368669051622</v>
      </c>
      <c r="J627" s="258">
        <f t="shared" si="185"/>
        <v>0</v>
      </c>
      <c r="K627" s="261">
        <f t="shared" si="188"/>
        <v>121.22652328385423</v>
      </c>
      <c r="L627" s="261">
        <v>1</v>
      </c>
      <c r="M627" s="261">
        <f t="shared" si="189"/>
        <v>29</v>
      </c>
      <c r="N627" s="263">
        <v>105.468701408344</v>
      </c>
      <c r="O627" s="264">
        <v>88.9</v>
      </c>
      <c r="P627" s="263">
        <f t="shared" si="175"/>
        <v>126.57255140140002</v>
      </c>
      <c r="Q627" s="265">
        <f t="shared" si="174"/>
        <v>0.83326677261858062</v>
      </c>
      <c r="R627" s="256">
        <v>-3</v>
      </c>
      <c r="S627" s="266">
        <v>0.83442799999999995</v>
      </c>
    </row>
    <row r="628" spans="1:21" ht="12.65" customHeight="1">
      <c r="A628" s="10">
        <v>43983</v>
      </c>
      <c r="B628" s="256">
        <v>39437.929074720218</v>
      </c>
      <c r="D628" s="257">
        <f>B628/C637</f>
        <v>7.4031333451204398E-2</v>
      </c>
      <c r="E628" s="2"/>
      <c r="F628" s="258">
        <f>D628*E637</f>
        <v>41752.857721811321</v>
      </c>
      <c r="H628" s="261">
        <f t="shared" si="180"/>
        <v>93.107824342213732</v>
      </c>
      <c r="I628" s="262">
        <f t="shared" si="183"/>
        <v>117.61368669051622</v>
      </c>
      <c r="J628" s="258">
        <f t="shared" si="185"/>
        <v>0</v>
      </c>
      <c r="K628" s="261">
        <f t="shared" si="188"/>
        <v>121.13651734858769</v>
      </c>
      <c r="L628" s="261">
        <v>1</v>
      </c>
      <c r="M628" s="261">
        <f t="shared" si="189"/>
        <v>30</v>
      </c>
      <c r="N628" s="263">
        <v>104.75064232411</v>
      </c>
      <c r="O628" s="264">
        <v>93.8</v>
      </c>
      <c r="P628" s="263">
        <f t="shared" si="175"/>
        <v>123.52160487911516</v>
      </c>
      <c r="Q628" s="265">
        <f t="shared" si="174"/>
        <v>0.84803498486458773</v>
      </c>
      <c r="R628" s="256">
        <v>-3</v>
      </c>
      <c r="S628" s="266">
        <v>0.83442799999999995</v>
      </c>
    </row>
    <row r="629" spans="1:21" ht="12.65" customHeight="1">
      <c r="A629" s="10">
        <v>44013</v>
      </c>
      <c r="B629" s="256">
        <v>40597.075923955468</v>
      </c>
      <c r="D629" s="257">
        <f>B629/C637</f>
        <v>7.6207238447434378E-2</v>
      </c>
      <c r="E629" s="2"/>
      <c r="F629" s="258">
        <f>D629*E637</f>
        <v>42980.044204730068</v>
      </c>
      <c r="H629" s="261">
        <f t="shared" si="180"/>
        <v>95.844419385552499</v>
      </c>
      <c r="I629" s="262">
        <f t="shared" si="183"/>
        <v>117.61368669051622</v>
      </c>
      <c r="J629" s="258">
        <f t="shared" si="185"/>
        <v>0</v>
      </c>
      <c r="K629" s="261">
        <f t="shared" si="188"/>
        <v>121.04651141332114</v>
      </c>
      <c r="L629" s="261">
        <v>1</v>
      </c>
      <c r="M629" s="261">
        <f t="shared" si="189"/>
        <v>31</v>
      </c>
      <c r="N629" s="263">
        <v>104.170225094782</v>
      </c>
      <c r="O629" s="264">
        <v>103.5</v>
      </c>
      <c r="P629" s="263">
        <f t="shared" si="175"/>
        <v>118.42986627330396</v>
      </c>
      <c r="Q629" s="265">
        <f t="shared" si="174"/>
        <v>0.87959421362838841</v>
      </c>
      <c r="R629" s="256">
        <v>-4</v>
      </c>
      <c r="S629" s="266">
        <v>0.83442799999999995</v>
      </c>
    </row>
    <row r="630" spans="1:21" ht="12.65" customHeight="1">
      <c r="A630" s="10">
        <v>44044</v>
      </c>
      <c r="B630" s="256">
        <v>42340.867606240055</v>
      </c>
      <c r="D630" s="257">
        <f>B630/C637</f>
        <v>7.94806157907543E-2</v>
      </c>
      <c r="E630" s="2"/>
      <c r="F630" s="258">
        <f>D630*E637</f>
        <v>44826.193019211729</v>
      </c>
      <c r="H630" s="261">
        <f t="shared" si="180"/>
        <v>99.961284886678442</v>
      </c>
      <c r="I630" s="262">
        <f t="shared" si="183"/>
        <v>117.61368669051622</v>
      </c>
      <c r="J630" s="258">
        <f t="shared" si="185"/>
        <v>0</v>
      </c>
      <c r="K630" s="261">
        <f t="shared" si="188"/>
        <v>120.95650547805459</v>
      </c>
      <c r="L630" s="261">
        <v>1</v>
      </c>
      <c r="M630" s="261">
        <f t="shared" si="189"/>
        <v>32</v>
      </c>
      <c r="N630" s="263">
        <v>103.031898809952</v>
      </c>
      <c r="O630" s="264">
        <v>101.1</v>
      </c>
      <c r="P630" s="263">
        <f t="shared" si="175"/>
        <v>118.24489083402497</v>
      </c>
      <c r="Q630" s="265">
        <f t="shared" si="174"/>
        <v>0.87134334585815831</v>
      </c>
      <c r="R630" s="256">
        <v>-4</v>
      </c>
      <c r="S630" s="266">
        <v>0.83442799999999995</v>
      </c>
    </row>
    <row r="631" spans="1:21" ht="12.65" customHeight="1">
      <c r="A631" s="10">
        <v>44075</v>
      </c>
      <c r="B631" s="256">
        <v>45346.863859047502</v>
      </c>
      <c r="D631" s="257">
        <f>B631/C637</f>
        <v>8.5123354042122221E-2</v>
      </c>
      <c r="E631" s="2"/>
      <c r="F631" s="258">
        <f>D631*E637</f>
        <v>48008.635322862472</v>
      </c>
      <c r="H631" s="261">
        <f t="shared" si="180"/>
        <v>107.05805131550071</v>
      </c>
      <c r="I631" s="262">
        <f t="shared" si="183"/>
        <v>117.61368669051622</v>
      </c>
      <c r="J631" s="258">
        <f t="shared" si="185"/>
        <v>0</v>
      </c>
      <c r="K631" s="261">
        <f t="shared" si="188"/>
        <v>120.86649954278805</v>
      </c>
      <c r="L631" s="261">
        <v>1</v>
      </c>
      <c r="M631" s="261">
        <f t="shared" si="189"/>
        <v>33</v>
      </c>
      <c r="N631" s="263">
        <v>104.42169808985901</v>
      </c>
      <c r="O631" s="264">
        <v>99.6</v>
      </c>
      <c r="P631" s="263">
        <f t="shared" si="175"/>
        <v>120.49747006152228</v>
      </c>
      <c r="Q631" s="265">
        <f t="shared" si="174"/>
        <v>0.86658830294565126</v>
      </c>
      <c r="R631" s="256">
        <v>-4</v>
      </c>
      <c r="S631" s="266">
        <v>0.83442799999999995</v>
      </c>
    </row>
    <row r="632" spans="1:21" ht="12.65" customHeight="1">
      <c r="A632" s="10">
        <v>44105</v>
      </c>
      <c r="B632" s="256">
        <v>47373.086040393253</v>
      </c>
      <c r="D632" s="257">
        <f>B632/C637</f>
        <v>8.8926898839548893E-2</v>
      </c>
      <c r="E632" s="2"/>
      <c r="F632" s="258">
        <f>D632*E637</f>
        <v>50153.79274961834</v>
      </c>
      <c r="H632" s="261">
        <f t="shared" si="180"/>
        <v>111.84169851415564</v>
      </c>
      <c r="I632" s="262">
        <f t="shared" si="183"/>
        <v>117.61368669051622</v>
      </c>
      <c r="J632" s="258">
        <f t="shared" si="185"/>
        <v>0</v>
      </c>
      <c r="K632" s="261">
        <f t="shared" si="188"/>
        <v>120.7764936075215</v>
      </c>
      <c r="L632" s="261">
        <v>1</v>
      </c>
      <c r="M632" s="261">
        <f t="shared" si="189"/>
        <v>34</v>
      </c>
      <c r="N632" s="263">
        <v>104.84109237701701</v>
      </c>
      <c r="O632" s="264">
        <v>99.7</v>
      </c>
      <c r="P632" s="263">
        <f t="shared" si="175"/>
        <v>120.92439437210447</v>
      </c>
      <c r="Q632" s="265">
        <f t="shared" si="174"/>
        <v>0.86699704324673754</v>
      </c>
      <c r="R632" s="256">
        <v>-4</v>
      </c>
      <c r="S632" s="266">
        <v>0.83442799999999995</v>
      </c>
    </row>
    <row r="633" spans="1:21" ht="12.65" customHeight="1">
      <c r="A633" s="10">
        <v>44136</v>
      </c>
      <c r="B633" s="256">
        <v>48260.080970723509</v>
      </c>
      <c r="D633" s="257">
        <f>B633/C637</f>
        <v>9.0591930929149633E-2</v>
      </c>
      <c r="E633" s="2"/>
      <c r="F633" s="258">
        <f>D633*E637</f>
        <v>51092.852532800171</v>
      </c>
      <c r="H633" s="261">
        <f t="shared" si="180"/>
        <v>113.93577825168835</v>
      </c>
      <c r="I633" s="262">
        <f t="shared" ref="I633:I661" si="197">MAX(H621:H645)</f>
        <v>117.61368669051622</v>
      </c>
      <c r="J633" s="258">
        <f t="shared" ref="J633:J661" si="198">IF(H633=I633,1,0)</f>
        <v>0</v>
      </c>
      <c r="K633" s="261">
        <f t="shared" si="188"/>
        <v>120.68648767225496</v>
      </c>
      <c r="L633" s="261">
        <v>1</v>
      </c>
      <c r="M633" s="261">
        <f t="shared" si="189"/>
        <v>35</v>
      </c>
      <c r="N633" s="263">
        <v>105.038421457919</v>
      </c>
      <c r="O633" s="264">
        <v>94</v>
      </c>
      <c r="P633" s="263">
        <f t="shared" si="175"/>
        <v>123.75444579724098</v>
      </c>
      <c r="Q633" s="265">
        <f t="shared" si="174"/>
        <v>0.84876483249752277</v>
      </c>
      <c r="R633" s="256">
        <v>-4</v>
      </c>
      <c r="S633" s="266">
        <v>0.83442799999999995</v>
      </c>
    </row>
    <row r="634" spans="1:21" ht="12.65" customHeight="1">
      <c r="A634" s="10">
        <v>44166</v>
      </c>
      <c r="B634" s="256">
        <v>49245.362708347078</v>
      </c>
      <c r="D634" s="257">
        <f>B634/C637</f>
        <v>9.244146315796406E-2</v>
      </c>
      <c r="E634" s="2"/>
      <c r="F634" s="258">
        <f>D634*E637</f>
        <v>52135.968364996996</v>
      </c>
      <c r="H634" s="261">
        <f>F634/G$574*100</f>
        <v>116.26190036576889</v>
      </c>
      <c r="I634" s="262">
        <f t="shared" si="197"/>
        <v>117.61368669051622</v>
      </c>
      <c r="J634" s="258">
        <f t="shared" si="198"/>
        <v>0</v>
      </c>
      <c r="K634" s="261">
        <f t="shared" si="188"/>
        <v>120.59648173698841</v>
      </c>
      <c r="L634" s="261">
        <v>1</v>
      </c>
      <c r="M634" s="261">
        <f t="shared" si="189"/>
        <v>36</v>
      </c>
      <c r="N634" s="263">
        <v>105.35965345362099</v>
      </c>
      <c r="O634" s="264">
        <v>100.7</v>
      </c>
      <c r="P634" s="263">
        <f t="shared" si="175"/>
        <v>121.05134836544289</v>
      </c>
      <c r="Q634" s="265">
        <f t="shared" si="174"/>
        <v>0.87037158095546263</v>
      </c>
      <c r="R634" s="256">
        <v>-4</v>
      </c>
      <c r="S634" s="266">
        <v>0.83442799999999995</v>
      </c>
      <c r="T634" s="257">
        <f t="shared" ref="T634" si="199">AVERAGE(Q623:Q634)</f>
        <v>0.8667369449334168</v>
      </c>
      <c r="U634" s="257">
        <f t="shared" ref="U634" si="200">AVERAGE(S623:S634)</f>
        <v>0.83442799999999995</v>
      </c>
    </row>
    <row r="635" spans="1:21" ht="12.65" customHeight="1">
      <c r="A635" s="10">
        <v>44197</v>
      </c>
      <c r="B635" s="256">
        <v>48386.152209141852</v>
      </c>
      <c r="D635" s="257">
        <f>B635/C637</f>
        <v>9.0828586912588105E-2</v>
      </c>
      <c r="E635" s="2"/>
      <c r="F635" s="258">
        <f>D635*E637</f>
        <v>51226.323904243654</v>
      </c>
      <c r="H635" s="261">
        <f t="shared" si="180"/>
        <v>114.2334160586589</v>
      </c>
      <c r="I635" s="262">
        <f t="shared" si="197"/>
        <v>116.76737416098599</v>
      </c>
      <c r="J635" s="258">
        <f t="shared" si="198"/>
        <v>0</v>
      </c>
      <c r="K635" s="261">
        <f t="shared" si="188"/>
        <v>120.50647580172186</v>
      </c>
      <c r="L635" s="261">
        <v>1</v>
      </c>
      <c r="M635" s="261">
        <f t="shared" si="189"/>
        <v>37</v>
      </c>
      <c r="N635" s="263">
        <v>104.752535810325</v>
      </c>
      <c r="O635" s="264">
        <v>97.7</v>
      </c>
      <c r="P635" s="263">
        <f t="shared" si="175"/>
        <v>121.73955434099966</v>
      </c>
      <c r="Q635" s="265">
        <f t="shared" si="174"/>
        <v>0.8604642622307207</v>
      </c>
      <c r="R635" s="256">
        <v>-4</v>
      </c>
      <c r="S635" s="266">
        <v>0.83442799999999995</v>
      </c>
    </row>
    <row r="636" spans="1:21" ht="12.65" customHeight="1">
      <c r="A636" s="10">
        <v>44228</v>
      </c>
      <c r="B636" s="256">
        <v>47030.128631115229</v>
      </c>
      <c r="D636" s="257">
        <f>B636/C637</f>
        <v>8.8283112643835662E-2</v>
      </c>
      <c r="E636" s="2"/>
      <c r="F636" s="258">
        <f>D636*E637</f>
        <v>49790.704416884233</v>
      </c>
      <c r="H636" s="261">
        <f t="shared" si="180"/>
        <v>111.03202064898632</v>
      </c>
      <c r="I636" s="262">
        <f t="shared" si="197"/>
        <v>116.76737416098599</v>
      </c>
      <c r="J636" s="258">
        <f t="shared" si="198"/>
        <v>0</v>
      </c>
      <c r="K636" s="261">
        <f t="shared" si="188"/>
        <v>120.41646986645532</v>
      </c>
      <c r="L636" s="261">
        <v>1</v>
      </c>
      <c r="M636" s="261">
        <f t="shared" si="189"/>
        <v>38</v>
      </c>
      <c r="N636" s="263">
        <v>103.880263847653</v>
      </c>
      <c r="O636" s="264">
        <v>96.6</v>
      </c>
      <c r="P636" s="263">
        <f t="shared" si="175"/>
        <v>121.25970362179908</v>
      </c>
      <c r="Q636" s="265">
        <f t="shared" si="174"/>
        <v>0.85667588444425535</v>
      </c>
      <c r="R636" s="256">
        <v>-4</v>
      </c>
      <c r="S636" s="266">
        <v>0.83442799999999995</v>
      </c>
    </row>
    <row r="637" spans="1:21" ht="12.65" customHeight="1">
      <c r="A637" s="10">
        <v>44256</v>
      </c>
      <c r="B637" s="256">
        <v>47882.472176483701</v>
      </c>
      <c r="C637" s="259">
        <f t="shared" ref="C637" si="201">SUM(B626:B637)</f>
        <v>532719.42076681065</v>
      </c>
      <c r="D637" s="257">
        <f>B637/C637</f>
        <v>8.9883098512835116E-2</v>
      </c>
      <c r="E637" s="260">
        <v>563989</v>
      </c>
      <c r="F637" s="258">
        <f>D637*E637</f>
        <v>50693.078847155368</v>
      </c>
      <c r="H637" s="261">
        <f t="shared" si="180"/>
        <v>113.04429297066503</v>
      </c>
      <c r="I637" s="262">
        <f t="shared" si="197"/>
        <v>116.76737416098599</v>
      </c>
      <c r="J637" s="258">
        <f t="shared" si="198"/>
        <v>0</v>
      </c>
      <c r="K637" s="261">
        <f t="shared" si="188"/>
        <v>120.32646393118877</v>
      </c>
      <c r="L637" s="261">
        <v>1</v>
      </c>
      <c r="M637" s="261">
        <f t="shared" si="189"/>
        <v>39</v>
      </c>
      <c r="N637" s="263">
        <v>104.773623593992</v>
      </c>
      <c r="O637" s="264">
        <v>98.3</v>
      </c>
      <c r="P637" s="263">
        <f t="shared" si="175"/>
        <v>121.4888311078148</v>
      </c>
      <c r="Q637" s="265">
        <f>N637/P637</f>
        <v>0.86241362797384269</v>
      </c>
      <c r="R637" s="256">
        <v>-4</v>
      </c>
      <c r="S637" s="266">
        <v>0.83442799999999995</v>
      </c>
    </row>
    <row r="638" spans="1:21" ht="12.65" customHeight="1" outlineLevel="1">
      <c r="A638" s="10">
        <v>44287</v>
      </c>
      <c r="B638" s="256">
        <v>39286.433739381966</v>
      </c>
      <c r="E638" s="2"/>
      <c r="H638" s="13">
        <v>92.871285610640697</v>
      </c>
      <c r="I638" s="262">
        <f t="shared" si="197"/>
        <v>116.76737416098599</v>
      </c>
      <c r="J638" s="258">
        <f t="shared" si="198"/>
        <v>0</v>
      </c>
      <c r="K638" s="261">
        <f t="shared" si="188"/>
        <v>120.23645799592222</v>
      </c>
      <c r="L638" s="261">
        <v>1</v>
      </c>
      <c r="M638" s="261">
        <f t="shared" si="189"/>
        <v>40</v>
      </c>
      <c r="O638" s="264">
        <v>99.7</v>
      </c>
      <c r="P638" s="7"/>
      <c r="R638" s="256">
        <v>-2</v>
      </c>
      <c r="S638" s="3"/>
    </row>
    <row r="639" spans="1:21" ht="12.65" customHeight="1" outlineLevel="1">
      <c r="A639" s="10">
        <v>44317</v>
      </c>
      <c r="B639" s="256">
        <v>37520.442259199765</v>
      </c>
      <c r="E639" s="2"/>
      <c r="H639" s="13">
        <v>89.298294283841798</v>
      </c>
      <c r="I639" s="262">
        <f t="shared" si="197"/>
        <v>116.76737416098599</v>
      </c>
      <c r="J639" s="258">
        <f t="shared" si="198"/>
        <v>0</v>
      </c>
      <c r="K639" s="261">
        <f t="shared" si="188"/>
        <v>120.14645206065568</v>
      </c>
      <c r="L639" s="261">
        <v>1</v>
      </c>
      <c r="M639" s="261">
        <f t="shared" si="189"/>
        <v>41</v>
      </c>
      <c r="O639" s="264">
        <v>99.5</v>
      </c>
      <c r="P639" s="7"/>
      <c r="R639" s="256">
        <v>-2</v>
      </c>
      <c r="S639" s="3"/>
    </row>
    <row r="640" spans="1:21" ht="12.65" customHeight="1" outlineLevel="1">
      <c r="A640" s="10">
        <v>44348</v>
      </c>
      <c r="B640" s="256">
        <v>40059.586671723075</v>
      </c>
      <c r="E640" s="2"/>
      <c r="H640" s="13">
        <v>94.013398544206595</v>
      </c>
      <c r="I640" s="262">
        <f t="shared" si="197"/>
        <v>116.76737416098599</v>
      </c>
      <c r="J640" s="258">
        <f t="shared" si="198"/>
        <v>0</v>
      </c>
      <c r="K640" s="261">
        <f t="shared" si="188"/>
        <v>120.05644612538913</v>
      </c>
      <c r="L640" s="261">
        <v>1</v>
      </c>
      <c r="M640" s="261">
        <f t="shared" si="189"/>
        <v>42</v>
      </c>
      <c r="O640" s="264">
        <v>104.2</v>
      </c>
      <c r="P640" s="7"/>
      <c r="R640" s="256">
        <v>-2</v>
      </c>
      <c r="S640" s="3"/>
    </row>
    <row r="641" spans="1:19" ht="12.65" customHeight="1" outlineLevel="1">
      <c r="A641" s="10">
        <v>44378</v>
      </c>
      <c r="B641" s="256">
        <v>41460.475415026427</v>
      </c>
      <c r="E641" s="2"/>
      <c r="H641" s="13">
        <v>96.899798371193398</v>
      </c>
      <c r="I641" s="262">
        <f t="shared" si="197"/>
        <v>116.76737416098599</v>
      </c>
      <c r="J641" s="258">
        <f t="shared" si="198"/>
        <v>0</v>
      </c>
      <c r="K641" s="261">
        <f t="shared" si="188"/>
        <v>119.96644019012258</v>
      </c>
      <c r="L641" s="261">
        <v>1</v>
      </c>
      <c r="M641" s="261">
        <f t="shared" si="189"/>
        <v>43</v>
      </c>
      <c r="O641" s="264">
        <v>108.2</v>
      </c>
      <c r="P641" s="7"/>
      <c r="R641" s="256">
        <v>-3</v>
      </c>
      <c r="S641" s="3"/>
    </row>
    <row r="642" spans="1:19" ht="12.65" customHeight="1" outlineLevel="1">
      <c r="A642" s="10">
        <v>44409</v>
      </c>
      <c r="B642" s="256">
        <v>42965.003161444598</v>
      </c>
      <c r="E642" s="2"/>
      <c r="H642" s="13">
        <v>101.20777309904101</v>
      </c>
      <c r="I642" s="262">
        <f t="shared" si="197"/>
        <v>116.76737416098599</v>
      </c>
      <c r="J642" s="258">
        <f t="shared" si="198"/>
        <v>0</v>
      </c>
      <c r="K642" s="261">
        <f t="shared" si="188"/>
        <v>119.87643425485604</v>
      </c>
      <c r="L642" s="261">
        <v>1</v>
      </c>
      <c r="M642" s="261">
        <f t="shared" si="189"/>
        <v>44</v>
      </c>
      <c r="O642" s="264">
        <v>102.8</v>
      </c>
      <c r="P642" s="7"/>
      <c r="R642" s="256">
        <v>-3</v>
      </c>
      <c r="S642" s="3"/>
    </row>
    <row r="643" spans="1:19" ht="12.65" customHeight="1" outlineLevel="1">
      <c r="A643" s="10">
        <v>44440</v>
      </c>
      <c r="E643" s="2"/>
      <c r="H643" s="13">
        <v>107.892269998788</v>
      </c>
      <c r="I643" s="262">
        <f t="shared" si="197"/>
        <v>116.76737416098599</v>
      </c>
      <c r="J643" s="258">
        <f t="shared" si="198"/>
        <v>0</v>
      </c>
      <c r="K643" s="261">
        <f t="shared" si="188"/>
        <v>119.78642831958949</v>
      </c>
      <c r="L643" s="261">
        <v>1</v>
      </c>
      <c r="M643" s="261">
        <f t="shared" si="189"/>
        <v>45</v>
      </c>
      <c r="O643" s="264">
        <v>105.5</v>
      </c>
      <c r="P643" s="7"/>
      <c r="R643" s="256">
        <v>-3</v>
      </c>
      <c r="S643" s="3"/>
    </row>
    <row r="644" spans="1:19" ht="12.65" customHeight="1" outlineLevel="1">
      <c r="A644" s="10">
        <v>44470</v>
      </c>
      <c r="E644" s="2"/>
      <c r="H644" s="13">
        <v>112.532172180733</v>
      </c>
      <c r="I644" s="262">
        <f t="shared" si="197"/>
        <v>116.76737416098599</v>
      </c>
      <c r="J644" s="258">
        <f t="shared" si="198"/>
        <v>0</v>
      </c>
      <c r="K644" s="261">
        <f t="shared" si="188"/>
        <v>119.69642238432294</v>
      </c>
      <c r="L644" s="261">
        <v>1</v>
      </c>
      <c r="M644" s="261">
        <f t="shared" si="189"/>
        <v>46</v>
      </c>
      <c r="O644" s="264">
        <v>103.2</v>
      </c>
      <c r="P644" s="7"/>
      <c r="R644" s="256">
        <v>-3</v>
      </c>
      <c r="S644" s="3"/>
    </row>
    <row r="645" spans="1:19" ht="12.65" customHeight="1" outlineLevel="1">
      <c r="A645" s="10">
        <v>44501</v>
      </c>
      <c r="E645" s="2"/>
      <c r="H645" s="13">
        <v>114.58680328272401</v>
      </c>
      <c r="I645" s="262">
        <f t="shared" si="197"/>
        <v>116.76737416098599</v>
      </c>
      <c r="J645" s="258">
        <f t="shared" si="198"/>
        <v>0</v>
      </c>
      <c r="K645" s="261">
        <f t="shared" si="188"/>
        <v>119.6064164490564</v>
      </c>
      <c r="L645" s="261">
        <v>1</v>
      </c>
      <c r="M645" s="261">
        <f t="shared" si="189"/>
        <v>47</v>
      </c>
      <c r="P645" s="7"/>
      <c r="R645" s="256">
        <v>-3</v>
      </c>
      <c r="S645" s="3"/>
    </row>
    <row r="646" spans="1:19" ht="12.65" customHeight="1" outlineLevel="1">
      <c r="A646" s="10">
        <v>44531</v>
      </c>
      <c r="E646" s="2"/>
      <c r="H646" s="13">
        <v>116.76737416098599</v>
      </c>
      <c r="I646" s="262">
        <f t="shared" si="197"/>
        <v>118.43633929059099</v>
      </c>
      <c r="J646" s="258">
        <f t="shared" si="198"/>
        <v>0</v>
      </c>
      <c r="K646" s="261">
        <f t="shared" si="188"/>
        <v>119.51641051378985</v>
      </c>
      <c r="L646" s="261">
        <v>1</v>
      </c>
      <c r="M646" s="261">
        <f t="shared" si="189"/>
        <v>48</v>
      </c>
      <c r="P646" s="7"/>
      <c r="R646" s="256">
        <v>-3</v>
      </c>
      <c r="S646" s="3"/>
    </row>
    <row r="647" spans="1:19" ht="12.65" customHeight="1" outlineLevel="1">
      <c r="A647" s="10">
        <v>44562</v>
      </c>
      <c r="E647" s="2"/>
      <c r="H647" s="13">
        <v>115.036686951115</v>
      </c>
      <c r="I647" s="262">
        <f t="shared" si="197"/>
        <v>118.43633929059099</v>
      </c>
      <c r="J647" s="258">
        <f t="shared" si="198"/>
        <v>0</v>
      </c>
      <c r="K647" s="261">
        <f t="shared" si="188"/>
        <v>119.4264045785233</v>
      </c>
      <c r="L647" s="261">
        <v>1</v>
      </c>
      <c r="M647" s="261">
        <f t="shared" si="189"/>
        <v>49</v>
      </c>
      <c r="P647" s="7"/>
      <c r="S647" s="3"/>
    </row>
    <row r="648" spans="1:19" ht="12.65" customHeight="1" outlineLevel="1">
      <c r="A648" s="10">
        <v>44593</v>
      </c>
      <c r="E648" s="2"/>
      <c r="H648" s="13">
        <v>112.09870470199201</v>
      </c>
      <c r="I648" s="262">
        <f t="shared" si="197"/>
        <v>118.43633929059099</v>
      </c>
      <c r="J648" s="258">
        <f t="shared" si="198"/>
        <v>0</v>
      </c>
      <c r="K648" s="261">
        <f t="shared" si="188"/>
        <v>119.33639864325676</v>
      </c>
      <c r="L648" s="261">
        <v>1</v>
      </c>
      <c r="M648" s="261">
        <f t="shared" si="189"/>
        <v>50</v>
      </c>
      <c r="P648" s="7"/>
      <c r="S648" s="3"/>
    </row>
    <row r="649" spans="1:19" ht="12.65" customHeight="1" outlineLevel="1">
      <c r="A649" s="10">
        <v>44621</v>
      </c>
      <c r="C649" s="259">
        <f t="shared" ref="C649" si="202">SUM(B638:B649)</f>
        <v>201291.94124677582</v>
      </c>
      <c r="E649" s="260">
        <v>583559</v>
      </c>
      <c r="H649" s="13">
        <v>113.96973551128499</v>
      </c>
      <c r="I649" s="262">
        <f t="shared" si="197"/>
        <v>118.43633929059099</v>
      </c>
      <c r="J649" s="258">
        <f t="shared" si="198"/>
        <v>0</v>
      </c>
      <c r="K649" s="261">
        <f t="shared" si="188"/>
        <v>119.24639270799021</v>
      </c>
      <c r="L649" s="261">
        <v>1</v>
      </c>
      <c r="M649" s="261">
        <f t="shared" si="189"/>
        <v>51</v>
      </c>
      <c r="P649" s="7"/>
      <c r="S649" s="3"/>
    </row>
    <row r="650" spans="1:19" ht="12.65" customHeight="1">
      <c r="A650" s="10">
        <v>44652</v>
      </c>
      <c r="H650" s="13">
        <v>94.140199292288401</v>
      </c>
      <c r="I650" s="262">
        <f t="shared" si="197"/>
        <v>118.43633929059099</v>
      </c>
      <c r="J650" s="258">
        <f t="shared" si="198"/>
        <v>0</v>
      </c>
      <c r="K650" s="261">
        <f t="shared" si="188"/>
        <v>119.15638677272366</v>
      </c>
      <c r="L650" s="261">
        <v>1</v>
      </c>
      <c r="M650" s="261">
        <f t="shared" si="189"/>
        <v>52</v>
      </c>
      <c r="P650" s="7"/>
      <c r="S650" s="3"/>
    </row>
    <row r="651" spans="1:19" ht="12.65" customHeight="1">
      <c r="A651" s="10">
        <v>44682</v>
      </c>
      <c r="H651" s="13">
        <v>90.670569156475594</v>
      </c>
      <c r="I651" s="262">
        <f t="shared" si="197"/>
        <v>118.43633929059099</v>
      </c>
      <c r="J651" s="258">
        <f t="shared" si="198"/>
        <v>0</v>
      </c>
      <c r="K651" s="261">
        <f t="shared" si="188"/>
        <v>119.06638083745712</v>
      </c>
      <c r="L651" s="261">
        <v>1</v>
      </c>
      <c r="M651" s="261">
        <f t="shared" si="189"/>
        <v>53</v>
      </c>
    </row>
    <row r="652" spans="1:19" ht="12.65" customHeight="1">
      <c r="A652" s="10">
        <v>44713</v>
      </c>
      <c r="H652" s="13">
        <v>95.404246038259998</v>
      </c>
      <c r="I652" s="262">
        <f t="shared" si="197"/>
        <v>118.43633929059099</v>
      </c>
      <c r="J652" s="258">
        <f t="shared" si="198"/>
        <v>0</v>
      </c>
      <c r="K652" s="261">
        <f t="shared" si="188"/>
        <v>118.97637490219057</v>
      </c>
      <c r="L652" s="261">
        <v>1</v>
      </c>
      <c r="M652" s="261">
        <f t="shared" si="189"/>
        <v>54</v>
      </c>
    </row>
    <row r="653" spans="1:19" ht="12.65" customHeight="1">
      <c r="A653" s="10">
        <v>44743</v>
      </c>
      <c r="H653" s="13">
        <v>98.338294618270496</v>
      </c>
      <c r="I653" s="262">
        <f t="shared" si="197"/>
        <v>118.43633929059099</v>
      </c>
      <c r="J653" s="258">
        <f t="shared" si="198"/>
        <v>0</v>
      </c>
      <c r="K653" s="261">
        <f t="shared" si="188"/>
        <v>118.88636896692402</v>
      </c>
      <c r="L653" s="261">
        <v>1</v>
      </c>
      <c r="M653" s="261">
        <f t="shared" si="189"/>
        <v>55</v>
      </c>
    </row>
    <row r="654" spans="1:19" ht="12.65" customHeight="1">
      <c r="A654" s="10">
        <v>44774</v>
      </c>
      <c r="H654" s="13">
        <v>102.681446291399</v>
      </c>
      <c r="I654" s="262">
        <f t="shared" si="197"/>
        <v>118.43633929059099</v>
      </c>
      <c r="J654" s="258">
        <f t="shared" si="198"/>
        <v>0</v>
      </c>
      <c r="K654" s="261">
        <f t="shared" si="188"/>
        <v>118.79636303165748</v>
      </c>
      <c r="L654" s="261">
        <v>1</v>
      </c>
      <c r="M654" s="261">
        <f t="shared" si="189"/>
        <v>56</v>
      </c>
    </row>
    <row r="655" spans="1:19" ht="12.65" customHeight="1">
      <c r="A655" s="10">
        <v>44805</v>
      </c>
      <c r="H655" s="13">
        <v>109.374259231107</v>
      </c>
      <c r="I655" s="262">
        <f t="shared" si="197"/>
        <v>118.43633929059099</v>
      </c>
      <c r="J655" s="258">
        <f t="shared" si="198"/>
        <v>0</v>
      </c>
      <c r="K655" s="261">
        <f t="shared" si="188"/>
        <v>118.70635709639093</v>
      </c>
      <c r="L655" s="261">
        <v>1</v>
      </c>
      <c r="M655" s="261">
        <f t="shared" si="189"/>
        <v>57</v>
      </c>
    </row>
    <row r="656" spans="1:19" ht="12.65" customHeight="1">
      <c r="A656" s="10">
        <v>44835</v>
      </c>
      <c r="H656" s="13">
        <v>114.051232595884</v>
      </c>
      <c r="I656" s="262">
        <f t="shared" si="197"/>
        <v>118.43633929059099</v>
      </c>
      <c r="J656" s="258">
        <f t="shared" si="198"/>
        <v>0</v>
      </c>
      <c r="K656" s="261">
        <f t="shared" si="188"/>
        <v>118.61635116112438</v>
      </c>
      <c r="L656" s="261">
        <v>1</v>
      </c>
      <c r="M656" s="261">
        <f t="shared" si="189"/>
        <v>58</v>
      </c>
    </row>
    <row r="657" spans="1:13" ht="12.65" customHeight="1">
      <c r="A657" s="10">
        <v>44866</v>
      </c>
      <c r="H657" s="13">
        <v>116.180234237492</v>
      </c>
      <c r="I657" s="262">
        <f t="shared" si="197"/>
        <v>118.43633929059099</v>
      </c>
      <c r="J657" s="258">
        <f t="shared" si="198"/>
        <v>0</v>
      </c>
      <c r="K657" s="261">
        <f t="shared" si="188"/>
        <v>118.52634522585784</v>
      </c>
      <c r="L657" s="261">
        <v>1</v>
      </c>
      <c r="M657" s="261">
        <f t="shared" si="189"/>
        <v>59</v>
      </c>
    </row>
    <row r="658" spans="1:13" ht="12.65" customHeight="1">
      <c r="A658" s="10">
        <v>44896</v>
      </c>
      <c r="H658" s="13">
        <v>118.43633929059099</v>
      </c>
      <c r="I658" s="262">
        <f t="shared" si="197"/>
        <v>118.43633929059099</v>
      </c>
      <c r="J658" s="254">
        <f t="shared" si="198"/>
        <v>1</v>
      </c>
      <c r="K658" s="12">
        <f>I658</f>
        <v>118.43633929059099</v>
      </c>
    </row>
    <row r="659" spans="1:13" ht="12.65" customHeight="1">
      <c r="A659" s="10">
        <v>44927</v>
      </c>
      <c r="H659" s="13">
        <v>116.82970121592599</v>
      </c>
      <c r="I659" s="262">
        <f t="shared" si="197"/>
        <v>118.43633929059099</v>
      </c>
      <c r="J659" s="258">
        <f t="shared" si="198"/>
        <v>0</v>
      </c>
      <c r="L659" s="261">
        <v>1</v>
      </c>
      <c r="M659" s="261">
        <f t="shared" ref="M659:M661" si="203">M658+L659</f>
        <v>1</v>
      </c>
    </row>
    <row r="660" spans="1:13" ht="12.65" customHeight="1">
      <c r="A660" s="10">
        <v>44958</v>
      </c>
      <c r="H660" s="13">
        <v>114.02404475578599</v>
      </c>
      <c r="I660" s="262">
        <f t="shared" si="197"/>
        <v>118.43633929059099</v>
      </c>
      <c r="J660" s="258">
        <f t="shared" si="198"/>
        <v>0</v>
      </c>
      <c r="L660" s="261">
        <v>1</v>
      </c>
      <c r="M660" s="261">
        <f t="shared" si="203"/>
        <v>2</v>
      </c>
    </row>
    <row r="661" spans="1:13" ht="12.65" customHeight="1">
      <c r="A661" s="10">
        <v>44986</v>
      </c>
      <c r="H661" s="13">
        <v>115.978542367624</v>
      </c>
      <c r="I661" s="262">
        <f t="shared" si="197"/>
        <v>118.43633929059099</v>
      </c>
      <c r="J661" s="258">
        <f t="shared" si="198"/>
        <v>0</v>
      </c>
      <c r="L661" s="261">
        <v>1</v>
      </c>
      <c r="M661" s="261">
        <f t="shared" si="203"/>
        <v>3</v>
      </c>
    </row>
    <row r="662" spans="1:13" ht="12.65" customHeight="1">
      <c r="H662" s="13" t="s">
        <v>297</v>
      </c>
    </row>
  </sheetData>
  <phoneticPr fontId="1"/>
  <hyperlinks>
    <hyperlink ref="A640:B640" r:id="rId1" display="※2020年度より2011年度以降の公表値について遡及改定している。2021年度以降、毎月4月分の公表時には、前年度から3カ年分を遡及" xr:uid="{325A2ACF-D833-4CA9-AAAB-88CCDA9F722B}"/>
    <hyperlink ref="A641:B641" r:id="rId2" display="　改定する。これまでの公表値と異なるため、利用に当たっては、最新版を利用されたい。（「使用上の注意及び過去資料」を参照）" xr:uid="{348A9D6D-1A1C-4786-8231-6A6CF8BD2843}"/>
    <hyperlink ref="A646" r:id="rId3" display="※2020年度より2011年度以降の公表値について遡及改定している。2021年度以降、毎月4月分の公表時には、前年度から3カ年分を遡及" xr:uid="{F41CEBC7-4966-484D-9181-0B25AE556407}"/>
    <hyperlink ref="A647" r:id="rId4" display="　改定する。これまでの公表値と異なるため、利用に当たっては、最新版を利用されたい。（「使用上の注意及び過去資料」を参照）" xr:uid="{D38BED36-1DDE-4B1F-8B2D-D2BEF0F0DF9B}"/>
    <hyperlink ref="A652" r:id="rId5" display="※2020年度より2011年度以降の公表値について遡及改定している。2021年度以降、毎月4月分の公表時には、前年度から3カ年分を遡及" xr:uid="{C89D8292-40FE-4050-B553-5EFA691799EB}"/>
    <hyperlink ref="A653" r:id="rId6" display="　改定する。これまでの公表値と異なるため、利用に当たっては、最新版を利用されたい。（「使用上の注意及び過去資料」を参照）" xr:uid="{64859172-43DD-4953-B286-32E2581AA005}"/>
    <hyperlink ref="A658" r:id="rId7" display="※2020年度より2011年度以降の公表値について遡及改定している。2021年度以降、毎月4月分の公表時には、前年度から3カ年分を遡及" xr:uid="{665CC1FE-BB8B-4666-9690-90B3B2976DFB}"/>
    <hyperlink ref="A659" r:id="rId8" display="　改定する。これまでの公表値と異なるため、利用に当たっては、最新版を利用されたい。（「使用上の注意及び過去資料」を参照）" xr:uid="{6D7A4536-4A7D-4775-901C-F7AEAAF10243}"/>
  </hyperlinks>
  <printOptions horizontalCentered="1"/>
  <pageMargins left="0.39370078740157483" right="0.39370078740157483" top="0.39370078740157483" bottom="0.19685039370078741" header="0" footer="0"/>
  <pageSetup paperSize="9" scale="41" orientation="portrait" r:id="rId9"/>
  <drawing r:id="rId1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5937E34611E1445B92B35E90ABD5C0C" ma:contentTypeVersion="9" ma:contentTypeDescription="新しいドキュメントを作成します。" ma:contentTypeScope="" ma:versionID="2cf4fa9445cbef745904f93d8448bc1d">
  <xsd:schema xmlns:xsd="http://www.w3.org/2001/XMLSchema" xmlns:xs="http://www.w3.org/2001/XMLSchema" xmlns:p="http://schemas.microsoft.com/office/2006/metadata/properties" xmlns:ns2="84f22a54-4183-4c79-9b21-f784cdbbac75" xmlns:ns3="1421a654-0b5d-4ba0-87f4-957a8516deb5" targetNamespace="http://schemas.microsoft.com/office/2006/metadata/properties" ma:root="true" ma:fieldsID="69216d990c60a1a02a935a00cc419263" ns2:_="" ns3:_="">
    <xsd:import namespace="84f22a54-4183-4c79-9b21-f784cdbbac75"/>
    <xsd:import namespace="1421a654-0b5d-4ba0-87f4-957a8516deb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f22a54-4183-4c79-9b21-f784cdbbac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21a654-0b5d-4ba0-87f4-957a8516deb5" elementFormDefault="qualified">
    <xsd:import namespace="http://schemas.microsoft.com/office/2006/documentManagement/types"/>
    <xsd:import namespace="http://schemas.microsoft.com/office/infopath/2007/PartnerControls"/>
    <xsd:element name="SharedWithUsers" ma:index="15"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781B056-E8DB-456E-9B2E-F2AE05EE9D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f22a54-4183-4c79-9b21-f784cdbbac75"/>
    <ds:schemaRef ds:uri="1421a654-0b5d-4ba0-87f4-957a8516de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FEDBAD-B62B-4F1A-A713-F2E7216CD660}">
  <ds:schemaRefs>
    <ds:schemaRef ds:uri="http://schemas.microsoft.com/sharepoint/v3/contenttype/forms"/>
  </ds:schemaRefs>
</ds:datastoreItem>
</file>

<file path=customXml/itemProps3.xml><?xml version="1.0" encoding="utf-8"?>
<ds:datastoreItem xmlns:ds="http://schemas.openxmlformats.org/officeDocument/2006/customXml" ds:itemID="{0A0ED00A-5541-4F51-97BD-125D4A5133F1}">
  <ds:schemaRefs>
    <ds:schemaRef ds:uri="http://schemas.microsoft.com/office/2006/documentManagement/types"/>
    <ds:schemaRef ds:uri="http://www.w3.org/XML/1998/namespace"/>
    <ds:schemaRef ds:uri="http://schemas.microsoft.com/office/infopath/2007/PartnerControls"/>
    <ds:schemaRef ds:uri="http://purl.org/dc/dcmitype/"/>
    <ds:schemaRef ds:uri="http://schemas.microsoft.com/office/2006/metadata/properties"/>
    <ds:schemaRef ds:uri="http://schemas.openxmlformats.org/package/2006/metadata/core-properties"/>
    <ds:schemaRef ds:uri="6a8350c2-e829-41ab-ae08-ba352530c0f5"/>
    <ds:schemaRef ds:uri="084118fb-d3f4-435f-bec7-17fba67acddf"/>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58</vt:i4>
      </vt:variant>
      <vt:variant>
        <vt:lpstr>名前付き一覧</vt:lpstr>
      </vt:variant>
      <vt:variant>
        <vt:i4>4</vt:i4>
      </vt:variant>
    </vt:vector>
  </HeadingPairs>
  <TitlesOfParts>
    <vt:vector size="62" baseType="lpstr">
      <vt:lpstr>【供給側予測】生産関数（中間投入なし　成長実現）日銀</vt:lpstr>
      <vt:lpstr>★【内閣府】中長期試算　成長実現ケース</vt:lpstr>
      <vt:lpstr>★【内閣府】中長期試算ベースラインケース</vt:lpstr>
      <vt:lpstr>★図3</vt:lpstr>
      <vt:lpstr>★図4</vt:lpstr>
      <vt:lpstr>★建設投資見通し暦年換算（実質値）</vt:lpstr>
      <vt:lpstr>★建設投資見通し暦年換算（名目値)</vt:lpstr>
      <vt:lpstr>★資本ストック</vt:lpstr>
      <vt:lpstr>★資本稼働率</vt:lpstr>
      <vt:lpstr>★平均労働時間</vt:lpstr>
      <vt:lpstr>★就業者数</vt:lpstr>
      <vt:lpstr>★構造失業率</vt:lpstr>
      <vt:lpstr>★TFP上昇率推計・図5</vt:lpstr>
      <vt:lpstr>★【現状】生産関数（中間投入あり　見通し×付加価値率）</vt:lpstr>
      <vt:lpstr>★【現状】生産関数（中間投入あり　見通し）</vt:lpstr>
      <vt:lpstr>【予測】生産関数（中間投入あり　見通し　成長実現）</vt:lpstr>
      <vt:lpstr>★【供給側予測】生産関数（中間投入あり　見通し　成長実現）</vt:lpstr>
      <vt:lpstr>★【供給側予測】生産関数（中間投入あり　成長実現）</vt:lpstr>
      <vt:lpstr>★平均労働時間 (製造業)</vt:lpstr>
      <vt:lpstr>★図6</vt:lpstr>
      <vt:lpstr>はじめに</vt:lpstr>
      <vt:lpstr>供給側予測（成長実現ケース）</vt:lpstr>
      <vt:lpstr>供給側予測（ベースラインケース)</vt:lpstr>
      <vt:lpstr>★表１</vt:lpstr>
      <vt:lpstr>★PPT用図表（有形固定資産）</vt:lpstr>
      <vt:lpstr>★PPT用図表（無形固定資産）</vt:lpstr>
      <vt:lpstr>★PPT用図表（固定資産）</vt:lpstr>
      <vt:lpstr>★PPT用図表（平均労働時間）</vt:lpstr>
      <vt:lpstr>★PPT用図表（就業者数）</vt:lpstr>
      <vt:lpstr>★PPT用図表（労働時間）</vt:lpstr>
      <vt:lpstr>★PPT用図表（供給側予測）</vt:lpstr>
      <vt:lpstr>★図7</vt:lpstr>
      <vt:lpstr>【供給側予測】生産関数（中間投入なし　ベース）日銀</vt:lpstr>
      <vt:lpstr>★図8</vt:lpstr>
      <vt:lpstr>★固定資本ストック（建物・構築物）図9-12</vt:lpstr>
      <vt:lpstr>共和分検定に使用した変数</vt:lpstr>
      <vt:lpstr>共和分検定（金利ギャップなし）</vt:lpstr>
      <vt:lpstr>★表2　共和分検定（外生変数あり）</vt:lpstr>
      <vt:lpstr>供給側予測（ベースラインケース　就業率維持）</vt:lpstr>
      <vt:lpstr>需要側予測（成長実現ケース）</vt:lpstr>
      <vt:lpstr>需要側予測（ベースラインケース)</vt:lpstr>
      <vt:lpstr>★需要側予測（テスト)</vt:lpstr>
      <vt:lpstr>★PPT用図（需要側）</vt:lpstr>
      <vt:lpstr>★図13　需要側合計</vt:lpstr>
      <vt:lpstr>★表3</vt:lpstr>
      <vt:lpstr>Sheet2</vt:lpstr>
      <vt:lpstr>★図14　民間住宅</vt:lpstr>
      <vt:lpstr>★図15　民間非住宅</vt:lpstr>
      <vt:lpstr>★図16　民間土木</vt:lpstr>
      <vt:lpstr>★図17　公的住宅</vt:lpstr>
      <vt:lpstr>★図18　公的非住宅</vt:lpstr>
      <vt:lpstr>★図19　公的土木</vt:lpstr>
      <vt:lpstr>集計図表</vt:lpstr>
      <vt:lpstr>★図1図20　需給合計</vt:lpstr>
      <vt:lpstr>★記者用予測一覧</vt:lpstr>
      <vt:lpstr>★物価（暦年）</vt:lpstr>
      <vt:lpstr>★物価（四半期)</vt:lpstr>
      <vt:lpstr>表2　共和分検定（金利ギャップあり）</vt:lpstr>
      <vt:lpstr>'★【内閣府】中長期試算　成長実現ケース'!Print_Area</vt:lpstr>
      <vt:lpstr>★【内閣府】中長期試算ベースラインケース!Print_Area</vt:lpstr>
      <vt:lpstr>★資本稼働率!Print_Area</vt:lpstr>
      <vt:lpstr>★図8!Print_Area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2015-01-05T10:10:56Z</dcterms:created>
  <dcterms:modified xsi:type="dcterms:W3CDTF">2023-01-23T02:12:50Z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0x01010075937E34611E1445B92B35E90ABD5C0C</vt:lpwstr>
  </property>
</Properties>
</file>